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<sst xmlns="http://schemas.openxmlformats.org/spreadsheetml/2006/main" count="1573" uniqueCount="451">
  <si>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</si>
  <si>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</si>
  <si>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</si>
  <si>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</si>
  <si>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</si>
  <si>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</si>
  <si>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</si>
  <si>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</si>
  <si>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</si>
  <si>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</si>
  <si>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</si>
  <si>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</si>
  <si>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</si>
  <si>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</si>
  <si>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</si>
  <si>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</si>
  <si>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</si>
  <si>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</si>
  <si>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</si>
  <si>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</si>
  <si>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</si>
  <si>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</si>
  <si>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</si>
  <si>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</si>
  <si>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</si>
  <si>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</si>
  <si>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</si>
  <si>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</si>
  <si>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</si>
  <si>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</si>
  <si>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</si>
  <si>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</si>
  <si>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</si>
  <si>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</si>
  <si>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</si>
  <si>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</si>
  <si>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</si>
  <si>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</si>
  <si>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</si>
  <si>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</si>
  <si>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</si>
  <si>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</si>
  <si>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</si>
  <si>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</si>
  <si>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</si>
  <si>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</si>
  <si>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</si>
  <si>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</si>
  <si>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</si>
  <si>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</si>
  <si>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</si>
  <si>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</si>
  <si>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</si>
  <si>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</si>
  <si>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</si>
  <si>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</si>
  <si>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</si>
  <si>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</si>
  <si>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</si>
  <si>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</si>
  <si>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</si>
  <si>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</si>
  <si>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</si>
  <si>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</si>
  <si>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</si>
  <si>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</si>
  <si>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</si>
  <si>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</si>
  <si>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</si>
  <si>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</si>
  <si>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</si>
  <si>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</si>
  <si>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</si>
  <si>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</si>
  <si>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</si>
  <si>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</si>
  <si>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</si>
  <si>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</si>
  <si>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</si>
  <si>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</si>
  <si>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</si>
  <si>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</si>
  <si>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</si>
  <si>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</si>
  <si>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</si>
  <si>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</si>
  <si>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</si>
  <si>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</si>
  <si>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</si>
  <si>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</si>
  <si>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</si>
  <si>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</si>
  <si>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</si>
  <si>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</si>
  <si>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</si>
  <si>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</si>
  <si>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</si>
  <si>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</si>
  <si>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</si>
  <si>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</si>
  <si>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</si>
  <si>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</si>
  <si>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</si>
  <si>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</si>
  <si>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</si>
  <si>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</si>
  <si>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</si>
  <si>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</si>
  <si>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</si>
  <si>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</si>
  <si>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Poznámka:</t>
  </si>
  <si>
    <t>Kód</t>
  </si>
  <si>
    <t>1111199VD</t>
  </si>
  <si>
    <t>132201211R00</t>
  </si>
  <si>
    <t>132201219R00</t>
  </si>
  <si>
    <t>133100010RAB</t>
  </si>
  <si>
    <t>Varianta:</t>
  </si>
  <si>
    <t>167101101R00</t>
  </si>
  <si>
    <t>162601102R00</t>
  </si>
  <si>
    <t>175100020RAD</t>
  </si>
  <si>
    <t>174100050RAD</t>
  </si>
  <si>
    <t>174101101R00</t>
  </si>
  <si>
    <t>171201201R00</t>
  </si>
  <si>
    <t>199000002R00</t>
  </si>
  <si>
    <t>451572111R00</t>
  </si>
  <si>
    <t>871161121R00</t>
  </si>
  <si>
    <t>28613780</t>
  </si>
  <si>
    <t>871211121R00</t>
  </si>
  <si>
    <t>28613783</t>
  </si>
  <si>
    <t>877162121R00</t>
  </si>
  <si>
    <t>28613102.M</t>
  </si>
  <si>
    <t>877212121R00</t>
  </si>
  <si>
    <t>28613105.M</t>
  </si>
  <si>
    <t>899731112R00</t>
  </si>
  <si>
    <t>899721111R00</t>
  </si>
  <si>
    <t>893411010RA0</t>
  </si>
  <si>
    <t>899623151R00</t>
  </si>
  <si>
    <t>899643111R00</t>
  </si>
  <si>
    <t>899991VD</t>
  </si>
  <si>
    <t>891249111R00</t>
  </si>
  <si>
    <t>42273310</t>
  </si>
  <si>
    <t>892233111R00</t>
  </si>
  <si>
    <t>892241111R00</t>
  </si>
  <si>
    <t>H27</t>
  </si>
  <si>
    <t>998276101R00</t>
  </si>
  <si>
    <t>113151111R00</t>
  </si>
  <si>
    <t>979086112R00</t>
  </si>
  <si>
    <t>979084413R00</t>
  </si>
  <si>
    <t>979093111R00</t>
  </si>
  <si>
    <t>151101102R00</t>
  </si>
  <si>
    <t>151101112R00</t>
  </si>
  <si>
    <t>151101101R00</t>
  </si>
  <si>
    <t>151101111R00</t>
  </si>
  <si>
    <t>181201102R00</t>
  </si>
  <si>
    <t>721</t>
  </si>
  <si>
    <t>721242110R00</t>
  </si>
  <si>
    <t>831350113RAB</t>
  </si>
  <si>
    <t>871313121RT2</t>
  </si>
  <si>
    <t>877353121RT7</t>
  </si>
  <si>
    <t>877313122R00</t>
  </si>
  <si>
    <t>28651842.A</t>
  </si>
  <si>
    <t>894431331RBA</t>
  </si>
  <si>
    <t>894431332RAA</t>
  </si>
  <si>
    <t>899711122R00</t>
  </si>
  <si>
    <t>892575111R00</t>
  </si>
  <si>
    <t>132201110R00</t>
  </si>
  <si>
    <t>132201119R00</t>
  </si>
  <si>
    <t>175101101RT2</t>
  </si>
  <si>
    <t>174100010RA0</t>
  </si>
  <si>
    <t>349121100RT2</t>
  </si>
  <si>
    <t>460270026R00</t>
  </si>
  <si>
    <t>723</t>
  </si>
  <si>
    <t>723160204R00</t>
  </si>
  <si>
    <t>723160334R00</t>
  </si>
  <si>
    <t>723150366R00</t>
  </si>
  <si>
    <t>723190915R00</t>
  </si>
  <si>
    <t>723234221RM5</t>
  </si>
  <si>
    <t>723235235R00</t>
  </si>
  <si>
    <t>723190907R00</t>
  </si>
  <si>
    <t>723190909R00</t>
  </si>
  <si>
    <t>723150343R00</t>
  </si>
  <si>
    <t>286138223</t>
  </si>
  <si>
    <t>M21</t>
  </si>
  <si>
    <t>210220022RT1</t>
  </si>
  <si>
    <t>210230023R00</t>
  </si>
  <si>
    <t>210810007RT1</t>
  </si>
  <si>
    <t>210810017RT2</t>
  </si>
  <si>
    <t>M46</t>
  </si>
  <si>
    <t>460420022RT2</t>
  </si>
  <si>
    <t>460500001RT1</t>
  </si>
  <si>
    <t>460200273RT1</t>
  </si>
  <si>
    <t>460570253R00</t>
  </si>
  <si>
    <t>460490012R00</t>
  </si>
  <si>
    <t>460600001RT3</t>
  </si>
  <si>
    <t>Vnitřní rozvod sítí pro areál Technických služeb Stochov</t>
  </si>
  <si>
    <t>Poz.č.18/11 a 272/1, k.ú.Honice, obec Stochov</t>
  </si>
  <si>
    <t>Zkrácený popis / Varianta</t>
  </si>
  <si>
    <t>Rozměry</t>
  </si>
  <si>
    <t>Vodovod</t>
  </si>
  <si>
    <t>Přípravné a přidružené práce</t>
  </si>
  <si>
    <t>Vytýčení inženýrských sítí</t>
  </si>
  <si>
    <t>Hloubené vykopávky</t>
  </si>
  <si>
    <t>Hloubení rýh š.do 200 cm hor.3 do 100 m3,STROJNĚ</t>
  </si>
  <si>
    <t>Přípl.za lepivost,hloubení rýh 200cm,hor.3,STROJNĚ</t>
  </si>
  <si>
    <t>Hloubení šachet, pažení a rozepření, v hornině 1-4</t>
  </si>
  <si>
    <t>odvoz do 5 km, uložení na skládku</t>
  </si>
  <si>
    <t>Přemístění výkopku</t>
  </si>
  <si>
    <t>Nakládání výkopku z hor.1-4 v množství do 100 m3</t>
  </si>
  <si>
    <t>Vodorovné přemístění výkopku z hor.1-4 do 5000 m</t>
  </si>
  <si>
    <t>Konstrukce ze zemin</t>
  </si>
  <si>
    <t>Obsyp potrubí štěrkopískem</t>
  </si>
  <si>
    <t>dovoz štěrkopísku ze vzdálenosti 15km</t>
  </si>
  <si>
    <t>Zásyp jam,rýh a šachet štěrkopískem</t>
  </si>
  <si>
    <t>dovoz štěrkopísku ze vzdálenosti 15 km</t>
  </si>
  <si>
    <t>Zásyp jam, rýh, šachet se zhutněním</t>
  </si>
  <si>
    <t>Uložení sypaniny na skládku</t>
  </si>
  <si>
    <t>Poplatek za skládku horniny 1- 4</t>
  </si>
  <si>
    <t>Podkladní a vedlejší konstrukce (kromě vozovek a železničního svršku)</t>
  </si>
  <si>
    <t>Lože pod potrubí z kameniva těženého 0 - 4 mm</t>
  </si>
  <si>
    <t>Potrubí z trub plastických</t>
  </si>
  <si>
    <t>Montáž trubek polyetylenových ve výkopu d 32 mm</t>
  </si>
  <si>
    <t>Trubka tlaková PE HD (PE100) d 32 x 3,0 mm PN 16</t>
  </si>
  <si>
    <t>Montáž trubek polyetylenových ve výkopu d 63 mm</t>
  </si>
  <si>
    <t>Trubka tlaková PE HD (PE100) d 63 x 5,8 mm PN 16</t>
  </si>
  <si>
    <t>Přirážka za 1 spoj elektrotvarovky d 32 mm</t>
  </si>
  <si>
    <t>Elektrospojka d  32 mm SDR 11 PE 100 ELGEF Plus</t>
  </si>
  <si>
    <t>Přirážka za 1 spoj elektrotvarovky d 63 mm</t>
  </si>
  <si>
    <t>Elektrospojka d  63 mm SDR 11 PE 100 ELGEF Plus</t>
  </si>
  <si>
    <t>Ostatní konstrukce a práce na trubním vedení</t>
  </si>
  <si>
    <t>Vodič signalizační CYY 2,5 mm2</t>
  </si>
  <si>
    <t>Fólie výstražná z PVC bílá, šířka 22 cm</t>
  </si>
  <si>
    <t>Šachta vodoměrná plast.kruhová Gluc PBS-VS-N-3</t>
  </si>
  <si>
    <t>vč.podkl.betonu se sítí</t>
  </si>
  <si>
    <t>Obetonování šachty betonem C16/20</t>
  </si>
  <si>
    <t>Bednění pro obetonování šachty v otevřeném výkopu</t>
  </si>
  <si>
    <t>Vodoměrná sestava</t>
  </si>
  <si>
    <t>Dodávka+montáž</t>
  </si>
  <si>
    <t>Montáž navrtávacích pasů DN 50</t>
  </si>
  <si>
    <t>Pas navrtávací 3500 DN 50 - 5/4" závitový</t>
  </si>
  <si>
    <t>Desinfekce vodovodního potrubí DN 70</t>
  </si>
  <si>
    <t>Tlaková zkouška vodovodního potrubí DN 80</t>
  </si>
  <si>
    <t>Vedení trubní dálková a přípojná</t>
  </si>
  <si>
    <t>Přesun hmot, trubní vedení plastová, otevř. výkop</t>
  </si>
  <si>
    <t>Kanalizace</t>
  </si>
  <si>
    <t>Rozebrání ploch ze silničních panelů</t>
  </si>
  <si>
    <t>Nakládání  suti a vybouraných hmot</t>
  </si>
  <si>
    <t>Vodorovná doprava vybouraných hmot do 1 km</t>
  </si>
  <si>
    <t>Uložení suti na skládku</t>
  </si>
  <si>
    <t>Roubení</t>
  </si>
  <si>
    <t>Pažení a rozepření stěn rýh - příložné - hl.do 4 m</t>
  </si>
  <si>
    <t>Odstranění pažení stěn rýh - příložné - hl. do 4 m</t>
  </si>
  <si>
    <t>Pažení a rozepření stěn rýh - příložné - hl.do 2 m</t>
  </si>
  <si>
    <t>Odstranění pažení stěn rýh - příložné - hl. do 2 m</t>
  </si>
  <si>
    <t>Povrchové úpravy terénu</t>
  </si>
  <si>
    <t>Úprava pláně v násypech v hor. 1-4, se zhutněním</t>
  </si>
  <si>
    <t>Vnitřní kanalizace</t>
  </si>
  <si>
    <t>Lapač střešních splavenin PP HL600, kloub</t>
  </si>
  <si>
    <t>Potrubí z trub - přípojky</t>
  </si>
  <si>
    <t>Kanalizační přípojka dešťové vody z trub PVC, D 160 mm</t>
  </si>
  <si>
    <t>rýha šířky 0,8 m, hloubky 1,2 m</t>
  </si>
  <si>
    <t>Montáž trub z plastu, gumový kroužek, DN 150</t>
  </si>
  <si>
    <t>včetně dodávky trub PVC hrdlových 160x4,0x5000</t>
  </si>
  <si>
    <t>Montáž tvarovek odboč. plast. gum. kroužek DN 200</t>
  </si>
  <si>
    <t>včetně dodávky odbočky PVC 160/160 mm</t>
  </si>
  <si>
    <t>Montáž čistícího kusu, DN 150</t>
  </si>
  <si>
    <t>Kus čisticí kanalizační KGRE DN 150 PVC</t>
  </si>
  <si>
    <t>Šachta, D 425 mm, dl.šach.roury 3,0 m, přímá</t>
  </si>
  <si>
    <t>dno KG D 160 mm, poklop litina 12,5 t</t>
  </si>
  <si>
    <t>Šachta, D 425 mm, dl.šach.roury 3,0 m, 1 přítok</t>
  </si>
  <si>
    <t>Fólie výstražná z PVC šedá, šířka 30 cm</t>
  </si>
  <si>
    <t>Zabezpečení konců a zkouška vzduch. kan. DN do 200</t>
  </si>
  <si>
    <t>Plynovod</t>
  </si>
  <si>
    <t>Hloubení rýh š.do 60 cm v hor.3 do 50 m3, STROJNĚ</t>
  </si>
  <si>
    <t>Přípl.za lepivost,hloubení rýh 60 cm,hor.3,STROJNĚ</t>
  </si>
  <si>
    <t>Obsyp potrubí pískem</t>
  </si>
  <si>
    <t>Zásyp jam, rýh a šachet sypaninou</t>
  </si>
  <si>
    <t>Stěny a příčky</t>
  </si>
  <si>
    <t>Montáž beton. staveb. skříně plyn-HUP do 0,2 t</t>
  </si>
  <si>
    <t>včetně dodávky skříně PM1 62x41x75 cm</t>
  </si>
  <si>
    <t>Pilíř zděný - plynový kiosek</t>
  </si>
  <si>
    <t>Vnitřní plynovod</t>
  </si>
  <si>
    <t>Přípojka k plynoměru, závitová bez ochozu G 1</t>
  </si>
  <si>
    <t>Rozpěrka přípojky plynoměru G 1</t>
  </si>
  <si>
    <t>Ochranná trubka D 44,5/2,6</t>
  </si>
  <si>
    <t>Navaření odbočky na plynové potrubí DN 32</t>
  </si>
  <si>
    <t>Regulátor středotlaký, bez armatur</t>
  </si>
  <si>
    <t>Francel  B 6</t>
  </si>
  <si>
    <t>Kohout kulový,vnitř.-vnější z. IVAR FUTURGAS DN 25</t>
  </si>
  <si>
    <t>Odvzdušnění a napuštění plynového potrubí</t>
  </si>
  <si>
    <t>Zkouška tlaková  plynového potrubí</t>
  </si>
  <si>
    <t>Přechod  PE-ocel</t>
  </si>
  <si>
    <t>Trubka tlaková plynová PE100  0,7 MPa d 32x3,0 mm</t>
  </si>
  <si>
    <t>Fólie výstražná z PVC žlutá, šířka 22 cm</t>
  </si>
  <si>
    <t>Elektro vedení</t>
  </si>
  <si>
    <t>Elektromontáže</t>
  </si>
  <si>
    <t>Vedení uzemňovací v zemi FeZn, D 8 - 10 mm</t>
  </si>
  <si>
    <t>včetně drátu FeZn 10 mm</t>
  </si>
  <si>
    <t>Ukončení kabelu protikusem-zásuvka 400V/32A</t>
  </si>
  <si>
    <t>Kabel CYKY-m 750 V 3 x 4 mm2 volně uložený</t>
  </si>
  <si>
    <t>včetně dodávky kabelu</t>
  </si>
  <si>
    <t>Kabel CYKY-m 750 V 5 žil,4 až 25 mm2,volně uložený</t>
  </si>
  <si>
    <t>včetně dodávky kabelu 5x6 mm2</t>
  </si>
  <si>
    <t>Zemní práce při montážích</t>
  </si>
  <si>
    <t>Zřízení kabelového lože v rýze š. do 65 cm z písku</t>
  </si>
  <si>
    <t>lože tloušťky 15 cm</t>
  </si>
  <si>
    <t>Oddělení kabelů ve výkopu cihlou</t>
  </si>
  <si>
    <t>včetně dodávky cihel</t>
  </si>
  <si>
    <t>Výkop kabelové rýhy 50/90 cm  hor.3</t>
  </si>
  <si>
    <t>strojní výkop rýhy</t>
  </si>
  <si>
    <t>Zához rýhy 50/70 cm, hornina třídy 3, se zhutněním</t>
  </si>
  <si>
    <t>Fólie výstražná červená</t>
  </si>
  <si>
    <t>Naložení a odvoz zeminy</t>
  </si>
  <si>
    <t>odvoz na vzdálenost 5000 m</t>
  </si>
  <si>
    <t>Doba výstavby:</t>
  </si>
  <si>
    <t>Začátek výstavby:</t>
  </si>
  <si>
    <t>Konec výstavby:</t>
  </si>
  <si>
    <t>Zpracováno dne:</t>
  </si>
  <si>
    <t>20.05.2020</t>
  </si>
  <si>
    <t>MJ</t>
  </si>
  <si>
    <t>kpl</t>
  </si>
  <si>
    <t>m3</t>
  </si>
  <si>
    <t>m</t>
  </si>
  <si>
    <t>kus</t>
  </si>
  <si>
    <t>m2</t>
  </si>
  <si>
    <t>t</t>
  </si>
  <si>
    <t>úsek</t>
  </si>
  <si>
    <t>soubor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</si>
  <si>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</si>
  <si>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</si>
  <si>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</si>
  <si>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</si>
  <si>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</si>
  <si>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</si>
  <si>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</si>
  <si>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Město Stochov</t>
  </si>
  <si>
    <t>Projekty S+S s.r.o.</t>
  </si>
  <si>
    <t>Dle výběrového řízení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</si>
  <si>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</si>
  <si>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</si>
  <si>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</si>
  <si>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</si>
  <si>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</si>
  <si>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</si>
  <si>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</si>
  <si>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</si>
  <si>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</si>
  <si>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</si>
  <si>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</si>
  <si>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</si>
  <si>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</si>
  <si>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</si>
  <si>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</si>
  <si>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</si>
  <si>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</si>
  <si>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</si>
  <si>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SO-01</t>
  </si>
  <si>
    <t>SO-02</t>
  </si>
  <si>
    <t>SO-03</t>
  </si>
  <si>
    <t>SO-04</t>
  </si>
  <si>
    <t>11_</t>
  </si>
  <si>
    <t>13_</t>
  </si>
  <si>
    <t>16_</t>
  </si>
  <si>
    <t>17_</t>
  </si>
  <si>
    <t>45_</t>
  </si>
  <si>
    <t>87_</t>
  </si>
  <si>
    <t>89_</t>
  </si>
  <si>
    <t>H27_</t>
  </si>
  <si>
    <t>15_</t>
  </si>
  <si>
    <t>18_</t>
  </si>
  <si>
    <t>721_</t>
  </si>
  <si>
    <t>83_</t>
  </si>
  <si>
    <t>34_</t>
  </si>
  <si>
    <t>723_</t>
  </si>
  <si>
    <t>M21_</t>
  </si>
  <si>
    <t>M46_</t>
  </si>
  <si>
    <t>SO-01_1_</t>
  </si>
  <si>
    <t>SO-01_4_</t>
  </si>
  <si>
    <t>SO-01_8_</t>
  </si>
  <si>
    <t>SO-01_9_</t>
  </si>
  <si>
    <t>SO-02_1_</t>
  </si>
  <si>
    <t>SO-02_4_</t>
  </si>
  <si>
    <t>SO-02_72_</t>
  </si>
  <si>
    <t>SO-02_8_</t>
  </si>
  <si>
    <t>SO-02_9_</t>
  </si>
  <si>
    <t>SO-03_1_</t>
  </si>
  <si>
    <t>SO-03_3_</t>
  </si>
  <si>
    <t>SO-03_4_</t>
  </si>
  <si>
    <t>SO-03_72_</t>
  </si>
  <si>
    <t>SO-03_8_</t>
  </si>
  <si>
    <t>SO-03_9_</t>
  </si>
  <si>
    <t>SO-04_1_</t>
  </si>
  <si>
    <t>SO-04_9_</t>
  </si>
  <si>
    <t>SO-01_</t>
  </si>
  <si>
    <t>SO-02_</t>
  </si>
  <si>
    <t>SO-03_</t>
  </si>
  <si>
    <t>SO-04_</t>
  </si>
  <si>
    <t>MAT</t>
  </si>
  <si>
    <t>WORK</t>
  </si>
  <si>
    <t>CELK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</si>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</sst>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#,##0.000"/>
  </numFmts>
  <fonts count="1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5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9" fillId="2" borderId="3" xfId="0" applyNumberFormat="1" applyFont="1" applyFill="1" applyBorder="1" applyAlignment="1" applyProtection="1">
      <alignment horizontal="left"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9" fillId="2" borderId="3" xfId="0" applyNumberFormat="1" applyFont="1" applyFill="1" applyBorder="1" applyAlignment="1" applyProtection="1">
      <alignment horizontal="right" vertical="center"/>
      <protection/>
    </xf>
    <xf numFmtId="49" fontId="10" fillId="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9" fillId="2" borderId="0" xfId="0" applyNumberFormat="1" applyFont="1" applyFill="1" applyBorder="1" applyAlignment="1" applyProtection="1">
      <alignment horizontal="right" vertical="center"/>
      <protection/>
    </xf>
    <xf numFmtId="49" fontId="6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2" borderId="3" xfId="0" applyNumberFormat="1" applyFont="1" applyFill="1" applyBorder="1" applyAlignment="1" applyProtection="1">
      <alignment horizontal="right" vertical="center"/>
      <protection/>
    </xf>
    <xf numFmtId="4" fontId="10" fillId="3" borderId="0" xfId="0" applyNumberFormat="1" applyFont="1" applyFill="1" applyBorder="1" applyAlignment="1" applyProtection="1">
      <alignment horizontal="right" vertical="center"/>
      <protection/>
    </xf>
    <xf numFmtId="4" fontId="9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4" fillId="4" borderId="20" xfId="0" applyNumberFormat="1" applyFont="1" applyFill="1" applyBorder="1" applyAlignment="1" applyProtection="1">
      <alignment horizontal="center" vertical="center"/>
      <protection/>
    </xf>
    <xf numFmtId="49" fontId="15" fillId="0" borderId="21" xfId="0" applyNumberFormat="1" applyFont="1" applyFill="1" applyBorder="1" applyAlignment="1" applyProtection="1">
      <alignment horizontal="left" vertical="center"/>
      <protection/>
    </xf>
    <xf numFmtId="49" fontId="15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8" fillId="0" borderId="3" xfId="0" applyNumberFormat="1" applyFont="1" applyFill="1" applyBorder="1" applyAlignment="1" applyProtection="1">
      <alignment horizontal="left" vertical="center"/>
      <protection/>
    </xf>
    <xf numFmtId="49" fontId="16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6" fillId="0" borderId="20" xfId="0" applyNumberFormat="1" applyFont="1" applyFill="1" applyBorder="1" applyAlignment="1" applyProtection="1">
      <alignment horizontal="right" vertical="center"/>
      <protection/>
    </xf>
    <xf numFmtId="49" fontId="16" fillId="0" borderId="20" xfId="0" applyNumberFormat="1" applyFont="1" applyFill="1" applyBorder="1" applyAlignment="1" applyProtection="1">
      <alignment horizontal="right" vertical="center"/>
      <protection/>
    </xf>
    <xf numFmtId="4" fontId="16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5" fillId="4" borderId="29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 horizontal="right" vertical="center"/>
      <protection/>
    </xf>
    <xf numFmtId="166" fontId="7" fillId="0" borderId="0" xfId="0" applyNumberFormat="1" applyFont="1" applyFill="1" applyBorder="1" applyAlignment="1" applyProtection="1">
      <alignment horizontal="right" vertical="center"/>
      <protection/>
    </xf>
    <xf numFmtId="166" fontId="6" fillId="0" borderId="4" xfId="0" applyNumberFormat="1" applyFont="1" applyFill="1" applyBorder="1" applyAlignment="1" applyProtection="1">
      <alignment horizontal="right" vertical="center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32" xfId="0" applyNumberFormat="1" applyFont="1" applyFill="1" applyBorder="1" applyAlignment="1" applyProtection="1">
      <alignment horizontal="left" vertic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49" fontId="9" fillId="2" borderId="3" xfId="0" applyNumberFormat="1" applyFont="1" applyFill="1" applyBorder="1" applyAlignment="1" applyProtection="1">
      <alignment horizontal="left" vertical="center"/>
      <protection/>
    </xf>
    <xf numFmtId="0" fontId="9" fillId="2" borderId="3" xfId="0" applyNumberFormat="1" applyFont="1" applyFill="1" applyBorder="1" applyAlignment="1" applyProtection="1">
      <alignment horizontal="left" vertical="center"/>
      <protection/>
    </xf>
    <xf numFmtId="49" fontId="10" fillId="3" borderId="0" xfId="0" applyNumberFormat="1" applyFont="1" applyFill="1" applyBorder="1" applyAlignment="1" applyProtection="1">
      <alignment horizontal="left" vertical="center"/>
      <protection/>
    </xf>
    <xf numFmtId="0" fontId="10" fillId="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3" fillId="0" borderId="41" xfId="0" applyNumberFormat="1" applyFont="1" applyFill="1" applyBorder="1" applyAlignment="1" applyProtection="1">
      <alignment horizontal="center" vertical="center"/>
      <protection/>
    </xf>
    <xf numFmtId="0" fontId="13" fillId="0" borderId="41" xfId="0" applyNumberFormat="1" applyFont="1" applyFill="1" applyBorder="1" applyAlignment="1" applyProtection="1">
      <alignment horizontal="center" vertical="center"/>
      <protection/>
    </xf>
    <xf numFmtId="49" fontId="17" fillId="0" borderId="28" xfId="0" applyNumberFormat="1" applyFont="1" applyFill="1" applyBorder="1" applyAlignment="1" applyProtection="1">
      <alignment horizontal="left" vertical="center"/>
      <protection/>
    </xf>
    <xf numFmtId="0" fontId="17" fillId="0" borderId="29" xfId="0" applyNumberFormat="1" applyFont="1" applyFill="1" applyBorder="1" applyAlignment="1" applyProtection="1">
      <alignment horizontal="left" vertical="center"/>
      <protection/>
    </xf>
    <xf numFmtId="49" fontId="16" fillId="0" borderId="28" xfId="0" applyNumberFormat="1" applyFont="1" applyFill="1" applyBorder="1" applyAlignment="1" applyProtection="1">
      <alignment horizontal="left" vertical="center"/>
      <protection/>
    </xf>
    <xf numFmtId="0" fontId="16" fillId="0" borderId="29" xfId="0" applyNumberFormat="1" applyFont="1" applyFill="1" applyBorder="1" applyAlignment="1" applyProtection="1">
      <alignment horizontal="left" vertical="center"/>
      <protection/>
    </xf>
    <xf numFmtId="49" fontId="15" fillId="0" borderId="28" xfId="0" applyNumberFormat="1" applyFont="1" applyFill="1" applyBorder="1" applyAlignment="1" applyProtection="1">
      <alignment horizontal="left" vertical="center"/>
      <protection/>
    </xf>
    <xf numFmtId="0" fontId="15" fillId="0" borderId="29" xfId="0" applyNumberFormat="1" applyFont="1" applyFill="1" applyBorder="1" applyAlignment="1" applyProtection="1">
      <alignment horizontal="left" vertical="center"/>
      <protection/>
    </xf>
    <xf numFmtId="49" fontId="15" fillId="4" borderId="28" xfId="0" applyNumberFormat="1" applyFont="1" applyFill="1" applyBorder="1" applyAlignment="1" applyProtection="1">
      <alignment horizontal="left" vertical="center"/>
      <protection/>
    </xf>
    <xf numFmtId="0" fontId="15" fillId="4" borderId="41" xfId="0" applyNumberFormat="1" applyFont="1" applyFill="1" applyBorder="1" applyAlignment="1" applyProtection="1">
      <alignment horizontal="left" vertical="center"/>
      <protection/>
    </xf>
    <xf numFmtId="49" fontId="16" fillId="0" borderId="42" xfId="0" applyNumberFormat="1" applyFont="1" applyFill="1" applyBorder="1" applyAlignment="1" applyProtection="1">
      <alignment horizontal="left" vertical="center"/>
      <protection/>
    </xf>
    <xf numFmtId="0" fontId="16" fillId="0" borderId="3" xfId="0" applyNumberFormat="1" applyFont="1" applyFill="1" applyBorder="1" applyAlignment="1" applyProtection="1">
      <alignment horizontal="left" vertical="center"/>
      <protection/>
    </xf>
    <xf numFmtId="0" fontId="16" fillId="0" borderId="43" xfId="0" applyNumberFormat="1" applyFont="1" applyFill="1" applyBorder="1" applyAlignment="1" applyProtection="1">
      <alignment horizontal="left" vertical="center"/>
      <protection/>
    </xf>
    <xf numFmtId="49" fontId="16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center"/>
      <protection/>
    </xf>
    <xf numFmtId="49" fontId="16" fillId="0" borderId="45" xfId="0" applyNumberFormat="1" applyFont="1" applyFill="1" applyBorder="1" applyAlignment="1" applyProtection="1">
      <alignment horizontal="left" vertical="center"/>
      <protection/>
    </xf>
    <xf numFmtId="0" fontId="16" fillId="0" borderId="32" xfId="0" applyNumberFormat="1" applyFont="1" applyFill="1" applyBorder="1" applyAlignment="1" applyProtection="1">
      <alignment horizontal="left" vertical="center"/>
      <protection/>
    </xf>
    <xf numFmtId="0" fontId="16" fillId="0" borderId="46" xfId="0" applyNumberFormat="1" applyFont="1" applyFill="1" applyBorder="1" applyAlignment="1" applyProtection="1">
      <alignment horizontal="left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76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48.14062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25" max="62" width="12.140625" style="0" hidden="1" customWidth="1"/>
  </cols>
  <sheetData>
    <row r="1" spans="1:12" ht="72.7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2.75">
      <c r="A2" s="74" t="s">
        <v>1</v>
      </c>
      <c r="B2" s="75"/>
      <c r="C2" s="78" t="s">
        <v>194</v>
      </c>
      <c r="D2" s="80" t="s">
        <v>313</v>
      </c>
      <c r="E2" s="75"/>
      <c r="F2" s="80" t="s">
        <v>6</v>
      </c>
      <c r="G2" s="75"/>
      <c r="H2" s="81" t="s">
        <v>328</v>
      </c>
      <c r="I2" s="81" t="s">
        <v>334</v>
      </c>
      <c r="J2" s="75"/>
      <c r="K2" s="75"/>
      <c r="L2" s="82"/>
      <c r="M2" s="36"/>
    </row>
    <row r="3" spans="1:13" ht="12.75">
      <c r="A3" s="76"/>
      <c r="B3" s="77"/>
      <c r="C3" s="79"/>
      <c r="D3" s="77"/>
      <c r="E3" s="77"/>
      <c r="F3" s="77"/>
      <c r="G3" s="77"/>
      <c r="H3" s="77"/>
      <c r="I3" s="77"/>
      <c r="J3" s="77"/>
      <c r="K3" s="77"/>
      <c r="L3" s="83"/>
      <c r="M3" s="36"/>
    </row>
    <row r="4" spans="1:13" ht="12.75">
      <c r="A4" s="84" t="s">
        <v>2</v>
      </c>
      <c r="B4" s="77"/>
      <c r="C4" s="85" t="s">
        <v>6</v>
      </c>
      <c r="D4" s="86" t="s">
        <v>314</v>
      </c>
      <c r="E4" s="77"/>
      <c r="F4" s="86" t="s">
        <v>6</v>
      </c>
      <c r="G4" s="77"/>
      <c r="H4" s="85" t="s">
        <v>329</v>
      </c>
      <c r="I4" s="85" t="s">
        <v>335</v>
      </c>
      <c r="J4" s="77"/>
      <c r="K4" s="77"/>
      <c r="L4" s="83"/>
      <c r="M4" s="36"/>
    </row>
    <row r="5" spans="1:13" ht="12.75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83"/>
      <c r="M5" s="36"/>
    </row>
    <row r="6" spans="1:13" ht="12.75">
      <c r="A6" s="84" t="s">
        <v>3</v>
      </c>
      <c r="B6" s="77"/>
      <c r="C6" s="85" t="s">
        <v>195</v>
      </c>
      <c r="D6" s="86" t="s">
        <v>315</v>
      </c>
      <c r="E6" s="77"/>
      <c r="F6" s="86" t="s">
        <v>6</v>
      </c>
      <c r="G6" s="77"/>
      <c r="H6" s="85" t="s">
        <v>330</v>
      </c>
      <c r="I6" s="85" t="s">
        <v>336</v>
      </c>
      <c r="J6" s="77"/>
      <c r="K6" s="77"/>
      <c r="L6" s="83"/>
      <c r="M6" s="36"/>
    </row>
    <row r="7" spans="1:13" ht="12.7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83"/>
      <c r="M7" s="36"/>
    </row>
    <row r="8" spans="1:13" ht="12.75">
      <c r="A8" s="84" t="s">
        <v>4</v>
      </c>
      <c r="B8" s="77"/>
      <c r="C8" s="85" t="s">
        <v>6</v>
      </c>
      <c r="D8" s="86" t="s">
        <v>316</v>
      </c>
      <c r="E8" s="77"/>
      <c r="F8" s="86" t="s">
        <v>317</v>
      </c>
      <c r="G8" s="77"/>
      <c r="H8" s="85" t="s">
        <v>331</v>
      </c>
      <c r="I8" s="86" t="s">
        <v>337</v>
      </c>
      <c r="J8" s="77"/>
      <c r="K8" s="77"/>
      <c r="L8" s="83"/>
      <c r="M8" s="36"/>
    </row>
    <row r="9" spans="1:13" ht="12.75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9"/>
      <c r="M9" s="36"/>
    </row>
    <row r="10" spans="1:13" ht="12.75">
      <c r="A10" s="2" t="s">
        <v>5</v>
      </c>
      <c r="B10" s="12" t="s">
        <v>111</v>
      </c>
      <c r="C10" s="90" t="s">
        <v>196</v>
      </c>
      <c r="D10" s="91"/>
      <c r="E10" s="92"/>
      <c r="F10" s="12" t="s">
        <v>318</v>
      </c>
      <c r="G10" s="19" t="s">
        <v>327</v>
      </c>
      <c r="H10" s="23" t="s">
        <v>332</v>
      </c>
      <c r="I10" s="93" t="s">
        <v>338</v>
      </c>
      <c r="J10" s="94"/>
      <c r="K10" s="95"/>
      <c r="L10" s="28" t="s">
        <v>343</v>
      </c>
      <c r="M10" s="37"/>
    </row>
    <row r="11" spans="1:62" ht="12.75">
      <c r="A11" s="3" t="s">
        <v>6</v>
      </c>
      <c r="B11" s="13" t="s">
        <v>6</v>
      </c>
      <c r="C11" s="96" t="s">
        <v>197</v>
      </c>
      <c r="D11" s="97"/>
      <c r="E11" s="98"/>
      <c r="F11" s="13" t="s">
        <v>6</v>
      </c>
      <c r="G11" s="13" t="s">
        <v>6</v>
      </c>
      <c r="H11" s="24" t="s">
        <v>333</v>
      </c>
      <c r="I11" s="25" t="s">
        <v>339</v>
      </c>
      <c r="J11" s="26" t="s">
        <v>341</v>
      </c>
      <c r="K11" s="27" t="s">
        <v>342</v>
      </c>
      <c r="L11" s="29" t="s">
        <v>344</v>
      </c>
      <c r="M11" s="37"/>
      <c r="Z11" s="31" t="s">
        <v>346</v>
      </c>
      <c r="AA11" s="31" t="s">
        <v>347</v>
      </c>
      <c r="AB11" s="31" t="s">
        <v>348</v>
      </c>
      <c r="AC11" s="31" t="s">
        <v>349</v>
      </c>
      <c r="AD11" s="31" t="s">
        <v>350</v>
      </c>
      <c r="AE11" s="31" t="s">
        <v>351</v>
      </c>
      <c r="AF11" s="31" t="s">
        <v>352</v>
      </c>
      <c r="AG11" s="31" t="s">
        <v>353</v>
      </c>
      <c r="AH11" s="31" t="s">
        <v>354</v>
      </c>
      <c r="BH11" s="31" t="s">
        <v>396</v>
      </c>
      <c r="BI11" s="31" t="s">
        <v>397</v>
      </c>
      <c r="BJ11" s="31" t="s">
        <v>398</v>
      </c>
    </row>
    <row r="12" spans="1:12" ht="12.75">
      <c r="A12" s="4"/>
      <c r="B12" s="14"/>
      <c r="C12" s="99" t="s">
        <v>198</v>
      </c>
      <c r="D12" s="100"/>
      <c r="E12" s="100"/>
      <c r="F12" s="4" t="s">
        <v>6</v>
      </c>
      <c r="G12" s="4" t="s">
        <v>6</v>
      </c>
      <c r="H12" s="4" t="s">
        <v>6</v>
      </c>
      <c r="I12" s="40">
        <f>I13+I15+I20+I23+I31+I33+I42+I55</f>
        <v>0</v>
      </c>
      <c r="J12" s="40">
        <f>J13+J15+J20+J23+J31+J33+J42+J55</f>
        <v>0</v>
      </c>
      <c r="K12" s="40">
        <f>K13+K15+K20+K23+K31+K33+K42+K55</f>
        <v>0</v>
      </c>
      <c r="L12" s="30"/>
    </row>
    <row r="13" spans="1:47" ht="12.75">
      <c r="A13" s="5"/>
      <c r="B13" s="15" t="s">
        <v>17</v>
      </c>
      <c r="C13" s="101" t="s">
        <v>199</v>
      </c>
      <c r="D13" s="102"/>
      <c r="E13" s="102"/>
      <c r="F13" s="5" t="s">
        <v>6</v>
      </c>
      <c r="G13" s="5" t="s">
        <v>6</v>
      </c>
      <c r="H13" s="5" t="s">
        <v>6</v>
      </c>
      <c r="I13" s="41">
        <f>SUM(I14:I14)</f>
        <v>0</v>
      </c>
      <c r="J13" s="41">
        <f>SUM(J14:J14)</f>
        <v>0</v>
      </c>
      <c r="K13" s="41">
        <f>SUM(K14:K14)</f>
        <v>0</v>
      </c>
      <c r="L13" s="31"/>
      <c r="AI13" s="31" t="s">
        <v>355</v>
      </c>
      <c r="AS13" s="41">
        <f>SUM(AJ14:AJ14)</f>
        <v>0</v>
      </c>
      <c r="AT13" s="41">
        <f>SUM(AK14:AK14)</f>
        <v>0</v>
      </c>
      <c r="AU13" s="41">
        <f>SUM(AL14:AL14)</f>
        <v>0</v>
      </c>
    </row>
    <row r="14" spans="1:62" ht="12.75">
      <c r="A14" s="6" t="s">
        <v>7</v>
      </c>
      <c r="B14" s="6" t="s">
        <v>112</v>
      </c>
      <c r="C14" s="103" t="s">
        <v>200</v>
      </c>
      <c r="D14" s="104"/>
      <c r="E14" s="104"/>
      <c r="F14" s="6" t="s">
        <v>319</v>
      </c>
      <c r="G14" s="69">
        <v>1</v>
      </c>
      <c r="H14" s="20">
        <v>0</v>
      </c>
      <c r="I14" s="20">
        <f>G14*AO14</f>
        <v>0</v>
      </c>
      <c r="J14" s="20">
        <f>G14*AP14</f>
        <v>0</v>
      </c>
      <c r="K14" s="20">
        <f>G14*H14</f>
        <v>0</v>
      </c>
      <c r="L14" s="32"/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31" t="s">
        <v>355</v>
      </c>
      <c r="AJ14" s="20">
        <f>IF(AN14=0,K14,0)</f>
        <v>0</v>
      </c>
      <c r="AK14" s="20">
        <f>IF(AN14=15,K14,0)</f>
        <v>0</v>
      </c>
      <c r="AL14" s="20">
        <f>IF(AN14=21,K14,0)</f>
        <v>0</v>
      </c>
      <c r="AN14" s="38">
        <v>21</v>
      </c>
      <c r="AO14" s="38">
        <f>H14*0</f>
        <v>0</v>
      </c>
      <c r="AP14" s="38">
        <f>H14*(1-0)</f>
        <v>0</v>
      </c>
      <c r="AQ14" s="32" t="s">
        <v>7</v>
      </c>
      <c r="AV14" s="38">
        <f>AW14+AX14</f>
        <v>0</v>
      </c>
      <c r="AW14" s="38">
        <f>G14*AO14</f>
        <v>0</v>
      </c>
      <c r="AX14" s="38">
        <f>G14*AP14</f>
        <v>0</v>
      </c>
      <c r="AY14" s="39" t="s">
        <v>359</v>
      </c>
      <c r="AZ14" s="39" t="s">
        <v>375</v>
      </c>
      <c r="BA14" s="31" t="s">
        <v>392</v>
      </c>
      <c r="BC14" s="38">
        <f>AW14+AX14</f>
        <v>0</v>
      </c>
      <c r="BD14" s="38">
        <f>H14/(100-BE14)*100</f>
        <v>0</v>
      </c>
      <c r="BE14" s="38">
        <v>0</v>
      </c>
      <c r="BF14" s="38">
        <f>14</f>
        <v>14</v>
      </c>
      <c r="BH14" s="20">
        <f>G14*AO14</f>
        <v>0</v>
      </c>
      <c r="BI14" s="20">
        <f>G14*AP14</f>
        <v>0</v>
      </c>
      <c r="BJ14" s="20">
        <f>G14*H14</f>
        <v>0</v>
      </c>
    </row>
    <row r="15" spans="1:47" ht="12.75">
      <c r="A15" s="5"/>
      <c r="B15" s="15" t="s">
        <v>19</v>
      </c>
      <c r="C15" s="101" t="s">
        <v>201</v>
      </c>
      <c r="D15" s="102"/>
      <c r="E15" s="102"/>
      <c r="F15" s="5" t="s">
        <v>6</v>
      </c>
      <c r="G15" s="5" t="s">
        <v>6</v>
      </c>
      <c r="H15" s="5" t="s">
        <v>6</v>
      </c>
      <c r="I15" s="41">
        <f>SUM(I16:I18)</f>
        <v>0</v>
      </c>
      <c r="J15" s="41">
        <f>SUM(J16:J18)</f>
        <v>0</v>
      </c>
      <c r="K15" s="41">
        <f>SUM(K16:K18)</f>
        <v>0</v>
      </c>
      <c r="L15" s="31"/>
      <c r="AI15" s="31" t="s">
        <v>355</v>
      </c>
      <c r="AS15" s="41">
        <f>SUM(AJ16:AJ18)</f>
        <v>0</v>
      </c>
      <c r="AT15" s="41">
        <f>SUM(AK16:AK18)</f>
        <v>0</v>
      </c>
      <c r="AU15" s="41">
        <f>SUM(AL16:AL18)</f>
        <v>0</v>
      </c>
    </row>
    <row r="16" spans="1:62" ht="12.75">
      <c r="A16" s="6" t="s">
        <v>8</v>
      </c>
      <c r="B16" s="6" t="s">
        <v>113</v>
      </c>
      <c r="C16" s="103" t="s">
        <v>202</v>
      </c>
      <c r="D16" s="104"/>
      <c r="E16" s="104"/>
      <c r="F16" s="6" t="s">
        <v>320</v>
      </c>
      <c r="G16" s="69">
        <v>115.2</v>
      </c>
      <c r="H16" s="20">
        <v>0</v>
      </c>
      <c r="I16" s="20">
        <f>G16*AO16</f>
        <v>0</v>
      </c>
      <c r="J16" s="20">
        <f>G16*AP16</f>
        <v>0</v>
      </c>
      <c r="K16" s="20">
        <f>G16*H16</f>
        <v>0</v>
      </c>
      <c r="L16" s="32" t="s">
        <v>345</v>
      </c>
      <c r="Z16" s="38">
        <f>IF(AQ16="5",BJ16,0)</f>
        <v>0</v>
      </c>
      <c r="AB16" s="38">
        <f>IF(AQ16="1",BH16,0)</f>
        <v>0</v>
      </c>
      <c r="AC16" s="38">
        <f>IF(AQ16="1",BI16,0)</f>
        <v>0</v>
      </c>
      <c r="AD16" s="38">
        <f>IF(AQ16="7",BH16,0)</f>
        <v>0</v>
      </c>
      <c r="AE16" s="38">
        <f>IF(AQ16="7",BI16,0)</f>
        <v>0</v>
      </c>
      <c r="AF16" s="38">
        <f>IF(AQ16="2",BH16,0)</f>
        <v>0</v>
      </c>
      <c r="AG16" s="38">
        <f>IF(AQ16="2",BI16,0)</f>
        <v>0</v>
      </c>
      <c r="AH16" s="38">
        <f>IF(AQ16="0",BJ16,0)</f>
        <v>0</v>
      </c>
      <c r="AI16" s="31" t="s">
        <v>355</v>
      </c>
      <c r="AJ16" s="20">
        <f>IF(AN16=0,K16,0)</f>
        <v>0</v>
      </c>
      <c r="AK16" s="20">
        <f>IF(AN16=15,K16,0)</f>
        <v>0</v>
      </c>
      <c r="AL16" s="20">
        <f>IF(AN16=21,K16,0)</f>
        <v>0</v>
      </c>
      <c r="AN16" s="38">
        <v>21</v>
      </c>
      <c r="AO16" s="38">
        <f>H16*0</f>
        <v>0</v>
      </c>
      <c r="AP16" s="38">
        <f>H16*(1-0)</f>
        <v>0</v>
      </c>
      <c r="AQ16" s="32" t="s">
        <v>7</v>
      </c>
      <c r="AV16" s="38">
        <f>AW16+AX16</f>
        <v>0</v>
      </c>
      <c r="AW16" s="38">
        <f>G16*AO16</f>
        <v>0</v>
      </c>
      <c r="AX16" s="38">
        <f>G16*AP16</f>
        <v>0</v>
      </c>
      <c r="AY16" s="39" t="s">
        <v>360</v>
      </c>
      <c r="AZ16" s="39" t="s">
        <v>375</v>
      </c>
      <c r="BA16" s="31" t="s">
        <v>392</v>
      </c>
      <c r="BC16" s="38">
        <f>AW16+AX16</f>
        <v>0</v>
      </c>
      <c r="BD16" s="38">
        <f>H16/(100-BE16)*100</f>
        <v>0</v>
      </c>
      <c r="BE16" s="38">
        <v>0</v>
      </c>
      <c r="BF16" s="38">
        <f>16</f>
        <v>16</v>
      </c>
      <c r="BH16" s="20">
        <f>G16*AO16</f>
        <v>0</v>
      </c>
      <c r="BI16" s="20">
        <f>G16*AP16</f>
        <v>0</v>
      </c>
      <c r="BJ16" s="20">
        <f>G16*H16</f>
        <v>0</v>
      </c>
    </row>
    <row r="17" spans="1:62" ht="12.75">
      <c r="A17" s="6" t="s">
        <v>9</v>
      </c>
      <c r="B17" s="6" t="s">
        <v>114</v>
      </c>
      <c r="C17" s="103" t="s">
        <v>203</v>
      </c>
      <c r="D17" s="104"/>
      <c r="E17" s="104"/>
      <c r="F17" s="6" t="s">
        <v>320</v>
      </c>
      <c r="G17" s="69">
        <v>115.2</v>
      </c>
      <c r="H17" s="20">
        <v>0</v>
      </c>
      <c r="I17" s="20">
        <f>G17*AO17</f>
        <v>0</v>
      </c>
      <c r="J17" s="20">
        <f>G17*AP17</f>
        <v>0</v>
      </c>
      <c r="K17" s="20">
        <f>G17*H17</f>
        <v>0</v>
      </c>
      <c r="L17" s="32" t="s">
        <v>345</v>
      </c>
      <c r="Z17" s="38">
        <f>IF(AQ17="5",BJ17,0)</f>
        <v>0</v>
      </c>
      <c r="AB17" s="38">
        <f>IF(AQ17="1",BH17,0)</f>
        <v>0</v>
      </c>
      <c r="AC17" s="38">
        <f>IF(AQ17="1",BI17,0)</f>
        <v>0</v>
      </c>
      <c r="AD17" s="38">
        <f>IF(AQ17="7",BH17,0)</f>
        <v>0</v>
      </c>
      <c r="AE17" s="38">
        <f>IF(AQ17="7",BI17,0)</f>
        <v>0</v>
      </c>
      <c r="AF17" s="38">
        <f>IF(AQ17="2",BH17,0)</f>
        <v>0</v>
      </c>
      <c r="AG17" s="38">
        <f>IF(AQ17="2",BI17,0)</f>
        <v>0</v>
      </c>
      <c r="AH17" s="38">
        <f>IF(AQ17="0",BJ17,0)</f>
        <v>0</v>
      </c>
      <c r="AI17" s="31" t="s">
        <v>355</v>
      </c>
      <c r="AJ17" s="20">
        <f>IF(AN17=0,K17,0)</f>
        <v>0</v>
      </c>
      <c r="AK17" s="20">
        <f>IF(AN17=15,K17,0)</f>
        <v>0</v>
      </c>
      <c r="AL17" s="20">
        <f>IF(AN17=21,K17,0)</f>
        <v>0</v>
      </c>
      <c r="AN17" s="38">
        <v>21</v>
      </c>
      <c r="AO17" s="38">
        <f>H17*0</f>
        <v>0</v>
      </c>
      <c r="AP17" s="38">
        <f>H17*(1-0)</f>
        <v>0</v>
      </c>
      <c r="AQ17" s="32" t="s">
        <v>7</v>
      </c>
      <c r="AV17" s="38">
        <f>AW17+AX17</f>
        <v>0</v>
      </c>
      <c r="AW17" s="38">
        <f>G17*AO17</f>
        <v>0</v>
      </c>
      <c r="AX17" s="38">
        <f>G17*AP17</f>
        <v>0</v>
      </c>
      <c r="AY17" s="39" t="s">
        <v>360</v>
      </c>
      <c r="AZ17" s="39" t="s">
        <v>375</v>
      </c>
      <c r="BA17" s="31" t="s">
        <v>392</v>
      </c>
      <c r="BC17" s="38">
        <f>AW17+AX17</f>
        <v>0</v>
      </c>
      <c r="BD17" s="38">
        <f>H17/(100-BE17)*100</f>
        <v>0</v>
      </c>
      <c r="BE17" s="38">
        <v>0</v>
      </c>
      <c r="BF17" s="38">
        <f>17</f>
        <v>17</v>
      </c>
      <c r="BH17" s="20">
        <f>G17*AO17</f>
        <v>0</v>
      </c>
      <c r="BI17" s="20">
        <f>G17*AP17</f>
        <v>0</v>
      </c>
      <c r="BJ17" s="20">
        <f>G17*H17</f>
        <v>0</v>
      </c>
    </row>
    <row r="18" spans="1:62" ht="12.75">
      <c r="A18" s="6" t="s">
        <v>10</v>
      </c>
      <c r="B18" s="6" t="s">
        <v>115</v>
      </c>
      <c r="C18" s="103" t="s">
        <v>204</v>
      </c>
      <c r="D18" s="104"/>
      <c r="E18" s="104"/>
      <c r="F18" s="6" t="s">
        <v>320</v>
      </c>
      <c r="G18" s="69">
        <v>6.48</v>
      </c>
      <c r="H18" s="20">
        <v>0</v>
      </c>
      <c r="I18" s="20">
        <f>G18*AO18</f>
        <v>0</v>
      </c>
      <c r="J18" s="20">
        <f>G18*AP18</f>
        <v>0</v>
      </c>
      <c r="K18" s="20">
        <f>G18*H18</f>
        <v>0</v>
      </c>
      <c r="L18" s="32" t="s">
        <v>345</v>
      </c>
      <c r="Z18" s="38">
        <f>IF(AQ18="5",BJ18,0)</f>
        <v>0</v>
      </c>
      <c r="AB18" s="38">
        <f>IF(AQ18="1",BH18,0)</f>
        <v>0</v>
      </c>
      <c r="AC18" s="38">
        <f>IF(AQ18="1",BI18,0)</f>
        <v>0</v>
      </c>
      <c r="AD18" s="38">
        <f>IF(AQ18="7",BH18,0)</f>
        <v>0</v>
      </c>
      <c r="AE18" s="38">
        <f>IF(AQ18="7",BI18,0)</f>
        <v>0</v>
      </c>
      <c r="AF18" s="38">
        <f>IF(AQ18="2",BH18,0)</f>
        <v>0</v>
      </c>
      <c r="AG18" s="38">
        <f>IF(AQ18="2",BI18,0)</f>
        <v>0</v>
      </c>
      <c r="AH18" s="38">
        <f>IF(AQ18="0",BJ18,0)</f>
        <v>0</v>
      </c>
      <c r="AI18" s="31" t="s">
        <v>355</v>
      </c>
      <c r="AJ18" s="20">
        <f>IF(AN18=0,K18,0)</f>
        <v>0</v>
      </c>
      <c r="AK18" s="20">
        <f>IF(AN18=15,K18,0)</f>
        <v>0</v>
      </c>
      <c r="AL18" s="20">
        <f>IF(AN18=21,K18,0)</f>
        <v>0</v>
      </c>
      <c r="AN18" s="38">
        <v>21</v>
      </c>
      <c r="AO18" s="38">
        <f>H18*0.00486679397333869</f>
        <v>0</v>
      </c>
      <c r="AP18" s="38">
        <f>H18*(1-0.00486679397333869)</f>
        <v>0</v>
      </c>
      <c r="AQ18" s="32" t="s">
        <v>7</v>
      </c>
      <c r="AV18" s="38">
        <f>AW18+AX18</f>
        <v>0</v>
      </c>
      <c r="AW18" s="38">
        <f>G18*AO18</f>
        <v>0</v>
      </c>
      <c r="AX18" s="38">
        <f>G18*AP18</f>
        <v>0</v>
      </c>
      <c r="AY18" s="39" t="s">
        <v>360</v>
      </c>
      <c r="AZ18" s="39" t="s">
        <v>375</v>
      </c>
      <c r="BA18" s="31" t="s">
        <v>392</v>
      </c>
      <c r="BC18" s="38">
        <f>AW18+AX18</f>
        <v>0</v>
      </c>
      <c r="BD18" s="38">
        <f>H18/(100-BE18)*100</f>
        <v>0</v>
      </c>
      <c r="BE18" s="38">
        <v>0</v>
      </c>
      <c r="BF18" s="38">
        <f>18</f>
        <v>18</v>
      </c>
      <c r="BH18" s="20">
        <f>G18*AO18</f>
        <v>0</v>
      </c>
      <c r="BI18" s="20">
        <f>G18*AP18</f>
        <v>0</v>
      </c>
      <c r="BJ18" s="20">
        <f>G18*H18</f>
        <v>0</v>
      </c>
    </row>
    <row r="19" spans="2:12" ht="12.75">
      <c r="B19" s="16" t="s">
        <v>116</v>
      </c>
      <c r="C19" s="105" t="s">
        <v>205</v>
      </c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47" ht="12.75">
      <c r="A20" s="5"/>
      <c r="B20" s="15" t="s">
        <v>22</v>
      </c>
      <c r="C20" s="101" t="s">
        <v>206</v>
      </c>
      <c r="D20" s="102"/>
      <c r="E20" s="102"/>
      <c r="F20" s="5" t="s">
        <v>6</v>
      </c>
      <c r="G20" s="5" t="s">
        <v>6</v>
      </c>
      <c r="H20" s="5" t="s">
        <v>6</v>
      </c>
      <c r="I20" s="41">
        <f>SUM(I21:I22)</f>
        <v>0</v>
      </c>
      <c r="J20" s="41">
        <f>SUM(J21:J22)</f>
        <v>0</v>
      </c>
      <c r="K20" s="41">
        <f>SUM(K21:K22)</f>
        <v>0</v>
      </c>
      <c r="L20" s="31"/>
      <c r="AI20" s="31" t="s">
        <v>355</v>
      </c>
      <c r="AS20" s="41">
        <f>SUM(AJ21:AJ22)</f>
        <v>0</v>
      </c>
      <c r="AT20" s="41">
        <f>SUM(AK21:AK22)</f>
        <v>0</v>
      </c>
      <c r="AU20" s="41">
        <f>SUM(AL21:AL22)</f>
        <v>0</v>
      </c>
    </row>
    <row r="21" spans="1:62" ht="12.75">
      <c r="A21" s="6" t="s">
        <v>11</v>
      </c>
      <c r="B21" s="6" t="s">
        <v>117</v>
      </c>
      <c r="C21" s="103" t="s">
        <v>207</v>
      </c>
      <c r="D21" s="104"/>
      <c r="E21" s="104"/>
      <c r="F21" s="6" t="s">
        <v>320</v>
      </c>
      <c r="G21" s="69">
        <v>83.05</v>
      </c>
      <c r="H21" s="20">
        <v>0</v>
      </c>
      <c r="I21" s="20">
        <f>G21*AO21</f>
        <v>0</v>
      </c>
      <c r="J21" s="20">
        <f>G21*AP21</f>
        <v>0</v>
      </c>
      <c r="K21" s="20">
        <f>G21*H21</f>
        <v>0</v>
      </c>
      <c r="L21" s="32" t="s">
        <v>345</v>
      </c>
      <c r="Z21" s="38">
        <f>IF(AQ21="5",BJ21,0)</f>
        <v>0</v>
      </c>
      <c r="AB21" s="38">
        <f>IF(AQ21="1",BH21,0)</f>
        <v>0</v>
      </c>
      <c r="AC21" s="38">
        <f>IF(AQ21="1",BI21,0)</f>
        <v>0</v>
      </c>
      <c r="AD21" s="38">
        <f>IF(AQ21="7",BH21,0)</f>
        <v>0</v>
      </c>
      <c r="AE21" s="38">
        <f>IF(AQ21="7",BI21,0)</f>
        <v>0</v>
      </c>
      <c r="AF21" s="38">
        <f>IF(AQ21="2",BH21,0)</f>
        <v>0</v>
      </c>
      <c r="AG21" s="38">
        <f>IF(AQ21="2",BI21,0)</f>
        <v>0</v>
      </c>
      <c r="AH21" s="38">
        <f>IF(AQ21="0",BJ21,0)</f>
        <v>0</v>
      </c>
      <c r="AI21" s="31" t="s">
        <v>355</v>
      </c>
      <c r="AJ21" s="20">
        <f>IF(AN21=0,K21,0)</f>
        <v>0</v>
      </c>
      <c r="AK21" s="20">
        <f>IF(AN21=15,K21,0)</f>
        <v>0</v>
      </c>
      <c r="AL21" s="20">
        <f>IF(AN21=21,K21,0)</f>
        <v>0</v>
      </c>
      <c r="AN21" s="38">
        <v>21</v>
      </c>
      <c r="AO21" s="38">
        <f>H21*0</f>
        <v>0</v>
      </c>
      <c r="AP21" s="38">
        <f>H21*(1-0)</f>
        <v>0</v>
      </c>
      <c r="AQ21" s="32" t="s">
        <v>7</v>
      </c>
      <c r="AV21" s="38">
        <f>AW21+AX21</f>
        <v>0</v>
      </c>
      <c r="AW21" s="38">
        <f>G21*AO21</f>
        <v>0</v>
      </c>
      <c r="AX21" s="38">
        <f>G21*AP21</f>
        <v>0</v>
      </c>
      <c r="AY21" s="39" t="s">
        <v>361</v>
      </c>
      <c r="AZ21" s="39" t="s">
        <v>375</v>
      </c>
      <c r="BA21" s="31" t="s">
        <v>392</v>
      </c>
      <c r="BC21" s="38">
        <f>AW21+AX21</f>
        <v>0</v>
      </c>
      <c r="BD21" s="38">
        <f>H21/(100-BE21)*100</f>
        <v>0</v>
      </c>
      <c r="BE21" s="38">
        <v>0</v>
      </c>
      <c r="BF21" s="38">
        <f>21</f>
        <v>21</v>
      </c>
      <c r="BH21" s="20">
        <f>G21*AO21</f>
        <v>0</v>
      </c>
      <c r="BI21" s="20">
        <f>G21*AP21</f>
        <v>0</v>
      </c>
      <c r="BJ21" s="20">
        <f>G21*H21</f>
        <v>0</v>
      </c>
    </row>
    <row r="22" spans="1:62" ht="12.75">
      <c r="A22" s="6" t="s">
        <v>12</v>
      </c>
      <c r="B22" s="6" t="s">
        <v>118</v>
      </c>
      <c r="C22" s="103" t="s">
        <v>208</v>
      </c>
      <c r="D22" s="104"/>
      <c r="E22" s="104"/>
      <c r="F22" s="6" t="s">
        <v>320</v>
      </c>
      <c r="G22" s="69">
        <v>83.05</v>
      </c>
      <c r="H22" s="20">
        <v>0</v>
      </c>
      <c r="I22" s="20">
        <f>G22*AO22</f>
        <v>0</v>
      </c>
      <c r="J22" s="20">
        <f>G22*AP22</f>
        <v>0</v>
      </c>
      <c r="K22" s="20">
        <f>G22*H22</f>
        <v>0</v>
      </c>
      <c r="L22" s="32" t="s">
        <v>345</v>
      </c>
      <c r="Z22" s="38">
        <f>IF(AQ22="5",BJ22,0)</f>
        <v>0</v>
      </c>
      <c r="AB22" s="38">
        <f>IF(AQ22="1",BH22,0)</f>
        <v>0</v>
      </c>
      <c r="AC22" s="38">
        <f>IF(AQ22="1",BI22,0)</f>
        <v>0</v>
      </c>
      <c r="AD22" s="38">
        <f>IF(AQ22="7",BH22,0)</f>
        <v>0</v>
      </c>
      <c r="AE22" s="38">
        <f>IF(AQ22="7",BI22,0)</f>
        <v>0</v>
      </c>
      <c r="AF22" s="38">
        <f>IF(AQ22="2",BH22,0)</f>
        <v>0</v>
      </c>
      <c r="AG22" s="38">
        <f>IF(AQ22="2",BI22,0)</f>
        <v>0</v>
      </c>
      <c r="AH22" s="38">
        <f>IF(AQ22="0",BJ22,0)</f>
        <v>0</v>
      </c>
      <c r="AI22" s="31" t="s">
        <v>355</v>
      </c>
      <c r="AJ22" s="20">
        <f>IF(AN22=0,K22,0)</f>
        <v>0</v>
      </c>
      <c r="AK22" s="20">
        <f>IF(AN22=15,K22,0)</f>
        <v>0</v>
      </c>
      <c r="AL22" s="20">
        <f>IF(AN22=21,K22,0)</f>
        <v>0</v>
      </c>
      <c r="AN22" s="38">
        <v>21</v>
      </c>
      <c r="AO22" s="38">
        <f>H22*0</f>
        <v>0</v>
      </c>
      <c r="AP22" s="38">
        <f>H22*(1-0)</f>
        <v>0</v>
      </c>
      <c r="AQ22" s="32" t="s">
        <v>7</v>
      </c>
      <c r="AV22" s="38">
        <f>AW22+AX22</f>
        <v>0</v>
      </c>
      <c r="AW22" s="38">
        <f>G22*AO22</f>
        <v>0</v>
      </c>
      <c r="AX22" s="38">
        <f>G22*AP22</f>
        <v>0</v>
      </c>
      <c r="AY22" s="39" t="s">
        <v>361</v>
      </c>
      <c r="AZ22" s="39" t="s">
        <v>375</v>
      </c>
      <c r="BA22" s="31" t="s">
        <v>392</v>
      </c>
      <c r="BC22" s="38">
        <f>AW22+AX22</f>
        <v>0</v>
      </c>
      <c r="BD22" s="38">
        <f>H22/(100-BE22)*100</f>
        <v>0</v>
      </c>
      <c r="BE22" s="38">
        <v>0</v>
      </c>
      <c r="BF22" s="38">
        <f>22</f>
        <v>22</v>
      </c>
      <c r="BH22" s="20">
        <f>G22*AO22</f>
        <v>0</v>
      </c>
      <c r="BI22" s="20">
        <f>G22*AP22</f>
        <v>0</v>
      </c>
      <c r="BJ22" s="20">
        <f>G22*H22</f>
        <v>0</v>
      </c>
    </row>
    <row r="23" spans="1:47" ht="12.75">
      <c r="A23" s="5"/>
      <c r="B23" s="15" t="s">
        <v>23</v>
      </c>
      <c r="C23" s="101" t="s">
        <v>209</v>
      </c>
      <c r="D23" s="102"/>
      <c r="E23" s="102"/>
      <c r="F23" s="5" t="s">
        <v>6</v>
      </c>
      <c r="G23" s="5" t="s">
        <v>6</v>
      </c>
      <c r="H23" s="5" t="s">
        <v>6</v>
      </c>
      <c r="I23" s="41">
        <f>SUM(I24:I30)</f>
        <v>0</v>
      </c>
      <c r="J23" s="41">
        <f>SUM(J24:J30)</f>
        <v>0</v>
      </c>
      <c r="K23" s="41">
        <f>SUM(K24:K30)</f>
        <v>0</v>
      </c>
      <c r="L23" s="31"/>
      <c r="AI23" s="31" t="s">
        <v>355</v>
      </c>
      <c r="AS23" s="41">
        <f>SUM(AJ24:AJ30)</f>
        <v>0</v>
      </c>
      <c r="AT23" s="41">
        <f>SUM(AK24:AK30)</f>
        <v>0</v>
      </c>
      <c r="AU23" s="41">
        <f>SUM(AL24:AL30)</f>
        <v>0</v>
      </c>
    </row>
    <row r="24" spans="1:62" ht="12.75">
      <c r="A24" s="6" t="s">
        <v>13</v>
      </c>
      <c r="B24" s="6" t="s">
        <v>119</v>
      </c>
      <c r="C24" s="103" t="s">
        <v>210</v>
      </c>
      <c r="D24" s="104"/>
      <c r="E24" s="104"/>
      <c r="F24" s="6" t="s">
        <v>320</v>
      </c>
      <c r="G24" s="69">
        <v>25.718</v>
      </c>
      <c r="H24" s="20">
        <v>0</v>
      </c>
      <c r="I24" s="20">
        <f>G24*AO24</f>
        <v>0</v>
      </c>
      <c r="J24" s="20">
        <f>G24*AP24</f>
        <v>0</v>
      </c>
      <c r="K24" s="20">
        <f>G24*H24</f>
        <v>0</v>
      </c>
      <c r="L24" s="32" t="s">
        <v>345</v>
      </c>
      <c r="Z24" s="38">
        <f>IF(AQ24="5",BJ24,0)</f>
        <v>0</v>
      </c>
      <c r="AB24" s="38">
        <f>IF(AQ24="1",BH24,0)</f>
        <v>0</v>
      </c>
      <c r="AC24" s="38">
        <f>IF(AQ24="1",BI24,0)</f>
        <v>0</v>
      </c>
      <c r="AD24" s="38">
        <f>IF(AQ24="7",BH24,0)</f>
        <v>0</v>
      </c>
      <c r="AE24" s="38">
        <f>IF(AQ24="7",BI24,0)</f>
        <v>0</v>
      </c>
      <c r="AF24" s="38">
        <f>IF(AQ24="2",BH24,0)</f>
        <v>0</v>
      </c>
      <c r="AG24" s="38">
        <f>IF(AQ24="2",BI24,0)</f>
        <v>0</v>
      </c>
      <c r="AH24" s="38">
        <f>IF(AQ24="0",BJ24,0)</f>
        <v>0</v>
      </c>
      <c r="AI24" s="31" t="s">
        <v>355</v>
      </c>
      <c r="AJ24" s="20">
        <f>IF(AN24=0,K24,0)</f>
        <v>0</v>
      </c>
      <c r="AK24" s="20">
        <f>IF(AN24=15,K24,0)</f>
        <v>0</v>
      </c>
      <c r="AL24" s="20">
        <f>IF(AN24=21,K24,0)</f>
        <v>0</v>
      </c>
      <c r="AN24" s="38">
        <v>21</v>
      </c>
      <c r="AO24" s="38">
        <f>H24*0.341564186810608</f>
        <v>0</v>
      </c>
      <c r="AP24" s="38">
        <f>H24*(1-0.341564186810608)</f>
        <v>0</v>
      </c>
      <c r="AQ24" s="32" t="s">
        <v>7</v>
      </c>
      <c r="AV24" s="38">
        <f>AW24+AX24</f>
        <v>0</v>
      </c>
      <c r="AW24" s="38">
        <f>G24*AO24</f>
        <v>0</v>
      </c>
      <c r="AX24" s="38">
        <f>G24*AP24</f>
        <v>0</v>
      </c>
      <c r="AY24" s="39" t="s">
        <v>362</v>
      </c>
      <c r="AZ24" s="39" t="s">
        <v>375</v>
      </c>
      <c r="BA24" s="31" t="s">
        <v>392</v>
      </c>
      <c r="BC24" s="38">
        <f>AW24+AX24</f>
        <v>0</v>
      </c>
      <c r="BD24" s="38">
        <f>H24/(100-BE24)*100</f>
        <v>0</v>
      </c>
      <c r="BE24" s="38">
        <v>0</v>
      </c>
      <c r="BF24" s="38">
        <f>24</f>
        <v>24</v>
      </c>
      <c r="BH24" s="20">
        <f>G24*AO24</f>
        <v>0</v>
      </c>
      <c r="BI24" s="20">
        <f>G24*AP24</f>
        <v>0</v>
      </c>
      <c r="BJ24" s="20">
        <f>G24*H24</f>
        <v>0</v>
      </c>
    </row>
    <row r="25" spans="2:12" ht="12.75">
      <c r="B25" s="16" t="s">
        <v>116</v>
      </c>
      <c r="C25" s="105" t="s">
        <v>211</v>
      </c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62" ht="12.75">
      <c r="A26" s="6" t="s">
        <v>14</v>
      </c>
      <c r="B26" s="6" t="s">
        <v>120</v>
      </c>
      <c r="C26" s="103" t="s">
        <v>212</v>
      </c>
      <c r="D26" s="104"/>
      <c r="E26" s="104"/>
      <c r="F26" s="6" t="s">
        <v>320</v>
      </c>
      <c r="G26" s="69">
        <v>50.008</v>
      </c>
      <c r="H26" s="20">
        <v>0</v>
      </c>
      <c r="I26" s="20">
        <f>G26*AO26</f>
        <v>0</v>
      </c>
      <c r="J26" s="20">
        <f>G26*AP26</f>
        <v>0</v>
      </c>
      <c r="K26" s="20">
        <f>G26*H26</f>
        <v>0</v>
      </c>
      <c r="L26" s="32" t="s">
        <v>345</v>
      </c>
      <c r="Z26" s="38">
        <f>IF(AQ26="5",BJ26,0)</f>
        <v>0</v>
      </c>
      <c r="AB26" s="38">
        <f>IF(AQ26="1",BH26,0)</f>
        <v>0</v>
      </c>
      <c r="AC26" s="38">
        <f>IF(AQ26="1",BI26,0)</f>
        <v>0</v>
      </c>
      <c r="AD26" s="38">
        <f>IF(AQ26="7",BH26,0)</f>
        <v>0</v>
      </c>
      <c r="AE26" s="38">
        <f>IF(AQ26="7",BI26,0)</f>
        <v>0</v>
      </c>
      <c r="AF26" s="38">
        <f>IF(AQ26="2",BH26,0)</f>
        <v>0</v>
      </c>
      <c r="AG26" s="38">
        <f>IF(AQ26="2",BI26,0)</f>
        <v>0</v>
      </c>
      <c r="AH26" s="38">
        <f>IF(AQ26="0",BJ26,0)</f>
        <v>0</v>
      </c>
      <c r="AI26" s="31" t="s">
        <v>355</v>
      </c>
      <c r="AJ26" s="20">
        <f>IF(AN26=0,K26,0)</f>
        <v>0</v>
      </c>
      <c r="AK26" s="20">
        <f>IF(AN26=15,K26,0)</f>
        <v>0</v>
      </c>
      <c r="AL26" s="20">
        <f>IF(AN26=21,K26,0)</f>
        <v>0</v>
      </c>
      <c r="AN26" s="38">
        <v>21</v>
      </c>
      <c r="AO26" s="38">
        <f>H26*0.517509969226699</f>
        <v>0</v>
      </c>
      <c r="AP26" s="38">
        <f>H26*(1-0.517509969226699)</f>
        <v>0</v>
      </c>
      <c r="AQ26" s="32" t="s">
        <v>7</v>
      </c>
      <c r="AV26" s="38">
        <f>AW26+AX26</f>
        <v>0</v>
      </c>
      <c r="AW26" s="38">
        <f>G26*AO26</f>
        <v>0</v>
      </c>
      <c r="AX26" s="38">
        <f>G26*AP26</f>
        <v>0</v>
      </c>
      <c r="AY26" s="39" t="s">
        <v>362</v>
      </c>
      <c r="AZ26" s="39" t="s">
        <v>375</v>
      </c>
      <c r="BA26" s="31" t="s">
        <v>392</v>
      </c>
      <c r="BC26" s="38">
        <f>AW26+AX26</f>
        <v>0</v>
      </c>
      <c r="BD26" s="38">
        <f>H26/(100-BE26)*100</f>
        <v>0</v>
      </c>
      <c r="BE26" s="38">
        <v>0</v>
      </c>
      <c r="BF26" s="38">
        <f>26</f>
        <v>26</v>
      </c>
      <c r="BH26" s="20">
        <f>G26*AO26</f>
        <v>0</v>
      </c>
      <c r="BI26" s="20">
        <f>G26*AP26</f>
        <v>0</v>
      </c>
      <c r="BJ26" s="20">
        <f>G26*H26</f>
        <v>0</v>
      </c>
    </row>
    <row r="27" spans="2:12" ht="12.75">
      <c r="B27" s="16" t="s">
        <v>116</v>
      </c>
      <c r="C27" s="105" t="s">
        <v>213</v>
      </c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62" ht="12.75">
      <c r="A28" s="6" t="s">
        <v>15</v>
      </c>
      <c r="B28" s="6" t="s">
        <v>121</v>
      </c>
      <c r="C28" s="103" t="s">
        <v>214</v>
      </c>
      <c r="D28" s="104"/>
      <c r="E28" s="104"/>
      <c r="F28" s="6" t="s">
        <v>320</v>
      </c>
      <c r="G28" s="69">
        <v>32.148</v>
      </c>
      <c r="H28" s="20">
        <v>0</v>
      </c>
      <c r="I28" s="20">
        <f>G28*AO28</f>
        <v>0</v>
      </c>
      <c r="J28" s="20">
        <f>G28*AP28</f>
        <v>0</v>
      </c>
      <c r="K28" s="20">
        <f>G28*H28</f>
        <v>0</v>
      </c>
      <c r="L28" s="32" t="s">
        <v>345</v>
      </c>
      <c r="Z28" s="38">
        <f>IF(AQ28="5",BJ28,0)</f>
        <v>0</v>
      </c>
      <c r="AB28" s="38">
        <f>IF(AQ28="1",BH28,0)</f>
        <v>0</v>
      </c>
      <c r="AC28" s="38">
        <f>IF(AQ28="1",BI28,0)</f>
        <v>0</v>
      </c>
      <c r="AD28" s="38">
        <f>IF(AQ28="7",BH28,0)</f>
        <v>0</v>
      </c>
      <c r="AE28" s="38">
        <f>IF(AQ28="7",BI28,0)</f>
        <v>0</v>
      </c>
      <c r="AF28" s="38">
        <f>IF(AQ28="2",BH28,0)</f>
        <v>0</v>
      </c>
      <c r="AG28" s="38">
        <f>IF(AQ28="2",BI28,0)</f>
        <v>0</v>
      </c>
      <c r="AH28" s="38">
        <f>IF(AQ28="0",BJ28,0)</f>
        <v>0</v>
      </c>
      <c r="AI28" s="31" t="s">
        <v>355</v>
      </c>
      <c r="AJ28" s="20">
        <f>IF(AN28=0,K28,0)</f>
        <v>0</v>
      </c>
      <c r="AK28" s="20">
        <f>IF(AN28=15,K28,0)</f>
        <v>0</v>
      </c>
      <c r="AL28" s="20">
        <f>IF(AN28=21,K28,0)</f>
        <v>0</v>
      </c>
      <c r="AN28" s="38">
        <v>21</v>
      </c>
      <c r="AO28" s="38">
        <f>H28*0</f>
        <v>0</v>
      </c>
      <c r="AP28" s="38">
        <f>H28*(1-0)</f>
        <v>0</v>
      </c>
      <c r="AQ28" s="32" t="s">
        <v>7</v>
      </c>
      <c r="AV28" s="38">
        <f>AW28+AX28</f>
        <v>0</v>
      </c>
      <c r="AW28" s="38">
        <f>G28*AO28</f>
        <v>0</v>
      </c>
      <c r="AX28" s="38">
        <f>G28*AP28</f>
        <v>0</v>
      </c>
      <c r="AY28" s="39" t="s">
        <v>362</v>
      </c>
      <c r="AZ28" s="39" t="s">
        <v>375</v>
      </c>
      <c r="BA28" s="31" t="s">
        <v>392</v>
      </c>
      <c r="BC28" s="38">
        <f>AW28+AX28</f>
        <v>0</v>
      </c>
      <c r="BD28" s="38">
        <f>H28/(100-BE28)*100</f>
        <v>0</v>
      </c>
      <c r="BE28" s="38">
        <v>0</v>
      </c>
      <c r="BF28" s="38">
        <f>28</f>
        <v>28</v>
      </c>
      <c r="BH28" s="20">
        <f>G28*AO28</f>
        <v>0</v>
      </c>
      <c r="BI28" s="20">
        <f>G28*AP28</f>
        <v>0</v>
      </c>
      <c r="BJ28" s="20">
        <f>G28*H28</f>
        <v>0</v>
      </c>
    </row>
    <row r="29" spans="1:62" ht="12.75">
      <c r="A29" s="6" t="s">
        <v>16</v>
      </c>
      <c r="B29" s="6" t="s">
        <v>122</v>
      </c>
      <c r="C29" s="103" t="s">
        <v>215</v>
      </c>
      <c r="D29" s="104"/>
      <c r="E29" s="104"/>
      <c r="F29" s="6" t="s">
        <v>320</v>
      </c>
      <c r="G29" s="69">
        <v>89.53</v>
      </c>
      <c r="H29" s="20">
        <v>0</v>
      </c>
      <c r="I29" s="20">
        <f>G29*AO29</f>
        <v>0</v>
      </c>
      <c r="J29" s="20">
        <f>G29*AP29</f>
        <v>0</v>
      </c>
      <c r="K29" s="20">
        <f>G29*H29</f>
        <v>0</v>
      </c>
      <c r="L29" s="32" t="s">
        <v>345</v>
      </c>
      <c r="Z29" s="38">
        <f>IF(AQ29="5",BJ29,0)</f>
        <v>0</v>
      </c>
      <c r="AB29" s="38">
        <f>IF(AQ29="1",BH29,0)</f>
        <v>0</v>
      </c>
      <c r="AC29" s="38">
        <f>IF(AQ29="1",BI29,0)</f>
        <v>0</v>
      </c>
      <c r="AD29" s="38">
        <f>IF(AQ29="7",BH29,0)</f>
        <v>0</v>
      </c>
      <c r="AE29" s="38">
        <f>IF(AQ29="7",BI29,0)</f>
        <v>0</v>
      </c>
      <c r="AF29" s="38">
        <f>IF(AQ29="2",BH29,0)</f>
        <v>0</v>
      </c>
      <c r="AG29" s="38">
        <f>IF(AQ29="2",BI29,0)</f>
        <v>0</v>
      </c>
      <c r="AH29" s="38">
        <f>IF(AQ29="0",BJ29,0)</f>
        <v>0</v>
      </c>
      <c r="AI29" s="31" t="s">
        <v>355</v>
      </c>
      <c r="AJ29" s="20">
        <f>IF(AN29=0,K29,0)</f>
        <v>0</v>
      </c>
      <c r="AK29" s="20">
        <f>IF(AN29=15,K29,0)</f>
        <v>0</v>
      </c>
      <c r="AL29" s="20">
        <f>IF(AN29=21,K29,0)</f>
        <v>0</v>
      </c>
      <c r="AN29" s="38">
        <v>21</v>
      </c>
      <c r="AO29" s="38">
        <f>H29*0</f>
        <v>0</v>
      </c>
      <c r="AP29" s="38">
        <f>H29*(1-0)</f>
        <v>0</v>
      </c>
      <c r="AQ29" s="32" t="s">
        <v>7</v>
      </c>
      <c r="AV29" s="38">
        <f>AW29+AX29</f>
        <v>0</v>
      </c>
      <c r="AW29" s="38">
        <f>G29*AO29</f>
        <v>0</v>
      </c>
      <c r="AX29" s="38">
        <f>G29*AP29</f>
        <v>0</v>
      </c>
      <c r="AY29" s="39" t="s">
        <v>362</v>
      </c>
      <c r="AZ29" s="39" t="s">
        <v>375</v>
      </c>
      <c r="BA29" s="31" t="s">
        <v>392</v>
      </c>
      <c r="BC29" s="38">
        <f>AW29+AX29</f>
        <v>0</v>
      </c>
      <c r="BD29" s="38">
        <f>H29/(100-BE29)*100</f>
        <v>0</v>
      </c>
      <c r="BE29" s="38">
        <v>0</v>
      </c>
      <c r="BF29" s="38">
        <f>29</f>
        <v>29</v>
      </c>
      <c r="BH29" s="20">
        <f>G29*AO29</f>
        <v>0</v>
      </c>
      <c r="BI29" s="20">
        <f>G29*AP29</f>
        <v>0</v>
      </c>
      <c r="BJ29" s="20">
        <f>G29*H29</f>
        <v>0</v>
      </c>
    </row>
    <row r="30" spans="1:62" ht="12.75">
      <c r="A30" s="6" t="s">
        <v>17</v>
      </c>
      <c r="B30" s="6" t="s">
        <v>123</v>
      </c>
      <c r="C30" s="103" t="s">
        <v>216</v>
      </c>
      <c r="D30" s="104"/>
      <c r="E30" s="104"/>
      <c r="F30" s="6" t="s">
        <v>320</v>
      </c>
      <c r="G30" s="69">
        <v>89.53</v>
      </c>
      <c r="H30" s="20">
        <v>0</v>
      </c>
      <c r="I30" s="20">
        <f>G30*AO30</f>
        <v>0</v>
      </c>
      <c r="J30" s="20">
        <f>G30*AP30</f>
        <v>0</v>
      </c>
      <c r="K30" s="20">
        <f>G30*H30</f>
        <v>0</v>
      </c>
      <c r="L30" s="32" t="s">
        <v>345</v>
      </c>
      <c r="Z30" s="38">
        <f>IF(AQ30="5",BJ30,0)</f>
        <v>0</v>
      </c>
      <c r="AB30" s="38">
        <f>IF(AQ30="1",BH30,0)</f>
        <v>0</v>
      </c>
      <c r="AC30" s="38">
        <f>IF(AQ30="1",BI30,0)</f>
        <v>0</v>
      </c>
      <c r="AD30" s="38">
        <f>IF(AQ30="7",BH30,0)</f>
        <v>0</v>
      </c>
      <c r="AE30" s="38">
        <f>IF(AQ30="7",BI30,0)</f>
        <v>0</v>
      </c>
      <c r="AF30" s="38">
        <f>IF(AQ30="2",BH30,0)</f>
        <v>0</v>
      </c>
      <c r="AG30" s="38">
        <f>IF(AQ30="2",BI30,0)</f>
        <v>0</v>
      </c>
      <c r="AH30" s="38">
        <f>IF(AQ30="0",BJ30,0)</f>
        <v>0</v>
      </c>
      <c r="AI30" s="31" t="s">
        <v>355</v>
      </c>
      <c r="AJ30" s="20">
        <f>IF(AN30=0,K30,0)</f>
        <v>0</v>
      </c>
      <c r="AK30" s="20">
        <f>IF(AN30=15,K30,0)</f>
        <v>0</v>
      </c>
      <c r="AL30" s="20">
        <f>IF(AN30=21,K30,0)</f>
        <v>0</v>
      </c>
      <c r="AN30" s="38">
        <v>21</v>
      </c>
      <c r="AO30" s="38">
        <f>H30*0</f>
        <v>0</v>
      </c>
      <c r="AP30" s="38">
        <f>H30*(1-0)</f>
        <v>0</v>
      </c>
      <c r="AQ30" s="32" t="s">
        <v>7</v>
      </c>
      <c r="AV30" s="38">
        <f>AW30+AX30</f>
        <v>0</v>
      </c>
      <c r="AW30" s="38">
        <f>G30*AO30</f>
        <v>0</v>
      </c>
      <c r="AX30" s="38">
        <f>G30*AP30</f>
        <v>0</v>
      </c>
      <c r="AY30" s="39" t="s">
        <v>362</v>
      </c>
      <c r="AZ30" s="39" t="s">
        <v>375</v>
      </c>
      <c r="BA30" s="31" t="s">
        <v>392</v>
      </c>
      <c r="BC30" s="38">
        <f>AW30+AX30</f>
        <v>0</v>
      </c>
      <c r="BD30" s="38">
        <f>H30/(100-BE30)*100</f>
        <v>0</v>
      </c>
      <c r="BE30" s="38">
        <v>0</v>
      </c>
      <c r="BF30" s="38">
        <f>30</f>
        <v>30</v>
      </c>
      <c r="BH30" s="20">
        <f>G30*AO30</f>
        <v>0</v>
      </c>
      <c r="BI30" s="20">
        <f>G30*AP30</f>
        <v>0</v>
      </c>
      <c r="BJ30" s="20">
        <f>G30*H30</f>
        <v>0</v>
      </c>
    </row>
    <row r="31" spans="1:47" ht="12.75">
      <c r="A31" s="5"/>
      <c r="B31" s="15" t="s">
        <v>51</v>
      </c>
      <c r="C31" s="101" t="s">
        <v>217</v>
      </c>
      <c r="D31" s="102"/>
      <c r="E31" s="102"/>
      <c r="F31" s="5" t="s">
        <v>6</v>
      </c>
      <c r="G31" s="5" t="s">
        <v>6</v>
      </c>
      <c r="H31" s="5" t="s">
        <v>6</v>
      </c>
      <c r="I31" s="41">
        <f>SUM(I32:I32)</f>
        <v>0</v>
      </c>
      <c r="J31" s="41">
        <f>SUM(J32:J32)</f>
        <v>0</v>
      </c>
      <c r="K31" s="41">
        <f>SUM(K32:K32)</f>
        <v>0</v>
      </c>
      <c r="L31" s="31"/>
      <c r="AI31" s="31" t="s">
        <v>355</v>
      </c>
      <c r="AS31" s="41">
        <f>SUM(AJ32:AJ32)</f>
        <v>0</v>
      </c>
      <c r="AT31" s="41">
        <f>SUM(AK32:AK32)</f>
        <v>0</v>
      </c>
      <c r="AU31" s="41">
        <f>SUM(AL32:AL32)</f>
        <v>0</v>
      </c>
    </row>
    <row r="32" spans="1:62" ht="12.75">
      <c r="A32" s="6" t="s">
        <v>18</v>
      </c>
      <c r="B32" s="6" t="s">
        <v>124</v>
      </c>
      <c r="C32" s="103" t="s">
        <v>218</v>
      </c>
      <c r="D32" s="104"/>
      <c r="E32" s="104"/>
      <c r="F32" s="6" t="s">
        <v>320</v>
      </c>
      <c r="G32" s="69">
        <v>7.144</v>
      </c>
      <c r="H32" s="20">
        <v>0</v>
      </c>
      <c r="I32" s="20">
        <f>G32*AO32</f>
        <v>0</v>
      </c>
      <c r="J32" s="20">
        <f>G32*AP32</f>
        <v>0</v>
      </c>
      <c r="K32" s="20">
        <f>G32*H32</f>
        <v>0</v>
      </c>
      <c r="L32" s="32" t="s">
        <v>345</v>
      </c>
      <c r="Z32" s="38">
        <f>IF(AQ32="5",BJ32,0)</f>
        <v>0</v>
      </c>
      <c r="AB32" s="38">
        <f>IF(AQ32="1",BH32,0)</f>
        <v>0</v>
      </c>
      <c r="AC32" s="38">
        <f>IF(AQ32="1",BI32,0)</f>
        <v>0</v>
      </c>
      <c r="AD32" s="38">
        <f>IF(AQ32="7",BH32,0)</f>
        <v>0</v>
      </c>
      <c r="AE32" s="38">
        <f>IF(AQ32="7",BI32,0)</f>
        <v>0</v>
      </c>
      <c r="AF32" s="38">
        <f>IF(AQ32="2",BH32,0)</f>
        <v>0</v>
      </c>
      <c r="AG32" s="38">
        <f>IF(AQ32="2",BI32,0)</f>
        <v>0</v>
      </c>
      <c r="AH32" s="38">
        <f>IF(AQ32="0",BJ32,0)</f>
        <v>0</v>
      </c>
      <c r="AI32" s="31" t="s">
        <v>355</v>
      </c>
      <c r="AJ32" s="20">
        <f>IF(AN32=0,K32,0)</f>
        <v>0</v>
      </c>
      <c r="AK32" s="20">
        <f>IF(AN32=15,K32,0)</f>
        <v>0</v>
      </c>
      <c r="AL32" s="20">
        <f>IF(AN32=21,K32,0)</f>
        <v>0</v>
      </c>
      <c r="AN32" s="38">
        <v>21</v>
      </c>
      <c r="AO32" s="38">
        <f>H32*0.511656569831309</f>
        <v>0</v>
      </c>
      <c r="AP32" s="38">
        <f>H32*(1-0.511656569831309)</f>
        <v>0</v>
      </c>
      <c r="AQ32" s="32" t="s">
        <v>7</v>
      </c>
      <c r="AV32" s="38">
        <f>AW32+AX32</f>
        <v>0</v>
      </c>
      <c r="AW32" s="38">
        <f>G32*AO32</f>
        <v>0</v>
      </c>
      <c r="AX32" s="38">
        <f>G32*AP32</f>
        <v>0</v>
      </c>
      <c r="AY32" s="39" t="s">
        <v>363</v>
      </c>
      <c r="AZ32" s="39" t="s">
        <v>376</v>
      </c>
      <c r="BA32" s="31" t="s">
        <v>392</v>
      </c>
      <c r="BC32" s="38">
        <f>AW32+AX32</f>
        <v>0</v>
      </c>
      <c r="BD32" s="38">
        <f>H32/(100-BE32)*100</f>
        <v>0</v>
      </c>
      <c r="BE32" s="38">
        <v>0</v>
      </c>
      <c r="BF32" s="38">
        <f>32</f>
        <v>32</v>
      </c>
      <c r="BH32" s="20">
        <f>G32*AO32</f>
        <v>0</v>
      </c>
      <c r="BI32" s="20">
        <f>G32*AP32</f>
        <v>0</v>
      </c>
      <c r="BJ32" s="20">
        <f>G32*H32</f>
        <v>0</v>
      </c>
    </row>
    <row r="33" spans="1:47" ht="12.75">
      <c r="A33" s="5"/>
      <c r="B33" s="15" t="s">
        <v>93</v>
      </c>
      <c r="C33" s="101" t="s">
        <v>219</v>
      </c>
      <c r="D33" s="102"/>
      <c r="E33" s="102"/>
      <c r="F33" s="5" t="s">
        <v>6</v>
      </c>
      <c r="G33" s="5" t="s">
        <v>6</v>
      </c>
      <c r="H33" s="5" t="s">
        <v>6</v>
      </c>
      <c r="I33" s="41">
        <f>SUM(I34:I41)</f>
        <v>0</v>
      </c>
      <c r="J33" s="41">
        <f>SUM(J34:J41)</f>
        <v>0</v>
      </c>
      <c r="K33" s="41">
        <f>SUM(K34:K41)</f>
        <v>0</v>
      </c>
      <c r="L33" s="31"/>
      <c r="AI33" s="31" t="s">
        <v>355</v>
      </c>
      <c r="AS33" s="41">
        <f>SUM(AJ34:AJ41)</f>
        <v>0</v>
      </c>
      <c r="AT33" s="41">
        <f>SUM(AK34:AK41)</f>
        <v>0</v>
      </c>
      <c r="AU33" s="41">
        <f>SUM(AL34:AL41)</f>
        <v>0</v>
      </c>
    </row>
    <row r="34" spans="1:62" ht="12.75">
      <c r="A34" s="6" t="s">
        <v>19</v>
      </c>
      <c r="B34" s="6" t="s">
        <v>125</v>
      </c>
      <c r="C34" s="103" t="s">
        <v>220</v>
      </c>
      <c r="D34" s="104"/>
      <c r="E34" s="104"/>
      <c r="F34" s="6" t="s">
        <v>321</v>
      </c>
      <c r="G34" s="69">
        <v>67.5</v>
      </c>
      <c r="H34" s="20">
        <v>0</v>
      </c>
      <c r="I34" s="20">
        <f aca="true" t="shared" si="0" ref="I34:I41">G34*AO34</f>
        <v>0</v>
      </c>
      <c r="J34" s="20">
        <f aca="true" t="shared" si="1" ref="J34:J41">G34*AP34</f>
        <v>0</v>
      </c>
      <c r="K34" s="20">
        <f aca="true" t="shared" si="2" ref="K34:K41">G34*H34</f>
        <v>0</v>
      </c>
      <c r="L34" s="32" t="s">
        <v>345</v>
      </c>
      <c r="Z34" s="38">
        <f aca="true" t="shared" si="3" ref="Z34:Z41">IF(AQ34="5",BJ34,0)</f>
        <v>0</v>
      </c>
      <c r="AB34" s="38">
        <f aca="true" t="shared" si="4" ref="AB34:AB41">IF(AQ34="1",BH34,0)</f>
        <v>0</v>
      </c>
      <c r="AC34" s="38">
        <f aca="true" t="shared" si="5" ref="AC34:AC41">IF(AQ34="1",BI34,0)</f>
        <v>0</v>
      </c>
      <c r="AD34" s="38">
        <f aca="true" t="shared" si="6" ref="AD34:AD41">IF(AQ34="7",BH34,0)</f>
        <v>0</v>
      </c>
      <c r="AE34" s="38">
        <f aca="true" t="shared" si="7" ref="AE34:AE41">IF(AQ34="7",BI34,0)</f>
        <v>0</v>
      </c>
      <c r="AF34" s="38">
        <f aca="true" t="shared" si="8" ref="AF34:AF41">IF(AQ34="2",BH34,0)</f>
        <v>0</v>
      </c>
      <c r="AG34" s="38">
        <f aca="true" t="shared" si="9" ref="AG34:AG41">IF(AQ34="2",BI34,0)</f>
        <v>0</v>
      </c>
      <c r="AH34" s="38">
        <f aca="true" t="shared" si="10" ref="AH34:AH41">IF(AQ34="0",BJ34,0)</f>
        <v>0</v>
      </c>
      <c r="AI34" s="31" t="s">
        <v>355</v>
      </c>
      <c r="AJ34" s="20">
        <f aca="true" t="shared" si="11" ref="AJ34:AJ41">IF(AN34=0,K34,0)</f>
        <v>0</v>
      </c>
      <c r="AK34" s="20">
        <f aca="true" t="shared" si="12" ref="AK34:AK41">IF(AN34=15,K34,0)</f>
        <v>0</v>
      </c>
      <c r="AL34" s="20">
        <f aca="true" t="shared" si="13" ref="AL34:AL41">IF(AN34=21,K34,0)</f>
        <v>0</v>
      </c>
      <c r="AN34" s="38">
        <v>21</v>
      </c>
      <c r="AO34" s="38">
        <f>H34*0</f>
        <v>0</v>
      </c>
      <c r="AP34" s="38">
        <f>H34*(1-0)</f>
        <v>0</v>
      </c>
      <c r="AQ34" s="32" t="s">
        <v>7</v>
      </c>
      <c r="AV34" s="38">
        <f aca="true" t="shared" si="14" ref="AV34:AV41">AW34+AX34</f>
        <v>0</v>
      </c>
      <c r="AW34" s="38">
        <f aca="true" t="shared" si="15" ref="AW34:AW41">G34*AO34</f>
        <v>0</v>
      </c>
      <c r="AX34" s="38">
        <f aca="true" t="shared" si="16" ref="AX34:AX41">G34*AP34</f>
        <v>0</v>
      </c>
      <c r="AY34" s="39" t="s">
        <v>364</v>
      </c>
      <c r="AZ34" s="39" t="s">
        <v>377</v>
      </c>
      <c r="BA34" s="31" t="s">
        <v>392</v>
      </c>
      <c r="BC34" s="38">
        <f aca="true" t="shared" si="17" ref="BC34:BC41">AW34+AX34</f>
        <v>0</v>
      </c>
      <c r="BD34" s="38">
        <f aca="true" t="shared" si="18" ref="BD34:BD41">H34/(100-BE34)*100</f>
        <v>0</v>
      </c>
      <c r="BE34" s="38">
        <v>0</v>
      </c>
      <c r="BF34" s="38">
        <f>34</f>
        <v>34</v>
      </c>
      <c r="BH34" s="20">
        <f aca="true" t="shared" si="19" ref="BH34:BH41">G34*AO34</f>
        <v>0</v>
      </c>
      <c r="BI34" s="20">
        <f aca="true" t="shared" si="20" ref="BI34:BI41">G34*AP34</f>
        <v>0</v>
      </c>
      <c r="BJ34" s="20">
        <f aca="true" t="shared" si="21" ref="BJ34:BJ41">G34*H34</f>
        <v>0</v>
      </c>
    </row>
    <row r="35" spans="1:62" ht="12.75">
      <c r="A35" s="7" t="s">
        <v>20</v>
      </c>
      <c r="B35" s="7" t="s">
        <v>126</v>
      </c>
      <c r="C35" s="107" t="s">
        <v>221</v>
      </c>
      <c r="D35" s="108"/>
      <c r="E35" s="108"/>
      <c r="F35" s="7" t="s">
        <v>321</v>
      </c>
      <c r="G35" s="70">
        <v>68</v>
      </c>
      <c r="H35" s="21">
        <v>0</v>
      </c>
      <c r="I35" s="21">
        <f t="shared" si="0"/>
        <v>0</v>
      </c>
      <c r="J35" s="21">
        <f t="shared" si="1"/>
        <v>0</v>
      </c>
      <c r="K35" s="21">
        <f t="shared" si="2"/>
        <v>0</v>
      </c>
      <c r="L35" s="33" t="s">
        <v>345</v>
      </c>
      <c r="Z35" s="38">
        <f t="shared" si="3"/>
        <v>0</v>
      </c>
      <c r="AB35" s="38">
        <f t="shared" si="4"/>
        <v>0</v>
      </c>
      <c r="AC35" s="38">
        <f t="shared" si="5"/>
        <v>0</v>
      </c>
      <c r="AD35" s="38">
        <f t="shared" si="6"/>
        <v>0</v>
      </c>
      <c r="AE35" s="38">
        <f t="shared" si="7"/>
        <v>0</v>
      </c>
      <c r="AF35" s="38">
        <f t="shared" si="8"/>
        <v>0</v>
      </c>
      <c r="AG35" s="38">
        <f t="shared" si="9"/>
        <v>0</v>
      </c>
      <c r="AH35" s="38">
        <f t="shared" si="10"/>
        <v>0</v>
      </c>
      <c r="AI35" s="31" t="s">
        <v>355</v>
      </c>
      <c r="AJ35" s="21">
        <f t="shared" si="11"/>
        <v>0</v>
      </c>
      <c r="AK35" s="21">
        <f t="shared" si="12"/>
        <v>0</v>
      </c>
      <c r="AL35" s="21">
        <f t="shared" si="13"/>
        <v>0</v>
      </c>
      <c r="AN35" s="38">
        <v>21</v>
      </c>
      <c r="AO35" s="38">
        <f>H35*1</f>
        <v>0</v>
      </c>
      <c r="AP35" s="38">
        <f>H35*(1-1)</f>
        <v>0</v>
      </c>
      <c r="AQ35" s="33" t="s">
        <v>7</v>
      </c>
      <c r="AV35" s="38">
        <f t="shared" si="14"/>
        <v>0</v>
      </c>
      <c r="AW35" s="38">
        <f t="shared" si="15"/>
        <v>0</v>
      </c>
      <c r="AX35" s="38">
        <f t="shared" si="16"/>
        <v>0</v>
      </c>
      <c r="AY35" s="39" t="s">
        <v>364</v>
      </c>
      <c r="AZ35" s="39" t="s">
        <v>377</v>
      </c>
      <c r="BA35" s="31" t="s">
        <v>392</v>
      </c>
      <c r="BC35" s="38">
        <f t="shared" si="17"/>
        <v>0</v>
      </c>
      <c r="BD35" s="38">
        <f t="shared" si="18"/>
        <v>0</v>
      </c>
      <c r="BE35" s="38">
        <v>0</v>
      </c>
      <c r="BF35" s="38">
        <f>35</f>
        <v>35</v>
      </c>
      <c r="BH35" s="21">
        <f t="shared" si="19"/>
        <v>0</v>
      </c>
      <c r="BI35" s="21">
        <f t="shared" si="20"/>
        <v>0</v>
      </c>
      <c r="BJ35" s="21">
        <f t="shared" si="21"/>
        <v>0</v>
      </c>
    </row>
    <row r="36" spans="1:62" ht="12.75">
      <c r="A36" s="6" t="s">
        <v>21</v>
      </c>
      <c r="B36" s="6" t="s">
        <v>127</v>
      </c>
      <c r="C36" s="103" t="s">
        <v>222</v>
      </c>
      <c r="D36" s="104"/>
      <c r="E36" s="104"/>
      <c r="F36" s="6" t="s">
        <v>321</v>
      </c>
      <c r="G36" s="69">
        <v>21.8</v>
      </c>
      <c r="H36" s="20">
        <v>0</v>
      </c>
      <c r="I36" s="20">
        <f t="shared" si="0"/>
        <v>0</v>
      </c>
      <c r="J36" s="20">
        <f t="shared" si="1"/>
        <v>0</v>
      </c>
      <c r="K36" s="20">
        <f t="shared" si="2"/>
        <v>0</v>
      </c>
      <c r="L36" s="32" t="s">
        <v>345</v>
      </c>
      <c r="Z36" s="38">
        <f t="shared" si="3"/>
        <v>0</v>
      </c>
      <c r="AB36" s="38">
        <f t="shared" si="4"/>
        <v>0</v>
      </c>
      <c r="AC36" s="38">
        <f t="shared" si="5"/>
        <v>0</v>
      </c>
      <c r="AD36" s="38">
        <f t="shared" si="6"/>
        <v>0</v>
      </c>
      <c r="AE36" s="38">
        <f t="shared" si="7"/>
        <v>0</v>
      </c>
      <c r="AF36" s="38">
        <f t="shared" si="8"/>
        <v>0</v>
      </c>
      <c r="AG36" s="38">
        <f t="shared" si="9"/>
        <v>0</v>
      </c>
      <c r="AH36" s="38">
        <f t="shared" si="10"/>
        <v>0</v>
      </c>
      <c r="AI36" s="31" t="s">
        <v>355</v>
      </c>
      <c r="AJ36" s="20">
        <f t="shared" si="11"/>
        <v>0</v>
      </c>
      <c r="AK36" s="20">
        <f t="shared" si="12"/>
        <v>0</v>
      </c>
      <c r="AL36" s="20">
        <f t="shared" si="13"/>
        <v>0</v>
      </c>
      <c r="AN36" s="38">
        <v>21</v>
      </c>
      <c r="AO36" s="38">
        <f>H36*0</f>
        <v>0</v>
      </c>
      <c r="AP36" s="38">
        <f>H36*(1-0)</f>
        <v>0</v>
      </c>
      <c r="AQ36" s="32" t="s">
        <v>7</v>
      </c>
      <c r="AV36" s="38">
        <f t="shared" si="14"/>
        <v>0</v>
      </c>
      <c r="AW36" s="38">
        <f t="shared" si="15"/>
        <v>0</v>
      </c>
      <c r="AX36" s="38">
        <f t="shared" si="16"/>
        <v>0</v>
      </c>
      <c r="AY36" s="39" t="s">
        <v>364</v>
      </c>
      <c r="AZ36" s="39" t="s">
        <v>377</v>
      </c>
      <c r="BA36" s="31" t="s">
        <v>392</v>
      </c>
      <c r="BC36" s="38">
        <f t="shared" si="17"/>
        <v>0</v>
      </c>
      <c r="BD36" s="38">
        <f t="shared" si="18"/>
        <v>0</v>
      </c>
      <c r="BE36" s="38">
        <v>0</v>
      </c>
      <c r="BF36" s="38">
        <f>36</f>
        <v>36</v>
      </c>
      <c r="BH36" s="20">
        <f t="shared" si="19"/>
        <v>0</v>
      </c>
      <c r="BI36" s="20">
        <f t="shared" si="20"/>
        <v>0</v>
      </c>
      <c r="BJ36" s="20">
        <f t="shared" si="21"/>
        <v>0</v>
      </c>
    </row>
    <row r="37" spans="1:62" ht="12.75">
      <c r="A37" s="7" t="s">
        <v>22</v>
      </c>
      <c r="B37" s="7" t="s">
        <v>128</v>
      </c>
      <c r="C37" s="107" t="s">
        <v>223</v>
      </c>
      <c r="D37" s="108"/>
      <c r="E37" s="108"/>
      <c r="F37" s="7" t="s">
        <v>321</v>
      </c>
      <c r="G37" s="70">
        <v>22</v>
      </c>
      <c r="H37" s="21">
        <v>0</v>
      </c>
      <c r="I37" s="21">
        <f t="shared" si="0"/>
        <v>0</v>
      </c>
      <c r="J37" s="21">
        <f t="shared" si="1"/>
        <v>0</v>
      </c>
      <c r="K37" s="21">
        <f t="shared" si="2"/>
        <v>0</v>
      </c>
      <c r="L37" s="33" t="s">
        <v>345</v>
      </c>
      <c r="Z37" s="38">
        <f t="shared" si="3"/>
        <v>0</v>
      </c>
      <c r="AB37" s="38">
        <f t="shared" si="4"/>
        <v>0</v>
      </c>
      <c r="AC37" s="38">
        <f t="shared" si="5"/>
        <v>0</v>
      </c>
      <c r="AD37" s="38">
        <f t="shared" si="6"/>
        <v>0</v>
      </c>
      <c r="AE37" s="38">
        <f t="shared" si="7"/>
        <v>0</v>
      </c>
      <c r="AF37" s="38">
        <f t="shared" si="8"/>
        <v>0</v>
      </c>
      <c r="AG37" s="38">
        <f t="shared" si="9"/>
        <v>0</v>
      </c>
      <c r="AH37" s="38">
        <f t="shared" si="10"/>
        <v>0</v>
      </c>
      <c r="AI37" s="31" t="s">
        <v>355</v>
      </c>
      <c r="AJ37" s="21">
        <f t="shared" si="11"/>
        <v>0</v>
      </c>
      <c r="AK37" s="21">
        <f t="shared" si="12"/>
        <v>0</v>
      </c>
      <c r="AL37" s="21">
        <f t="shared" si="13"/>
        <v>0</v>
      </c>
      <c r="AN37" s="38">
        <v>21</v>
      </c>
      <c r="AO37" s="38">
        <f>H37*1</f>
        <v>0</v>
      </c>
      <c r="AP37" s="38">
        <f>H37*(1-1)</f>
        <v>0</v>
      </c>
      <c r="AQ37" s="33" t="s">
        <v>7</v>
      </c>
      <c r="AV37" s="38">
        <f t="shared" si="14"/>
        <v>0</v>
      </c>
      <c r="AW37" s="38">
        <f t="shared" si="15"/>
        <v>0</v>
      </c>
      <c r="AX37" s="38">
        <f t="shared" si="16"/>
        <v>0</v>
      </c>
      <c r="AY37" s="39" t="s">
        <v>364</v>
      </c>
      <c r="AZ37" s="39" t="s">
        <v>377</v>
      </c>
      <c r="BA37" s="31" t="s">
        <v>392</v>
      </c>
      <c r="BC37" s="38">
        <f t="shared" si="17"/>
        <v>0</v>
      </c>
      <c r="BD37" s="38">
        <f t="shared" si="18"/>
        <v>0</v>
      </c>
      <c r="BE37" s="38">
        <v>0</v>
      </c>
      <c r="BF37" s="38">
        <f>37</f>
        <v>37</v>
      </c>
      <c r="BH37" s="21">
        <f t="shared" si="19"/>
        <v>0</v>
      </c>
      <c r="BI37" s="21">
        <f t="shared" si="20"/>
        <v>0</v>
      </c>
      <c r="BJ37" s="21">
        <f t="shared" si="21"/>
        <v>0</v>
      </c>
    </row>
    <row r="38" spans="1:62" ht="12.75">
      <c r="A38" s="6" t="s">
        <v>23</v>
      </c>
      <c r="B38" s="6" t="s">
        <v>129</v>
      </c>
      <c r="C38" s="103" t="s">
        <v>224</v>
      </c>
      <c r="D38" s="104"/>
      <c r="E38" s="104"/>
      <c r="F38" s="6" t="s">
        <v>322</v>
      </c>
      <c r="G38" s="69">
        <v>3</v>
      </c>
      <c r="H38" s="20">
        <v>0</v>
      </c>
      <c r="I38" s="20">
        <f t="shared" si="0"/>
        <v>0</v>
      </c>
      <c r="J38" s="20">
        <f t="shared" si="1"/>
        <v>0</v>
      </c>
      <c r="K38" s="20">
        <f t="shared" si="2"/>
        <v>0</v>
      </c>
      <c r="L38" s="32" t="s">
        <v>345</v>
      </c>
      <c r="Z38" s="38">
        <f t="shared" si="3"/>
        <v>0</v>
      </c>
      <c r="AB38" s="38">
        <f t="shared" si="4"/>
        <v>0</v>
      </c>
      <c r="AC38" s="38">
        <f t="shared" si="5"/>
        <v>0</v>
      </c>
      <c r="AD38" s="38">
        <f t="shared" si="6"/>
        <v>0</v>
      </c>
      <c r="AE38" s="38">
        <f t="shared" si="7"/>
        <v>0</v>
      </c>
      <c r="AF38" s="38">
        <f t="shared" si="8"/>
        <v>0</v>
      </c>
      <c r="AG38" s="38">
        <f t="shared" si="9"/>
        <v>0</v>
      </c>
      <c r="AH38" s="38">
        <f t="shared" si="10"/>
        <v>0</v>
      </c>
      <c r="AI38" s="31" t="s">
        <v>355</v>
      </c>
      <c r="AJ38" s="20">
        <f t="shared" si="11"/>
        <v>0</v>
      </c>
      <c r="AK38" s="20">
        <f t="shared" si="12"/>
        <v>0</v>
      </c>
      <c r="AL38" s="20">
        <f t="shared" si="13"/>
        <v>0</v>
      </c>
      <c r="AN38" s="38">
        <v>21</v>
      </c>
      <c r="AO38" s="38">
        <f>H38*0</f>
        <v>0</v>
      </c>
      <c r="AP38" s="38">
        <f>H38*(1-0)</f>
        <v>0</v>
      </c>
      <c r="AQ38" s="32" t="s">
        <v>7</v>
      </c>
      <c r="AV38" s="38">
        <f t="shared" si="14"/>
        <v>0</v>
      </c>
      <c r="AW38" s="38">
        <f t="shared" si="15"/>
        <v>0</v>
      </c>
      <c r="AX38" s="38">
        <f t="shared" si="16"/>
        <v>0</v>
      </c>
      <c r="AY38" s="39" t="s">
        <v>364</v>
      </c>
      <c r="AZ38" s="39" t="s">
        <v>377</v>
      </c>
      <c r="BA38" s="31" t="s">
        <v>392</v>
      </c>
      <c r="BC38" s="38">
        <f t="shared" si="17"/>
        <v>0</v>
      </c>
      <c r="BD38" s="38">
        <f t="shared" si="18"/>
        <v>0</v>
      </c>
      <c r="BE38" s="38">
        <v>0</v>
      </c>
      <c r="BF38" s="38">
        <f>38</f>
        <v>38</v>
      </c>
      <c r="BH38" s="20">
        <f t="shared" si="19"/>
        <v>0</v>
      </c>
      <c r="BI38" s="20">
        <f t="shared" si="20"/>
        <v>0</v>
      </c>
      <c r="BJ38" s="20">
        <f t="shared" si="21"/>
        <v>0</v>
      </c>
    </row>
    <row r="39" spans="1:62" ht="12.75">
      <c r="A39" s="7" t="s">
        <v>24</v>
      </c>
      <c r="B39" s="7" t="s">
        <v>130</v>
      </c>
      <c r="C39" s="107" t="s">
        <v>225</v>
      </c>
      <c r="D39" s="108"/>
      <c r="E39" s="108"/>
      <c r="F39" s="7" t="s">
        <v>322</v>
      </c>
      <c r="G39" s="70">
        <v>3</v>
      </c>
      <c r="H39" s="21">
        <v>0</v>
      </c>
      <c r="I39" s="21">
        <f t="shared" si="0"/>
        <v>0</v>
      </c>
      <c r="J39" s="21">
        <f t="shared" si="1"/>
        <v>0</v>
      </c>
      <c r="K39" s="21">
        <f t="shared" si="2"/>
        <v>0</v>
      </c>
      <c r="L39" s="33" t="s">
        <v>345</v>
      </c>
      <c r="Z39" s="38">
        <f t="shared" si="3"/>
        <v>0</v>
      </c>
      <c r="AB39" s="38">
        <f t="shared" si="4"/>
        <v>0</v>
      </c>
      <c r="AC39" s="38">
        <f t="shared" si="5"/>
        <v>0</v>
      </c>
      <c r="AD39" s="38">
        <f t="shared" si="6"/>
        <v>0</v>
      </c>
      <c r="AE39" s="38">
        <f t="shared" si="7"/>
        <v>0</v>
      </c>
      <c r="AF39" s="38">
        <f t="shared" si="8"/>
        <v>0</v>
      </c>
      <c r="AG39" s="38">
        <f t="shared" si="9"/>
        <v>0</v>
      </c>
      <c r="AH39" s="38">
        <f t="shared" si="10"/>
        <v>0</v>
      </c>
      <c r="AI39" s="31" t="s">
        <v>355</v>
      </c>
      <c r="AJ39" s="21">
        <f t="shared" si="11"/>
        <v>0</v>
      </c>
      <c r="AK39" s="21">
        <f t="shared" si="12"/>
        <v>0</v>
      </c>
      <c r="AL39" s="21">
        <f t="shared" si="13"/>
        <v>0</v>
      </c>
      <c r="AN39" s="38">
        <v>21</v>
      </c>
      <c r="AO39" s="38">
        <f>H39*1</f>
        <v>0</v>
      </c>
      <c r="AP39" s="38">
        <f>H39*(1-1)</f>
        <v>0</v>
      </c>
      <c r="AQ39" s="33" t="s">
        <v>7</v>
      </c>
      <c r="AV39" s="38">
        <f t="shared" si="14"/>
        <v>0</v>
      </c>
      <c r="AW39" s="38">
        <f t="shared" si="15"/>
        <v>0</v>
      </c>
      <c r="AX39" s="38">
        <f t="shared" si="16"/>
        <v>0</v>
      </c>
      <c r="AY39" s="39" t="s">
        <v>364</v>
      </c>
      <c r="AZ39" s="39" t="s">
        <v>377</v>
      </c>
      <c r="BA39" s="31" t="s">
        <v>392</v>
      </c>
      <c r="BC39" s="38">
        <f t="shared" si="17"/>
        <v>0</v>
      </c>
      <c r="BD39" s="38">
        <f t="shared" si="18"/>
        <v>0</v>
      </c>
      <c r="BE39" s="38">
        <v>0</v>
      </c>
      <c r="BF39" s="38">
        <f>39</f>
        <v>39</v>
      </c>
      <c r="BH39" s="21">
        <f t="shared" si="19"/>
        <v>0</v>
      </c>
      <c r="BI39" s="21">
        <f t="shared" si="20"/>
        <v>0</v>
      </c>
      <c r="BJ39" s="21">
        <f t="shared" si="21"/>
        <v>0</v>
      </c>
    </row>
    <row r="40" spans="1:62" ht="12.75">
      <c r="A40" s="6" t="s">
        <v>25</v>
      </c>
      <c r="B40" s="6" t="s">
        <v>131</v>
      </c>
      <c r="C40" s="103" t="s">
        <v>226</v>
      </c>
      <c r="D40" s="104"/>
      <c r="E40" s="104"/>
      <c r="F40" s="6" t="s">
        <v>322</v>
      </c>
      <c r="G40" s="69">
        <v>11</v>
      </c>
      <c r="H40" s="20">
        <v>0</v>
      </c>
      <c r="I40" s="20">
        <f t="shared" si="0"/>
        <v>0</v>
      </c>
      <c r="J40" s="20">
        <f t="shared" si="1"/>
        <v>0</v>
      </c>
      <c r="K40" s="20">
        <f t="shared" si="2"/>
        <v>0</v>
      </c>
      <c r="L40" s="32" t="s">
        <v>345</v>
      </c>
      <c r="Z40" s="38">
        <f t="shared" si="3"/>
        <v>0</v>
      </c>
      <c r="AB40" s="38">
        <f t="shared" si="4"/>
        <v>0</v>
      </c>
      <c r="AC40" s="38">
        <f t="shared" si="5"/>
        <v>0</v>
      </c>
      <c r="AD40" s="38">
        <f t="shared" si="6"/>
        <v>0</v>
      </c>
      <c r="AE40" s="38">
        <f t="shared" si="7"/>
        <v>0</v>
      </c>
      <c r="AF40" s="38">
        <f t="shared" si="8"/>
        <v>0</v>
      </c>
      <c r="AG40" s="38">
        <f t="shared" si="9"/>
        <v>0</v>
      </c>
      <c r="AH40" s="38">
        <f t="shared" si="10"/>
        <v>0</v>
      </c>
      <c r="AI40" s="31" t="s">
        <v>355</v>
      </c>
      <c r="AJ40" s="20">
        <f t="shared" si="11"/>
        <v>0</v>
      </c>
      <c r="AK40" s="20">
        <f t="shared" si="12"/>
        <v>0</v>
      </c>
      <c r="AL40" s="20">
        <f t="shared" si="13"/>
        <v>0</v>
      </c>
      <c r="AN40" s="38">
        <v>21</v>
      </c>
      <c r="AO40" s="38">
        <f>H40*0</f>
        <v>0</v>
      </c>
      <c r="AP40" s="38">
        <f>H40*(1-0)</f>
        <v>0</v>
      </c>
      <c r="AQ40" s="32" t="s">
        <v>7</v>
      </c>
      <c r="AV40" s="38">
        <f t="shared" si="14"/>
        <v>0</v>
      </c>
      <c r="AW40" s="38">
        <f t="shared" si="15"/>
        <v>0</v>
      </c>
      <c r="AX40" s="38">
        <f t="shared" si="16"/>
        <v>0</v>
      </c>
      <c r="AY40" s="39" t="s">
        <v>364</v>
      </c>
      <c r="AZ40" s="39" t="s">
        <v>377</v>
      </c>
      <c r="BA40" s="31" t="s">
        <v>392</v>
      </c>
      <c r="BC40" s="38">
        <f t="shared" si="17"/>
        <v>0</v>
      </c>
      <c r="BD40" s="38">
        <f t="shared" si="18"/>
        <v>0</v>
      </c>
      <c r="BE40" s="38">
        <v>0</v>
      </c>
      <c r="BF40" s="38">
        <f>40</f>
        <v>40</v>
      </c>
      <c r="BH40" s="20">
        <f t="shared" si="19"/>
        <v>0</v>
      </c>
      <c r="BI40" s="20">
        <f t="shared" si="20"/>
        <v>0</v>
      </c>
      <c r="BJ40" s="20">
        <f t="shared" si="21"/>
        <v>0</v>
      </c>
    </row>
    <row r="41" spans="1:62" ht="12.75">
      <c r="A41" s="7" t="s">
        <v>26</v>
      </c>
      <c r="B41" s="7" t="s">
        <v>132</v>
      </c>
      <c r="C41" s="107" t="s">
        <v>227</v>
      </c>
      <c r="D41" s="108"/>
      <c r="E41" s="108"/>
      <c r="F41" s="7" t="s">
        <v>322</v>
      </c>
      <c r="G41" s="70">
        <v>11</v>
      </c>
      <c r="H41" s="21">
        <v>0</v>
      </c>
      <c r="I41" s="21">
        <f t="shared" si="0"/>
        <v>0</v>
      </c>
      <c r="J41" s="21">
        <f t="shared" si="1"/>
        <v>0</v>
      </c>
      <c r="K41" s="21">
        <f t="shared" si="2"/>
        <v>0</v>
      </c>
      <c r="L41" s="33" t="s">
        <v>345</v>
      </c>
      <c r="Z41" s="38">
        <f t="shared" si="3"/>
        <v>0</v>
      </c>
      <c r="AB41" s="38">
        <f t="shared" si="4"/>
        <v>0</v>
      </c>
      <c r="AC41" s="38">
        <f t="shared" si="5"/>
        <v>0</v>
      </c>
      <c r="AD41" s="38">
        <f t="shared" si="6"/>
        <v>0</v>
      </c>
      <c r="AE41" s="38">
        <f t="shared" si="7"/>
        <v>0</v>
      </c>
      <c r="AF41" s="38">
        <f t="shared" si="8"/>
        <v>0</v>
      </c>
      <c r="AG41" s="38">
        <f t="shared" si="9"/>
        <v>0</v>
      </c>
      <c r="AH41" s="38">
        <f t="shared" si="10"/>
        <v>0</v>
      </c>
      <c r="AI41" s="31" t="s">
        <v>355</v>
      </c>
      <c r="AJ41" s="21">
        <f t="shared" si="11"/>
        <v>0</v>
      </c>
      <c r="AK41" s="21">
        <f t="shared" si="12"/>
        <v>0</v>
      </c>
      <c r="AL41" s="21">
        <f t="shared" si="13"/>
        <v>0</v>
      </c>
      <c r="AN41" s="38">
        <v>21</v>
      </c>
      <c r="AO41" s="38">
        <f>H41*1</f>
        <v>0</v>
      </c>
      <c r="AP41" s="38">
        <f>H41*(1-1)</f>
        <v>0</v>
      </c>
      <c r="AQ41" s="33" t="s">
        <v>7</v>
      </c>
      <c r="AV41" s="38">
        <f t="shared" si="14"/>
        <v>0</v>
      </c>
      <c r="AW41" s="38">
        <f t="shared" si="15"/>
        <v>0</v>
      </c>
      <c r="AX41" s="38">
        <f t="shared" si="16"/>
        <v>0</v>
      </c>
      <c r="AY41" s="39" t="s">
        <v>364</v>
      </c>
      <c r="AZ41" s="39" t="s">
        <v>377</v>
      </c>
      <c r="BA41" s="31" t="s">
        <v>392</v>
      </c>
      <c r="BC41" s="38">
        <f t="shared" si="17"/>
        <v>0</v>
      </c>
      <c r="BD41" s="38">
        <f t="shared" si="18"/>
        <v>0</v>
      </c>
      <c r="BE41" s="38">
        <v>0</v>
      </c>
      <c r="BF41" s="38">
        <f>41</f>
        <v>41</v>
      </c>
      <c r="BH41" s="21">
        <f t="shared" si="19"/>
        <v>0</v>
      </c>
      <c r="BI41" s="21">
        <f t="shared" si="20"/>
        <v>0</v>
      </c>
      <c r="BJ41" s="21">
        <f t="shared" si="21"/>
        <v>0</v>
      </c>
    </row>
    <row r="42" spans="1:47" ht="12.75">
      <c r="A42" s="5"/>
      <c r="B42" s="15" t="s">
        <v>95</v>
      </c>
      <c r="C42" s="101" t="s">
        <v>228</v>
      </c>
      <c r="D42" s="102"/>
      <c r="E42" s="102"/>
      <c r="F42" s="5" t="s">
        <v>6</v>
      </c>
      <c r="G42" s="5" t="s">
        <v>6</v>
      </c>
      <c r="H42" s="5" t="s">
        <v>6</v>
      </c>
      <c r="I42" s="41">
        <f>SUM(I43:I54)</f>
        <v>0</v>
      </c>
      <c r="J42" s="41">
        <f>SUM(J43:J54)</f>
        <v>0</v>
      </c>
      <c r="K42" s="41">
        <f>SUM(K43:K54)</f>
        <v>0</v>
      </c>
      <c r="L42" s="31"/>
      <c r="AI42" s="31" t="s">
        <v>355</v>
      </c>
      <c r="AS42" s="41">
        <f>SUM(AJ43:AJ54)</f>
        <v>0</v>
      </c>
      <c r="AT42" s="41">
        <f>SUM(AK43:AK54)</f>
        <v>0</v>
      </c>
      <c r="AU42" s="41">
        <f>SUM(AL43:AL54)</f>
        <v>0</v>
      </c>
    </row>
    <row r="43" spans="1:62" ht="12.75">
      <c r="A43" s="6" t="s">
        <v>27</v>
      </c>
      <c r="B43" s="6" t="s">
        <v>133</v>
      </c>
      <c r="C43" s="103" t="s">
        <v>229</v>
      </c>
      <c r="D43" s="104"/>
      <c r="E43" s="104"/>
      <c r="F43" s="6" t="s">
        <v>321</v>
      </c>
      <c r="G43" s="69">
        <v>90</v>
      </c>
      <c r="H43" s="20">
        <v>0</v>
      </c>
      <c r="I43" s="20">
        <f>G43*AO43</f>
        <v>0</v>
      </c>
      <c r="J43" s="20">
        <f>G43*AP43</f>
        <v>0</v>
      </c>
      <c r="K43" s="20">
        <f>G43*H43</f>
        <v>0</v>
      </c>
      <c r="L43" s="32" t="s">
        <v>345</v>
      </c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31" t="s">
        <v>355</v>
      </c>
      <c r="AJ43" s="20">
        <f>IF(AN43=0,K43,0)</f>
        <v>0</v>
      </c>
      <c r="AK43" s="20">
        <f>IF(AN43=15,K43,0)</f>
        <v>0</v>
      </c>
      <c r="AL43" s="20">
        <f>IF(AN43=21,K43,0)</f>
        <v>0</v>
      </c>
      <c r="AN43" s="38">
        <v>21</v>
      </c>
      <c r="AO43" s="38">
        <f>H43*0.325668449197861</f>
        <v>0</v>
      </c>
      <c r="AP43" s="38">
        <f>H43*(1-0.325668449197861)</f>
        <v>0</v>
      </c>
      <c r="AQ43" s="32" t="s">
        <v>7</v>
      </c>
      <c r="AV43" s="38">
        <f>AW43+AX43</f>
        <v>0</v>
      </c>
      <c r="AW43" s="38">
        <f>G43*AO43</f>
        <v>0</v>
      </c>
      <c r="AX43" s="38">
        <f>G43*AP43</f>
        <v>0</v>
      </c>
      <c r="AY43" s="39" t="s">
        <v>365</v>
      </c>
      <c r="AZ43" s="39" t="s">
        <v>377</v>
      </c>
      <c r="BA43" s="31" t="s">
        <v>392</v>
      </c>
      <c r="BC43" s="38">
        <f>AW43+AX43</f>
        <v>0</v>
      </c>
      <c r="BD43" s="38">
        <f>H43/(100-BE43)*100</f>
        <v>0</v>
      </c>
      <c r="BE43" s="38">
        <v>0</v>
      </c>
      <c r="BF43" s="38">
        <f>43</f>
        <v>43</v>
      </c>
      <c r="BH43" s="20">
        <f>G43*AO43</f>
        <v>0</v>
      </c>
      <c r="BI43" s="20">
        <f>G43*AP43</f>
        <v>0</v>
      </c>
      <c r="BJ43" s="20">
        <f>G43*H43</f>
        <v>0</v>
      </c>
    </row>
    <row r="44" spans="1:62" ht="12.75">
      <c r="A44" s="6" t="s">
        <v>28</v>
      </c>
      <c r="B44" s="6" t="s">
        <v>134</v>
      </c>
      <c r="C44" s="103" t="s">
        <v>230</v>
      </c>
      <c r="D44" s="104"/>
      <c r="E44" s="104"/>
      <c r="F44" s="6" t="s">
        <v>321</v>
      </c>
      <c r="G44" s="69">
        <v>90</v>
      </c>
      <c r="H44" s="20">
        <v>0</v>
      </c>
      <c r="I44" s="20">
        <f>G44*AO44</f>
        <v>0</v>
      </c>
      <c r="J44" s="20">
        <f>G44*AP44</f>
        <v>0</v>
      </c>
      <c r="K44" s="20">
        <f>G44*H44</f>
        <v>0</v>
      </c>
      <c r="L44" s="32" t="s">
        <v>345</v>
      </c>
      <c r="Z44" s="38">
        <f>IF(AQ44="5",BJ44,0)</f>
        <v>0</v>
      </c>
      <c r="AB44" s="38">
        <f>IF(AQ44="1",BH44,0)</f>
        <v>0</v>
      </c>
      <c r="AC44" s="38">
        <f>IF(AQ44="1",BI44,0)</f>
        <v>0</v>
      </c>
      <c r="AD44" s="38">
        <f>IF(AQ44="7",BH44,0)</f>
        <v>0</v>
      </c>
      <c r="AE44" s="38">
        <f>IF(AQ44="7",BI44,0)</f>
        <v>0</v>
      </c>
      <c r="AF44" s="38">
        <f>IF(AQ44="2",BH44,0)</f>
        <v>0</v>
      </c>
      <c r="AG44" s="38">
        <f>IF(AQ44="2",BI44,0)</f>
        <v>0</v>
      </c>
      <c r="AH44" s="38">
        <f>IF(AQ44="0",BJ44,0)</f>
        <v>0</v>
      </c>
      <c r="AI44" s="31" t="s">
        <v>355</v>
      </c>
      <c r="AJ44" s="20">
        <f>IF(AN44=0,K44,0)</f>
        <v>0</v>
      </c>
      <c r="AK44" s="20">
        <f>IF(AN44=15,K44,0)</f>
        <v>0</v>
      </c>
      <c r="AL44" s="20">
        <f>IF(AN44=21,K44,0)</f>
        <v>0</v>
      </c>
      <c r="AN44" s="38">
        <v>21</v>
      </c>
      <c r="AO44" s="38">
        <f>H44*0.233941316415543</f>
        <v>0</v>
      </c>
      <c r="AP44" s="38">
        <f>H44*(1-0.233941316415543)</f>
        <v>0</v>
      </c>
      <c r="AQ44" s="32" t="s">
        <v>7</v>
      </c>
      <c r="AV44" s="38">
        <f>AW44+AX44</f>
        <v>0</v>
      </c>
      <c r="AW44" s="38">
        <f>G44*AO44</f>
        <v>0</v>
      </c>
      <c r="AX44" s="38">
        <f>G44*AP44</f>
        <v>0</v>
      </c>
      <c r="AY44" s="39" t="s">
        <v>365</v>
      </c>
      <c r="AZ44" s="39" t="s">
        <v>377</v>
      </c>
      <c r="BA44" s="31" t="s">
        <v>392</v>
      </c>
      <c r="BC44" s="38">
        <f>AW44+AX44</f>
        <v>0</v>
      </c>
      <c r="BD44" s="38">
        <f>H44/(100-BE44)*100</f>
        <v>0</v>
      </c>
      <c r="BE44" s="38">
        <v>0</v>
      </c>
      <c r="BF44" s="38">
        <f>44</f>
        <v>44</v>
      </c>
      <c r="BH44" s="20">
        <f>G44*AO44</f>
        <v>0</v>
      </c>
      <c r="BI44" s="20">
        <f>G44*AP44</f>
        <v>0</v>
      </c>
      <c r="BJ44" s="20">
        <f>G44*H44</f>
        <v>0</v>
      </c>
    </row>
    <row r="45" spans="1:62" ht="12.75">
      <c r="A45" s="6" t="s">
        <v>29</v>
      </c>
      <c r="B45" s="6" t="s">
        <v>135</v>
      </c>
      <c r="C45" s="103" t="s">
        <v>231</v>
      </c>
      <c r="D45" s="104"/>
      <c r="E45" s="104"/>
      <c r="F45" s="6" t="s">
        <v>322</v>
      </c>
      <c r="G45" s="69">
        <v>1</v>
      </c>
      <c r="H45" s="20">
        <v>0</v>
      </c>
      <c r="I45" s="20">
        <f>G45*AO45</f>
        <v>0</v>
      </c>
      <c r="J45" s="20">
        <f>G45*AP45</f>
        <v>0</v>
      </c>
      <c r="K45" s="20">
        <f>G45*H45</f>
        <v>0</v>
      </c>
      <c r="L45" s="32" t="s">
        <v>345</v>
      </c>
      <c r="Z45" s="38">
        <f>IF(AQ45="5",BJ45,0)</f>
        <v>0</v>
      </c>
      <c r="AB45" s="38">
        <f>IF(AQ45="1",BH45,0)</f>
        <v>0</v>
      </c>
      <c r="AC45" s="38">
        <f>IF(AQ45="1",BI45,0)</f>
        <v>0</v>
      </c>
      <c r="AD45" s="38">
        <f>IF(AQ45="7",BH45,0)</f>
        <v>0</v>
      </c>
      <c r="AE45" s="38">
        <f>IF(AQ45="7",BI45,0)</f>
        <v>0</v>
      </c>
      <c r="AF45" s="38">
        <f>IF(AQ45="2",BH45,0)</f>
        <v>0</v>
      </c>
      <c r="AG45" s="38">
        <f>IF(AQ45="2",BI45,0)</f>
        <v>0</v>
      </c>
      <c r="AH45" s="38">
        <f>IF(AQ45="0",BJ45,0)</f>
        <v>0</v>
      </c>
      <c r="AI45" s="31" t="s">
        <v>355</v>
      </c>
      <c r="AJ45" s="20">
        <f>IF(AN45=0,K45,0)</f>
        <v>0</v>
      </c>
      <c r="AK45" s="20">
        <f>IF(AN45=15,K45,0)</f>
        <v>0</v>
      </c>
      <c r="AL45" s="20">
        <f>IF(AN45=21,K45,0)</f>
        <v>0</v>
      </c>
      <c r="AN45" s="38">
        <v>21</v>
      </c>
      <c r="AO45" s="38">
        <f>H45*0.940776197998947</f>
        <v>0</v>
      </c>
      <c r="AP45" s="38">
        <f>H45*(1-0.940776197998947)</f>
        <v>0</v>
      </c>
      <c r="AQ45" s="32" t="s">
        <v>7</v>
      </c>
      <c r="AV45" s="38">
        <f>AW45+AX45</f>
        <v>0</v>
      </c>
      <c r="AW45" s="38">
        <f>G45*AO45</f>
        <v>0</v>
      </c>
      <c r="AX45" s="38">
        <f>G45*AP45</f>
        <v>0</v>
      </c>
      <c r="AY45" s="39" t="s">
        <v>365</v>
      </c>
      <c r="AZ45" s="39" t="s">
        <v>377</v>
      </c>
      <c r="BA45" s="31" t="s">
        <v>392</v>
      </c>
      <c r="BC45" s="38">
        <f>AW45+AX45</f>
        <v>0</v>
      </c>
      <c r="BD45" s="38">
        <f>H45/(100-BE45)*100</f>
        <v>0</v>
      </c>
      <c r="BE45" s="38">
        <v>0</v>
      </c>
      <c r="BF45" s="38">
        <f>45</f>
        <v>45</v>
      </c>
      <c r="BH45" s="20">
        <f>G45*AO45</f>
        <v>0</v>
      </c>
      <c r="BI45" s="20">
        <f>G45*AP45</f>
        <v>0</v>
      </c>
      <c r="BJ45" s="20">
        <f>G45*H45</f>
        <v>0</v>
      </c>
    </row>
    <row r="46" spans="2:12" ht="12.75">
      <c r="B46" s="16" t="s">
        <v>116</v>
      </c>
      <c r="C46" s="105" t="s">
        <v>232</v>
      </c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62" ht="12.75">
      <c r="A47" s="6" t="s">
        <v>30</v>
      </c>
      <c r="B47" s="6" t="s">
        <v>136</v>
      </c>
      <c r="C47" s="103" t="s">
        <v>233</v>
      </c>
      <c r="D47" s="104"/>
      <c r="E47" s="104"/>
      <c r="F47" s="6" t="s">
        <v>320</v>
      </c>
      <c r="G47" s="69">
        <v>1.35</v>
      </c>
      <c r="H47" s="20">
        <v>0</v>
      </c>
      <c r="I47" s="20">
        <f>G47*AO47</f>
        <v>0</v>
      </c>
      <c r="J47" s="20">
        <f>G47*AP47</f>
        <v>0</v>
      </c>
      <c r="K47" s="20">
        <f>G47*H47</f>
        <v>0</v>
      </c>
      <c r="L47" s="32" t="s">
        <v>345</v>
      </c>
      <c r="Z47" s="38">
        <f>IF(AQ47="5",BJ47,0)</f>
        <v>0</v>
      </c>
      <c r="AB47" s="38">
        <f>IF(AQ47="1",BH47,0)</f>
        <v>0</v>
      </c>
      <c r="AC47" s="38">
        <f>IF(AQ47="1",BI47,0)</f>
        <v>0</v>
      </c>
      <c r="AD47" s="38">
        <f>IF(AQ47="7",BH47,0)</f>
        <v>0</v>
      </c>
      <c r="AE47" s="38">
        <f>IF(AQ47="7",BI47,0)</f>
        <v>0</v>
      </c>
      <c r="AF47" s="38">
        <f>IF(AQ47="2",BH47,0)</f>
        <v>0</v>
      </c>
      <c r="AG47" s="38">
        <f>IF(AQ47="2",BI47,0)</f>
        <v>0</v>
      </c>
      <c r="AH47" s="38">
        <f>IF(AQ47="0",BJ47,0)</f>
        <v>0</v>
      </c>
      <c r="AI47" s="31" t="s">
        <v>355</v>
      </c>
      <c r="AJ47" s="20">
        <f>IF(AN47=0,K47,0)</f>
        <v>0</v>
      </c>
      <c r="AK47" s="20">
        <f>IF(AN47=15,K47,0)</f>
        <v>0</v>
      </c>
      <c r="AL47" s="20">
        <f>IF(AN47=21,K47,0)</f>
        <v>0</v>
      </c>
      <c r="AN47" s="38">
        <v>21</v>
      </c>
      <c r="AO47" s="38">
        <f>H47*0.835663265306122</f>
        <v>0</v>
      </c>
      <c r="AP47" s="38">
        <f>H47*(1-0.835663265306122)</f>
        <v>0</v>
      </c>
      <c r="AQ47" s="32" t="s">
        <v>7</v>
      </c>
      <c r="AV47" s="38">
        <f>AW47+AX47</f>
        <v>0</v>
      </c>
      <c r="AW47" s="38">
        <f>G47*AO47</f>
        <v>0</v>
      </c>
      <c r="AX47" s="38">
        <f>G47*AP47</f>
        <v>0</v>
      </c>
      <c r="AY47" s="39" t="s">
        <v>365</v>
      </c>
      <c r="AZ47" s="39" t="s">
        <v>377</v>
      </c>
      <c r="BA47" s="31" t="s">
        <v>392</v>
      </c>
      <c r="BC47" s="38">
        <f>AW47+AX47</f>
        <v>0</v>
      </c>
      <c r="BD47" s="38">
        <f>H47/(100-BE47)*100</f>
        <v>0</v>
      </c>
      <c r="BE47" s="38">
        <v>0</v>
      </c>
      <c r="BF47" s="38">
        <f>47</f>
        <v>47</v>
      </c>
      <c r="BH47" s="20">
        <f>G47*AO47</f>
        <v>0</v>
      </c>
      <c r="BI47" s="20">
        <f>G47*AP47</f>
        <v>0</v>
      </c>
      <c r="BJ47" s="20">
        <f>G47*H47</f>
        <v>0</v>
      </c>
    </row>
    <row r="48" spans="1:62" ht="12.75">
      <c r="A48" s="6" t="s">
        <v>31</v>
      </c>
      <c r="B48" s="6" t="s">
        <v>137</v>
      </c>
      <c r="C48" s="103" t="s">
        <v>234</v>
      </c>
      <c r="D48" s="104"/>
      <c r="E48" s="104"/>
      <c r="F48" s="6" t="s">
        <v>323</v>
      </c>
      <c r="G48" s="69">
        <v>13.5</v>
      </c>
      <c r="H48" s="20">
        <v>0</v>
      </c>
      <c r="I48" s="20">
        <f>G48*AO48</f>
        <v>0</v>
      </c>
      <c r="J48" s="20">
        <f>G48*AP48</f>
        <v>0</v>
      </c>
      <c r="K48" s="20">
        <f>G48*H48</f>
        <v>0</v>
      </c>
      <c r="L48" s="32" t="s">
        <v>345</v>
      </c>
      <c r="Z48" s="38">
        <f>IF(AQ48="5",BJ48,0)</f>
        <v>0</v>
      </c>
      <c r="AB48" s="38">
        <f>IF(AQ48="1",BH48,0)</f>
        <v>0</v>
      </c>
      <c r="AC48" s="38">
        <f>IF(AQ48="1",BI48,0)</f>
        <v>0</v>
      </c>
      <c r="AD48" s="38">
        <f>IF(AQ48="7",BH48,0)</f>
        <v>0</v>
      </c>
      <c r="AE48" s="38">
        <f>IF(AQ48="7",BI48,0)</f>
        <v>0</v>
      </c>
      <c r="AF48" s="38">
        <f>IF(AQ48="2",BH48,0)</f>
        <v>0</v>
      </c>
      <c r="AG48" s="38">
        <f>IF(AQ48="2",BI48,0)</f>
        <v>0</v>
      </c>
      <c r="AH48" s="38">
        <f>IF(AQ48="0",BJ48,0)</f>
        <v>0</v>
      </c>
      <c r="AI48" s="31" t="s">
        <v>355</v>
      </c>
      <c r="AJ48" s="20">
        <f>IF(AN48=0,K48,0)</f>
        <v>0</v>
      </c>
      <c r="AK48" s="20">
        <f>IF(AN48=15,K48,0)</f>
        <v>0</v>
      </c>
      <c r="AL48" s="20">
        <f>IF(AN48=21,K48,0)</f>
        <v>0</v>
      </c>
      <c r="AN48" s="38">
        <v>21</v>
      </c>
      <c r="AO48" s="38">
        <f>H48*0.126911764705882</f>
        <v>0</v>
      </c>
      <c r="AP48" s="38">
        <f>H48*(1-0.126911764705882)</f>
        <v>0</v>
      </c>
      <c r="AQ48" s="32" t="s">
        <v>7</v>
      </c>
      <c r="AV48" s="38">
        <f>AW48+AX48</f>
        <v>0</v>
      </c>
      <c r="AW48" s="38">
        <f>G48*AO48</f>
        <v>0</v>
      </c>
      <c r="AX48" s="38">
        <f>G48*AP48</f>
        <v>0</v>
      </c>
      <c r="AY48" s="39" t="s">
        <v>365</v>
      </c>
      <c r="AZ48" s="39" t="s">
        <v>377</v>
      </c>
      <c r="BA48" s="31" t="s">
        <v>392</v>
      </c>
      <c r="BC48" s="38">
        <f>AW48+AX48</f>
        <v>0</v>
      </c>
      <c r="BD48" s="38">
        <f>H48/(100-BE48)*100</f>
        <v>0</v>
      </c>
      <c r="BE48" s="38">
        <v>0</v>
      </c>
      <c r="BF48" s="38">
        <f>48</f>
        <v>48</v>
      </c>
      <c r="BH48" s="20">
        <f>G48*AO48</f>
        <v>0</v>
      </c>
      <c r="BI48" s="20">
        <f>G48*AP48</f>
        <v>0</v>
      </c>
      <c r="BJ48" s="20">
        <f>G48*H48</f>
        <v>0</v>
      </c>
    </row>
    <row r="49" spans="1:62" ht="12.75">
      <c r="A49" s="6" t="s">
        <v>32</v>
      </c>
      <c r="B49" s="6" t="s">
        <v>138</v>
      </c>
      <c r="C49" s="103" t="s">
        <v>235</v>
      </c>
      <c r="D49" s="104"/>
      <c r="E49" s="104"/>
      <c r="F49" s="6" t="s">
        <v>319</v>
      </c>
      <c r="G49" s="69">
        <v>1</v>
      </c>
      <c r="H49" s="20">
        <v>0</v>
      </c>
      <c r="I49" s="20">
        <f>G49*AO49</f>
        <v>0</v>
      </c>
      <c r="J49" s="20">
        <f>G49*AP49</f>
        <v>0</v>
      </c>
      <c r="K49" s="20">
        <f>G49*H49</f>
        <v>0</v>
      </c>
      <c r="L49" s="32"/>
      <c r="Z49" s="38">
        <f>IF(AQ49="5",BJ49,0)</f>
        <v>0</v>
      </c>
      <c r="AB49" s="38">
        <f>IF(AQ49="1",BH49,0)</f>
        <v>0</v>
      </c>
      <c r="AC49" s="38">
        <f>IF(AQ49="1",BI49,0)</f>
        <v>0</v>
      </c>
      <c r="AD49" s="38">
        <f>IF(AQ49="7",BH49,0)</f>
        <v>0</v>
      </c>
      <c r="AE49" s="38">
        <f>IF(AQ49="7",BI49,0)</f>
        <v>0</v>
      </c>
      <c r="AF49" s="38">
        <f>IF(AQ49="2",BH49,0)</f>
        <v>0</v>
      </c>
      <c r="AG49" s="38">
        <f>IF(AQ49="2",BI49,0)</f>
        <v>0</v>
      </c>
      <c r="AH49" s="38">
        <f>IF(AQ49="0",BJ49,0)</f>
        <v>0</v>
      </c>
      <c r="AI49" s="31" t="s">
        <v>355</v>
      </c>
      <c r="AJ49" s="20">
        <f>IF(AN49=0,K49,0)</f>
        <v>0</v>
      </c>
      <c r="AK49" s="20">
        <f>IF(AN49=15,K49,0)</f>
        <v>0</v>
      </c>
      <c r="AL49" s="20">
        <f>IF(AN49=21,K49,0)</f>
        <v>0</v>
      </c>
      <c r="AN49" s="38">
        <v>21</v>
      </c>
      <c r="AO49" s="38">
        <f>H49*0.8</f>
        <v>0</v>
      </c>
      <c r="AP49" s="38">
        <f>H49*(1-0.8)</f>
        <v>0</v>
      </c>
      <c r="AQ49" s="32" t="s">
        <v>7</v>
      </c>
      <c r="AV49" s="38">
        <f>AW49+AX49</f>
        <v>0</v>
      </c>
      <c r="AW49" s="38">
        <f>G49*AO49</f>
        <v>0</v>
      </c>
      <c r="AX49" s="38">
        <f>G49*AP49</f>
        <v>0</v>
      </c>
      <c r="AY49" s="39" t="s">
        <v>365</v>
      </c>
      <c r="AZ49" s="39" t="s">
        <v>377</v>
      </c>
      <c r="BA49" s="31" t="s">
        <v>392</v>
      </c>
      <c r="BC49" s="38">
        <f>AW49+AX49</f>
        <v>0</v>
      </c>
      <c r="BD49" s="38">
        <f>H49/(100-BE49)*100</f>
        <v>0</v>
      </c>
      <c r="BE49" s="38">
        <v>0</v>
      </c>
      <c r="BF49" s="38">
        <f>49</f>
        <v>49</v>
      </c>
      <c r="BH49" s="20">
        <f>G49*AO49</f>
        <v>0</v>
      </c>
      <c r="BI49" s="20">
        <f>G49*AP49</f>
        <v>0</v>
      </c>
      <c r="BJ49" s="20">
        <f>G49*H49</f>
        <v>0</v>
      </c>
    </row>
    <row r="50" spans="2:12" ht="12.75">
      <c r="B50" s="16" t="s">
        <v>116</v>
      </c>
      <c r="C50" s="105" t="s">
        <v>236</v>
      </c>
      <c r="D50" s="106"/>
      <c r="E50" s="106"/>
      <c r="F50" s="106"/>
      <c r="G50" s="106"/>
      <c r="H50" s="106"/>
      <c r="I50" s="106"/>
      <c r="J50" s="106"/>
      <c r="K50" s="106"/>
      <c r="L50" s="106"/>
    </row>
    <row r="51" spans="1:62" ht="12.75">
      <c r="A51" s="6" t="s">
        <v>33</v>
      </c>
      <c r="B51" s="6" t="s">
        <v>139</v>
      </c>
      <c r="C51" s="103" t="s">
        <v>237</v>
      </c>
      <c r="D51" s="104"/>
      <c r="E51" s="104"/>
      <c r="F51" s="6" t="s">
        <v>322</v>
      </c>
      <c r="G51" s="69">
        <v>1</v>
      </c>
      <c r="H51" s="20">
        <v>0</v>
      </c>
      <c r="I51" s="20">
        <f>G51*AO51</f>
        <v>0</v>
      </c>
      <c r="J51" s="20">
        <f>G51*AP51</f>
        <v>0</v>
      </c>
      <c r="K51" s="20">
        <f>G51*H51</f>
        <v>0</v>
      </c>
      <c r="L51" s="32" t="s">
        <v>345</v>
      </c>
      <c r="Z51" s="38">
        <f>IF(AQ51="5",BJ51,0)</f>
        <v>0</v>
      </c>
      <c r="AB51" s="38">
        <f>IF(AQ51="1",BH51,0)</f>
        <v>0</v>
      </c>
      <c r="AC51" s="38">
        <f>IF(AQ51="1",BI51,0)</f>
        <v>0</v>
      </c>
      <c r="AD51" s="38">
        <f>IF(AQ51="7",BH51,0)</f>
        <v>0</v>
      </c>
      <c r="AE51" s="38">
        <f>IF(AQ51="7",BI51,0)</f>
        <v>0</v>
      </c>
      <c r="AF51" s="38">
        <f>IF(AQ51="2",BH51,0)</f>
        <v>0</v>
      </c>
      <c r="AG51" s="38">
        <f>IF(AQ51="2",BI51,0)</f>
        <v>0</v>
      </c>
      <c r="AH51" s="38">
        <f>IF(AQ51="0",BJ51,0)</f>
        <v>0</v>
      </c>
      <c r="AI51" s="31" t="s">
        <v>355</v>
      </c>
      <c r="AJ51" s="20">
        <f>IF(AN51=0,K51,0)</f>
        <v>0</v>
      </c>
      <c r="AK51" s="20">
        <f>IF(AN51=15,K51,0)</f>
        <v>0</v>
      </c>
      <c r="AL51" s="20">
        <f>IF(AN51=21,K51,0)</f>
        <v>0</v>
      </c>
      <c r="AN51" s="38">
        <v>21</v>
      </c>
      <c r="AO51" s="38">
        <f>H51*0</f>
        <v>0</v>
      </c>
      <c r="AP51" s="38">
        <f>H51*(1-0)</f>
        <v>0</v>
      </c>
      <c r="AQ51" s="32" t="s">
        <v>7</v>
      </c>
      <c r="AV51" s="38">
        <f>AW51+AX51</f>
        <v>0</v>
      </c>
      <c r="AW51" s="38">
        <f>G51*AO51</f>
        <v>0</v>
      </c>
      <c r="AX51" s="38">
        <f>G51*AP51</f>
        <v>0</v>
      </c>
      <c r="AY51" s="39" t="s">
        <v>365</v>
      </c>
      <c r="AZ51" s="39" t="s">
        <v>377</v>
      </c>
      <c r="BA51" s="31" t="s">
        <v>392</v>
      </c>
      <c r="BC51" s="38">
        <f>AW51+AX51</f>
        <v>0</v>
      </c>
      <c r="BD51" s="38">
        <f>H51/(100-BE51)*100</f>
        <v>0</v>
      </c>
      <c r="BE51" s="38">
        <v>0</v>
      </c>
      <c r="BF51" s="38">
        <f>51</f>
        <v>51</v>
      </c>
      <c r="BH51" s="20">
        <f>G51*AO51</f>
        <v>0</v>
      </c>
      <c r="BI51" s="20">
        <f>G51*AP51</f>
        <v>0</v>
      </c>
      <c r="BJ51" s="20">
        <f>G51*H51</f>
        <v>0</v>
      </c>
    </row>
    <row r="52" spans="1:62" ht="12.75">
      <c r="A52" s="7" t="s">
        <v>34</v>
      </c>
      <c r="B52" s="7" t="s">
        <v>140</v>
      </c>
      <c r="C52" s="107" t="s">
        <v>238</v>
      </c>
      <c r="D52" s="108"/>
      <c r="E52" s="108"/>
      <c r="F52" s="7" t="s">
        <v>322</v>
      </c>
      <c r="G52" s="70">
        <v>1</v>
      </c>
      <c r="H52" s="21">
        <v>0</v>
      </c>
      <c r="I52" s="21">
        <f>G52*AO52</f>
        <v>0</v>
      </c>
      <c r="J52" s="21">
        <f>G52*AP52</f>
        <v>0</v>
      </c>
      <c r="K52" s="21">
        <f>G52*H52</f>
        <v>0</v>
      </c>
      <c r="L52" s="33" t="s">
        <v>345</v>
      </c>
      <c r="Z52" s="38">
        <f>IF(AQ52="5",BJ52,0)</f>
        <v>0</v>
      </c>
      <c r="AB52" s="38">
        <f>IF(AQ52="1",BH52,0)</f>
        <v>0</v>
      </c>
      <c r="AC52" s="38">
        <f>IF(AQ52="1",BI52,0)</f>
        <v>0</v>
      </c>
      <c r="AD52" s="38">
        <f>IF(AQ52="7",BH52,0)</f>
        <v>0</v>
      </c>
      <c r="AE52" s="38">
        <f>IF(AQ52="7",BI52,0)</f>
        <v>0</v>
      </c>
      <c r="AF52" s="38">
        <f>IF(AQ52="2",BH52,0)</f>
        <v>0</v>
      </c>
      <c r="AG52" s="38">
        <f>IF(AQ52="2",BI52,0)</f>
        <v>0</v>
      </c>
      <c r="AH52" s="38">
        <f>IF(AQ52="0",BJ52,0)</f>
        <v>0</v>
      </c>
      <c r="AI52" s="31" t="s">
        <v>355</v>
      </c>
      <c r="AJ52" s="21">
        <f>IF(AN52=0,K52,0)</f>
        <v>0</v>
      </c>
      <c r="AK52" s="21">
        <f>IF(AN52=15,K52,0)</f>
        <v>0</v>
      </c>
      <c r="AL52" s="21">
        <f>IF(AN52=21,K52,0)</f>
        <v>0</v>
      </c>
      <c r="AN52" s="38">
        <v>21</v>
      </c>
      <c r="AO52" s="38">
        <f>H52*1</f>
        <v>0</v>
      </c>
      <c r="AP52" s="38">
        <f>H52*(1-1)</f>
        <v>0</v>
      </c>
      <c r="AQ52" s="33" t="s">
        <v>7</v>
      </c>
      <c r="AV52" s="38">
        <f>AW52+AX52</f>
        <v>0</v>
      </c>
      <c r="AW52" s="38">
        <f>G52*AO52</f>
        <v>0</v>
      </c>
      <c r="AX52" s="38">
        <f>G52*AP52</f>
        <v>0</v>
      </c>
      <c r="AY52" s="39" t="s">
        <v>365</v>
      </c>
      <c r="AZ52" s="39" t="s">
        <v>377</v>
      </c>
      <c r="BA52" s="31" t="s">
        <v>392</v>
      </c>
      <c r="BC52" s="38">
        <f>AW52+AX52</f>
        <v>0</v>
      </c>
      <c r="BD52" s="38">
        <f>H52/(100-BE52)*100</f>
        <v>0</v>
      </c>
      <c r="BE52" s="38">
        <v>0</v>
      </c>
      <c r="BF52" s="38">
        <f>52</f>
        <v>52</v>
      </c>
      <c r="BH52" s="21">
        <f>G52*AO52</f>
        <v>0</v>
      </c>
      <c r="BI52" s="21">
        <f>G52*AP52</f>
        <v>0</v>
      </c>
      <c r="BJ52" s="21">
        <f>G52*H52</f>
        <v>0</v>
      </c>
    </row>
    <row r="53" spans="1:62" ht="12.75">
      <c r="A53" s="6" t="s">
        <v>35</v>
      </c>
      <c r="B53" s="6" t="s">
        <v>141</v>
      </c>
      <c r="C53" s="103" t="s">
        <v>239</v>
      </c>
      <c r="D53" s="104"/>
      <c r="E53" s="104"/>
      <c r="F53" s="6" t="s">
        <v>321</v>
      </c>
      <c r="G53" s="69">
        <v>90</v>
      </c>
      <c r="H53" s="20">
        <v>0</v>
      </c>
      <c r="I53" s="20">
        <f>G53*AO53</f>
        <v>0</v>
      </c>
      <c r="J53" s="20">
        <f>G53*AP53</f>
        <v>0</v>
      </c>
      <c r="K53" s="20">
        <f>G53*H53</f>
        <v>0</v>
      </c>
      <c r="L53" s="32" t="s">
        <v>345</v>
      </c>
      <c r="Z53" s="38">
        <f>IF(AQ53="5",BJ53,0)</f>
        <v>0</v>
      </c>
      <c r="AB53" s="38">
        <f>IF(AQ53="1",BH53,0)</f>
        <v>0</v>
      </c>
      <c r="AC53" s="38">
        <f>IF(AQ53="1",BI53,0)</f>
        <v>0</v>
      </c>
      <c r="AD53" s="38">
        <f>IF(AQ53="7",BH53,0)</f>
        <v>0</v>
      </c>
      <c r="AE53" s="38">
        <f>IF(AQ53="7",BI53,0)</f>
        <v>0</v>
      </c>
      <c r="AF53" s="38">
        <f>IF(AQ53="2",BH53,0)</f>
        <v>0</v>
      </c>
      <c r="AG53" s="38">
        <f>IF(AQ53="2",BI53,0)</f>
        <v>0</v>
      </c>
      <c r="AH53" s="38">
        <f>IF(AQ53="0",BJ53,0)</f>
        <v>0</v>
      </c>
      <c r="AI53" s="31" t="s">
        <v>355</v>
      </c>
      <c r="AJ53" s="20">
        <f>IF(AN53=0,K53,0)</f>
        <v>0</v>
      </c>
      <c r="AK53" s="20">
        <f>IF(AN53=15,K53,0)</f>
        <v>0</v>
      </c>
      <c r="AL53" s="20">
        <f>IF(AN53=21,K53,0)</f>
        <v>0</v>
      </c>
      <c r="AN53" s="38">
        <v>21</v>
      </c>
      <c r="AO53" s="38">
        <f>H53*0.00547945205479452</f>
        <v>0</v>
      </c>
      <c r="AP53" s="38">
        <f>H53*(1-0.00547945205479452)</f>
        <v>0</v>
      </c>
      <c r="AQ53" s="32" t="s">
        <v>7</v>
      </c>
      <c r="AV53" s="38">
        <f>AW53+AX53</f>
        <v>0</v>
      </c>
      <c r="AW53" s="38">
        <f>G53*AO53</f>
        <v>0</v>
      </c>
      <c r="AX53" s="38">
        <f>G53*AP53</f>
        <v>0</v>
      </c>
      <c r="AY53" s="39" t="s">
        <v>365</v>
      </c>
      <c r="AZ53" s="39" t="s">
        <v>377</v>
      </c>
      <c r="BA53" s="31" t="s">
        <v>392</v>
      </c>
      <c r="BC53" s="38">
        <f>AW53+AX53</f>
        <v>0</v>
      </c>
      <c r="BD53" s="38">
        <f>H53/(100-BE53)*100</f>
        <v>0</v>
      </c>
      <c r="BE53" s="38">
        <v>0</v>
      </c>
      <c r="BF53" s="38">
        <f>53</f>
        <v>53</v>
      </c>
      <c r="BH53" s="20">
        <f>G53*AO53</f>
        <v>0</v>
      </c>
      <c r="BI53" s="20">
        <f>G53*AP53</f>
        <v>0</v>
      </c>
      <c r="BJ53" s="20">
        <f>G53*H53</f>
        <v>0</v>
      </c>
    </row>
    <row r="54" spans="1:62" ht="12.75">
      <c r="A54" s="6" t="s">
        <v>36</v>
      </c>
      <c r="B54" s="6" t="s">
        <v>142</v>
      </c>
      <c r="C54" s="103" t="s">
        <v>240</v>
      </c>
      <c r="D54" s="104"/>
      <c r="E54" s="104"/>
      <c r="F54" s="6" t="s">
        <v>321</v>
      </c>
      <c r="G54" s="69">
        <v>90</v>
      </c>
      <c r="H54" s="20">
        <v>0</v>
      </c>
      <c r="I54" s="20">
        <f>G54*AO54</f>
        <v>0</v>
      </c>
      <c r="J54" s="20">
        <f>G54*AP54</f>
        <v>0</v>
      </c>
      <c r="K54" s="20">
        <f>G54*H54</f>
        <v>0</v>
      </c>
      <c r="L54" s="32" t="s">
        <v>345</v>
      </c>
      <c r="Z54" s="38">
        <f>IF(AQ54="5",BJ54,0)</f>
        <v>0</v>
      </c>
      <c r="AB54" s="38">
        <f>IF(AQ54="1",BH54,0)</f>
        <v>0</v>
      </c>
      <c r="AC54" s="38">
        <f>IF(AQ54="1",BI54,0)</f>
        <v>0</v>
      </c>
      <c r="AD54" s="38">
        <f>IF(AQ54="7",BH54,0)</f>
        <v>0</v>
      </c>
      <c r="AE54" s="38">
        <f>IF(AQ54="7",BI54,0)</f>
        <v>0</v>
      </c>
      <c r="AF54" s="38">
        <f>IF(AQ54="2",BH54,0)</f>
        <v>0</v>
      </c>
      <c r="AG54" s="38">
        <f>IF(AQ54="2",BI54,0)</f>
        <v>0</v>
      </c>
      <c r="AH54" s="38">
        <f>IF(AQ54="0",BJ54,0)</f>
        <v>0</v>
      </c>
      <c r="AI54" s="31" t="s">
        <v>355</v>
      </c>
      <c r="AJ54" s="20">
        <f>IF(AN54=0,K54,0)</f>
        <v>0</v>
      </c>
      <c r="AK54" s="20">
        <f>IF(AN54=15,K54,0)</f>
        <v>0</v>
      </c>
      <c r="AL54" s="20">
        <f>IF(AN54=21,K54,0)</f>
        <v>0</v>
      </c>
      <c r="AN54" s="38">
        <v>21</v>
      </c>
      <c r="AO54" s="38">
        <f>H54*0.0231481481481481</f>
        <v>0</v>
      </c>
      <c r="AP54" s="38">
        <f>H54*(1-0.0231481481481481)</f>
        <v>0</v>
      </c>
      <c r="AQ54" s="32" t="s">
        <v>7</v>
      </c>
      <c r="AV54" s="38">
        <f>AW54+AX54</f>
        <v>0</v>
      </c>
      <c r="AW54" s="38">
        <f>G54*AO54</f>
        <v>0</v>
      </c>
      <c r="AX54" s="38">
        <f>G54*AP54</f>
        <v>0</v>
      </c>
      <c r="AY54" s="39" t="s">
        <v>365</v>
      </c>
      <c r="AZ54" s="39" t="s">
        <v>377</v>
      </c>
      <c r="BA54" s="31" t="s">
        <v>392</v>
      </c>
      <c r="BC54" s="38">
        <f>AW54+AX54</f>
        <v>0</v>
      </c>
      <c r="BD54" s="38">
        <f>H54/(100-BE54)*100</f>
        <v>0</v>
      </c>
      <c r="BE54" s="38">
        <v>0</v>
      </c>
      <c r="BF54" s="38">
        <f>54</f>
        <v>54</v>
      </c>
      <c r="BH54" s="20">
        <f>G54*AO54</f>
        <v>0</v>
      </c>
      <c r="BI54" s="20">
        <f>G54*AP54</f>
        <v>0</v>
      </c>
      <c r="BJ54" s="20">
        <f>G54*H54</f>
        <v>0</v>
      </c>
    </row>
    <row r="55" spans="1:47" ht="12.75">
      <c r="A55" s="5"/>
      <c r="B55" s="15" t="s">
        <v>143</v>
      </c>
      <c r="C55" s="101" t="s">
        <v>241</v>
      </c>
      <c r="D55" s="102"/>
      <c r="E55" s="102"/>
      <c r="F55" s="5" t="s">
        <v>6</v>
      </c>
      <c r="G55" s="5" t="s">
        <v>6</v>
      </c>
      <c r="H55" s="5" t="s">
        <v>6</v>
      </c>
      <c r="I55" s="41">
        <f>SUM(I56:I56)</f>
        <v>0</v>
      </c>
      <c r="J55" s="41">
        <f>SUM(J56:J56)</f>
        <v>0</v>
      </c>
      <c r="K55" s="41">
        <f>SUM(K56:K56)</f>
        <v>0</v>
      </c>
      <c r="L55" s="31"/>
      <c r="AI55" s="31" t="s">
        <v>355</v>
      </c>
      <c r="AS55" s="41">
        <f>SUM(AJ56:AJ56)</f>
        <v>0</v>
      </c>
      <c r="AT55" s="41">
        <f>SUM(AK56:AK56)</f>
        <v>0</v>
      </c>
      <c r="AU55" s="41">
        <f>SUM(AL56:AL56)</f>
        <v>0</v>
      </c>
    </row>
    <row r="56" spans="1:62" ht="12.75">
      <c r="A56" s="6" t="s">
        <v>37</v>
      </c>
      <c r="B56" s="6" t="s">
        <v>144</v>
      </c>
      <c r="C56" s="103" t="s">
        <v>242</v>
      </c>
      <c r="D56" s="104"/>
      <c r="E56" s="104"/>
      <c r="F56" s="6" t="s">
        <v>324</v>
      </c>
      <c r="G56" s="69">
        <v>144.059</v>
      </c>
      <c r="H56" s="20">
        <v>0</v>
      </c>
      <c r="I56" s="20">
        <f>G56*AO56</f>
        <v>0</v>
      </c>
      <c r="J56" s="20">
        <f>G56*AP56</f>
        <v>0</v>
      </c>
      <c r="K56" s="20">
        <f>G56*H56</f>
        <v>0</v>
      </c>
      <c r="L56" s="32" t="s">
        <v>345</v>
      </c>
      <c r="Z56" s="38">
        <f>IF(AQ56="5",BJ56,0)</f>
        <v>0</v>
      </c>
      <c r="AB56" s="38">
        <f>IF(AQ56="1",BH56,0)</f>
        <v>0</v>
      </c>
      <c r="AC56" s="38">
        <f>IF(AQ56="1",BI56,0)</f>
        <v>0</v>
      </c>
      <c r="AD56" s="38">
        <f>IF(AQ56="7",BH56,0)</f>
        <v>0</v>
      </c>
      <c r="AE56" s="38">
        <f>IF(AQ56="7",BI56,0)</f>
        <v>0</v>
      </c>
      <c r="AF56" s="38">
        <f>IF(AQ56="2",BH56,0)</f>
        <v>0</v>
      </c>
      <c r="AG56" s="38">
        <f>IF(AQ56="2",BI56,0)</f>
        <v>0</v>
      </c>
      <c r="AH56" s="38">
        <f>IF(AQ56="0",BJ56,0)</f>
        <v>0</v>
      </c>
      <c r="AI56" s="31" t="s">
        <v>355</v>
      </c>
      <c r="AJ56" s="20">
        <f>IF(AN56=0,K56,0)</f>
        <v>0</v>
      </c>
      <c r="AK56" s="20">
        <f>IF(AN56=15,K56,0)</f>
        <v>0</v>
      </c>
      <c r="AL56" s="20">
        <f>IF(AN56=21,K56,0)</f>
        <v>0</v>
      </c>
      <c r="AN56" s="38">
        <v>21</v>
      </c>
      <c r="AO56" s="38">
        <f>H56*0</f>
        <v>0</v>
      </c>
      <c r="AP56" s="38">
        <f>H56*(1-0)</f>
        <v>0</v>
      </c>
      <c r="AQ56" s="32" t="s">
        <v>11</v>
      </c>
      <c r="AV56" s="38">
        <f>AW56+AX56</f>
        <v>0</v>
      </c>
      <c r="AW56" s="38">
        <f>G56*AO56</f>
        <v>0</v>
      </c>
      <c r="AX56" s="38">
        <f>G56*AP56</f>
        <v>0</v>
      </c>
      <c r="AY56" s="39" t="s">
        <v>366</v>
      </c>
      <c r="AZ56" s="39" t="s">
        <v>378</v>
      </c>
      <c r="BA56" s="31" t="s">
        <v>392</v>
      </c>
      <c r="BC56" s="38">
        <f>AW56+AX56</f>
        <v>0</v>
      </c>
      <c r="BD56" s="38">
        <f>H56/(100-BE56)*100</f>
        <v>0</v>
      </c>
      <c r="BE56" s="38">
        <v>0</v>
      </c>
      <c r="BF56" s="38">
        <f>56</f>
        <v>56</v>
      </c>
      <c r="BH56" s="20">
        <f>G56*AO56</f>
        <v>0</v>
      </c>
      <c r="BI56" s="20">
        <f>G56*AP56</f>
        <v>0</v>
      </c>
      <c r="BJ56" s="20">
        <f>G56*H56</f>
        <v>0</v>
      </c>
    </row>
    <row r="57" spans="1:12" ht="12.75">
      <c r="A57" s="8"/>
      <c r="B57" s="17"/>
      <c r="C57" s="109" t="s">
        <v>243</v>
      </c>
      <c r="D57" s="110"/>
      <c r="E57" s="110"/>
      <c r="F57" s="8" t="s">
        <v>6</v>
      </c>
      <c r="G57" s="8" t="s">
        <v>6</v>
      </c>
      <c r="H57" s="8" t="s">
        <v>6</v>
      </c>
      <c r="I57" s="42">
        <f>I58+I64+I67+I72+I75+I83+I85+I87+I89+I92+I99+I106</f>
        <v>0</v>
      </c>
      <c r="J57" s="42">
        <f>J58+J64+J67+J72+J75+J83+J85+J87+J89+J92+J99+J106</f>
        <v>0</v>
      </c>
      <c r="K57" s="42">
        <f>K58+K64+K67+K72+K75+K83+K85+K87+K89+K92+K99+K106</f>
        <v>0</v>
      </c>
      <c r="L57" s="34"/>
    </row>
    <row r="58" spans="1:47" ht="12.75">
      <c r="A58" s="5"/>
      <c r="B58" s="15" t="s">
        <v>17</v>
      </c>
      <c r="C58" s="101" t="s">
        <v>199</v>
      </c>
      <c r="D58" s="102"/>
      <c r="E58" s="102"/>
      <c r="F58" s="5" t="s">
        <v>6</v>
      </c>
      <c r="G58" s="5" t="s">
        <v>6</v>
      </c>
      <c r="H58" s="5" t="s">
        <v>6</v>
      </c>
      <c r="I58" s="41">
        <f>SUM(I59:I63)</f>
        <v>0</v>
      </c>
      <c r="J58" s="41">
        <f>SUM(J59:J63)</f>
        <v>0</v>
      </c>
      <c r="K58" s="41">
        <f>SUM(K59:K63)</f>
        <v>0</v>
      </c>
      <c r="L58" s="31"/>
      <c r="AI58" s="31" t="s">
        <v>356</v>
      </c>
      <c r="AS58" s="41">
        <f>SUM(AJ59:AJ63)</f>
        <v>0</v>
      </c>
      <c r="AT58" s="41">
        <f>SUM(AK59:AK63)</f>
        <v>0</v>
      </c>
      <c r="AU58" s="41">
        <f>SUM(AL59:AL63)</f>
        <v>0</v>
      </c>
    </row>
    <row r="59" spans="1:62" ht="12.75">
      <c r="A59" s="6" t="s">
        <v>38</v>
      </c>
      <c r="B59" s="6" t="s">
        <v>145</v>
      </c>
      <c r="C59" s="103" t="s">
        <v>244</v>
      </c>
      <c r="D59" s="104"/>
      <c r="E59" s="104"/>
      <c r="F59" s="6" t="s">
        <v>323</v>
      </c>
      <c r="G59" s="69">
        <v>555</v>
      </c>
      <c r="H59" s="20">
        <v>0</v>
      </c>
      <c r="I59" s="20">
        <f>G59*AO59</f>
        <v>0</v>
      </c>
      <c r="J59" s="20">
        <f>G59*AP59</f>
        <v>0</v>
      </c>
      <c r="K59" s="20">
        <f>G59*H59</f>
        <v>0</v>
      </c>
      <c r="L59" s="32" t="s">
        <v>345</v>
      </c>
      <c r="Z59" s="38">
        <f>IF(AQ59="5",BJ59,0)</f>
        <v>0</v>
      </c>
      <c r="AB59" s="38">
        <f>IF(AQ59="1",BH59,0)</f>
        <v>0</v>
      </c>
      <c r="AC59" s="38">
        <f>IF(AQ59="1",BI59,0)</f>
        <v>0</v>
      </c>
      <c r="AD59" s="38">
        <f>IF(AQ59="7",BH59,0)</f>
        <v>0</v>
      </c>
      <c r="AE59" s="38">
        <f>IF(AQ59="7",BI59,0)</f>
        <v>0</v>
      </c>
      <c r="AF59" s="38">
        <f>IF(AQ59="2",BH59,0)</f>
        <v>0</v>
      </c>
      <c r="AG59" s="38">
        <f>IF(AQ59="2",BI59,0)</f>
        <v>0</v>
      </c>
      <c r="AH59" s="38">
        <f>IF(AQ59="0",BJ59,0)</f>
        <v>0</v>
      </c>
      <c r="AI59" s="31" t="s">
        <v>356</v>
      </c>
      <c r="AJ59" s="20">
        <f>IF(AN59=0,K59,0)</f>
        <v>0</v>
      </c>
      <c r="AK59" s="20">
        <f>IF(AN59=15,K59,0)</f>
        <v>0</v>
      </c>
      <c r="AL59" s="20">
        <f>IF(AN59=21,K59,0)</f>
        <v>0</v>
      </c>
      <c r="AN59" s="38">
        <v>21</v>
      </c>
      <c r="AO59" s="38">
        <f>H59*0</f>
        <v>0</v>
      </c>
      <c r="AP59" s="38">
        <f>H59*(1-0)</f>
        <v>0</v>
      </c>
      <c r="AQ59" s="32" t="s">
        <v>7</v>
      </c>
      <c r="AV59" s="38">
        <f>AW59+AX59</f>
        <v>0</v>
      </c>
      <c r="AW59" s="38">
        <f>G59*AO59</f>
        <v>0</v>
      </c>
      <c r="AX59" s="38">
        <f>G59*AP59</f>
        <v>0</v>
      </c>
      <c r="AY59" s="39" t="s">
        <v>359</v>
      </c>
      <c r="AZ59" s="39" t="s">
        <v>379</v>
      </c>
      <c r="BA59" s="31" t="s">
        <v>393</v>
      </c>
      <c r="BC59" s="38">
        <f>AW59+AX59</f>
        <v>0</v>
      </c>
      <c r="BD59" s="38">
        <f>H59/(100-BE59)*100</f>
        <v>0</v>
      </c>
      <c r="BE59" s="38">
        <v>0</v>
      </c>
      <c r="BF59" s="38">
        <f>59</f>
        <v>59</v>
      </c>
      <c r="BH59" s="20">
        <f>G59*AO59</f>
        <v>0</v>
      </c>
      <c r="BI59" s="20">
        <f>G59*AP59</f>
        <v>0</v>
      </c>
      <c r="BJ59" s="20">
        <f>G59*H59</f>
        <v>0</v>
      </c>
    </row>
    <row r="60" spans="1:62" ht="12.75">
      <c r="A60" s="6" t="s">
        <v>39</v>
      </c>
      <c r="B60" s="6" t="s">
        <v>146</v>
      </c>
      <c r="C60" s="103" t="s">
        <v>245</v>
      </c>
      <c r="D60" s="104"/>
      <c r="E60" s="104"/>
      <c r="F60" s="6" t="s">
        <v>324</v>
      </c>
      <c r="G60" s="69">
        <v>196.403</v>
      </c>
      <c r="H60" s="20">
        <v>0</v>
      </c>
      <c r="I60" s="20">
        <f>G60*AO60</f>
        <v>0</v>
      </c>
      <c r="J60" s="20">
        <f>G60*AP60</f>
        <v>0</v>
      </c>
      <c r="K60" s="20">
        <f>G60*H60</f>
        <v>0</v>
      </c>
      <c r="L60" s="32" t="s">
        <v>345</v>
      </c>
      <c r="Z60" s="38">
        <f>IF(AQ60="5",BJ60,0)</f>
        <v>0</v>
      </c>
      <c r="AB60" s="38">
        <f>IF(AQ60="1",BH60,0)</f>
        <v>0</v>
      </c>
      <c r="AC60" s="38">
        <f>IF(AQ60="1",BI60,0)</f>
        <v>0</v>
      </c>
      <c r="AD60" s="38">
        <f>IF(AQ60="7",BH60,0)</f>
        <v>0</v>
      </c>
      <c r="AE60" s="38">
        <f>IF(AQ60="7",BI60,0)</f>
        <v>0</v>
      </c>
      <c r="AF60" s="38">
        <f>IF(AQ60="2",BH60,0)</f>
        <v>0</v>
      </c>
      <c r="AG60" s="38">
        <f>IF(AQ60="2",BI60,0)</f>
        <v>0</v>
      </c>
      <c r="AH60" s="38">
        <f>IF(AQ60="0",BJ60,0)</f>
        <v>0</v>
      </c>
      <c r="AI60" s="31" t="s">
        <v>356</v>
      </c>
      <c r="AJ60" s="20">
        <f>IF(AN60=0,K60,0)</f>
        <v>0</v>
      </c>
      <c r="AK60" s="20">
        <f>IF(AN60=15,K60,0)</f>
        <v>0</v>
      </c>
      <c r="AL60" s="20">
        <f>IF(AN60=21,K60,0)</f>
        <v>0</v>
      </c>
      <c r="AN60" s="38">
        <v>21</v>
      </c>
      <c r="AO60" s="38">
        <f>H60*0</f>
        <v>0</v>
      </c>
      <c r="AP60" s="38">
        <f>H60*(1-0)</f>
        <v>0</v>
      </c>
      <c r="AQ60" s="32" t="s">
        <v>11</v>
      </c>
      <c r="AV60" s="38">
        <f>AW60+AX60</f>
        <v>0</v>
      </c>
      <c r="AW60" s="38">
        <f>G60*AO60</f>
        <v>0</v>
      </c>
      <c r="AX60" s="38">
        <f>G60*AP60</f>
        <v>0</v>
      </c>
      <c r="AY60" s="39" t="s">
        <v>359</v>
      </c>
      <c r="AZ60" s="39" t="s">
        <v>379</v>
      </c>
      <c r="BA60" s="31" t="s">
        <v>393</v>
      </c>
      <c r="BC60" s="38">
        <f>AW60+AX60</f>
        <v>0</v>
      </c>
      <c r="BD60" s="38">
        <f>H60/(100-BE60)*100</f>
        <v>0</v>
      </c>
      <c r="BE60" s="38">
        <v>0</v>
      </c>
      <c r="BF60" s="38">
        <f>60</f>
        <v>60</v>
      </c>
      <c r="BH60" s="20">
        <f>G60*AO60</f>
        <v>0</v>
      </c>
      <c r="BI60" s="20">
        <f>G60*AP60</f>
        <v>0</v>
      </c>
      <c r="BJ60" s="20">
        <f>G60*H60</f>
        <v>0</v>
      </c>
    </row>
    <row r="61" spans="1:62" ht="12.75">
      <c r="A61" s="6" t="s">
        <v>40</v>
      </c>
      <c r="B61" s="6" t="s">
        <v>147</v>
      </c>
      <c r="C61" s="103" t="s">
        <v>246</v>
      </c>
      <c r="D61" s="104"/>
      <c r="E61" s="104"/>
      <c r="F61" s="6" t="s">
        <v>324</v>
      </c>
      <c r="G61" s="69">
        <v>196.403</v>
      </c>
      <c r="H61" s="20">
        <v>0</v>
      </c>
      <c r="I61" s="20">
        <f>G61*AO61</f>
        <v>0</v>
      </c>
      <c r="J61" s="20">
        <f>G61*AP61</f>
        <v>0</v>
      </c>
      <c r="K61" s="20">
        <f>G61*H61</f>
        <v>0</v>
      </c>
      <c r="L61" s="32" t="s">
        <v>345</v>
      </c>
      <c r="Z61" s="38">
        <f>IF(AQ61="5",BJ61,0)</f>
        <v>0</v>
      </c>
      <c r="AB61" s="38">
        <f>IF(AQ61="1",BH61,0)</f>
        <v>0</v>
      </c>
      <c r="AC61" s="38">
        <f>IF(AQ61="1",BI61,0)</f>
        <v>0</v>
      </c>
      <c r="AD61" s="38">
        <f>IF(AQ61="7",BH61,0)</f>
        <v>0</v>
      </c>
      <c r="AE61" s="38">
        <f>IF(AQ61="7",BI61,0)</f>
        <v>0</v>
      </c>
      <c r="AF61" s="38">
        <f>IF(AQ61="2",BH61,0)</f>
        <v>0</v>
      </c>
      <c r="AG61" s="38">
        <f>IF(AQ61="2",BI61,0)</f>
        <v>0</v>
      </c>
      <c r="AH61" s="38">
        <f>IF(AQ61="0",BJ61,0)</f>
        <v>0</v>
      </c>
      <c r="AI61" s="31" t="s">
        <v>356</v>
      </c>
      <c r="AJ61" s="20">
        <f>IF(AN61=0,K61,0)</f>
        <v>0</v>
      </c>
      <c r="AK61" s="20">
        <f>IF(AN61=15,K61,0)</f>
        <v>0</v>
      </c>
      <c r="AL61" s="20">
        <f>IF(AN61=21,K61,0)</f>
        <v>0</v>
      </c>
      <c r="AN61" s="38">
        <v>21</v>
      </c>
      <c r="AO61" s="38">
        <f>H61*0</f>
        <v>0</v>
      </c>
      <c r="AP61" s="38">
        <f>H61*(1-0)</f>
        <v>0</v>
      </c>
      <c r="AQ61" s="32" t="s">
        <v>11</v>
      </c>
      <c r="AV61" s="38">
        <f>AW61+AX61</f>
        <v>0</v>
      </c>
      <c r="AW61" s="38">
        <f>G61*AO61</f>
        <v>0</v>
      </c>
      <c r="AX61" s="38">
        <f>G61*AP61</f>
        <v>0</v>
      </c>
      <c r="AY61" s="39" t="s">
        <v>359</v>
      </c>
      <c r="AZ61" s="39" t="s">
        <v>379</v>
      </c>
      <c r="BA61" s="31" t="s">
        <v>393</v>
      </c>
      <c r="BC61" s="38">
        <f>AW61+AX61</f>
        <v>0</v>
      </c>
      <c r="BD61" s="38">
        <f>H61/(100-BE61)*100</f>
        <v>0</v>
      </c>
      <c r="BE61" s="38">
        <v>0</v>
      </c>
      <c r="BF61" s="38">
        <f>61</f>
        <v>61</v>
      </c>
      <c r="BH61" s="20">
        <f>G61*AO61</f>
        <v>0</v>
      </c>
      <c r="BI61" s="20">
        <f>G61*AP61</f>
        <v>0</v>
      </c>
      <c r="BJ61" s="20">
        <f>G61*H61</f>
        <v>0</v>
      </c>
    </row>
    <row r="62" spans="1:62" ht="12.75">
      <c r="A62" s="6" t="s">
        <v>41</v>
      </c>
      <c r="B62" s="6" t="s">
        <v>148</v>
      </c>
      <c r="C62" s="103" t="s">
        <v>247</v>
      </c>
      <c r="D62" s="104"/>
      <c r="E62" s="104"/>
      <c r="F62" s="6" t="s">
        <v>324</v>
      </c>
      <c r="G62" s="69">
        <v>196.403</v>
      </c>
      <c r="H62" s="20">
        <v>0</v>
      </c>
      <c r="I62" s="20">
        <f>G62*AO62</f>
        <v>0</v>
      </c>
      <c r="J62" s="20">
        <f>G62*AP62</f>
        <v>0</v>
      </c>
      <c r="K62" s="20">
        <f>G62*H62</f>
        <v>0</v>
      </c>
      <c r="L62" s="32" t="s">
        <v>345</v>
      </c>
      <c r="Z62" s="38">
        <f>IF(AQ62="5",BJ62,0)</f>
        <v>0</v>
      </c>
      <c r="AB62" s="38">
        <f>IF(AQ62="1",BH62,0)</f>
        <v>0</v>
      </c>
      <c r="AC62" s="38">
        <f>IF(AQ62="1",BI62,0)</f>
        <v>0</v>
      </c>
      <c r="AD62" s="38">
        <f>IF(AQ62="7",BH62,0)</f>
        <v>0</v>
      </c>
      <c r="AE62" s="38">
        <f>IF(AQ62="7",BI62,0)</f>
        <v>0</v>
      </c>
      <c r="AF62" s="38">
        <f>IF(AQ62="2",BH62,0)</f>
        <v>0</v>
      </c>
      <c r="AG62" s="38">
        <f>IF(AQ62="2",BI62,0)</f>
        <v>0</v>
      </c>
      <c r="AH62" s="38">
        <f>IF(AQ62="0",BJ62,0)</f>
        <v>0</v>
      </c>
      <c r="AI62" s="31" t="s">
        <v>356</v>
      </c>
      <c r="AJ62" s="20">
        <f>IF(AN62=0,K62,0)</f>
        <v>0</v>
      </c>
      <c r="AK62" s="20">
        <f>IF(AN62=15,K62,0)</f>
        <v>0</v>
      </c>
      <c r="AL62" s="20">
        <f>IF(AN62=21,K62,0)</f>
        <v>0</v>
      </c>
      <c r="AN62" s="38">
        <v>21</v>
      </c>
      <c r="AO62" s="38">
        <f>H62*0</f>
        <v>0</v>
      </c>
      <c r="AP62" s="38">
        <f>H62*(1-0)</f>
        <v>0</v>
      </c>
      <c r="AQ62" s="32" t="s">
        <v>11</v>
      </c>
      <c r="AV62" s="38">
        <f>AW62+AX62</f>
        <v>0</v>
      </c>
      <c r="AW62" s="38">
        <f>G62*AO62</f>
        <v>0</v>
      </c>
      <c r="AX62" s="38">
        <f>G62*AP62</f>
        <v>0</v>
      </c>
      <c r="AY62" s="39" t="s">
        <v>359</v>
      </c>
      <c r="AZ62" s="39" t="s">
        <v>379</v>
      </c>
      <c r="BA62" s="31" t="s">
        <v>393</v>
      </c>
      <c r="BC62" s="38">
        <f>AW62+AX62</f>
        <v>0</v>
      </c>
      <c r="BD62" s="38">
        <f>H62/(100-BE62)*100</f>
        <v>0</v>
      </c>
      <c r="BE62" s="38">
        <v>0</v>
      </c>
      <c r="BF62" s="38">
        <f>62</f>
        <v>62</v>
      </c>
      <c r="BH62" s="20">
        <f>G62*AO62</f>
        <v>0</v>
      </c>
      <c r="BI62" s="20">
        <f>G62*AP62</f>
        <v>0</v>
      </c>
      <c r="BJ62" s="20">
        <f>G62*H62</f>
        <v>0</v>
      </c>
    </row>
    <row r="63" spans="1:62" ht="12.75">
      <c r="A63" s="6" t="s">
        <v>42</v>
      </c>
      <c r="B63" s="6" t="s">
        <v>112</v>
      </c>
      <c r="C63" s="103" t="s">
        <v>200</v>
      </c>
      <c r="D63" s="104"/>
      <c r="E63" s="104"/>
      <c r="F63" s="6" t="s">
        <v>319</v>
      </c>
      <c r="G63" s="69">
        <v>1</v>
      </c>
      <c r="H63" s="20">
        <v>0</v>
      </c>
      <c r="I63" s="20">
        <f>G63*AO63</f>
        <v>0</v>
      </c>
      <c r="J63" s="20">
        <f>G63*AP63</f>
        <v>0</v>
      </c>
      <c r="K63" s="20">
        <f>G63*H63</f>
        <v>0</v>
      </c>
      <c r="L63" s="32"/>
      <c r="Z63" s="38">
        <f>IF(AQ63="5",BJ63,0)</f>
        <v>0</v>
      </c>
      <c r="AB63" s="38">
        <f>IF(AQ63="1",BH63,0)</f>
        <v>0</v>
      </c>
      <c r="AC63" s="38">
        <f>IF(AQ63="1",BI63,0)</f>
        <v>0</v>
      </c>
      <c r="AD63" s="38">
        <f>IF(AQ63="7",BH63,0)</f>
        <v>0</v>
      </c>
      <c r="AE63" s="38">
        <f>IF(AQ63="7",BI63,0)</f>
        <v>0</v>
      </c>
      <c r="AF63" s="38">
        <f>IF(AQ63="2",BH63,0)</f>
        <v>0</v>
      </c>
      <c r="AG63" s="38">
        <f>IF(AQ63="2",BI63,0)</f>
        <v>0</v>
      </c>
      <c r="AH63" s="38">
        <f>IF(AQ63="0",BJ63,0)</f>
        <v>0</v>
      </c>
      <c r="AI63" s="31" t="s">
        <v>356</v>
      </c>
      <c r="AJ63" s="20">
        <f>IF(AN63=0,K63,0)</f>
        <v>0</v>
      </c>
      <c r="AK63" s="20">
        <f>IF(AN63=15,K63,0)</f>
        <v>0</v>
      </c>
      <c r="AL63" s="20">
        <f>IF(AN63=21,K63,0)</f>
        <v>0</v>
      </c>
      <c r="AN63" s="38">
        <v>21</v>
      </c>
      <c r="AO63" s="38">
        <f>H63*0</f>
        <v>0</v>
      </c>
      <c r="AP63" s="38">
        <f>H63*(1-0)</f>
        <v>0</v>
      </c>
      <c r="AQ63" s="32" t="s">
        <v>7</v>
      </c>
      <c r="AV63" s="38">
        <f>AW63+AX63</f>
        <v>0</v>
      </c>
      <c r="AW63" s="38">
        <f>G63*AO63</f>
        <v>0</v>
      </c>
      <c r="AX63" s="38">
        <f>G63*AP63</f>
        <v>0</v>
      </c>
      <c r="AY63" s="39" t="s">
        <v>359</v>
      </c>
      <c r="AZ63" s="39" t="s">
        <v>379</v>
      </c>
      <c r="BA63" s="31" t="s">
        <v>393</v>
      </c>
      <c r="BC63" s="38">
        <f>AW63+AX63</f>
        <v>0</v>
      </c>
      <c r="BD63" s="38">
        <f>H63/(100-BE63)*100</f>
        <v>0</v>
      </c>
      <c r="BE63" s="38">
        <v>0</v>
      </c>
      <c r="BF63" s="38">
        <f>63</f>
        <v>63</v>
      </c>
      <c r="BH63" s="20">
        <f>G63*AO63</f>
        <v>0</v>
      </c>
      <c r="BI63" s="20">
        <f>G63*AP63</f>
        <v>0</v>
      </c>
      <c r="BJ63" s="20">
        <f>G63*H63</f>
        <v>0</v>
      </c>
    </row>
    <row r="64" spans="1:47" ht="12.75">
      <c r="A64" s="5"/>
      <c r="B64" s="15" t="s">
        <v>19</v>
      </c>
      <c r="C64" s="101" t="s">
        <v>201</v>
      </c>
      <c r="D64" s="102"/>
      <c r="E64" s="102"/>
      <c r="F64" s="5" t="s">
        <v>6</v>
      </c>
      <c r="G64" s="5" t="s">
        <v>6</v>
      </c>
      <c r="H64" s="5" t="s">
        <v>6</v>
      </c>
      <c r="I64" s="41">
        <f>SUM(I65:I66)</f>
        <v>0</v>
      </c>
      <c r="J64" s="41">
        <f>SUM(J65:J66)</f>
        <v>0</v>
      </c>
      <c r="K64" s="41">
        <f>SUM(K65:K66)</f>
        <v>0</v>
      </c>
      <c r="L64" s="31"/>
      <c r="AI64" s="31" t="s">
        <v>356</v>
      </c>
      <c r="AS64" s="41">
        <f>SUM(AJ65:AJ66)</f>
        <v>0</v>
      </c>
      <c r="AT64" s="41">
        <f>SUM(AK65:AK66)</f>
        <v>0</v>
      </c>
      <c r="AU64" s="41">
        <f>SUM(AL65:AL66)</f>
        <v>0</v>
      </c>
    </row>
    <row r="65" spans="1:62" ht="12.75">
      <c r="A65" s="6" t="s">
        <v>43</v>
      </c>
      <c r="B65" s="6" t="s">
        <v>113</v>
      </c>
      <c r="C65" s="103" t="s">
        <v>202</v>
      </c>
      <c r="D65" s="104"/>
      <c r="E65" s="104"/>
      <c r="F65" s="6" t="s">
        <v>320</v>
      </c>
      <c r="G65" s="69">
        <v>124.465</v>
      </c>
      <c r="H65" s="20">
        <v>0</v>
      </c>
      <c r="I65" s="20">
        <f>G65*AO65</f>
        <v>0</v>
      </c>
      <c r="J65" s="20">
        <f>G65*AP65</f>
        <v>0</v>
      </c>
      <c r="K65" s="20">
        <f>G65*H65</f>
        <v>0</v>
      </c>
      <c r="L65" s="32" t="s">
        <v>345</v>
      </c>
      <c r="Z65" s="38">
        <f>IF(AQ65="5",BJ65,0)</f>
        <v>0</v>
      </c>
      <c r="AB65" s="38">
        <f>IF(AQ65="1",BH65,0)</f>
        <v>0</v>
      </c>
      <c r="AC65" s="38">
        <f>IF(AQ65="1",BI65,0)</f>
        <v>0</v>
      </c>
      <c r="AD65" s="38">
        <f>IF(AQ65="7",BH65,0)</f>
        <v>0</v>
      </c>
      <c r="AE65" s="38">
        <f>IF(AQ65="7",BI65,0)</f>
        <v>0</v>
      </c>
      <c r="AF65" s="38">
        <f>IF(AQ65="2",BH65,0)</f>
        <v>0</v>
      </c>
      <c r="AG65" s="38">
        <f>IF(AQ65="2",BI65,0)</f>
        <v>0</v>
      </c>
      <c r="AH65" s="38">
        <f>IF(AQ65="0",BJ65,0)</f>
        <v>0</v>
      </c>
      <c r="AI65" s="31" t="s">
        <v>356</v>
      </c>
      <c r="AJ65" s="20">
        <f>IF(AN65=0,K65,0)</f>
        <v>0</v>
      </c>
      <c r="AK65" s="20">
        <f>IF(AN65=15,K65,0)</f>
        <v>0</v>
      </c>
      <c r="AL65" s="20">
        <f>IF(AN65=21,K65,0)</f>
        <v>0</v>
      </c>
      <c r="AN65" s="38">
        <v>21</v>
      </c>
      <c r="AO65" s="38">
        <f>H65*0</f>
        <v>0</v>
      </c>
      <c r="AP65" s="38">
        <f>H65*(1-0)</f>
        <v>0</v>
      </c>
      <c r="AQ65" s="32" t="s">
        <v>7</v>
      </c>
      <c r="AV65" s="38">
        <f>AW65+AX65</f>
        <v>0</v>
      </c>
      <c r="AW65" s="38">
        <f>G65*AO65</f>
        <v>0</v>
      </c>
      <c r="AX65" s="38">
        <f>G65*AP65</f>
        <v>0</v>
      </c>
      <c r="AY65" s="39" t="s">
        <v>360</v>
      </c>
      <c r="AZ65" s="39" t="s">
        <v>379</v>
      </c>
      <c r="BA65" s="31" t="s">
        <v>393</v>
      </c>
      <c r="BC65" s="38">
        <f>AW65+AX65</f>
        <v>0</v>
      </c>
      <c r="BD65" s="38">
        <f>H65/(100-BE65)*100</f>
        <v>0</v>
      </c>
      <c r="BE65" s="38">
        <v>0</v>
      </c>
      <c r="BF65" s="38">
        <f>65</f>
        <v>65</v>
      </c>
      <c r="BH65" s="20">
        <f>G65*AO65</f>
        <v>0</v>
      </c>
      <c r="BI65" s="20">
        <f>G65*AP65</f>
        <v>0</v>
      </c>
      <c r="BJ65" s="20">
        <f>G65*H65</f>
        <v>0</v>
      </c>
    </row>
    <row r="66" spans="1:62" ht="12.75">
      <c r="A66" s="6" t="s">
        <v>44</v>
      </c>
      <c r="B66" s="6" t="s">
        <v>114</v>
      </c>
      <c r="C66" s="103" t="s">
        <v>203</v>
      </c>
      <c r="D66" s="104"/>
      <c r="E66" s="104"/>
      <c r="F66" s="6" t="s">
        <v>320</v>
      </c>
      <c r="G66" s="69">
        <v>124.465</v>
      </c>
      <c r="H66" s="20">
        <v>0</v>
      </c>
      <c r="I66" s="20">
        <f>G66*AO66</f>
        <v>0</v>
      </c>
      <c r="J66" s="20">
        <f>G66*AP66</f>
        <v>0</v>
      </c>
      <c r="K66" s="20">
        <f>G66*H66</f>
        <v>0</v>
      </c>
      <c r="L66" s="32" t="s">
        <v>345</v>
      </c>
      <c r="Z66" s="38">
        <f>IF(AQ66="5",BJ66,0)</f>
        <v>0</v>
      </c>
      <c r="AB66" s="38">
        <f>IF(AQ66="1",BH66,0)</f>
        <v>0</v>
      </c>
      <c r="AC66" s="38">
        <f>IF(AQ66="1",BI66,0)</f>
        <v>0</v>
      </c>
      <c r="AD66" s="38">
        <f>IF(AQ66="7",BH66,0)</f>
        <v>0</v>
      </c>
      <c r="AE66" s="38">
        <f>IF(AQ66="7",BI66,0)</f>
        <v>0</v>
      </c>
      <c r="AF66" s="38">
        <f>IF(AQ66="2",BH66,0)</f>
        <v>0</v>
      </c>
      <c r="AG66" s="38">
        <f>IF(AQ66="2",BI66,0)</f>
        <v>0</v>
      </c>
      <c r="AH66" s="38">
        <f>IF(AQ66="0",BJ66,0)</f>
        <v>0</v>
      </c>
      <c r="AI66" s="31" t="s">
        <v>356</v>
      </c>
      <c r="AJ66" s="20">
        <f>IF(AN66=0,K66,0)</f>
        <v>0</v>
      </c>
      <c r="AK66" s="20">
        <f>IF(AN66=15,K66,0)</f>
        <v>0</v>
      </c>
      <c r="AL66" s="20">
        <f>IF(AN66=21,K66,0)</f>
        <v>0</v>
      </c>
      <c r="AN66" s="38">
        <v>21</v>
      </c>
      <c r="AO66" s="38">
        <f>H66*0</f>
        <v>0</v>
      </c>
      <c r="AP66" s="38">
        <f>H66*(1-0)</f>
        <v>0</v>
      </c>
      <c r="AQ66" s="32" t="s">
        <v>7</v>
      </c>
      <c r="AV66" s="38">
        <f>AW66+AX66</f>
        <v>0</v>
      </c>
      <c r="AW66" s="38">
        <f>G66*AO66</f>
        <v>0</v>
      </c>
      <c r="AX66" s="38">
        <f>G66*AP66</f>
        <v>0</v>
      </c>
      <c r="AY66" s="39" t="s">
        <v>360</v>
      </c>
      <c r="AZ66" s="39" t="s">
        <v>379</v>
      </c>
      <c r="BA66" s="31" t="s">
        <v>393</v>
      </c>
      <c r="BC66" s="38">
        <f>AW66+AX66</f>
        <v>0</v>
      </c>
      <c r="BD66" s="38">
        <f>H66/(100-BE66)*100</f>
        <v>0</v>
      </c>
      <c r="BE66" s="38">
        <v>0</v>
      </c>
      <c r="BF66" s="38">
        <f>66</f>
        <v>66</v>
      </c>
      <c r="BH66" s="20">
        <f>G66*AO66</f>
        <v>0</v>
      </c>
      <c r="BI66" s="20">
        <f>G66*AP66</f>
        <v>0</v>
      </c>
      <c r="BJ66" s="20">
        <f>G66*H66</f>
        <v>0</v>
      </c>
    </row>
    <row r="67" spans="1:47" ht="12.75">
      <c r="A67" s="5"/>
      <c r="B67" s="15" t="s">
        <v>21</v>
      </c>
      <c r="C67" s="101" t="s">
        <v>248</v>
      </c>
      <c r="D67" s="102"/>
      <c r="E67" s="102"/>
      <c r="F67" s="5" t="s">
        <v>6</v>
      </c>
      <c r="G67" s="5" t="s">
        <v>6</v>
      </c>
      <c r="H67" s="5" t="s">
        <v>6</v>
      </c>
      <c r="I67" s="41">
        <f>SUM(I68:I71)</f>
        <v>0</v>
      </c>
      <c r="J67" s="41">
        <f>SUM(J68:J71)</f>
        <v>0</v>
      </c>
      <c r="K67" s="41">
        <f>SUM(K68:K71)</f>
        <v>0</v>
      </c>
      <c r="L67" s="31"/>
      <c r="AI67" s="31" t="s">
        <v>356</v>
      </c>
      <c r="AS67" s="41">
        <f>SUM(AJ68:AJ71)</f>
        <v>0</v>
      </c>
      <c r="AT67" s="41">
        <f>SUM(AK68:AK71)</f>
        <v>0</v>
      </c>
      <c r="AU67" s="41">
        <f>SUM(AL68:AL71)</f>
        <v>0</v>
      </c>
    </row>
    <row r="68" spans="1:62" ht="12.75">
      <c r="A68" s="6" t="s">
        <v>45</v>
      </c>
      <c r="B68" s="6" t="s">
        <v>149</v>
      </c>
      <c r="C68" s="103" t="s">
        <v>249</v>
      </c>
      <c r="D68" s="104"/>
      <c r="E68" s="104"/>
      <c r="F68" s="6" t="s">
        <v>323</v>
      </c>
      <c r="G68" s="69">
        <v>233.958</v>
      </c>
      <c r="H68" s="20">
        <v>0</v>
      </c>
      <c r="I68" s="20">
        <f>G68*AO68</f>
        <v>0</v>
      </c>
      <c r="J68" s="20">
        <f>G68*AP68</f>
        <v>0</v>
      </c>
      <c r="K68" s="20">
        <f>G68*H68</f>
        <v>0</v>
      </c>
      <c r="L68" s="32" t="s">
        <v>345</v>
      </c>
      <c r="Z68" s="38">
        <f>IF(AQ68="5",BJ68,0)</f>
        <v>0</v>
      </c>
      <c r="AB68" s="38">
        <f>IF(AQ68="1",BH68,0)</f>
        <v>0</v>
      </c>
      <c r="AC68" s="38">
        <f>IF(AQ68="1",BI68,0)</f>
        <v>0</v>
      </c>
      <c r="AD68" s="38">
        <f>IF(AQ68="7",BH68,0)</f>
        <v>0</v>
      </c>
      <c r="AE68" s="38">
        <f>IF(AQ68="7",BI68,0)</f>
        <v>0</v>
      </c>
      <c r="AF68" s="38">
        <f>IF(AQ68="2",BH68,0)</f>
        <v>0</v>
      </c>
      <c r="AG68" s="38">
        <f>IF(AQ68="2",BI68,0)</f>
        <v>0</v>
      </c>
      <c r="AH68" s="38">
        <f>IF(AQ68="0",BJ68,0)</f>
        <v>0</v>
      </c>
      <c r="AI68" s="31" t="s">
        <v>356</v>
      </c>
      <c r="AJ68" s="20">
        <f>IF(AN68=0,K68,0)</f>
        <v>0</v>
      </c>
      <c r="AK68" s="20">
        <f>IF(AN68=15,K68,0)</f>
        <v>0</v>
      </c>
      <c r="AL68" s="20">
        <f>IF(AN68=21,K68,0)</f>
        <v>0</v>
      </c>
      <c r="AN68" s="38">
        <v>21</v>
      </c>
      <c r="AO68" s="38">
        <f>H68*0.0707186523149513</f>
        <v>0</v>
      </c>
      <c r="AP68" s="38">
        <f>H68*(1-0.0707186523149513)</f>
        <v>0</v>
      </c>
      <c r="AQ68" s="32" t="s">
        <v>7</v>
      </c>
      <c r="AV68" s="38">
        <f>AW68+AX68</f>
        <v>0</v>
      </c>
      <c r="AW68" s="38">
        <f>G68*AO68</f>
        <v>0</v>
      </c>
      <c r="AX68" s="38">
        <f>G68*AP68</f>
        <v>0</v>
      </c>
      <c r="AY68" s="39" t="s">
        <v>367</v>
      </c>
      <c r="AZ68" s="39" t="s">
        <v>379</v>
      </c>
      <c r="BA68" s="31" t="s">
        <v>393</v>
      </c>
      <c r="BC68" s="38">
        <f>AW68+AX68</f>
        <v>0</v>
      </c>
      <c r="BD68" s="38">
        <f>H68/(100-BE68)*100</f>
        <v>0</v>
      </c>
      <c r="BE68" s="38">
        <v>0</v>
      </c>
      <c r="BF68" s="38">
        <f>68</f>
        <v>68</v>
      </c>
      <c r="BH68" s="20">
        <f>G68*AO68</f>
        <v>0</v>
      </c>
      <c r="BI68" s="20">
        <f>G68*AP68</f>
        <v>0</v>
      </c>
      <c r="BJ68" s="20">
        <f>G68*H68</f>
        <v>0</v>
      </c>
    </row>
    <row r="69" spans="1:62" ht="12.75">
      <c r="A69" s="6" t="s">
        <v>46</v>
      </c>
      <c r="B69" s="6" t="s">
        <v>150</v>
      </c>
      <c r="C69" s="103" t="s">
        <v>250</v>
      </c>
      <c r="D69" s="104"/>
      <c r="E69" s="104"/>
      <c r="F69" s="6" t="s">
        <v>323</v>
      </c>
      <c r="G69" s="69">
        <v>233.958</v>
      </c>
      <c r="H69" s="20">
        <v>0</v>
      </c>
      <c r="I69" s="20">
        <f>G69*AO69</f>
        <v>0</v>
      </c>
      <c r="J69" s="20">
        <f>G69*AP69</f>
        <v>0</v>
      </c>
      <c r="K69" s="20">
        <f>G69*H69</f>
        <v>0</v>
      </c>
      <c r="L69" s="32" t="s">
        <v>345</v>
      </c>
      <c r="Z69" s="38">
        <f>IF(AQ69="5",BJ69,0)</f>
        <v>0</v>
      </c>
      <c r="AB69" s="38">
        <f>IF(AQ69="1",BH69,0)</f>
        <v>0</v>
      </c>
      <c r="AC69" s="38">
        <f>IF(AQ69="1",BI69,0)</f>
        <v>0</v>
      </c>
      <c r="AD69" s="38">
        <f>IF(AQ69="7",BH69,0)</f>
        <v>0</v>
      </c>
      <c r="AE69" s="38">
        <f>IF(AQ69="7",BI69,0)</f>
        <v>0</v>
      </c>
      <c r="AF69" s="38">
        <f>IF(AQ69="2",BH69,0)</f>
        <v>0</v>
      </c>
      <c r="AG69" s="38">
        <f>IF(AQ69="2",BI69,0)</f>
        <v>0</v>
      </c>
      <c r="AH69" s="38">
        <f>IF(AQ69="0",BJ69,0)</f>
        <v>0</v>
      </c>
      <c r="AI69" s="31" t="s">
        <v>356</v>
      </c>
      <c r="AJ69" s="20">
        <f>IF(AN69=0,K69,0)</f>
        <v>0</v>
      </c>
      <c r="AK69" s="20">
        <f>IF(AN69=15,K69,0)</f>
        <v>0</v>
      </c>
      <c r="AL69" s="20">
        <f>IF(AN69=21,K69,0)</f>
        <v>0</v>
      </c>
      <c r="AN69" s="38">
        <v>21</v>
      </c>
      <c r="AO69" s="38">
        <f>H69*0</f>
        <v>0</v>
      </c>
      <c r="AP69" s="38">
        <f>H69*(1-0)</f>
        <v>0</v>
      </c>
      <c r="AQ69" s="32" t="s">
        <v>7</v>
      </c>
      <c r="AV69" s="38">
        <f>AW69+AX69</f>
        <v>0</v>
      </c>
      <c r="AW69" s="38">
        <f>G69*AO69</f>
        <v>0</v>
      </c>
      <c r="AX69" s="38">
        <f>G69*AP69</f>
        <v>0</v>
      </c>
      <c r="AY69" s="39" t="s">
        <v>367</v>
      </c>
      <c r="AZ69" s="39" t="s">
        <v>379</v>
      </c>
      <c r="BA69" s="31" t="s">
        <v>393</v>
      </c>
      <c r="BC69" s="38">
        <f>AW69+AX69</f>
        <v>0</v>
      </c>
      <c r="BD69" s="38">
        <f>H69/(100-BE69)*100</f>
        <v>0</v>
      </c>
      <c r="BE69" s="38">
        <v>0</v>
      </c>
      <c r="BF69" s="38">
        <f>69</f>
        <v>69</v>
      </c>
      <c r="BH69" s="20">
        <f>G69*AO69</f>
        <v>0</v>
      </c>
      <c r="BI69" s="20">
        <f>G69*AP69</f>
        <v>0</v>
      </c>
      <c r="BJ69" s="20">
        <f>G69*H69</f>
        <v>0</v>
      </c>
    </row>
    <row r="70" spans="1:62" ht="12.75">
      <c r="A70" s="6" t="s">
        <v>47</v>
      </c>
      <c r="B70" s="6" t="s">
        <v>151</v>
      </c>
      <c r="C70" s="103" t="s">
        <v>251</v>
      </c>
      <c r="D70" s="104"/>
      <c r="E70" s="104"/>
      <c r="F70" s="6" t="s">
        <v>323</v>
      </c>
      <c r="G70" s="69">
        <v>77.209</v>
      </c>
      <c r="H70" s="20">
        <v>0</v>
      </c>
      <c r="I70" s="20">
        <f>G70*AO70</f>
        <v>0</v>
      </c>
      <c r="J70" s="20">
        <f>G70*AP70</f>
        <v>0</v>
      </c>
      <c r="K70" s="20">
        <f>G70*H70</f>
        <v>0</v>
      </c>
      <c r="L70" s="32" t="s">
        <v>345</v>
      </c>
      <c r="Z70" s="38">
        <f>IF(AQ70="5",BJ70,0)</f>
        <v>0</v>
      </c>
      <c r="AB70" s="38">
        <f>IF(AQ70="1",BH70,0)</f>
        <v>0</v>
      </c>
      <c r="AC70" s="38">
        <f>IF(AQ70="1",BI70,0)</f>
        <v>0</v>
      </c>
      <c r="AD70" s="38">
        <f>IF(AQ70="7",BH70,0)</f>
        <v>0</v>
      </c>
      <c r="AE70" s="38">
        <f>IF(AQ70="7",BI70,0)</f>
        <v>0</v>
      </c>
      <c r="AF70" s="38">
        <f>IF(AQ70="2",BH70,0)</f>
        <v>0</v>
      </c>
      <c r="AG70" s="38">
        <f>IF(AQ70="2",BI70,0)</f>
        <v>0</v>
      </c>
      <c r="AH70" s="38">
        <f>IF(AQ70="0",BJ70,0)</f>
        <v>0</v>
      </c>
      <c r="AI70" s="31" t="s">
        <v>356</v>
      </c>
      <c r="AJ70" s="20">
        <f>IF(AN70=0,K70,0)</f>
        <v>0</v>
      </c>
      <c r="AK70" s="20">
        <f>IF(AN70=15,K70,0)</f>
        <v>0</v>
      </c>
      <c r="AL70" s="20">
        <f>IF(AN70=21,K70,0)</f>
        <v>0</v>
      </c>
      <c r="AN70" s="38">
        <v>21</v>
      </c>
      <c r="AO70" s="38">
        <f>H70*0.087681117961282</f>
        <v>0</v>
      </c>
      <c r="AP70" s="38">
        <f>H70*(1-0.087681117961282)</f>
        <v>0</v>
      </c>
      <c r="AQ70" s="32" t="s">
        <v>7</v>
      </c>
      <c r="AV70" s="38">
        <f>AW70+AX70</f>
        <v>0</v>
      </c>
      <c r="AW70" s="38">
        <f>G70*AO70</f>
        <v>0</v>
      </c>
      <c r="AX70" s="38">
        <f>G70*AP70</f>
        <v>0</v>
      </c>
      <c r="AY70" s="39" t="s">
        <v>367</v>
      </c>
      <c r="AZ70" s="39" t="s">
        <v>379</v>
      </c>
      <c r="BA70" s="31" t="s">
        <v>393</v>
      </c>
      <c r="BC70" s="38">
        <f>AW70+AX70</f>
        <v>0</v>
      </c>
      <c r="BD70" s="38">
        <f>H70/(100-BE70)*100</f>
        <v>0</v>
      </c>
      <c r="BE70" s="38">
        <v>0</v>
      </c>
      <c r="BF70" s="38">
        <f>70</f>
        <v>70</v>
      </c>
      <c r="BH70" s="20">
        <f>G70*AO70</f>
        <v>0</v>
      </c>
      <c r="BI70" s="20">
        <f>G70*AP70</f>
        <v>0</v>
      </c>
      <c r="BJ70" s="20">
        <f>G70*H70</f>
        <v>0</v>
      </c>
    </row>
    <row r="71" spans="1:62" ht="12.75">
      <c r="A71" s="6" t="s">
        <v>48</v>
      </c>
      <c r="B71" s="6" t="s">
        <v>152</v>
      </c>
      <c r="C71" s="103" t="s">
        <v>252</v>
      </c>
      <c r="D71" s="104"/>
      <c r="E71" s="104"/>
      <c r="F71" s="6" t="s">
        <v>323</v>
      </c>
      <c r="G71" s="69">
        <v>77.209</v>
      </c>
      <c r="H71" s="20">
        <v>0</v>
      </c>
      <c r="I71" s="20">
        <f>G71*AO71</f>
        <v>0</v>
      </c>
      <c r="J71" s="20">
        <f>G71*AP71</f>
        <v>0</v>
      </c>
      <c r="K71" s="20">
        <f>G71*H71</f>
        <v>0</v>
      </c>
      <c r="L71" s="32" t="s">
        <v>345</v>
      </c>
      <c r="Z71" s="38">
        <f>IF(AQ71="5",BJ71,0)</f>
        <v>0</v>
      </c>
      <c r="AB71" s="38">
        <f>IF(AQ71="1",BH71,0)</f>
        <v>0</v>
      </c>
      <c r="AC71" s="38">
        <f>IF(AQ71="1",BI71,0)</f>
        <v>0</v>
      </c>
      <c r="AD71" s="38">
        <f>IF(AQ71="7",BH71,0)</f>
        <v>0</v>
      </c>
      <c r="AE71" s="38">
        <f>IF(AQ71="7",BI71,0)</f>
        <v>0</v>
      </c>
      <c r="AF71" s="38">
        <f>IF(AQ71="2",BH71,0)</f>
        <v>0</v>
      </c>
      <c r="AG71" s="38">
        <f>IF(AQ71="2",BI71,0)</f>
        <v>0</v>
      </c>
      <c r="AH71" s="38">
        <f>IF(AQ71="0",BJ71,0)</f>
        <v>0</v>
      </c>
      <c r="AI71" s="31" t="s">
        <v>356</v>
      </c>
      <c r="AJ71" s="20">
        <f>IF(AN71=0,K71,0)</f>
        <v>0</v>
      </c>
      <c r="AK71" s="20">
        <f>IF(AN71=15,K71,0)</f>
        <v>0</v>
      </c>
      <c r="AL71" s="20">
        <f>IF(AN71=21,K71,0)</f>
        <v>0</v>
      </c>
      <c r="AN71" s="38">
        <v>21</v>
      </c>
      <c r="AO71" s="38">
        <f>H71*0</f>
        <v>0</v>
      </c>
      <c r="AP71" s="38">
        <f>H71*(1-0)</f>
        <v>0</v>
      </c>
      <c r="AQ71" s="32" t="s">
        <v>7</v>
      </c>
      <c r="AV71" s="38">
        <f>AW71+AX71</f>
        <v>0</v>
      </c>
      <c r="AW71" s="38">
        <f>G71*AO71</f>
        <v>0</v>
      </c>
      <c r="AX71" s="38">
        <f>G71*AP71</f>
        <v>0</v>
      </c>
      <c r="AY71" s="39" t="s">
        <v>367</v>
      </c>
      <c r="AZ71" s="39" t="s">
        <v>379</v>
      </c>
      <c r="BA71" s="31" t="s">
        <v>393</v>
      </c>
      <c r="BC71" s="38">
        <f>AW71+AX71</f>
        <v>0</v>
      </c>
      <c r="BD71" s="38">
        <f>H71/(100-BE71)*100</f>
        <v>0</v>
      </c>
      <c r="BE71" s="38">
        <v>0</v>
      </c>
      <c r="BF71" s="38">
        <f>71</f>
        <v>71</v>
      </c>
      <c r="BH71" s="20">
        <f>G71*AO71</f>
        <v>0</v>
      </c>
      <c r="BI71" s="20">
        <f>G71*AP71</f>
        <v>0</v>
      </c>
      <c r="BJ71" s="20">
        <f>G71*H71</f>
        <v>0</v>
      </c>
    </row>
    <row r="72" spans="1:47" ht="12.75">
      <c r="A72" s="5"/>
      <c r="B72" s="15" t="s">
        <v>22</v>
      </c>
      <c r="C72" s="101" t="s">
        <v>206</v>
      </c>
      <c r="D72" s="102"/>
      <c r="E72" s="102"/>
      <c r="F72" s="5" t="s">
        <v>6</v>
      </c>
      <c r="G72" s="5" t="s">
        <v>6</v>
      </c>
      <c r="H72" s="5" t="s">
        <v>6</v>
      </c>
      <c r="I72" s="41">
        <f>SUM(I73:I74)</f>
        <v>0</v>
      </c>
      <c r="J72" s="41">
        <f>SUM(J73:J74)</f>
        <v>0</v>
      </c>
      <c r="K72" s="41">
        <f>SUM(K73:K74)</f>
        <v>0</v>
      </c>
      <c r="L72" s="31"/>
      <c r="AI72" s="31" t="s">
        <v>356</v>
      </c>
      <c r="AS72" s="41">
        <f>SUM(AJ73:AJ74)</f>
        <v>0</v>
      </c>
      <c r="AT72" s="41">
        <f>SUM(AK73:AK74)</f>
        <v>0</v>
      </c>
      <c r="AU72" s="41">
        <f>SUM(AL73:AL74)</f>
        <v>0</v>
      </c>
    </row>
    <row r="73" spans="1:62" ht="12.75">
      <c r="A73" s="6" t="s">
        <v>49</v>
      </c>
      <c r="B73" s="6" t="s">
        <v>117</v>
      </c>
      <c r="C73" s="103" t="s">
        <v>207</v>
      </c>
      <c r="D73" s="104"/>
      <c r="E73" s="104"/>
      <c r="F73" s="6" t="s">
        <v>320</v>
      </c>
      <c r="G73" s="69">
        <v>75.21</v>
      </c>
      <c r="H73" s="20">
        <v>0</v>
      </c>
      <c r="I73" s="20">
        <f>G73*AO73</f>
        <v>0</v>
      </c>
      <c r="J73" s="20">
        <f>G73*AP73</f>
        <v>0</v>
      </c>
      <c r="K73" s="20">
        <f>G73*H73</f>
        <v>0</v>
      </c>
      <c r="L73" s="32" t="s">
        <v>345</v>
      </c>
      <c r="Z73" s="38">
        <f>IF(AQ73="5",BJ73,0)</f>
        <v>0</v>
      </c>
      <c r="AB73" s="38">
        <f>IF(AQ73="1",BH73,0)</f>
        <v>0</v>
      </c>
      <c r="AC73" s="38">
        <f>IF(AQ73="1",BI73,0)</f>
        <v>0</v>
      </c>
      <c r="AD73" s="38">
        <f>IF(AQ73="7",BH73,0)</f>
        <v>0</v>
      </c>
      <c r="AE73" s="38">
        <f>IF(AQ73="7",BI73,0)</f>
        <v>0</v>
      </c>
      <c r="AF73" s="38">
        <f>IF(AQ73="2",BH73,0)</f>
        <v>0</v>
      </c>
      <c r="AG73" s="38">
        <f>IF(AQ73="2",BI73,0)</f>
        <v>0</v>
      </c>
      <c r="AH73" s="38">
        <f>IF(AQ73="0",BJ73,0)</f>
        <v>0</v>
      </c>
      <c r="AI73" s="31" t="s">
        <v>356</v>
      </c>
      <c r="AJ73" s="20">
        <f>IF(AN73=0,K73,0)</f>
        <v>0</v>
      </c>
      <c r="AK73" s="20">
        <f>IF(AN73=15,K73,0)</f>
        <v>0</v>
      </c>
      <c r="AL73" s="20">
        <f>IF(AN73=21,K73,0)</f>
        <v>0</v>
      </c>
      <c r="AN73" s="38">
        <v>21</v>
      </c>
      <c r="AO73" s="38">
        <f>H73*0</f>
        <v>0</v>
      </c>
      <c r="AP73" s="38">
        <f>H73*(1-0)</f>
        <v>0</v>
      </c>
      <c r="AQ73" s="32" t="s">
        <v>7</v>
      </c>
      <c r="AV73" s="38">
        <f>AW73+AX73</f>
        <v>0</v>
      </c>
      <c r="AW73" s="38">
        <f>G73*AO73</f>
        <v>0</v>
      </c>
      <c r="AX73" s="38">
        <f>G73*AP73</f>
        <v>0</v>
      </c>
      <c r="AY73" s="39" t="s">
        <v>361</v>
      </c>
      <c r="AZ73" s="39" t="s">
        <v>379</v>
      </c>
      <c r="BA73" s="31" t="s">
        <v>393</v>
      </c>
      <c r="BC73" s="38">
        <f>AW73+AX73</f>
        <v>0</v>
      </c>
      <c r="BD73" s="38">
        <f>H73/(100-BE73)*100</f>
        <v>0</v>
      </c>
      <c r="BE73" s="38">
        <v>0</v>
      </c>
      <c r="BF73" s="38">
        <f>73</f>
        <v>73</v>
      </c>
      <c r="BH73" s="20">
        <f>G73*AO73</f>
        <v>0</v>
      </c>
      <c r="BI73" s="20">
        <f>G73*AP73</f>
        <v>0</v>
      </c>
      <c r="BJ73" s="20">
        <f>G73*H73</f>
        <v>0</v>
      </c>
    </row>
    <row r="74" spans="1:62" ht="12.75">
      <c r="A74" s="6" t="s">
        <v>50</v>
      </c>
      <c r="B74" s="6" t="s">
        <v>118</v>
      </c>
      <c r="C74" s="103" t="s">
        <v>208</v>
      </c>
      <c r="D74" s="104"/>
      <c r="E74" s="104"/>
      <c r="F74" s="6" t="s">
        <v>320</v>
      </c>
      <c r="G74" s="69">
        <v>75.21</v>
      </c>
      <c r="H74" s="20">
        <v>0</v>
      </c>
      <c r="I74" s="20">
        <f>G74*AO74</f>
        <v>0</v>
      </c>
      <c r="J74" s="20">
        <f>G74*AP74</f>
        <v>0</v>
      </c>
      <c r="K74" s="20">
        <f>G74*H74</f>
        <v>0</v>
      </c>
      <c r="L74" s="32" t="s">
        <v>345</v>
      </c>
      <c r="Z74" s="38">
        <f>IF(AQ74="5",BJ74,0)</f>
        <v>0</v>
      </c>
      <c r="AB74" s="38">
        <f>IF(AQ74="1",BH74,0)</f>
        <v>0</v>
      </c>
      <c r="AC74" s="38">
        <f>IF(AQ74="1",BI74,0)</f>
        <v>0</v>
      </c>
      <c r="AD74" s="38">
        <f>IF(AQ74="7",BH74,0)</f>
        <v>0</v>
      </c>
      <c r="AE74" s="38">
        <f>IF(AQ74="7",BI74,0)</f>
        <v>0</v>
      </c>
      <c r="AF74" s="38">
        <f>IF(AQ74="2",BH74,0)</f>
        <v>0</v>
      </c>
      <c r="AG74" s="38">
        <f>IF(AQ74="2",BI74,0)</f>
        <v>0</v>
      </c>
      <c r="AH74" s="38">
        <f>IF(AQ74="0",BJ74,0)</f>
        <v>0</v>
      </c>
      <c r="AI74" s="31" t="s">
        <v>356</v>
      </c>
      <c r="AJ74" s="20">
        <f>IF(AN74=0,K74,0)</f>
        <v>0</v>
      </c>
      <c r="AK74" s="20">
        <f>IF(AN74=15,K74,0)</f>
        <v>0</v>
      </c>
      <c r="AL74" s="20">
        <f>IF(AN74=21,K74,0)</f>
        <v>0</v>
      </c>
      <c r="AN74" s="38">
        <v>21</v>
      </c>
      <c r="AO74" s="38">
        <f>H74*0</f>
        <v>0</v>
      </c>
      <c r="AP74" s="38">
        <f>H74*(1-0)</f>
        <v>0</v>
      </c>
      <c r="AQ74" s="32" t="s">
        <v>7</v>
      </c>
      <c r="AV74" s="38">
        <f>AW74+AX74</f>
        <v>0</v>
      </c>
      <c r="AW74" s="38">
        <f>G74*AO74</f>
        <v>0</v>
      </c>
      <c r="AX74" s="38">
        <f>G74*AP74</f>
        <v>0</v>
      </c>
      <c r="AY74" s="39" t="s">
        <v>361</v>
      </c>
      <c r="AZ74" s="39" t="s">
        <v>379</v>
      </c>
      <c r="BA74" s="31" t="s">
        <v>393</v>
      </c>
      <c r="BC74" s="38">
        <f>AW74+AX74</f>
        <v>0</v>
      </c>
      <c r="BD74" s="38">
        <f>H74/(100-BE74)*100</f>
        <v>0</v>
      </c>
      <c r="BE74" s="38">
        <v>0</v>
      </c>
      <c r="BF74" s="38">
        <f>74</f>
        <v>74</v>
      </c>
      <c r="BH74" s="20">
        <f>G74*AO74</f>
        <v>0</v>
      </c>
      <c r="BI74" s="20">
        <f>G74*AP74</f>
        <v>0</v>
      </c>
      <c r="BJ74" s="20">
        <f>G74*H74</f>
        <v>0</v>
      </c>
    </row>
    <row r="75" spans="1:47" ht="12.75">
      <c r="A75" s="5"/>
      <c r="B75" s="15" t="s">
        <v>23</v>
      </c>
      <c r="C75" s="101" t="s">
        <v>209</v>
      </c>
      <c r="D75" s="102"/>
      <c r="E75" s="102"/>
      <c r="F75" s="5" t="s">
        <v>6</v>
      </c>
      <c r="G75" s="5" t="s">
        <v>6</v>
      </c>
      <c r="H75" s="5" t="s">
        <v>6</v>
      </c>
      <c r="I75" s="41">
        <f>SUM(I76:I82)</f>
        <v>0</v>
      </c>
      <c r="J75" s="41">
        <f>SUM(J76:J82)</f>
        <v>0</v>
      </c>
      <c r="K75" s="41">
        <f>SUM(K76:K82)</f>
        <v>0</v>
      </c>
      <c r="L75" s="31"/>
      <c r="AI75" s="31" t="s">
        <v>356</v>
      </c>
      <c r="AS75" s="41">
        <f>SUM(AJ76:AJ82)</f>
        <v>0</v>
      </c>
      <c r="AT75" s="41">
        <f>SUM(AK76:AK82)</f>
        <v>0</v>
      </c>
      <c r="AU75" s="41">
        <f>SUM(AL76:AL82)</f>
        <v>0</v>
      </c>
    </row>
    <row r="76" spans="1:62" ht="12.75">
      <c r="A76" s="6" t="s">
        <v>51</v>
      </c>
      <c r="B76" s="6" t="s">
        <v>119</v>
      </c>
      <c r="C76" s="103" t="s">
        <v>210</v>
      </c>
      <c r="D76" s="104"/>
      <c r="E76" s="104"/>
      <c r="F76" s="6" t="s">
        <v>320</v>
      </c>
      <c r="G76" s="69">
        <v>28</v>
      </c>
      <c r="H76" s="20">
        <v>0</v>
      </c>
      <c r="I76" s="20">
        <f>G76*AO76</f>
        <v>0</v>
      </c>
      <c r="J76" s="20">
        <f>G76*AP76</f>
        <v>0</v>
      </c>
      <c r="K76" s="20">
        <f>G76*H76</f>
        <v>0</v>
      </c>
      <c r="L76" s="32" t="s">
        <v>345</v>
      </c>
      <c r="Z76" s="38">
        <f>IF(AQ76="5",BJ76,0)</f>
        <v>0</v>
      </c>
      <c r="AB76" s="38">
        <f>IF(AQ76="1",BH76,0)</f>
        <v>0</v>
      </c>
      <c r="AC76" s="38">
        <f>IF(AQ76="1",BI76,0)</f>
        <v>0</v>
      </c>
      <c r="AD76" s="38">
        <f>IF(AQ76="7",BH76,0)</f>
        <v>0</v>
      </c>
      <c r="AE76" s="38">
        <f>IF(AQ76="7",BI76,0)</f>
        <v>0</v>
      </c>
      <c r="AF76" s="38">
        <f>IF(AQ76="2",BH76,0)</f>
        <v>0</v>
      </c>
      <c r="AG76" s="38">
        <f>IF(AQ76="2",BI76,0)</f>
        <v>0</v>
      </c>
      <c r="AH76" s="38">
        <f>IF(AQ76="0",BJ76,0)</f>
        <v>0</v>
      </c>
      <c r="AI76" s="31" t="s">
        <v>356</v>
      </c>
      <c r="AJ76" s="20">
        <f>IF(AN76=0,K76,0)</f>
        <v>0</v>
      </c>
      <c r="AK76" s="20">
        <f>IF(AN76=15,K76,0)</f>
        <v>0</v>
      </c>
      <c r="AL76" s="20">
        <f>IF(AN76=21,K76,0)</f>
        <v>0</v>
      </c>
      <c r="AN76" s="38">
        <v>21</v>
      </c>
      <c r="AO76" s="38">
        <f>H76*0.34156378600823</f>
        <v>0</v>
      </c>
      <c r="AP76" s="38">
        <f>H76*(1-0.34156378600823)</f>
        <v>0</v>
      </c>
      <c r="AQ76" s="32" t="s">
        <v>7</v>
      </c>
      <c r="AV76" s="38">
        <f>AW76+AX76</f>
        <v>0</v>
      </c>
      <c r="AW76" s="38">
        <f>G76*AO76</f>
        <v>0</v>
      </c>
      <c r="AX76" s="38">
        <f>G76*AP76</f>
        <v>0</v>
      </c>
      <c r="AY76" s="39" t="s">
        <v>362</v>
      </c>
      <c r="AZ76" s="39" t="s">
        <v>379</v>
      </c>
      <c r="BA76" s="31" t="s">
        <v>393</v>
      </c>
      <c r="BC76" s="38">
        <f>AW76+AX76</f>
        <v>0</v>
      </c>
      <c r="BD76" s="38">
        <f>H76/(100-BE76)*100</f>
        <v>0</v>
      </c>
      <c r="BE76" s="38">
        <v>0</v>
      </c>
      <c r="BF76" s="38">
        <f>76</f>
        <v>76</v>
      </c>
      <c r="BH76" s="20">
        <f>G76*AO76</f>
        <v>0</v>
      </c>
      <c r="BI76" s="20">
        <f>G76*AP76</f>
        <v>0</v>
      </c>
      <c r="BJ76" s="20">
        <f>G76*H76</f>
        <v>0</v>
      </c>
    </row>
    <row r="77" spans="2:12" ht="12.75">
      <c r="B77" s="16" t="s">
        <v>116</v>
      </c>
      <c r="C77" s="105" t="s">
        <v>211</v>
      </c>
      <c r="D77" s="106"/>
      <c r="E77" s="106"/>
      <c r="F77" s="106"/>
      <c r="G77" s="106"/>
      <c r="H77" s="106"/>
      <c r="I77" s="106"/>
      <c r="J77" s="106"/>
      <c r="K77" s="106"/>
      <c r="L77" s="106"/>
    </row>
    <row r="78" spans="1:62" ht="12.75">
      <c r="A78" s="6" t="s">
        <v>52</v>
      </c>
      <c r="B78" s="6" t="s">
        <v>120</v>
      </c>
      <c r="C78" s="103" t="s">
        <v>212</v>
      </c>
      <c r="D78" s="104"/>
      <c r="E78" s="104"/>
      <c r="F78" s="6" t="s">
        <v>320</v>
      </c>
      <c r="G78" s="69">
        <v>43.2</v>
      </c>
      <c r="H78" s="20">
        <v>0</v>
      </c>
      <c r="I78" s="20">
        <f>G78*AO78</f>
        <v>0</v>
      </c>
      <c r="J78" s="20">
        <f>G78*AP78</f>
        <v>0</v>
      </c>
      <c r="K78" s="20">
        <f>G78*H78</f>
        <v>0</v>
      </c>
      <c r="L78" s="32" t="s">
        <v>345</v>
      </c>
      <c r="Z78" s="38">
        <f>IF(AQ78="5",BJ78,0)</f>
        <v>0</v>
      </c>
      <c r="AB78" s="38">
        <f>IF(AQ78="1",BH78,0)</f>
        <v>0</v>
      </c>
      <c r="AC78" s="38">
        <f>IF(AQ78="1",BI78,0)</f>
        <v>0</v>
      </c>
      <c r="AD78" s="38">
        <f>IF(AQ78="7",BH78,0)</f>
        <v>0</v>
      </c>
      <c r="AE78" s="38">
        <f>IF(AQ78="7",BI78,0)</f>
        <v>0</v>
      </c>
      <c r="AF78" s="38">
        <f>IF(AQ78="2",BH78,0)</f>
        <v>0</v>
      </c>
      <c r="AG78" s="38">
        <f>IF(AQ78="2",BI78,0)</f>
        <v>0</v>
      </c>
      <c r="AH78" s="38">
        <f>IF(AQ78="0",BJ78,0)</f>
        <v>0</v>
      </c>
      <c r="AI78" s="31" t="s">
        <v>356</v>
      </c>
      <c r="AJ78" s="20">
        <f>IF(AN78=0,K78,0)</f>
        <v>0</v>
      </c>
      <c r="AK78" s="20">
        <f>IF(AN78=15,K78,0)</f>
        <v>0</v>
      </c>
      <c r="AL78" s="20">
        <f>IF(AN78=21,K78,0)</f>
        <v>0</v>
      </c>
      <c r="AN78" s="38">
        <v>21</v>
      </c>
      <c r="AO78" s="38">
        <f>H78*0.517509727626459</f>
        <v>0</v>
      </c>
      <c r="AP78" s="38">
        <f>H78*(1-0.517509727626459)</f>
        <v>0</v>
      </c>
      <c r="AQ78" s="32" t="s">
        <v>7</v>
      </c>
      <c r="AV78" s="38">
        <f>AW78+AX78</f>
        <v>0</v>
      </c>
      <c r="AW78" s="38">
        <f>G78*AO78</f>
        <v>0</v>
      </c>
      <c r="AX78" s="38">
        <f>G78*AP78</f>
        <v>0</v>
      </c>
      <c r="AY78" s="39" t="s">
        <v>362</v>
      </c>
      <c r="AZ78" s="39" t="s">
        <v>379</v>
      </c>
      <c r="BA78" s="31" t="s">
        <v>393</v>
      </c>
      <c r="BC78" s="38">
        <f>AW78+AX78</f>
        <v>0</v>
      </c>
      <c r="BD78" s="38">
        <f>H78/(100-BE78)*100</f>
        <v>0</v>
      </c>
      <c r="BE78" s="38">
        <v>0</v>
      </c>
      <c r="BF78" s="38">
        <f>78</f>
        <v>78</v>
      </c>
      <c r="BH78" s="20">
        <f>G78*AO78</f>
        <v>0</v>
      </c>
      <c r="BI78" s="20">
        <f>G78*AP78</f>
        <v>0</v>
      </c>
      <c r="BJ78" s="20">
        <f>G78*H78</f>
        <v>0</v>
      </c>
    </row>
    <row r="79" spans="2:12" ht="12.75">
      <c r="B79" s="16" t="s">
        <v>116</v>
      </c>
      <c r="C79" s="105" t="s">
        <v>213</v>
      </c>
      <c r="D79" s="106"/>
      <c r="E79" s="106"/>
      <c r="F79" s="106"/>
      <c r="G79" s="106"/>
      <c r="H79" s="106"/>
      <c r="I79" s="106"/>
      <c r="J79" s="106"/>
      <c r="K79" s="106"/>
      <c r="L79" s="106"/>
    </row>
    <row r="80" spans="1:62" ht="12.75">
      <c r="A80" s="6" t="s">
        <v>53</v>
      </c>
      <c r="B80" s="6" t="s">
        <v>121</v>
      </c>
      <c r="C80" s="103" t="s">
        <v>214</v>
      </c>
      <c r="D80" s="104"/>
      <c r="E80" s="104"/>
      <c r="F80" s="6" t="s">
        <v>320</v>
      </c>
      <c r="G80" s="69">
        <v>49.438</v>
      </c>
      <c r="H80" s="20">
        <v>0</v>
      </c>
      <c r="I80" s="20">
        <f>G80*AO80</f>
        <v>0</v>
      </c>
      <c r="J80" s="20">
        <f>G80*AP80</f>
        <v>0</v>
      </c>
      <c r="K80" s="20">
        <f>G80*H80</f>
        <v>0</v>
      </c>
      <c r="L80" s="32" t="s">
        <v>345</v>
      </c>
      <c r="Z80" s="38">
        <f>IF(AQ80="5",BJ80,0)</f>
        <v>0</v>
      </c>
      <c r="AB80" s="38">
        <f>IF(AQ80="1",BH80,0)</f>
        <v>0</v>
      </c>
      <c r="AC80" s="38">
        <f>IF(AQ80="1",BI80,0)</f>
        <v>0</v>
      </c>
      <c r="AD80" s="38">
        <f>IF(AQ80="7",BH80,0)</f>
        <v>0</v>
      </c>
      <c r="AE80" s="38">
        <f>IF(AQ80="7",BI80,0)</f>
        <v>0</v>
      </c>
      <c r="AF80" s="38">
        <f>IF(AQ80="2",BH80,0)</f>
        <v>0</v>
      </c>
      <c r="AG80" s="38">
        <f>IF(AQ80="2",BI80,0)</f>
        <v>0</v>
      </c>
      <c r="AH80" s="38">
        <f>IF(AQ80="0",BJ80,0)</f>
        <v>0</v>
      </c>
      <c r="AI80" s="31" t="s">
        <v>356</v>
      </c>
      <c r="AJ80" s="20">
        <f>IF(AN80=0,K80,0)</f>
        <v>0</v>
      </c>
      <c r="AK80" s="20">
        <f>IF(AN80=15,K80,0)</f>
        <v>0</v>
      </c>
      <c r="AL80" s="20">
        <f>IF(AN80=21,K80,0)</f>
        <v>0</v>
      </c>
      <c r="AN80" s="38">
        <v>21</v>
      </c>
      <c r="AO80" s="38">
        <f>H80*0</f>
        <v>0</v>
      </c>
      <c r="AP80" s="38">
        <f>H80*(1-0)</f>
        <v>0</v>
      </c>
      <c r="AQ80" s="32" t="s">
        <v>7</v>
      </c>
      <c r="AV80" s="38">
        <f>AW80+AX80</f>
        <v>0</v>
      </c>
      <c r="AW80" s="38">
        <f>G80*AO80</f>
        <v>0</v>
      </c>
      <c r="AX80" s="38">
        <f>G80*AP80</f>
        <v>0</v>
      </c>
      <c r="AY80" s="39" t="s">
        <v>362</v>
      </c>
      <c r="AZ80" s="39" t="s">
        <v>379</v>
      </c>
      <c r="BA80" s="31" t="s">
        <v>393</v>
      </c>
      <c r="BC80" s="38">
        <f>AW80+AX80</f>
        <v>0</v>
      </c>
      <c r="BD80" s="38">
        <f>H80/(100-BE80)*100</f>
        <v>0</v>
      </c>
      <c r="BE80" s="38">
        <v>0</v>
      </c>
      <c r="BF80" s="38">
        <f>80</f>
        <v>80</v>
      </c>
      <c r="BH80" s="20">
        <f>G80*AO80</f>
        <v>0</v>
      </c>
      <c r="BI80" s="20">
        <f>G80*AP80</f>
        <v>0</v>
      </c>
      <c r="BJ80" s="20">
        <f>G80*H80</f>
        <v>0</v>
      </c>
    </row>
    <row r="81" spans="1:62" ht="12.75">
      <c r="A81" s="6" t="s">
        <v>54</v>
      </c>
      <c r="B81" s="6" t="s">
        <v>122</v>
      </c>
      <c r="C81" s="103" t="s">
        <v>215</v>
      </c>
      <c r="D81" s="104"/>
      <c r="E81" s="104"/>
      <c r="F81" s="6" t="s">
        <v>320</v>
      </c>
      <c r="G81" s="69">
        <v>75.21</v>
      </c>
      <c r="H81" s="20">
        <v>0</v>
      </c>
      <c r="I81" s="20">
        <f>G81*AO81</f>
        <v>0</v>
      </c>
      <c r="J81" s="20">
        <f>G81*AP81</f>
        <v>0</v>
      </c>
      <c r="K81" s="20">
        <f>G81*H81</f>
        <v>0</v>
      </c>
      <c r="L81" s="32" t="s">
        <v>345</v>
      </c>
      <c r="Z81" s="38">
        <f>IF(AQ81="5",BJ81,0)</f>
        <v>0</v>
      </c>
      <c r="AB81" s="38">
        <f>IF(AQ81="1",BH81,0)</f>
        <v>0</v>
      </c>
      <c r="AC81" s="38">
        <f>IF(AQ81="1",BI81,0)</f>
        <v>0</v>
      </c>
      <c r="AD81" s="38">
        <f>IF(AQ81="7",BH81,0)</f>
        <v>0</v>
      </c>
      <c r="AE81" s="38">
        <f>IF(AQ81="7",BI81,0)</f>
        <v>0</v>
      </c>
      <c r="AF81" s="38">
        <f>IF(AQ81="2",BH81,0)</f>
        <v>0</v>
      </c>
      <c r="AG81" s="38">
        <f>IF(AQ81="2",BI81,0)</f>
        <v>0</v>
      </c>
      <c r="AH81" s="38">
        <f>IF(AQ81="0",BJ81,0)</f>
        <v>0</v>
      </c>
      <c r="AI81" s="31" t="s">
        <v>356</v>
      </c>
      <c r="AJ81" s="20">
        <f>IF(AN81=0,K81,0)</f>
        <v>0</v>
      </c>
      <c r="AK81" s="20">
        <f>IF(AN81=15,K81,0)</f>
        <v>0</v>
      </c>
      <c r="AL81" s="20">
        <f>IF(AN81=21,K81,0)</f>
        <v>0</v>
      </c>
      <c r="AN81" s="38">
        <v>21</v>
      </c>
      <c r="AO81" s="38">
        <f>H81*0</f>
        <v>0</v>
      </c>
      <c r="AP81" s="38">
        <f>H81*(1-0)</f>
        <v>0</v>
      </c>
      <c r="AQ81" s="32" t="s">
        <v>7</v>
      </c>
      <c r="AV81" s="38">
        <f>AW81+AX81</f>
        <v>0</v>
      </c>
      <c r="AW81" s="38">
        <f>G81*AO81</f>
        <v>0</v>
      </c>
      <c r="AX81" s="38">
        <f>G81*AP81</f>
        <v>0</v>
      </c>
      <c r="AY81" s="39" t="s">
        <v>362</v>
      </c>
      <c r="AZ81" s="39" t="s">
        <v>379</v>
      </c>
      <c r="BA81" s="31" t="s">
        <v>393</v>
      </c>
      <c r="BC81" s="38">
        <f>AW81+AX81</f>
        <v>0</v>
      </c>
      <c r="BD81" s="38">
        <f>H81/(100-BE81)*100</f>
        <v>0</v>
      </c>
      <c r="BE81" s="38">
        <v>0</v>
      </c>
      <c r="BF81" s="38">
        <f>81</f>
        <v>81</v>
      </c>
      <c r="BH81" s="20">
        <f>G81*AO81</f>
        <v>0</v>
      </c>
      <c r="BI81" s="20">
        <f>G81*AP81</f>
        <v>0</v>
      </c>
      <c r="BJ81" s="20">
        <f>G81*H81</f>
        <v>0</v>
      </c>
    </row>
    <row r="82" spans="1:62" ht="12.75">
      <c r="A82" s="6" t="s">
        <v>55</v>
      </c>
      <c r="B82" s="6" t="s">
        <v>123</v>
      </c>
      <c r="C82" s="103" t="s">
        <v>216</v>
      </c>
      <c r="D82" s="104"/>
      <c r="E82" s="104"/>
      <c r="F82" s="6" t="s">
        <v>320</v>
      </c>
      <c r="G82" s="69">
        <v>75.21</v>
      </c>
      <c r="H82" s="20">
        <v>0</v>
      </c>
      <c r="I82" s="20">
        <f>G82*AO82</f>
        <v>0</v>
      </c>
      <c r="J82" s="20">
        <f>G82*AP82</f>
        <v>0</v>
      </c>
      <c r="K82" s="20">
        <f>G82*H82</f>
        <v>0</v>
      </c>
      <c r="L82" s="32" t="s">
        <v>345</v>
      </c>
      <c r="Z82" s="38">
        <f>IF(AQ82="5",BJ82,0)</f>
        <v>0</v>
      </c>
      <c r="AB82" s="38">
        <f>IF(AQ82="1",BH82,0)</f>
        <v>0</v>
      </c>
      <c r="AC82" s="38">
        <f>IF(AQ82="1",BI82,0)</f>
        <v>0</v>
      </c>
      <c r="AD82" s="38">
        <f>IF(AQ82="7",BH82,0)</f>
        <v>0</v>
      </c>
      <c r="AE82" s="38">
        <f>IF(AQ82="7",BI82,0)</f>
        <v>0</v>
      </c>
      <c r="AF82" s="38">
        <f>IF(AQ82="2",BH82,0)</f>
        <v>0</v>
      </c>
      <c r="AG82" s="38">
        <f>IF(AQ82="2",BI82,0)</f>
        <v>0</v>
      </c>
      <c r="AH82" s="38">
        <f>IF(AQ82="0",BJ82,0)</f>
        <v>0</v>
      </c>
      <c r="AI82" s="31" t="s">
        <v>356</v>
      </c>
      <c r="AJ82" s="20">
        <f>IF(AN82=0,K82,0)</f>
        <v>0</v>
      </c>
      <c r="AK82" s="20">
        <f>IF(AN82=15,K82,0)</f>
        <v>0</v>
      </c>
      <c r="AL82" s="20">
        <f>IF(AN82=21,K82,0)</f>
        <v>0</v>
      </c>
      <c r="AN82" s="38">
        <v>21</v>
      </c>
      <c r="AO82" s="38">
        <f>H82*0</f>
        <v>0</v>
      </c>
      <c r="AP82" s="38">
        <f>H82*(1-0)</f>
        <v>0</v>
      </c>
      <c r="AQ82" s="32" t="s">
        <v>7</v>
      </c>
      <c r="AV82" s="38">
        <f>AW82+AX82</f>
        <v>0</v>
      </c>
      <c r="AW82" s="38">
        <f>G82*AO82</f>
        <v>0</v>
      </c>
      <c r="AX82" s="38">
        <f>G82*AP82</f>
        <v>0</v>
      </c>
      <c r="AY82" s="39" t="s">
        <v>362</v>
      </c>
      <c r="AZ82" s="39" t="s">
        <v>379</v>
      </c>
      <c r="BA82" s="31" t="s">
        <v>393</v>
      </c>
      <c r="BC82" s="38">
        <f>AW82+AX82</f>
        <v>0</v>
      </c>
      <c r="BD82" s="38">
        <f>H82/(100-BE82)*100</f>
        <v>0</v>
      </c>
      <c r="BE82" s="38">
        <v>0</v>
      </c>
      <c r="BF82" s="38">
        <f>82</f>
        <v>82</v>
      </c>
      <c r="BH82" s="20">
        <f>G82*AO82</f>
        <v>0</v>
      </c>
      <c r="BI82" s="20">
        <f>G82*AP82</f>
        <v>0</v>
      </c>
      <c r="BJ82" s="20">
        <f>G82*H82</f>
        <v>0</v>
      </c>
    </row>
    <row r="83" spans="1:47" ht="12.75">
      <c r="A83" s="5"/>
      <c r="B83" s="15" t="s">
        <v>24</v>
      </c>
      <c r="C83" s="101" t="s">
        <v>253</v>
      </c>
      <c r="D83" s="102"/>
      <c r="E83" s="102"/>
      <c r="F83" s="5" t="s">
        <v>6</v>
      </c>
      <c r="G83" s="5" t="s">
        <v>6</v>
      </c>
      <c r="H83" s="5" t="s">
        <v>6</v>
      </c>
      <c r="I83" s="41">
        <f>SUM(I84:I84)</f>
        <v>0</v>
      </c>
      <c r="J83" s="41">
        <f>SUM(J84:J84)</f>
        <v>0</v>
      </c>
      <c r="K83" s="41">
        <f>SUM(K84:K84)</f>
        <v>0</v>
      </c>
      <c r="L83" s="31"/>
      <c r="AI83" s="31" t="s">
        <v>356</v>
      </c>
      <c r="AS83" s="41">
        <f>SUM(AJ84:AJ84)</f>
        <v>0</v>
      </c>
      <c r="AT83" s="41">
        <f>SUM(AK84:AK84)</f>
        <v>0</v>
      </c>
      <c r="AU83" s="41">
        <f>SUM(AL84:AL84)</f>
        <v>0</v>
      </c>
    </row>
    <row r="84" spans="1:62" ht="12.75">
      <c r="A84" s="6" t="s">
        <v>56</v>
      </c>
      <c r="B84" s="6" t="s">
        <v>153</v>
      </c>
      <c r="C84" s="103" t="s">
        <v>254</v>
      </c>
      <c r="D84" s="104"/>
      <c r="E84" s="104"/>
      <c r="F84" s="6" t="s">
        <v>323</v>
      </c>
      <c r="G84" s="69">
        <v>555</v>
      </c>
      <c r="H84" s="20">
        <v>0</v>
      </c>
      <c r="I84" s="20">
        <f>G84*AO84</f>
        <v>0</v>
      </c>
      <c r="J84" s="20">
        <f>G84*AP84</f>
        <v>0</v>
      </c>
      <c r="K84" s="20">
        <f>G84*H84</f>
        <v>0</v>
      </c>
      <c r="L84" s="32" t="s">
        <v>345</v>
      </c>
      <c r="Z84" s="38">
        <f>IF(AQ84="5",BJ84,0)</f>
        <v>0</v>
      </c>
      <c r="AB84" s="38">
        <f>IF(AQ84="1",BH84,0)</f>
        <v>0</v>
      </c>
      <c r="AC84" s="38">
        <f>IF(AQ84="1",BI84,0)</f>
        <v>0</v>
      </c>
      <c r="AD84" s="38">
        <f>IF(AQ84="7",BH84,0)</f>
        <v>0</v>
      </c>
      <c r="AE84" s="38">
        <f>IF(AQ84="7",BI84,0)</f>
        <v>0</v>
      </c>
      <c r="AF84" s="38">
        <f>IF(AQ84="2",BH84,0)</f>
        <v>0</v>
      </c>
      <c r="AG84" s="38">
        <f>IF(AQ84="2",BI84,0)</f>
        <v>0</v>
      </c>
      <c r="AH84" s="38">
        <f>IF(AQ84="0",BJ84,0)</f>
        <v>0</v>
      </c>
      <c r="AI84" s="31" t="s">
        <v>356</v>
      </c>
      <c r="AJ84" s="20">
        <f>IF(AN84=0,K84,0)</f>
        <v>0</v>
      </c>
      <c r="AK84" s="20">
        <f>IF(AN84=15,K84,0)</f>
        <v>0</v>
      </c>
      <c r="AL84" s="20">
        <f>IF(AN84=21,K84,0)</f>
        <v>0</v>
      </c>
      <c r="AN84" s="38">
        <v>21</v>
      </c>
      <c r="AO84" s="38">
        <f>H84*0</f>
        <v>0</v>
      </c>
      <c r="AP84" s="38">
        <f>H84*(1-0)</f>
        <v>0</v>
      </c>
      <c r="AQ84" s="32" t="s">
        <v>7</v>
      </c>
      <c r="AV84" s="38">
        <f>AW84+AX84</f>
        <v>0</v>
      </c>
      <c r="AW84" s="38">
        <f>G84*AO84</f>
        <v>0</v>
      </c>
      <c r="AX84" s="38">
        <f>G84*AP84</f>
        <v>0</v>
      </c>
      <c r="AY84" s="39" t="s">
        <v>368</v>
      </c>
      <c r="AZ84" s="39" t="s">
        <v>379</v>
      </c>
      <c r="BA84" s="31" t="s">
        <v>393</v>
      </c>
      <c r="BC84" s="38">
        <f>AW84+AX84</f>
        <v>0</v>
      </c>
      <c r="BD84" s="38">
        <f>H84/(100-BE84)*100</f>
        <v>0</v>
      </c>
      <c r="BE84" s="38">
        <v>0</v>
      </c>
      <c r="BF84" s="38">
        <f>84</f>
        <v>84</v>
      </c>
      <c r="BH84" s="20">
        <f>G84*AO84</f>
        <v>0</v>
      </c>
      <c r="BI84" s="20">
        <f>G84*AP84</f>
        <v>0</v>
      </c>
      <c r="BJ84" s="20">
        <f>G84*H84</f>
        <v>0</v>
      </c>
    </row>
    <row r="85" spans="1:47" ht="12.75">
      <c r="A85" s="5"/>
      <c r="B85" s="15" t="s">
        <v>51</v>
      </c>
      <c r="C85" s="101" t="s">
        <v>217</v>
      </c>
      <c r="D85" s="102"/>
      <c r="E85" s="102"/>
      <c r="F85" s="5" t="s">
        <v>6</v>
      </c>
      <c r="G85" s="5" t="s">
        <v>6</v>
      </c>
      <c r="H85" s="5" t="s">
        <v>6</v>
      </c>
      <c r="I85" s="41">
        <f>SUM(I86:I86)</f>
        <v>0</v>
      </c>
      <c r="J85" s="41">
        <f>SUM(J86:J86)</f>
        <v>0</v>
      </c>
      <c r="K85" s="41">
        <f>SUM(K86:K86)</f>
        <v>0</v>
      </c>
      <c r="L85" s="31"/>
      <c r="AI85" s="31" t="s">
        <v>356</v>
      </c>
      <c r="AS85" s="41">
        <f>SUM(AJ86:AJ86)</f>
        <v>0</v>
      </c>
      <c r="AT85" s="41">
        <f>SUM(AK86:AK86)</f>
        <v>0</v>
      </c>
      <c r="AU85" s="41">
        <f>SUM(AL86:AL86)</f>
        <v>0</v>
      </c>
    </row>
    <row r="86" spans="1:62" ht="12.75">
      <c r="A86" s="6" t="s">
        <v>57</v>
      </c>
      <c r="B86" s="6" t="s">
        <v>124</v>
      </c>
      <c r="C86" s="103" t="s">
        <v>218</v>
      </c>
      <c r="D86" s="104"/>
      <c r="E86" s="104"/>
      <c r="F86" s="6" t="s">
        <v>320</v>
      </c>
      <c r="G86" s="69">
        <v>5.4</v>
      </c>
      <c r="H86" s="20">
        <v>0</v>
      </c>
      <c r="I86" s="20">
        <f>G86*AO86</f>
        <v>0</v>
      </c>
      <c r="J86" s="20">
        <f>G86*AP86</f>
        <v>0</v>
      </c>
      <c r="K86" s="20">
        <f>G86*H86</f>
        <v>0</v>
      </c>
      <c r="L86" s="32" t="s">
        <v>345</v>
      </c>
      <c r="Z86" s="38">
        <f>IF(AQ86="5",BJ86,0)</f>
        <v>0</v>
      </c>
      <c r="AB86" s="38">
        <f>IF(AQ86="1",BH86,0)</f>
        <v>0</v>
      </c>
      <c r="AC86" s="38">
        <f>IF(AQ86="1",BI86,0)</f>
        <v>0</v>
      </c>
      <c r="AD86" s="38">
        <f>IF(AQ86="7",BH86,0)</f>
        <v>0</v>
      </c>
      <c r="AE86" s="38">
        <f>IF(AQ86="7",BI86,0)</f>
        <v>0</v>
      </c>
      <c r="AF86" s="38">
        <f>IF(AQ86="2",BH86,0)</f>
        <v>0</v>
      </c>
      <c r="AG86" s="38">
        <f>IF(AQ86="2",BI86,0)</f>
        <v>0</v>
      </c>
      <c r="AH86" s="38">
        <f>IF(AQ86="0",BJ86,0)</f>
        <v>0</v>
      </c>
      <c r="AI86" s="31" t="s">
        <v>356</v>
      </c>
      <c r="AJ86" s="20">
        <f>IF(AN86=0,K86,0)</f>
        <v>0</v>
      </c>
      <c r="AK86" s="20">
        <f>IF(AN86=15,K86,0)</f>
        <v>0</v>
      </c>
      <c r="AL86" s="20">
        <f>IF(AN86=21,K86,0)</f>
        <v>0</v>
      </c>
      <c r="AN86" s="38">
        <v>21</v>
      </c>
      <c r="AO86" s="38">
        <f>H86*0.511655011655012</f>
        <v>0</v>
      </c>
      <c r="AP86" s="38">
        <f>H86*(1-0.511655011655012)</f>
        <v>0</v>
      </c>
      <c r="AQ86" s="32" t="s">
        <v>7</v>
      </c>
      <c r="AV86" s="38">
        <f>AW86+AX86</f>
        <v>0</v>
      </c>
      <c r="AW86" s="38">
        <f>G86*AO86</f>
        <v>0</v>
      </c>
      <c r="AX86" s="38">
        <f>G86*AP86</f>
        <v>0</v>
      </c>
      <c r="AY86" s="39" t="s">
        <v>363</v>
      </c>
      <c r="AZ86" s="39" t="s">
        <v>380</v>
      </c>
      <c r="BA86" s="31" t="s">
        <v>393</v>
      </c>
      <c r="BC86" s="38">
        <f>AW86+AX86</f>
        <v>0</v>
      </c>
      <c r="BD86" s="38">
        <f>H86/(100-BE86)*100</f>
        <v>0</v>
      </c>
      <c r="BE86" s="38">
        <v>0</v>
      </c>
      <c r="BF86" s="38">
        <f>86</f>
        <v>86</v>
      </c>
      <c r="BH86" s="20">
        <f>G86*AO86</f>
        <v>0</v>
      </c>
      <c r="BI86" s="20">
        <f>G86*AP86</f>
        <v>0</v>
      </c>
      <c r="BJ86" s="20">
        <f>G86*H86</f>
        <v>0</v>
      </c>
    </row>
    <row r="87" spans="1:47" ht="12.75">
      <c r="A87" s="5"/>
      <c r="B87" s="15" t="s">
        <v>154</v>
      </c>
      <c r="C87" s="101" t="s">
        <v>255</v>
      </c>
      <c r="D87" s="102"/>
      <c r="E87" s="102"/>
      <c r="F87" s="5" t="s">
        <v>6</v>
      </c>
      <c r="G87" s="5" t="s">
        <v>6</v>
      </c>
      <c r="H87" s="5" t="s">
        <v>6</v>
      </c>
      <c r="I87" s="41">
        <f>SUM(I88:I88)</f>
        <v>0</v>
      </c>
      <c r="J87" s="41">
        <f>SUM(J88:J88)</f>
        <v>0</v>
      </c>
      <c r="K87" s="41">
        <f>SUM(K88:K88)</f>
        <v>0</v>
      </c>
      <c r="L87" s="31"/>
      <c r="AI87" s="31" t="s">
        <v>356</v>
      </c>
      <c r="AS87" s="41">
        <f>SUM(AJ88:AJ88)</f>
        <v>0</v>
      </c>
      <c r="AT87" s="41">
        <f>SUM(AK88:AK88)</f>
        <v>0</v>
      </c>
      <c r="AU87" s="41">
        <f>SUM(AL88:AL88)</f>
        <v>0</v>
      </c>
    </row>
    <row r="88" spans="1:62" ht="12.75">
      <c r="A88" s="6" t="s">
        <v>58</v>
      </c>
      <c r="B88" s="6" t="s">
        <v>155</v>
      </c>
      <c r="C88" s="103" t="s">
        <v>256</v>
      </c>
      <c r="D88" s="104"/>
      <c r="E88" s="104"/>
      <c r="F88" s="6" t="s">
        <v>322</v>
      </c>
      <c r="G88" s="69">
        <v>7</v>
      </c>
      <c r="H88" s="20">
        <v>0</v>
      </c>
      <c r="I88" s="20">
        <f>G88*AO88</f>
        <v>0</v>
      </c>
      <c r="J88" s="20">
        <f>G88*AP88</f>
        <v>0</v>
      </c>
      <c r="K88" s="20">
        <f>G88*H88</f>
        <v>0</v>
      </c>
      <c r="L88" s="32" t="s">
        <v>345</v>
      </c>
      <c r="Z88" s="38">
        <f>IF(AQ88="5",BJ88,0)</f>
        <v>0</v>
      </c>
      <c r="AB88" s="38">
        <f>IF(AQ88="1",BH88,0)</f>
        <v>0</v>
      </c>
      <c r="AC88" s="38">
        <f>IF(AQ88="1",BI88,0)</f>
        <v>0</v>
      </c>
      <c r="AD88" s="38">
        <f>IF(AQ88="7",BH88,0)</f>
        <v>0</v>
      </c>
      <c r="AE88" s="38">
        <f>IF(AQ88="7",BI88,0)</f>
        <v>0</v>
      </c>
      <c r="AF88" s="38">
        <f>IF(AQ88="2",BH88,0)</f>
        <v>0</v>
      </c>
      <c r="AG88" s="38">
        <f>IF(AQ88="2",BI88,0)</f>
        <v>0</v>
      </c>
      <c r="AH88" s="38">
        <f>IF(AQ88="0",BJ88,0)</f>
        <v>0</v>
      </c>
      <c r="AI88" s="31" t="s">
        <v>356</v>
      </c>
      <c r="AJ88" s="20">
        <f>IF(AN88=0,K88,0)</f>
        <v>0</v>
      </c>
      <c r="AK88" s="20">
        <f>IF(AN88=15,K88,0)</f>
        <v>0</v>
      </c>
      <c r="AL88" s="20">
        <f>IF(AN88=21,K88,0)</f>
        <v>0</v>
      </c>
      <c r="AN88" s="38">
        <v>21</v>
      </c>
      <c r="AO88" s="38">
        <f>H88*0.915173241852487</f>
        <v>0</v>
      </c>
      <c r="AP88" s="38">
        <f>H88*(1-0.915173241852487)</f>
        <v>0</v>
      </c>
      <c r="AQ88" s="32" t="s">
        <v>13</v>
      </c>
      <c r="AV88" s="38">
        <f>AW88+AX88</f>
        <v>0</v>
      </c>
      <c r="AW88" s="38">
        <f>G88*AO88</f>
        <v>0</v>
      </c>
      <c r="AX88" s="38">
        <f>G88*AP88</f>
        <v>0</v>
      </c>
      <c r="AY88" s="39" t="s">
        <v>369</v>
      </c>
      <c r="AZ88" s="39" t="s">
        <v>381</v>
      </c>
      <c r="BA88" s="31" t="s">
        <v>393</v>
      </c>
      <c r="BC88" s="38">
        <f>AW88+AX88</f>
        <v>0</v>
      </c>
      <c r="BD88" s="38">
        <f>H88/(100-BE88)*100</f>
        <v>0</v>
      </c>
      <c r="BE88" s="38">
        <v>0</v>
      </c>
      <c r="BF88" s="38">
        <f>88</f>
        <v>88</v>
      </c>
      <c r="BH88" s="20">
        <f>G88*AO88</f>
        <v>0</v>
      </c>
      <c r="BI88" s="20">
        <f>G88*AP88</f>
        <v>0</v>
      </c>
      <c r="BJ88" s="20">
        <f>G88*H88</f>
        <v>0</v>
      </c>
    </row>
    <row r="89" spans="1:47" ht="12.75">
      <c r="A89" s="5"/>
      <c r="B89" s="15" t="s">
        <v>89</v>
      </c>
      <c r="C89" s="101" t="s">
        <v>257</v>
      </c>
      <c r="D89" s="102"/>
      <c r="E89" s="102"/>
      <c r="F89" s="5" t="s">
        <v>6</v>
      </c>
      <c r="G89" s="5" t="s">
        <v>6</v>
      </c>
      <c r="H89" s="5" t="s">
        <v>6</v>
      </c>
      <c r="I89" s="41">
        <f>SUM(I90:I90)</f>
        <v>0</v>
      </c>
      <c r="J89" s="41">
        <f>SUM(J90:J90)</f>
        <v>0</v>
      </c>
      <c r="K89" s="41">
        <f>SUM(K90:K90)</f>
        <v>0</v>
      </c>
      <c r="L89" s="31"/>
      <c r="AI89" s="31" t="s">
        <v>356</v>
      </c>
      <c r="AS89" s="41">
        <f>SUM(AJ90:AJ90)</f>
        <v>0</v>
      </c>
      <c r="AT89" s="41">
        <f>SUM(AK90:AK90)</f>
        <v>0</v>
      </c>
      <c r="AU89" s="41">
        <f>SUM(AL90:AL90)</f>
        <v>0</v>
      </c>
    </row>
    <row r="90" spans="1:62" ht="12.75">
      <c r="A90" s="6" t="s">
        <v>59</v>
      </c>
      <c r="B90" s="6" t="s">
        <v>156</v>
      </c>
      <c r="C90" s="103" t="s">
        <v>258</v>
      </c>
      <c r="D90" s="104"/>
      <c r="E90" s="104"/>
      <c r="F90" s="6" t="s">
        <v>321</v>
      </c>
      <c r="G90" s="69">
        <v>71.775</v>
      </c>
      <c r="H90" s="20">
        <v>0</v>
      </c>
      <c r="I90" s="20">
        <f>G90*AO90</f>
        <v>0</v>
      </c>
      <c r="J90" s="20">
        <f>G90*AP90</f>
        <v>0</v>
      </c>
      <c r="K90" s="20">
        <f>G90*H90</f>
        <v>0</v>
      </c>
      <c r="L90" s="32" t="s">
        <v>345</v>
      </c>
      <c r="Z90" s="38">
        <f>IF(AQ90="5",BJ90,0)</f>
        <v>0</v>
      </c>
      <c r="AB90" s="38">
        <f>IF(AQ90="1",BH90,0)</f>
        <v>0</v>
      </c>
      <c r="AC90" s="38">
        <f>IF(AQ90="1",BI90,0)</f>
        <v>0</v>
      </c>
      <c r="AD90" s="38">
        <f>IF(AQ90="7",BH90,0)</f>
        <v>0</v>
      </c>
      <c r="AE90" s="38">
        <f>IF(AQ90="7",BI90,0)</f>
        <v>0</v>
      </c>
      <c r="AF90" s="38">
        <f>IF(AQ90="2",BH90,0)</f>
        <v>0</v>
      </c>
      <c r="AG90" s="38">
        <f>IF(AQ90="2",BI90,0)</f>
        <v>0</v>
      </c>
      <c r="AH90" s="38">
        <f>IF(AQ90="0",BJ90,0)</f>
        <v>0</v>
      </c>
      <c r="AI90" s="31" t="s">
        <v>356</v>
      </c>
      <c r="AJ90" s="20">
        <f>IF(AN90=0,K90,0)</f>
        <v>0</v>
      </c>
      <c r="AK90" s="20">
        <f>IF(AN90=15,K90,0)</f>
        <v>0</v>
      </c>
      <c r="AL90" s="20">
        <f>IF(AN90=21,K90,0)</f>
        <v>0</v>
      </c>
      <c r="AN90" s="38">
        <v>21</v>
      </c>
      <c r="AO90" s="38">
        <f>H90*0.327000966533424</f>
        <v>0</v>
      </c>
      <c r="AP90" s="38">
        <f>H90*(1-0.327000966533424)</f>
        <v>0</v>
      </c>
      <c r="AQ90" s="32" t="s">
        <v>7</v>
      </c>
      <c r="AV90" s="38">
        <f>AW90+AX90</f>
        <v>0</v>
      </c>
      <c r="AW90" s="38">
        <f>G90*AO90</f>
        <v>0</v>
      </c>
      <c r="AX90" s="38">
        <f>G90*AP90</f>
        <v>0</v>
      </c>
      <c r="AY90" s="39" t="s">
        <v>370</v>
      </c>
      <c r="AZ90" s="39" t="s">
        <v>382</v>
      </c>
      <c r="BA90" s="31" t="s">
        <v>393</v>
      </c>
      <c r="BC90" s="38">
        <f>AW90+AX90</f>
        <v>0</v>
      </c>
      <c r="BD90" s="38">
        <f>H90/(100-BE90)*100</f>
        <v>0</v>
      </c>
      <c r="BE90" s="38">
        <v>0</v>
      </c>
      <c r="BF90" s="38">
        <f>90</f>
        <v>90</v>
      </c>
      <c r="BH90" s="20">
        <f>G90*AO90</f>
        <v>0</v>
      </c>
      <c r="BI90" s="20">
        <f>G90*AP90</f>
        <v>0</v>
      </c>
      <c r="BJ90" s="20">
        <f>G90*H90</f>
        <v>0</v>
      </c>
    </row>
    <row r="91" spans="2:12" ht="12.75">
      <c r="B91" s="16" t="s">
        <v>116</v>
      </c>
      <c r="C91" s="105" t="s">
        <v>259</v>
      </c>
      <c r="D91" s="106"/>
      <c r="E91" s="106"/>
      <c r="F91" s="106"/>
      <c r="G91" s="106"/>
      <c r="H91" s="106"/>
      <c r="I91" s="106"/>
      <c r="J91" s="106"/>
      <c r="K91" s="106"/>
      <c r="L91" s="106"/>
    </row>
    <row r="92" spans="1:47" ht="12.75">
      <c r="A92" s="5"/>
      <c r="B92" s="15" t="s">
        <v>93</v>
      </c>
      <c r="C92" s="101" t="s">
        <v>219</v>
      </c>
      <c r="D92" s="102"/>
      <c r="E92" s="102"/>
      <c r="F92" s="5" t="s">
        <v>6</v>
      </c>
      <c r="G92" s="5" t="s">
        <v>6</v>
      </c>
      <c r="H92" s="5" t="s">
        <v>6</v>
      </c>
      <c r="I92" s="41">
        <f>SUM(I93:I98)</f>
        <v>0</v>
      </c>
      <c r="J92" s="41">
        <f>SUM(J93:J98)</f>
        <v>0</v>
      </c>
      <c r="K92" s="41">
        <f>SUM(K93:K98)</f>
        <v>0</v>
      </c>
      <c r="L92" s="31"/>
      <c r="AI92" s="31" t="s">
        <v>356</v>
      </c>
      <c r="AS92" s="41">
        <f>SUM(AJ93:AJ98)</f>
        <v>0</v>
      </c>
      <c r="AT92" s="41">
        <f>SUM(AK93:AK98)</f>
        <v>0</v>
      </c>
      <c r="AU92" s="41">
        <f>SUM(AL93:AL98)</f>
        <v>0</v>
      </c>
    </row>
    <row r="93" spans="1:62" ht="12.75">
      <c r="A93" s="6" t="s">
        <v>60</v>
      </c>
      <c r="B93" s="6" t="s">
        <v>157</v>
      </c>
      <c r="C93" s="103" t="s">
        <v>260</v>
      </c>
      <c r="D93" s="104"/>
      <c r="E93" s="104"/>
      <c r="F93" s="6" t="s">
        <v>321</v>
      </c>
      <c r="G93" s="69">
        <v>67.5</v>
      </c>
      <c r="H93" s="20">
        <v>0</v>
      </c>
      <c r="I93" s="20">
        <f>G93*AO93</f>
        <v>0</v>
      </c>
      <c r="J93" s="20">
        <f>G93*AP93</f>
        <v>0</v>
      </c>
      <c r="K93" s="20">
        <f>G93*H93</f>
        <v>0</v>
      </c>
      <c r="L93" s="32" t="s">
        <v>345</v>
      </c>
      <c r="Z93" s="38">
        <f>IF(AQ93="5",BJ93,0)</f>
        <v>0</v>
      </c>
      <c r="AB93" s="38">
        <f>IF(AQ93="1",BH93,0)</f>
        <v>0</v>
      </c>
      <c r="AC93" s="38">
        <f>IF(AQ93="1",BI93,0)</f>
        <v>0</v>
      </c>
      <c r="AD93" s="38">
        <f>IF(AQ93="7",BH93,0)</f>
        <v>0</v>
      </c>
      <c r="AE93" s="38">
        <f>IF(AQ93="7",BI93,0)</f>
        <v>0</v>
      </c>
      <c r="AF93" s="38">
        <f>IF(AQ93="2",BH93,0)</f>
        <v>0</v>
      </c>
      <c r="AG93" s="38">
        <f>IF(AQ93="2",BI93,0)</f>
        <v>0</v>
      </c>
      <c r="AH93" s="38">
        <f>IF(AQ93="0",BJ93,0)</f>
        <v>0</v>
      </c>
      <c r="AI93" s="31" t="s">
        <v>356</v>
      </c>
      <c r="AJ93" s="20">
        <f>IF(AN93=0,K93,0)</f>
        <v>0</v>
      </c>
      <c r="AK93" s="20">
        <f>IF(AN93=15,K93,0)</f>
        <v>0</v>
      </c>
      <c r="AL93" s="20">
        <f>IF(AN93=21,K93,0)</f>
        <v>0</v>
      </c>
      <c r="AN93" s="38">
        <v>21</v>
      </c>
      <c r="AO93" s="38">
        <f>H93*0.818121212121212</f>
        <v>0</v>
      </c>
      <c r="AP93" s="38">
        <f>H93*(1-0.818121212121212)</f>
        <v>0</v>
      </c>
      <c r="AQ93" s="32" t="s">
        <v>7</v>
      </c>
      <c r="AV93" s="38">
        <f>AW93+AX93</f>
        <v>0</v>
      </c>
      <c r="AW93" s="38">
        <f>G93*AO93</f>
        <v>0</v>
      </c>
      <c r="AX93" s="38">
        <f>G93*AP93</f>
        <v>0</v>
      </c>
      <c r="AY93" s="39" t="s">
        <v>364</v>
      </c>
      <c r="AZ93" s="39" t="s">
        <v>382</v>
      </c>
      <c r="BA93" s="31" t="s">
        <v>393</v>
      </c>
      <c r="BC93" s="38">
        <f>AW93+AX93</f>
        <v>0</v>
      </c>
      <c r="BD93" s="38">
        <f>H93/(100-BE93)*100</f>
        <v>0</v>
      </c>
      <c r="BE93" s="38">
        <v>0</v>
      </c>
      <c r="BF93" s="38">
        <f>93</f>
        <v>93</v>
      </c>
      <c r="BH93" s="20">
        <f>G93*AO93</f>
        <v>0</v>
      </c>
      <c r="BI93" s="20">
        <f>G93*AP93</f>
        <v>0</v>
      </c>
      <c r="BJ93" s="20">
        <f>G93*H93</f>
        <v>0</v>
      </c>
    </row>
    <row r="94" spans="2:12" ht="12.75">
      <c r="B94" s="16" t="s">
        <v>116</v>
      </c>
      <c r="C94" s="105" t="s">
        <v>261</v>
      </c>
      <c r="D94" s="106"/>
      <c r="E94" s="106"/>
      <c r="F94" s="106"/>
      <c r="G94" s="106"/>
      <c r="H94" s="106"/>
      <c r="I94" s="106"/>
      <c r="J94" s="106"/>
      <c r="K94" s="106"/>
      <c r="L94" s="106"/>
    </row>
    <row r="95" spans="1:62" ht="12.75">
      <c r="A95" s="6" t="s">
        <v>61</v>
      </c>
      <c r="B95" s="6" t="s">
        <v>158</v>
      </c>
      <c r="C95" s="103" t="s">
        <v>262</v>
      </c>
      <c r="D95" s="104"/>
      <c r="E95" s="104"/>
      <c r="F95" s="6" t="s">
        <v>322</v>
      </c>
      <c r="G95" s="69">
        <v>7</v>
      </c>
      <c r="H95" s="20">
        <v>0</v>
      </c>
      <c r="I95" s="20">
        <f>G95*AO95</f>
        <v>0</v>
      </c>
      <c r="J95" s="20">
        <f>G95*AP95</f>
        <v>0</v>
      </c>
      <c r="K95" s="20">
        <f>G95*H95</f>
        <v>0</v>
      </c>
      <c r="L95" s="32" t="s">
        <v>345</v>
      </c>
      <c r="Z95" s="38">
        <f>IF(AQ95="5",BJ95,0)</f>
        <v>0</v>
      </c>
      <c r="AB95" s="38">
        <f>IF(AQ95="1",BH95,0)</f>
        <v>0</v>
      </c>
      <c r="AC95" s="38">
        <f>IF(AQ95="1",BI95,0)</f>
        <v>0</v>
      </c>
      <c r="AD95" s="38">
        <f>IF(AQ95="7",BH95,0)</f>
        <v>0</v>
      </c>
      <c r="AE95" s="38">
        <f>IF(AQ95="7",BI95,0)</f>
        <v>0</v>
      </c>
      <c r="AF95" s="38">
        <f>IF(AQ95="2",BH95,0)</f>
        <v>0</v>
      </c>
      <c r="AG95" s="38">
        <f>IF(AQ95="2",BI95,0)</f>
        <v>0</v>
      </c>
      <c r="AH95" s="38">
        <f>IF(AQ95="0",BJ95,0)</f>
        <v>0</v>
      </c>
      <c r="AI95" s="31" t="s">
        <v>356</v>
      </c>
      <c r="AJ95" s="20">
        <f>IF(AN95=0,K95,0)</f>
        <v>0</v>
      </c>
      <c r="AK95" s="20">
        <f>IF(AN95=15,K95,0)</f>
        <v>0</v>
      </c>
      <c r="AL95" s="20">
        <f>IF(AN95=21,K95,0)</f>
        <v>0</v>
      </c>
      <c r="AN95" s="38">
        <v>21</v>
      </c>
      <c r="AO95" s="38">
        <f>H95*0.606692708333333</f>
        <v>0</v>
      </c>
      <c r="AP95" s="38">
        <f>H95*(1-0.606692708333333)</f>
        <v>0</v>
      </c>
      <c r="AQ95" s="32" t="s">
        <v>7</v>
      </c>
      <c r="AV95" s="38">
        <f>AW95+AX95</f>
        <v>0</v>
      </c>
      <c r="AW95" s="38">
        <f>G95*AO95</f>
        <v>0</v>
      </c>
      <c r="AX95" s="38">
        <f>G95*AP95</f>
        <v>0</v>
      </c>
      <c r="AY95" s="39" t="s">
        <v>364</v>
      </c>
      <c r="AZ95" s="39" t="s">
        <v>382</v>
      </c>
      <c r="BA95" s="31" t="s">
        <v>393</v>
      </c>
      <c r="BC95" s="38">
        <f>AW95+AX95</f>
        <v>0</v>
      </c>
      <c r="BD95" s="38">
        <f>H95/(100-BE95)*100</f>
        <v>0</v>
      </c>
      <c r="BE95" s="38">
        <v>0</v>
      </c>
      <c r="BF95" s="38">
        <f>95</f>
        <v>95</v>
      </c>
      <c r="BH95" s="20">
        <f>G95*AO95</f>
        <v>0</v>
      </c>
      <c r="BI95" s="20">
        <f>G95*AP95</f>
        <v>0</v>
      </c>
      <c r="BJ95" s="20">
        <f>G95*H95</f>
        <v>0</v>
      </c>
    </row>
    <row r="96" spans="2:12" ht="12.75">
      <c r="B96" s="16" t="s">
        <v>116</v>
      </c>
      <c r="C96" s="105" t="s">
        <v>263</v>
      </c>
      <c r="D96" s="106"/>
      <c r="E96" s="106"/>
      <c r="F96" s="106"/>
      <c r="G96" s="106"/>
      <c r="H96" s="106"/>
      <c r="I96" s="106"/>
      <c r="J96" s="106"/>
      <c r="K96" s="106"/>
      <c r="L96" s="106"/>
    </row>
    <row r="97" spans="1:62" ht="12.75">
      <c r="A97" s="6" t="s">
        <v>62</v>
      </c>
      <c r="B97" s="6" t="s">
        <v>159</v>
      </c>
      <c r="C97" s="103" t="s">
        <v>264</v>
      </c>
      <c r="D97" s="104"/>
      <c r="E97" s="104"/>
      <c r="F97" s="6" t="s">
        <v>322</v>
      </c>
      <c r="G97" s="69">
        <v>4</v>
      </c>
      <c r="H97" s="20">
        <v>0</v>
      </c>
      <c r="I97" s="20">
        <f>G97*AO97</f>
        <v>0</v>
      </c>
      <c r="J97" s="20">
        <f>G97*AP97</f>
        <v>0</v>
      </c>
      <c r="K97" s="20">
        <f>G97*H97</f>
        <v>0</v>
      </c>
      <c r="L97" s="32" t="s">
        <v>345</v>
      </c>
      <c r="Z97" s="38">
        <f>IF(AQ97="5",BJ97,0)</f>
        <v>0</v>
      </c>
      <c r="AB97" s="38">
        <f>IF(AQ97="1",BH97,0)</f>
        <v>0</v>
      </c>
      <c r="AC97" s="38">
        <f>IF(AQ97="1",BI97,0)</f>
        <v>0</v>
      </c>
      <c r="AD97" s="38">
        <f>IF(AQ97="7",BH97,0)</f>
        <v>0</v>
      </c>
      <c r="AE97" s="38">
        <f>IF(AQ97="7",BI97,0)</f>
        <v>0</v>
      </c>
      <c r="AF97" s="38">
        <f>IF(AQ97="2",BH97,0)</f>
        <v>0</v>
      </c>
      <c r="AG97" s="38">
        <f>IF(AQ97="2",BI97,0)</f>
        <v>0</v>
      </c>
      <c r="AH97" s="38">
        <f>IF(AQ97="0",BJ97,0)</f>
        <v>0</v>
      </c>
      <c r="AI97" s="31" t="s">
        <v>356</v>
      </c>
      <c r="AJ97" s="20">
        <f>IF(AN97=0,K97,0)</f>
        <v>0</v>
      </c>
      <c r="AK97" s="20">
        <f>IF(AN97=15,K97,0)</f>
        <v>0</v>
      </c>
      <c r="AL97" s="20">
        <f>IF(AN97=21,K97,0)</f>
        <v>0</v>
      </c>
      <c r="AN97" s="38">
        <v>21</v>
      </c>
      <c r="AO97" s="38">
        <f>H97*0.00536231884057971</f>
        <v>0</v>
      </c>
      <c r="AP97" s="38">
        <f>H97*(1-0.00536231884057971)</f>
        <v>0</v>
      </c>
      <c r="AQ97" s="32" t="s">
        <v>7</v>
      </c>
      <c r="AV97" s="38">
        <f>AW97+AX97</f>
        <v>0</v>
      </c>
      <c r="AW97" s="38">
        <f>G97*AO97</f>
        <v>0</v>
      </c>
      <c r="AX97" s="38">
        <f>G97*AP97</f>
        <v>0</v>
      </c>
      <c r="AY97" s="39" t="s">
        <v>364</v>
      </c>
      <c r="AZ97" s="39" t="s">
        <v>382</v>
      </c>
      <c r="BA97" s="31" t="s">
        <v>393</v>
      </c>
      <c r="BC97" s="38">
        <f>AW97+AX97</f>
        <v>0</v>
      </c>
      <c r="BD97" s="38">
        <f>H97/(100-BE97)*100</f>
        <v>0</v>
      </c>
      <c r="BE97" s="38">
        <v>0</v>
      </c>
      <c r="BF97" s="38">
        <f>97</f>
        <v>97</v>
      </c>
      <c r="BH97" s="20">
        <f>G97*AO97</f>
        <v>0</v>
      </c>
      <c r="BI97" s="20">
        <f>G97*AP97</f>
        <v>0</v>
      </c>
      <c r="BJ97" s="20">
        <f>G97*H97</f>
        <v>0</v>
      </c>
    </row>
    <row r="98" spans="1:62" ht="12.75">
      <c r="A98" s="7" t="s">
        <v>63</v>
      </c>
      <c r="B98" s="7" t="s">
        <v>160</v>
      </c>
      <c r="C98" s="107" t="s">
        <v>265</v>
      </c>
      <c r="D98" s="108"/>
      <c r="E98" s="108"/>
      <c r="F98" s="7" t="s">
        <v>322</v>
      </c>
      <c r="G98" s="70">
        <v>4</v>
      </c>
      <c r="H98" s="21">
        <v>0</v>
      </c>
      <c r="I98" s="21">
        <f>G98*AO98</f>
        <v>0</v>
      </c>
      <c r="J98" s="21">
        <f>G98*AP98</f>
        <v>0</v>
      </c>
      <c r="K98" s="21">
        <f>G98*H98</f>
        <v>0</v>
      </c>
      <c r="L98" s="33" t="s">
        <v>345</v>
      </c>
      <c r="Z98" s="38">
        <f>IF(AQ98="5",BJ98,0)</f>
        <v>0</v>
      </c>
      <c r="AB98" s="38">
        <f>IF(AQ98="1",BH98,0)</f>
        <v>0</v>
      </c>
      <c r="AC98" s="38">
        <f>IF(AQ98="1",BI98,0)</f>
        <v>0</v>
      </c>
      <c r="AD98" s="38">
        <f>IF(AQ98="7",BH98,0)</f>
        <v>0</v>
      </c>
      <c r="AE98" s="38">
        <f>IF(AQ98="7",BI98,0)</f>
        <v>0</v>
      </c>
      <c r="AF98" s="38">
        <f>IF(AQ98="2",BH98,0)</f>
        <v>0</v>
      </c>
      <c r="AG98" s="38">
        <f>IF(AQ98="2",BI98,0)</f>
        <v>0</v>
      </c>
      <c r="AH98" s="38">
        <f>IF(AQ98="0",BJ98,0)</f>
        <v>0</v>
      </c>
      <c r="AI98" s="31" t="s">
        <v>356</v>
      </c>
      <c r="AJ98" s="21">
        <f>IF(AN98=0,K98,0)</f>
        <v>0</v>
      </c>
      <c r="AK98" s="21">
        <f>IF(AN98=15,K98,0)</f>
        <v>0</v>
      </c>
      <c r="AL98" s="21">
        <f>IF(AN98=21,K98,0)</f>
        <v>0</v>
      </c>
      <c r="AN98" s="38">
        <v>21</v>
      </c>
      <c r="AO98" s="38">
        <f>H98*1</f>
        <v>0</v>
      </c>
      <c r="AP98" s="38">
        <f>H98*(1-1)</f>
        <v>0</v>
      </c>
      <c r="AQ98" s="33" t="s">
        <v>7</v>
      </c>
      <c r="AV98" s="38">
        <f>AW98+AX98</f>
        <v>0</v>
      </c>
      <c r="AW98" s="38">
        <f>G98*AO98</f>
        <v>0</v>
      </c>
      <c r="AX98" s="38">
        <f>G98*AP98</f>
        <v>0</v>
      </c>
      <c r="AY98" s="39" t="s">
        <v>364</v>
      </c>
      <c r="AZ98" s="39" t="s">
        <v>382</v>
      </c>
      <c r="BA98" s="31" t="s">
        <v>393</v>
      </c>
      <c r="BC98" s="38">
        <f>AW98+AX98</f>
        <v>0</v>
      </c>
      <c r="BD98" s="38">
        <f>H98/(100-BE98)*100</f>
        <v>0</v>
      </c>
      <c r="BE98" s="38">
        <v>0</v>
      </c>
      <c r="BF98" s="38">
        <f>98</f>
        <v>98</v>
      </c>
      <c r="BH98" s="21">
        <f>G98*AO98</f>
        <v>0</v>
      </c>
      <c r="BI98" s="21">
        <f>G98*AP98</f>
        <v>0</v>
      </c>
      <c r="BJ98" s="21">
        <f>G98*H98</f>
        <v>0</v>
      </c>
    </row>
    <row r="99" spans="1:47" ht="12.75">
      <c r="A99" s="5"/>
      <c r="B99" s="15" t="s">
        <v>95</v>
      </c>
      <c r="C99" s="101" t="s">
        <v>228</v>
      </c>
      <c r="D99" s="102"/>
      <c r="E99" s="102"/>
      <c r="F99" s="5" t="s">
        <v>6</v>
      </c>
      <c r="G99" s="5" t="s">
        <v>6</v>
      </c>
      <c r="H99" s="5" t="s">
        <v>6</v>
      </c>
      <c r="I99" s="41">
        <f>SUM(I100:I105)</f>
        <v>0</v>
      </c>
      <c r="J99" s="41">
        <f>SUM(J100:J105)</f>
        <v>0</v>
      </c>
      <c r="K99" s="41">
        <f>SUM(K100:K105)</f>
        <v>0</v>
      </c>
      <c r="L99" s="31"/>
      <c r="AI99" s="31" t="s">
        <v>356</v>
      </c>
      <c r="AS99" s="41">
        <f>SUM(AJ100:AJ105)</f>
        <v>0</v>
      </c>
      <c r="AT99" s="41">
        <f>SUM(AK100:AK105)</f>
        <v>0</v>
      </c>
      <c r="AU99" s="41">
        <f>SUM(AL100:AL105)</f>
        <v>0</v>
      </c>
    </row>
    <row r="100" spans="1:62" ht="12.75">
      <c r="A100" s="6" t="s">
        <v>64</v>
      </c>
      <c r="B100" s="6" t="s">
        <v>161</v>
      </c>
      <c r="C100" s="103" t="s">
        <v>266</v>
      </c>
      <c r="D100" s="104"/>
      <c r="E100" s="104"/>
      <c r="F100" s="6" t="s">
        <v>322</v>
      </c>
      <c r="G100" s="69">
        <v>3</v>
      </c>
      <c r="H100" s="20">
        <v>0</v>
      </c>
      <c r="I100" s="20">
        <f>G100*AO100</f>
        <v>0</v>
      </c>
      <c r="J100" s="20">
        <f>G100*AP100</f>
        <v>0</v>
      </c>
      <c r="K100" s="20">
        <f>G100*H100</f>
        <v>0</v>
      </c>
      <c r="L100" s="32" t="s">
        <v>345</v>
      </c>
      <c r="Z100" s="38">
        <f>IF(AQ100="5",BJ100,0)</f>
        <v>0</v>
      </c>
      <c r="AB100" s="38">
        <f>IF(AQ100="1",BH100,0)</f>
        <v>0</v>
      </c>
      <c r="AC100" s="38">
        <f>IF(AQ100="1",BI100,0)</f>
        <v>0</v>
      </c>
      <c r="AD100" s="38">
        <f>IF(AQ100="7",BH100,0)</f>
        <v>0</v>
      </c>
      <c r="AE100" s="38">
        <f>IF(AQ100="7",BI100,0)</f>
        <v>0</v>
      </c>
      <c r="AF100" s="38">
        <f>IF(AQ100="2",BH100,0)</f>
        <v>0</v>
      </c>
      <c r="AG100" s="38">
        <f>IF(AQ100="2",BI100,0)</f>
        <v>0</v>
      </c>
      <c r="AH100" s="38">
        <f>IF(AQ100="0",BJ100,0)</f>
        <v>0</v>
      </c>
      <c r="AI100" s="31" t="s">
        <v>356</v>
      </c>
      <c r="AJ100" s="20">
        <f>IF(AN100=0,K100,0)</f>
        <v>0</v>
      </c>
      <c r="AK100" s="20">
        <f>IF(AN100=15,K100,0)</f>
        <v>0</v>
      </c>
      <c r="AL100" s="20">
        <f>IF(AN100=21,K100,0)</f>
        <v>0</v>
      </c>
      <c r="AN100" s="38">
        <v>21</v>
      </c>
      <c r="AO100" s="38">
        <f>H100*0.945853346456693</f>
        <v>0</v>
      </c>
      <c r="AP100" s="38">
        <f>H100*(1-0.945853346456693)</f>
        <v>0</v>
      </c>
      <c r="AQ100" s="32" t="s">
        <v>7</v>
      </c>
      <c r="AV100" s="38">
        <f>AW100+AX100</f>
        <v>0</v>
      </c>
      <c r="AW100" s="38">
        <f>G100*AO100</f>
        <v>0</v>
      </c>
      <c r="AX100" s="38">
        <f>G100*AP100</f>
        <v>0</v>
      </c>
      <c r="AY100" s="39" t="s">
        <v>365</v>
      </c>
      <c r="AZ100" s="39" t="s">
        <v>382</v>
      </c>
      <c r="BA100" s="31" t="s">
        <v>393</v>
      </c>
      <c r="BC100" s="38">
        <f>AW100+AX100</f>
        <v>0</v>
      </c>
      <c r="BD100" s="38">
        <f>H100/(100-BE100)*100</f>
        <v>0</v>
      </c>
      <c r="BE100" s="38">
        <v>0</v>
      </c>
      <c r="BF100" s="38">
        <f>100</f>
        <v>100</v>
      </c>
      <c r="BH100" s="20">
        <f>G100*AO100</f>
        <v>0</v>
      </c>
      <c r="BI100" s="20">
        <f>G100*AP100</f>
        <v>0</v>
      </c>
      <c r="BJ100" s="20">
        <f>G100*H100</f>
        <v>0</v>
      </c>
    </row>
    <row r="101" spans="2:12" ht="12.75">
      <c r="B101" s="16" t="s">
        <v>116</v>
      </c>
      <c r="C101" s="105" t="s">
        <v>267</v>
      </c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1:62" ht="12.75">
      <c r="A102" s="6" t="s">
        <v>65</v>
      </c>
      <c r="B102" s="6" t="s">
        <v>162</v>
      </c>
      <c r="C102" s="103" t="s">
        <v>268</v>
      </c>
      <c r="D102" s="104"/>
      <c r="E102" s="104"/>
      <c r="F102" s="6" t="s">
        <v>322</v>
      </c>
      <c r="G102" s="69">
        <v>1</v>
      </c>
      <c r="H102" s="20">
        <v>0</v>
      </c>
      <c r="I102" s="20">
        <f>G102*AO102</f>
        <v>0</v>
      </c>
      <c r="J102" s="20">
        <f>G102*AP102</f>
        <v>0</v>
      </c>
      <c r="K102" s="20">
        <f>G102*H102</f>
        <v>0</v>
      </c>
      <c r="L102" s="32" t="s">
        <v>345</v>
      </c>
      <c r="Z102" s="38">
        <f>IF(AQ102="5",BJ102,0)</f>
        <v>0</v>
      </c>
      <c r="AB102" s="38">
        <f>IF(AQ102="1",BH102,0)</f>
        <v>0</v>
      </c>
      <c r="AC102" s="38">
        <f>IF(AQ102="1",BI102,0)</f>
        <v>0</v>
      </c>
      <c r="AD102" s="38">
        <f>IF(AQ102="7",BH102,0)</f>
        <v>0</v>
      </c>
      <c r="AE102" s="38">
        <f>IF(AQ102="7",BI102,0)</f>
        <v>0</v>
      </c>
      <c r="AF102" s="38">
        <f>IF(AQ102="2",BH102,0)</f>
        <v>0</v>
      </c>
      <c r="AG102" s="38">
        <f>IF(AQ102="2",BI102,0)</f>
        <v>0</v>
      </c>
      <c r="AH102" s="38">
        <f>IF(AQ102="0",BJ102,0)</f>
        <v>0</v>
      </c>
      <c r="AI102" s="31" t="s">
        <v>356</v>
      </c>
      <c r="AJ102" s="20">
        <f>IF(AN102=0,K102,0)</f>
        <v>0</v>
      </c>
      <c r="AK102" s="20">
        <f>IF(AN102=15,K102,0)</f>
        <v>0</v>
      </c>
      <c r="AL102" s="20">
        <f>IF(AN102=21,K102,0)</f>
        <v>0</v>
      </c>
      <c r="AN102" s="38">
        <v>21</v>
      </c>
      <c r="AO102" s="38">
        <f>H102*0.947255033557047</f>
        <v>0</v>
      </c>
      <c r="AP102" s="38">
        <f>H102*(1-0.947255033557047)</f>
        <v>0</v>
      </c>
      <c r="AQ102" s="32" t="s">
        <v>7</v>
      </c>
      <c r="AV102" s="38">
        <f>AW102+AX102</f>
        <v>0</v>
      </c>
      <c r="AW102" s="38">
        <f>G102*AO102</f>
        <v>0</v>
      </c>
      <c r="AX102" s="38">
        <f>G102*AP102</f>
        <v>0</v>
      </c>
      <c r="AY102" s="39" t="s">
        <v>365</v>
      </c>
      <c r="AZ102" s="39" t="s">
        <v>382</v>
      </c>
      <c r="BA102" s="31" t="s">
        <v>393</v>
      </c>
      <c r="BC102" s="38">
        <f>AW102+AX102</f>
        <v>0</v>
      </c>
      <c r="BD102" s="38">
        <f>H102/(100-BE102)*100</f>
        <v>0</v>
      </c>
      <c r="BE102" s="38">
        <v>0</v>
      </c>
      <c r="BF102" s="38">
        <f>102</f>
        <v>102</v>
      </c>
      <c r="BH102" s="20">
        <f>G102*AO102</f>
        <v>0</v>
      </c>
      <c r="BI102" s="20">
        <f>G102*AP102</f>
        <v>0</v>
      </c>
      <c r="BJ102" s="20">
        <f>G102*H102</f>
        <v>0</v>
      </c>
    </row>
    <row r="103" spans="2:12" ht="12.75">
      <c r="B103" s="16" t="s">
        <v>116</v>
      </c>
      <c r="C103" s="105" t="s">
        <v>267</v>
      </c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1:62" ht="12.75">
      <c r="A104" s="6" t="s">
        <v>66</v>
      </c>
      <c r="B104" s="6" t="s">
        <v>163</v>
      </c>
      <c r="C104" s="103" t="s">
        <v>269</v>
      </c>
      <c r="D104" s="104"/>
      <c r="E104" s="104"/>
      <c r="F104" s="6" t="s">
        <v>321</v>
      </c>
      <c r="G104" s="69">
        <v>67.5</v>
      </c>
      <c r="H104" s="20">
        <v>0</v>
      </c>
      <c r="I104" s="20">
        <f>G104*AO104</f>
        <v>0</v>
      </c>
      <c r="J104" s="20">
        <f>G104*AP104</f>
        <v>0</v>
      </c>
      <c r="K104" s="20">
        <f>G104*H104</f>
        <v>0</v>
      </c>
      <c r="L104" s="32" t="s">
        <v>345</v>
      </c>
      <c r="Z104" s="38">
        <f>IF(AQ104="5",BJ104,0)</f>
        <v>0</v>
      </c>
      <c r="AB104" s="38">
        <f>IF(AQ104="1",BH104,0)</f>
        <v>0</v>
      </c>
      <c r="AC104" s="38">
        <f>IF(AQ104="1",BI104,0)</f>
        <v>0</v>
      </c>
      <c r="AD104" s="38">
        <f>IF(AQ104="7",BH104,0)</f>
        <v>0</v>
      </c>
      <c r="AE104" s="38">
        <f>IF(AQ104="7",BI104,0)</f>
        <v>0</v>
      </c>
      <c r="AF104" s="38">
        <f>IF(AQ104="2",BH104,0)</f>
        <v>0</v>
      </c>
      <c r="AG104" s="38">
        <f>IF(AQ104="2",BI104,0)</f>
        <v>0</v>
      </c>
      <c r="AH104" s="38">
        <f>IF(AQ104="0",BJ104,0)</f>
        <v>0</v>
      </c>
      <c r="AI104" s="31" t="s">
        <v>356</v>
      </c>
      <c r="AJ104" s="20">
        <f>IF(AN104=0,K104,0)</f>
        <v>0</v>
      </c>
      <c r="AK104" s="20">
        <f>IF(AN104=15,K104,0)</f>
        <v>0</v>
      </c>
      <c r="AL104" s="20">
        <f>IF(AN104=21,K104,0)</f>
        <v>0</v>
      </c>
      <c r="AN104" s="38">
        <v>21</v>
      </c>
      <c r="AO104" s="38">
        <f>H104*0.288682969623862</f>
        <v>0</v>
      </c>
      <c r="AP104" s="38">
        <f>H104*(1-0.288682969623862)</f>
        <v>0</v>
      </c>
      <c r="AQ104" s="32" t="s">
        <v>7</v>
      </c>
      <c r="AV104" s="38">
        <f>AW104+AX104</f>
        <v>0</v>
      </c>
      <c r="AW104" s="38">
        <f>G104*AO104</f>
        <v>0</v>
      </c>
      <c r="AX104" s="38">
        <f>G104*AP104</f>
        <v>0</v>
      </c>
      <c r="AY104" s="39" t="s">
        <v>365</v>
      </c>
      <c r="AZ104" s="39" t="s">
        <v>382</v>
      </c>
      <c r="BA104" s="31" t="s">
        <v>393</v>
      </c>
      <c r="BC104" s="38">
        <f>AW104+AX104</f>
        <v>0</v>
      </c>
      <c r="BD104" s="38">
        <f>H104/(100-BE104)*100</f>
        <v>0</v>
      </c>
      <c r="BE104" s="38">
        <v>0</v>
      </c>
      <c r="BF104" s="38">
        <f>104</f>
        <v>104</v>
      </c>
      <c r="BH104" s="20">
        <f>G104*AO104</f>
        <v>0</v>
      </c>
      <c r="BI104" s="20">
        <f>G104*AP104</f>
        <v>0</v>
      </c>
      <c r="BJ104" s="20">
        <f>G104*H104</f>
        <v>0</v>
      </c>
    </row>
    <row r="105" spans="1:62" ht="12.75">
      <c r="A105" s="6" t="s">
        <v>67</v>
      </c>
      <c r="B105" s="6" t="s">
        <v>164</v>
      </c>
      <c r="C105" s="103" t="s">
        <v>270</v>
      </c>
      <c r="D105" s="104"/>
      <c r="E105" s="104"/>
      <c r="F105" s="6" t="s">
        <v>325</v>
      </c>
      <c r="G105" s="69">
        <v>1</v>
      </c>
      <c r="H105" s="20">
        <v>0</v>
      </c>
      <c r="I105" s="20">
        <f>G105*AO105</f>
        <v>0</v>
      </c>
      <c r="J105" s="20">
        <f>G105*AP105</f>
        <v>0</v>
      </c>
      <c r="K105" s="20">
        <f>G105*H105</f>
        <v>0</v>
      </c>
      <c r="L105" s="32" t="s">
        <v>345</v>
      </c>
      <c r="Z105" s="38">
        <f>IF(AQ105="5",BJ105,0)</f>
        <v>0</v>
      </c>
      <c r="AB105" s="38">
        <f>IF(AQ105="1",BH105,0)</f>
        <v>0</v>
      </c>
      <c r="AC105" s="38">
        <f>IF(AQ105="1",BI105,0)</f>
        <v>0</v>
      </c>
      <c r="AD105" s="38">
        <f>IF(AQ105="7",BH105,0)</f>
        <v>0</v>
      </c>
      <c r="AE105" s="38">
        <f>IF(AQ105="7",BI105,0)</f>
        <v>0</v>
      </c>
      <c r="AF105" s="38">
        <f>IF(AQ105="2",BH105,0)</f>
        <v>0</v>
      </c>
      <c r="AG105" s="38">
        <f>IF(AQ105="2",BI105,0)</f>
        <v>0</v>
      </c>
      <c r="AH105" s="38">
        <f>IF(AQ105="0",BJ105,0)</f>
        <v>0</v>
      </c>
      <c r="AI105" s="31" t="s">
        <v>356</v>
      </c>
      <c r="AJ105" s="20">
        <f>IF(AN105=0,K105,0)</f>
        <v>0</v>
      </c>
      <c r="AK105" s="20">
        <f>IF(AN105=15,K105,0)</f>
        <v>0</v>
      </c>
      <c r="AL105" s="20">
        <f>IF(AN105=21,K105,0)</f>
        <v>0</v>
      </c>
      <c r="AN105" s="38">
        <v>21</v>
      </c>
      <c r="AO105" s="38">
        <f>H105*0.0876536796536797</f>
        <v>0</v>
      </c>
      <c r="AP105" s="38">
        <f>H105*(1-0.0876536796536797)</f>
        <v>0</v>
      </c>
      <c r="AQ105" s="32" t="s">
        <v>7</v>
      </c>
      <c r="AV105" s="38">
        <f>AW105+AX105</f>
        <v>0</v>
      </c>
      <c r="AW105" s="38">
        <f>G105*AO105</f>
        <v>0</v>
      </c>
      <c r="AX105" s="38">
        <f>G105*AP105</f>
        <v>0</v>
      </c>
      <c r="AY105" s="39" t="s">
        <v>365</v>
      </c>
      <c r="AZ105" s="39" t="s">
        <v>382</v>
      </c>
      <c r="BA105" s="31" t="s">
        <v>393</v>
      </c>
      <c r="BC105" s="38">
        <f>AW105+AX105</f>
        <v>0</v>
      </c>
      <c r="BD105" s="38">
        <f>H105/(100-BE105)*100</f>
        <v>0</v>
      </c>
      <c r="BE105" s="38">
        <v>0</v>
      </c>
      <c r="BF105" s="38">
        <f>105</f>
        <v>105</v>
      </c>
      <c r="BH105" s="20">
        <f>G105*AO105</f>
        <v>0</v>
      </c>
      <c r="BI105" s="20">
        <f>G105*AP105</f>
        <v>0</v>
      </c>
      <c r="BJ105" s="20">
        <f>G105*H105</f>
        <v>0</v>
      </c>
    </row>
    <row r="106" spans="1:47" ht="12.75">
      <c r="A106" s="5"/>
      <c r="B106" s="15" t="s">
        <v>143</v>
      </c>
      <c r="C106" s="101" t="s">
        <v>241</v>
      </c>
      <c r="D106" s="102"/>
      <c r="E106" s="102"/>
      <c r="F106" s="5" t="s">
        <v>6</v>
      </c>
      <c r="G106" s="5" t="s">
        <v>6</v>
      </c>
      <c r="H106" s="5" t="s">
        <v>6</v>
      </c>
      <c r="I106" s="41">
        <f>SUM(I107:I107)</f>
        <v>0</v>
      </c>
      <c r="J106" s="41">
        <f>SUM(J107:J107)</f>
        <v>0</v>
      </c>
      <c r="K106" s="41">
        <f>SUM(K107:K107)</f>
        <v>0</v>
      </c>
      <c r="L106" s="31"/>
      <c r="AI106" s="31" t="s">
        <v>356</v>
      </c>
      <c r="AS106" s="41">
        <f>SUM(AJ107:AJ107)</f>
        <v>0</v>
      </c>
      <c r="AT106" s="41">
        <f>SUM(AK107:AK107)</f>
        <v>0</v>
      </c>
      <c r="AU106" s="41">
        <f>SUM(AL107:AL107)</f>
        <v>0</v>
      </c>
    </row>
    <row r="107" spans="1:62" ht="12.75">
      <c r="A107" s="6" t="s">
        <v>68</v>
      </c>
      <c r="B107" s="6" t="s">
        <v>144</v>
      </c>
      <c r="C107" s="103" t="s">
        <v>242</v>
      </c>
      <c r="D107" s="104"/>
      <c r="E107" s="104"/>
      <c r="F107" s="6" t="s">
        <v>324</v>
      </c>
      <c r="G107" s="69">
        <v>168.611</v>
      </c>
      <c r="H107" s="20">
        <v>0</v>
      </c>
      <c r="I107" s="20">
        <f>G107*AO107</f>
        <v>0</v>
      </c>
      <c r="J107" s="20">
        <f>G107*AP107</f>
        <v>0</v>
      </c>
      <c r="K107" s="20">
        <f>G107*H107</f>
        <v>0</v>
      </c>
      <c r="L107" s="32" t="s">
        <v>345</v>
      </c>
      <c r="Z107" s="38">
        <f>IF(AQ107="5",BJ107,0)</f>
        <v>0</v>
      </c>
      <c r="AB107" s="38">
        <f>IF(AQ107="1",BH107,0)</f>
        <v>0</v>
      </c>
      <c r="AC107" s="38">
        <f>IF(AQ107="1",BI107,0)</f>
        <v>0</v>
      </c>
      <c r="AD107" s="38">
        <f>IF(AQ107="7",BH107,0)</f>
        <v>0</v>
      </c>
      <c r="AE107" s="38">
        <f>IF(AQ107="7",BI107,0)</f>
        <v>0</v>
      </c>
      <c r="AF107" s="38">
        <f>IF(AQ107="2",BH107,0)</f>
        <v>0</v>
      </c>
      <c r="AG107" s="38">
        <f>IF(AQ107="2",BI107,0)</f>
        <v>0</v>
      </c>
      <c r="AH107" s="38">
        <f>IF(AQ107="0",BJ107,0)</f>
        <v>0</v>
      </c>
      <c r="AI107" s="31" t="s">
        <v>356</v>
      </c>
      <c r="AJ107" s="20">
        <f>IF(AN107=0,K107,0)</f>
        <v>0</v>
      </c>
      <c r="AK107" s="20">
        <f>IF(AN107=15,K107,0)</f>
        <v>0</v>
      </c>
      <c r="AL107" s="20">
        <f>IF(AN107=21,K107,0)</f>
        <v>0</v>
      </c>
      <c r="AN107" s="38">
        <v>21</v>
      </c>
      <c r="AO107" s="38">
        <f>H107*0</f>
        <v>0</v>
      </c>
      <c r="AP107" s="38">
        <f>H107*(1-0)</f>
        <v>0</v>
      </c>
      <c r="AQ107" s="32" t="s">
        <v>11</v>
      </c>
      <c r="AV107" s="38">
        <f>AW107+AX107</f>
        <v>0</v>
      </c>
      <c r="AW107" s="38">
        <f>G107*AO107</f>
        <v>0</v>
      </c>
      <c r="AX107" s="38">
        <f>G107*AP107</f>
        <v>0</v>
      </c>
      <c r="AY107" s="39" t="s">
        <v>366</v>
      </c>
      <c r="AZ107" s="39" t="s">
        <v>383</v>
      </c>
      <c r="BA107" s="31" t="s">
        <v>393</v>
      </c>
      <c r="BC107" s="38">
        <f>AW107+AX107</f>
        <v>0</v>
      </c>
      <c r="BD107" s="38">
        <f>H107/(100-BE107)*100</f>
        <v>0</v>
      </c>
      <c r="BE107" s="38">
        <v>0</v>
      </c>
      <c r="BF107" s="38">
        <f>107</f>
        <v>107</v>
      </c>
      <c r="BH107" s="20">
        <f>G107*AO107</f>
        <v>0</v>
      </c>
      <c r="BI107" s="20">
        <f>G107*AP107</f>
        <v>0</v>
      </c>
      <c r="BJ107" s="20">
        <f>G107*H107</f>
        <v>0</v>
      </c>
    </row>
    <row r="108" spans="1:12" ht="12.75">
      <c r="A108" s="8"/>
      <c r="B108" s="17"/>
      <c r="C108" s="109" t="s">
        <v>271</v>
      </c>
      <c r="D108" s="110"/>
      <c r="E108" s="110"/>
      <c r="F108" s="8" t="s">
        <v>6</v>
      </c>
      <c r="G108" s="8" t="s">
        <v>6</v>
      </c>
      <c r="H108" s="8" t="s">
        <v>6</v>
      </c>
      <c r="I108" s="42">
        <f>I109+I111+I114+I117+I122+I126+I128+I139+I144+I147</f>
        <v>0</v>
      </c>
      <c r="J108" s="42">
        <f>J109+J111+J114+J117+J122+J126+J128+J139+J144+J147</f>
        <v>0</v>
      </c>
      <c r="K108" s="42">
        <f>K109+K111+K114+K117+K122+K126+K128+K139+K144+K147</f>
        <v>0</v>
      </c>
      <c r="L108" s="34"/>
    </row>
    <row r="109" spans="1:47" ht="12.75">
      <c r="A109" s="5"/>
      <c r="B109" s="15" t="s">
        <v>17</v>
      </c>
      <c r="C109" s="101" t="s">
        <v>199</v>
      </c>
      <c r="D109" s="102"/>
      <c r="E109" s="102"/>
      <c r="F109" s="5" t="s">
        <v>6</v>
      </c>
      <c r="G109" s="5" t="s">
        <v>6</v>
      </c>
      <c r="H109" s="5" t="s">
        <v>6</v>
      </c>
      <c r="I109" s="41">
        <f>SUM(I110:I110)</f>
        <v>0</v>
      </c>
      <c r="J109" s="41">
        <f>SUM(J110:J110)</f>
        <v>0</v>
      </c>
      <c r="K109" s="41">
        <f>SUM(K110:K110)</f>
        <v>0</v>
      </c>
      <c r="L109" s="31"/>
      <c r="AI109" s="31" t="s">
        <v>357</v>
      </c>
      <c r="AS109" s="41">
        <f>SUM(AJ110:AJ110)</f>
        <v>0</v>
      </c>
      <c r="AT109" s="41">
        <f>SUM(AK110:AK110)</f>
        <v>0</v>
      </c>
      <c r="AU109" s="41">
        <f>SUM(AL110:AL110)</f>
        <v>0</v>
      </c>
    </row>
    <row r="110" spans="1:62" ht="12.75">
      <c r="A110" s="6" t="s">
        <v>69</v>
      </c>
      <c r="B110" s="6" t="s">
        <v>112</v>
      </c>
      <c r="C110" s="103" t="s">
        <v>200</v>
      </c>
      <c r="D110" s="104"/>
      <c r="E110" s="104"/>
      <c r="F110" s="6" t="s">
        <v>319</v>
      </c>
      <c r="G110" s="69">
        <v>1</v>
      </c>
      <c r="H110" s="20">
        <v>0</v>
      </c>
      <c r="I110" s="20">
        <f>G110*AO110</f>
        <v>0</v>
      </c>
      <c r="J110" s="20">
        <f>G110*AP110</f>
        <v>0</v>
      </c>
      <c r="K110" s="20">
        <f>G110*H110</f>
        <v>0</v>
      </c>
      <c r="L110" s="32"/>
      <c r="Z110" s="38">
        <f>IF(AQ110="5",BJ110,0)</f>
        <v>0</v>
      </c>
      <c r="AB110" s="38">
        <f>IF(AQ110="1",BH110,0)</f>
        <v>0</v>
      </c>
      <c r="AC110" s="38">
        <f>IF(AQ110="1",BI110,0)</f>
        <v>0</v>
      </c>
      <c r="AD110" s="38">
        <f>IF(AQ110="7",BH110,0)</f>
        <v>0</v>
      </c>
      <c r="AE110" s="38">
        <f>IF(AQ110="7",BI110,0)</f>
        <v>0</v>
      </c>
      <c r="AF110" s="38">
        <f>IF(AQ110="2",BH110,0)</f>
        <v>0</v>
      </c>
      <c r="AG110" s="38">
        <f>IF(AQ110="2",BI110,0)</f>
        <v>0</v>
      </c>
      <c r="AH110" s="38">
        <f>IF(AQ110="0",BJ110,0)</f>
        <v>0</v>
      </c>
      <c r="AI110" s="31" t="s">
        <v>357</v>
      </c>
      <c r="AJ110" s="20">
        <f>IF(AN110=0,K110,0)</f>
        <v>0</v>
      </c>
      <c r="AK110" s="20">
        <f>IF(AN110=15,K110,0)</f>
        <v>0</v>
      </c>
      <c r="AL110" s="20">
        <f>IF(AN110=21,K110,0)</f>
        <v>0</v>
      </c>
      <c r="AN110" s="38">
        <v>21</v>
      </c>
      <c r="AO110" s="38">
        <f>H110*0</f>
        <v>0</v>
      </c>
      <c r="AP110" s="38">
        <f>H110*(1-0)</f>
        <v>0</v>
      </c>
      <c r="AQ110" s="32" t="s">
        <v>7</v>
      </c>
      <c r="AV110" s="38">
        <f>AW110+AX110</f>
        <v>0</v>
      </c>
      <c r="AW110" s="38">
        <f>G110*AO110</f>
        <v>0</v>
      </c>
      <c r="AX110" s="38">
        <f>G110*AP110</f>
        <v>0</v>
      </c>
      <c r="AY110" s="39" t="s">
        <v>359</v>
      </c>
      <c r="AZ110" s="39" t="s">
        <v>384</v>
      </c>
      <c r="BA110" s="31" t="s">
        <v>394</v>
      </c>
      <c r="BC110" s="38">
        <f>AW110+AX110</f>
        <v>0</v>
      </c>
      <c r="BD110" s="38">
        <f>H110/(100-BE110)*100</f>
        <v>0</v>
      </c>
      <c r="BE110" s="38">
        <v>0</v>
      </c>
      <c r="BF110" s="38">
        <f>110</f>
        <v>110</v>
      </c>
      <c r="BH110" s="20">
        <f>G110*AO110</f>
        <v>0</v>
      </c>
      <c r="BI110" s="20">
        <f>G110*AP110</f>
        <v>0</v>
      </c>
      <c r="BJ110" s="20">
        <f>G110*H110</f>
        <v>0</v>
      </c>
    </row>
    <row r="111" spans="1:47" ht="12.75">
      <c r="A111" s="5"/>
      <c r="B111" s="15" t="s">
        <v>19</v>
      </c>
      <c r="C111" s="101" t="s">
        <v>201</v>
      </c>
      <c r="D111" s="102"/>
      <c r="E111" s="102"/>
      <c r="F111" s="5" t="s">
        <v>6</v>
      </c>
      <c r="G111" s="5" t="s">
        <v>6</v>
      </c>
      <c r="H111" s="5" t="s">
        <v>6</v>
      </c>
      <c r="I111" s="41">
        <f>SUM(I112:I113)</f>
        <v>0</v>
      </c>
      <c r="J111" s="41">
        <f>SUM(J112:J113)</f>
        <v>0</v>
      </c>
      <c r="K111" s="41">
        <f>SUM(K112:K113)</f>
        <v>0</v>
      </c>
      <c r="L111" s="31"/>
      <c r="AI111" s="31" t="s">
        <v>357</v>
      </c>
      <c r="AS111" s="41">
        <f>SUM(AJ112:AJ113)</f>
        <v>0</v>
      </c>
      <c r="AT111" s="41">
        <f>SUM(AK112:AK113)</f>
        <v>0</v>
      </c>
      <c r="AU111" s="41">
        <f>SUM(AL112:AL113)</f>
        <v>0</v>
      </c>
    </row>
    <row r="112" spans="1:62" ht="12.75">
      <c r="A112" s="6" t="s">
        <v>70</v>
      </c>
      <c r="B112" s="6" t="s">
        <v>165</v>
      </c>
      <c r="C112" s="103" t="s">
        <v>272</v>
      </c>
      <c r="D112" s="104"/>
      <c r="E112" s="104"/>
      <c r="F112" s="6" t="s">
        <v>320</v>
      </c>
      <c r="G112" s="69">
        <v>9.24</v>
      </c>
      <c r="H112" s="20">
        <v>0</v>
      </c>
      <c r="I112" s="20">
        <f>G112*AO112</f>
        <v>0</v>
      </c>
      <c r="J112" s="20">
        <f>G112*AP112</f>
        <v>0</v>
      </c>
      <c r="K112" s="20">
        <f>G112*H112</f>
        <v>0</v>
      </c>
      <c r="L112" s="32" t="s">
        <v>345</v>
      </c>
      <c r="Z112" s="38">
        <f>IF(AQ112="5",BJ112,0)</f>
        <v>0</v>
      </c>
      <c r="AB112" s="38">
        <f>IF(AQ112="1",BH112,0)</f>
        <v>0</v>
      </c>
      <c r="AC112" s="38">
        <f>IF(AQ112="1",BI112,0)</f>
        <v>0</v>
      </c>
      <c r="AD112" s="38">
        <f>IF(AQ112="7",BH112,0)</f>
        <v>0</v>
      </c>
      <c r="AE112" s="38">
        <f>IF(AQ112="7",BI112,0)</f>
        <v>0</v>
      </c>
      <c r="AF112" s="38">
        <f>IF(AQ112="2",BH112,0)</f>
        <v>0</v>
      </c>
      <c r="AG112" s="38">
        <f>IF(AQ112="2",BI112,0)</f>
        <v>0</v>
      </c>
      <c r="AH112" s="38">
        <f>IF(AQ112="0",BJ112,0)</f>
        <v>0</v>
      </c>
      <c r="AI112" s="31" t="s">
        <v>357</v>
      </c>
      <c r="AJ112" s="20">
        <f>IF(AN112=0,K112,0)</f>
        <v>0</v>
      </c>
      <c r="AK112" s="20">
        <f>IF(AN112=15,K112,0)</f>
        <v>0</v>
      </c>
      <c r="AL112" s="20">
        <f>IF(AN112=21,K112,0)</f>
        <v>0</v>
      </c>
      <c r="AN112" s="38">
        <v>21</v>
      </c>
      <c r="AO112" s="38">
        <f>H112*0</f>
        <v>0</v>
      </c>
      <c r="AP112" s="38">
        <f>H112*(1-0)</f>
        <v>0</v>
      </c>
      <c r="AQ112" s="32" t="s">
        <v>7</v>
      </c>
      <c r="AV112" s="38">
        <f>AW112+AX112</f>
        <v>0</v>
      </c>
      <c r="AW112" s="38">
        <f>G112*AO112</f>
        <v>0</v>
      </c>
      <c r="AX112" s="38">
        <f>G112*AP112</f>
        <v>0</v>
      </c>
      <c r="AY112" s="39" t="s">
        <v>360</v>
      </c>
      <c r="AZ112" s="39" t="s">
        <v>384</v>
      </c>
      <c r="BA112" s="31" t="s">
        <v>394</v>
      </c>
      <c r="BC112" s="38">
        <f>AW112+AX112</f>
        <v>0</v>
      </c>
      <c r="BD112" s="38">
        <f>H112/(100-BE112)*100</f>
        <v>0</v>
      </c>
      <c r="BE112" s="38">
        <v>0</v>
      </c>
      <c r="BF112" s="38">
        <f>112</f>
        <v>112</v>
      </c>
      <c r="BH112" s="20">
        <f>G112*AO112</f>
        <v>0</v>
      </c>
      <c r="BI112" s="20">
        <f>G112*AP112</f>
        <v>0</v>
      </c>
      <c r="BJ112" s="20">
        <f>G112*H112</f>
        <v>0</v>
      </c>
    </row>
    <row r="113" spans="1:62" ht="12.75">
      <c r="A113" s="6" t="s">
        <v>71</v>
      </c>
      <c r="B113" s="6" t="s">
        <v>166</v>
      </c>
      <c r="C113" s="103" t="s">
        <v>273</v>
      </c>
      <c r="D113" s="104"/>
      <c r="E113" s="104"/>
      <c r="F113" s="6" t="s">
        <v>320</v>
      </c>
      <c r="G113" s="69">
        <v>9.24</v>
      </c>
      <c r="H113" s="20">
        <v>0</v>
      </c>
      <c r="I113" s="20">
        <f>G113*AO113</f>
        <v>0</v>
      </c>
      <c r="J113" s="20">
        <f>G113*AP113</f>
        <v>0</v>
      </c>
      <c r="K113" s="20">
        <f>G113*H113</f>
        <v>0</v>
      </c>
      <c r="L113" s="32" t="s">
        <v>345</v>
      </c>
      <c r="Z113" s="38">
        <f>IF(AQ113="5",BJ113,0)</f>
        <v>0</v>
      </c>
      <c r="AB113" s="38">
        <f>IF(AQ113="1",BH113,0)</f>
        <v>0</v>
      </c>
      <c r="AC113" s="38">
        <f>IF(AQ113="1",BI113,0)</f>
        <v>0</v>
      </c>
      <c r="AD113" s="38">
        <f>IF(AQ113="7",BH113,0)</f>
        <v>0</v>
      </c>
      <c r="AE113" s="38">
        <f>IF(AQ113="7",BI113,0)</f>
        <v>0</v>
      </c>
      <c r="AF113" s="38">
        <f>IF(AQ113="2",BH113,0)</f>
        <v>0</v>
      </c>
      <c r="AG113" s="38">
        <f>IF(AQ113="2",BI113,0)</f>
        <v>0</v>
      </c>
      <c r="AH113" s="38">
        <f>IF(AQ113="0",BJ113,0)</f>
        <v>0</v>
      </c>
      <c r="AI113" s="31" t="s">
        <v>357</v>
      </c>
      <c r="AJ113" s="20">
        <f>IF(AN113=0,K113,0)</f>
        <v>0</v>
      </c>
      <c r="AK113" s="20">
        <f>IF(AN113=15,K113,0)</f>
        <v>0</v>
      </c>
      <c r="AL113" s="20">
        <f>IF(AN113=21,K113,0)</f>
        <v>0</v>
      </c>
      <c r="AN113" s="38">
        <v>21</v>
      </c>
      <c r="AO113" s="38">
        <f>H113*0</f>
        <v>0</v>
      </c>
      <c r="AP113" s="38">
        <f>H113*(1-0)</f>
        <v>0</v>
      </c>
      <c r="AQ113" s="32" t="s">
        <v>7</v>
      </c>
      <c r="AV113" s="38">
        <f>AW113+AX113</f>
        <v>0</v>
      </c>
      <c r="AW113" s="38">
        <f>G113*AO113</f>
        <v>0</v>
      </c>
      <c r="AX113" s="38">
        <f>G113*AP113</f>
        <v>0</v>
      </c>
      <c r="AY113" s="39" t="s">
        <v>360</v>
      </c>
      <c r="AZ113" s="39" t="s">
        <v>384</v>
      </c>
      <c r="BA113" s="31" t="s">
        <v>394</v>
      </c>
      <c r="BC113" s="38">
        <f>AW113+AX113</f>
        <v>0</v>
      </c>
      <c r="BD113" s="38">
        <f>H113/(100-BE113)*100</f>
        <v>0</v>
      </c>
      <c r="BE113" s="38">
        <v>0</v>
      </c>
      <c r="BF113" s="38">
        <f>113</f>
        <v>113</v>
      </c>
      <c r="BH113" s="20">
        <f>G113*AO113</f>
        <v>0</v>
      </c>
      <c r="BI113" s="20">
        <f>G113*AP113</f>
        <v>0</v>
      </c>
      <c r="BJ113" s="20">
        <f>G113*H113</f>
        <v>0</v>
      </c>
    </row>
    <row r="114" spans="1:47" ht="12.75">
      <c r="A114" s="5"/>
      <c r="B114" s="15" t="s">
        <v>22</v>
      </c>
      <c r="C114" s="101" t="s">
        <v>206</v>
      </c>
      <c r="D114" s="102"/>
      <c r="E114" s="102"/>
      <c r="F114" s="5" t="s">
        <v>6</v>
      </c>
      <c r="G114" s="5" t="s">
        <v>6</v>
      </c>
      <c r="H114" s="5" t="s">
        <v>6</v>
      </c>
      <c r="I114" s="41">
        <f>SUM(I115:I116)</f>
        <v>0</v>
      </c>
      <c r="J114" s="41">
        <f>SUM(J115:J116)</f>
        <v>0</v>
      </c>
      <c r="K114" s="41">
        <f>SUM(K115:K116)</f>
        <v>0</v>
      </c>
      <c r="L114" s="31"/>
      <c r="AI114" s="31" t="s">
        <v>357</v>
      </c>
      <c r="AS114" s="41">
        <f>SUM(AJ115:AJ116)</f>
        <v>0</v>
      </c>
      <c r="AT114" s="41">
        <f>SUM(AK115:AK116)</f>
        <v>0</v>
      </c>
      <c r="AU114" s="41">
        <f>SUM(AL115:AL116)</f>
        <v>0</v>
      </c>
    </row>
    <row r="115" spans="1:62" ht="12.75">
      <c r="A115" s="6" t="s">
        <v>72</v>
      </c>
      <c r="B115" s="6" t="s">
        <v>117</v>
      </c>
      <c r="C115" s="103" t="s">
        <v>207</v>
      </c>
      <c r="D115" s="104"/>
      <c r="E115" s="104"/>
      <c r="F115" s="6" t="s">
        <v>320</v>
      </c>
      <c r="G115" s="69">
        <v>3.97</v>
      </c>
      <c r="H115" s="20">
        <v>0</v>
      </c>
      <c r="I115" s="20">
        <f>G115*AO115</f>
        <v>0</v>
      </c>
      <c r="J115" s="20">
        <f>G115*AP115</f>
        <v>0</v>
      </c>
      <c r="K115" s="20">
        <f>G115*H115</f>
        <v>0</v>
      </c>
      <c r="L115" s="32" t="s">
        <v>345</v>
      </c>
      <c r="Z115" s="38">
        <f>IF(AQ115="5",BJ115,0)</f>
        <v>0</v>
      </c>
      <c r="AB115" s="38">
        <f>IF(AQ115="1",BH115,0)</f>
        <v>0</v>
      </c>
      <c r="AC115" s="38">
        <f>IF(AQ115="1",BI115,0)</f>
        <v>0</v>
      </c>
      <c r="AD115" s="38">
        <f>IF(AQ115="7",BH115,0)</f>
        <v>0</v>
      </c>
      <c r="AE115" s="38">
        <f>IF(AQ115="7",BI115,0)</f>
        <v>0</v>
      </c>
      <c r="AF115" s="38">
        <f>IF(AQ115="2",BH115,0)</f>
        <v>0</v>
      </c>
      <c r="AG115" s="38">
        <f>IF(AQ115="2",BI115,0)</f>
        <v>0</v>
      </c>
      <c r="AH115" s="38">
        <f>IF(AQ115="0",BJ115,0)</f>
        <v>0</v>
      </c>
      <c r="AI115" s="31" t="s">
        <v>357</v>
      </c>
      <c r="AJ115" s="20">
        <f>IF(AN115=0,K115,0)</f>
        <v>0</v>
      </c>
      <c r="AK115" s="20">
        <f>IF(AN115=15,K115,0)</f>
        <v>0</v>
      </c>
      <c r="AL115" s="20">
        <f>IF(AN115=21,K115,0)</f>
        <v>0</v>
      </c>
      <c r="AN115" s="38">
        <v>21</v>
      </c>
      <c r="AO115" s="38">
        <f>H115*0</f>
        <v>0</v>
      </c>
      <c r="AP115" s="38">
        <f>H115*(1-0)</f>
        <v>0</v>
      </c>
      <c r="AQ115" s="32" t="s">
        <v>7</v>
      </c>
      <c r="AV115" s="38">
        <f>AW115+AX115</f>
        <v>0</v>
      </c>
      <c r="AW115" s="38">
        <f>G115*AO115</f>
        <v>0</v>
      </c>
      <c r="AX115" s="38">
        <f>G115*AP115</f>
        <v>0</v>
      </c>
      <c r="AY115" s="39" t="s">
        <v>361</v>
      </c>
      <c r="AZ115" s="39" t="s">
        <v>384</v>
      </c>
      <c r="BA115" s="31" t="s">
        <v>394</v>
      </c>
      <c r="BC115" s="38">
        <f>AW115+AX115</f>
        <v>0</v>
      </c>
      <c r="BD115" s="38">
        <f>H115/(100-BE115)*100</f>
        <v>0</v>
      </c>
      <c r="BE115" s="38">
        <v>0</v>
      </c>
      <c r="BF115" s="38">
        <f>115</f>
        <v>115</v>
      </c>
      <c r="BH115" s="20">
        <f>G115*AO115</f>
        <v>0</v>
      </c>
      <c r="BI115" s="20">
        <f>G115*AP115</f>
        <v>0</v>
      </c>
      <c r="BJ115" s="20">
        <f>G115*H115</f>
        <v>0</v>
      </c>
    </row>
    <row r="116" spans="1:62" ht="12.75">
      <c r="A116" s="6" t="s">
        <v>73</v>
      </c>
      <c r="B116" s="6" t="s">
        <v>118</v>
      </c>
      <c r="C116" s="103" t="s">
        <v>208</v>
      </c>
      <c r="D116" s="104"/>
      <c r="E116" s="104"/>
      <c r="F116" s="6" t="s">
        <v>320</v>
      </c>
      <c r="G116" s="69">
        <v>3.97</v>
      </c>
      <c r="H116" s="20">
        <v>0</v>
      </c>
      <c r="I116" s="20">
        <f>G116*AO116</f>
        <v>0</v>
      </c>
      <c r="J116" s="20">
        <f>G116*AP116</f>
        <v>0</v>
      </c>
      <c r="K116" s="20">
        <f>G116*H116</f>
        <v>0</v>
      </c>
      <c r="L116" s="32" t="s">
        <v>345</v>
      </c>
      <c r="Z116" s="38">
        <f>IF(AQ116="5",BJ116,0)</f>
        <v>0</v>
      </c>
      <c r="AB116" s="38">
        <f>IF(AQ116="1",BH116,0)</f>
        <v>0</v>
      </c>
      <c r="AC116" s="38">
        <f>IF(AQ116="1",BI116,0)</f>
        <v>0</v>
      </c>
      <c r="AD116" s="38">
        <f>IF(AQ116="7",BH116,0)</f>
        <v>0</v>
      </c>
      <c r="AE116" s="38">
        <f>IF(AQ116="7",BI116,0)</f>
        <v>0</v>
      </c>
      <c r="AF116" s="38">
        <f>IF(AQ116="2",BH116,0)</f>
        <v>0</v>
      </c>
      <c r="AG116" s="38">
        <f>IF(AQ116="2",BI116,0)</f>
        <v>0</v>
      </c>
      <c r="AH116" s="38">
        <f>IF(AQ116="0",BJ116,0)</f>
        <v>0</v>
      </c>
      <c r="AI116" s="31" t="s">
        <v>357</v>
      </c>
      <c r="AJ116" s="20">
        <f>IF(AN116=0,K116,0)</f>
        <v>0</v>
      </c>
      <c r="AK116" s="20">
        <f>IF(AN116=15,K116,0)</f>
        <v>0</v>
      </c>
      <c r="AL116" s="20">
        <f>IF(AN116=21,K116,0)</f>
        <v>0</v>
      </c>
      <c r="AN116" s="38">
        <v>21</v>
      </c>
      <c r="AO116" s="38">
        <f>H116*0</f>
        <v>0</v>
      </c>
      <c r="AP116" s="38">
        <f>H116*(1-0)</f>
        <v>0</v>
      </c>
      <c r="AQ116" s="32" t="s">
        <v>7</v>
      </c>
      <c r="AV116" s="38">
        <f>AW116+AX116</f>
        <v>0</v>
      </c>
      <c r="AW116" s="38">
        <f>G116*AO116</f>
        <v>0</v>
      </c>
      <c r="AX116" s="38">
        <f>G116*AP116</f>
        <v>0</v>
      </c>
      <c r="AY116" s="39" t="s">
        <v>361</v>
      </c>
      <c r="AZ116" s="39" t="s">
        <v>384</v>
      </c>
      <c r="BA116" s="31" t="s">
        <v>394</v>
      </c>
      <c r="BC116" s="38">
        <f>AW116+AX116</f>
        <v>0</v>
      </c>
      <c r="BD116" s="38">
        <f>H116/(100-BE116)*100</f>
        <v>0</v>
      </c>
      <c r="BE116" s="38">
        <v>0</v>
      </c>
      <c r="BF116" s="38">
        <f>116</f>
        <v>116</v>
      </c>
      <c r="BH116" s="20">
        <f>G116*AO116</f>
        <v>0</v>
      </c>
      <c r="BI116" s="20">
        <f>G116*AP116</f>
        <v>0</v>
      </c>
      <c r="BJ116" s="20">
        <f>G116*H116</f>
        <v>0</v>
      </c>
    </row>
    <row r="117" spans="1:47" ht="12.75">
      <c r="A117" s="5"/>
      <c r="B117" s="15" t="s">
        <v>23</v>
      </c>
      <c r="C117" s="101" t="s">
        <v>209</v>
      </c>
      <c r="D117" s="102"/>
      <c r="E117" s="102"/>
      <c r="F117" s="5" t="s">
        <v>6</v>
      </c>
      <c r="G117" s="5" t="s">
        <v>6</v>
      </c>
      <c r="H117" s="5" t="s">
        <v>6</v>
      </c>
      <c r="I117" s="41">
        <f>SUM(I118:I121)</f>
        <v>0</v>
      </c>
      <c r="J117" s="41">
        <f>SUM(J118:J121)</f>
        <v>0</v>
      </c>
      <c r="K117" s="41">
        <f>SUM(K118:K121)</f>
        <v>0</v>
      </c>
      <c r="L117" s="31"/>
      <c r="AI117" s="31" t="s">
        <v>357</v>
      </c>
      <c r="AS117" s="41">
        <f>SUM(AJ118:AJ121)</f>
        <v>0</v>
      </c>
      <c r="AT117" s="41">
        <f>SUM(AK118:AK121)</f>
        <v>0</v>
      </c>
      <c r="AU117" s="41">
        <f>SUM(AL118:AL121)</f>
        <v>0</v>
      </c>
    </row>
    <row r="118" spans="1:62" ht="12.75">
      <c r="A118" s="6" t="s">
        <v>74</v>
      </c>
      <c r="B118" s="6" t="s">
        <v>167</v>
      </c>
      <c r="C118" s="103" t="s">
        <v>274</v>
      </c>
      <c r="D118" s="104"/>
      <c r="E118" s="104"/>
      <c r="F118" s="6" t="s">
        <v>320</v>
      </c>
      <c r="G118" s="69">
        <v>3.049</v>
      </c>
      <c r="H118" s="20">
        <v>0</v>
      </c>
      <c r="I118" s="20">
        <f>G118*AO118</f>
        <v>0</v>
      </c>
      <c r="J118" s="20">
        <f>G118*AP118</f>
        <v>0</v>
      </c>
      <c r="K118" s="20">
        <f>G118*H118</f>
        <v>0</v>
      </c>
      <c r="L118" s="32" t="s">
        <v>345</v>
      </c>
      <c r="Z118" s="38">
        <f>IF(AQ118="5",BJ118,0)</f>
        <v>0</v>
      </c>
      <c r="AB118" s="38">
        <f>IF(AQ118="1",BH118,0)</f>
        <v>0</v>
      </c>
      <c r="AC118" s="38">
        <f>IF(AQ118="1",BI118,0)</f>
        <v>0</v>
      </c>
      <c r="AD118" s="38">
        <f>IF(AQ118="7",BH118,0)</f>
        <v>0</v>
      </c>
      <c r="AE118" s="38">
        <f>IF(AQ118="7",BI118,0)</f>
        <v>0</v>
      </c>
      <c r="AF118" s="38">
        <f>IF(AQ118="2",BH118,0)</f>
        <v>0</v>
      </c>
      <c r="AG118" s="38">
        <f>IF(AQ118="2",BI118,0)</f>
        <v>0</v>
      </c>
      <c r="AH118" s="38">
        <f>IF(AQ118="0",BJ118,0)</f>
        <v>0</v>
      </c>
      <c r="AI118" s="31" t="s">
        <v>357</v>
      </c>
      <c r="AJ118" s="20">
        <f>IF(AN118=0,K118,0)</f>
        <v>0</v>
      </c>
      <c r="AK118" s="20">
        <f>IF(AN118=15,K118,0)</f>
        <v>0</v>
      </c>
      <c r="AL118" s="20">
        <f>IF(AN118=21,K118,0)</f>
        <v>0</v>
      </c>
      <c r="AN118" s="38">
        <v>21</v>
      </c>
      <c r="AO118" s="38">
        <f>H118*0.48289453570811</f>
        <v>0</v>
      </c>
      <c r="AP118" s="38">
        <f>H118*(1-0.48289453570811)</f>
        <v>0</v>
      </c>
      <c r="AQ118" s="32" t="s">
        <v>7</v>
      </c>
      <c r="AV118" s="38">
        <f>AW118+AX118</f>
        <v>0</v>
      </c>
      <c r="AW118" s="38">
        <f>G118*AO118</f>
        <v>0</v>
      </c>
      <c r="AX118" s="38">
        <f>G118*AP118</f>
        <v>0</v>
      </c>
      <c r="AY118" s="39" t="s">
        <v>362</v>
      </c>
      <c r="AZ118" s="39" t="s">
        <v>384</v>
      </c>
      <c r="BA118" s="31" t="s">
        <v>394</v>
      </c>
      <c r="BC118" s="38">
        <f>AW118+AX118</f>
        <v>0</v>
      </c>
      <c r="BD118" s="38">
        <f>H118/(100-BE118)*100</f>
        <v>0</v>
      </c>
      <c r="BE118" s="38">
        <v>0</v>
      </c>
      <c r="BF118" s="38">
        <f>118</f>
        <v>118</v>
      </c>
      <c r="BH118" s="20">
        <f>G118*AO118</f>
        <v>0</v>
      </c>
      <c r="BI118" s="20">
        <f>G118*AP118</f>
        <v>0</v>
      </c>
      <c r="BJ118" s="20">
        <f>G118*H118</f>
        <v>0</v>
      </c>
    </row>
    <row r="119" spans="1:62" ht="12.75">
      <c r="A119" s="6" t="s">
        <v>75</v>
      </c>
      <c r="B119" s="6" t="s">
        <v>168</v>
      </c>
      <c r="C119" s="103" t="s">
        <v>275</v>
      </c>
      <c r="D119" s="104"/>
      <c r="E119" s="104"/>
      <c r="F119" s="6" t="s">
        <v>320</v>
      </c>
      <c r="G119" s="69">
        <v>5.267</v>
      </c>
      <c r="H119" s="20">
        <v>0</v>
      </c>
      <c r="I119" s="20">
        <f>G119*AO119</f>
        <v>0</v>
      </c>
      <c r="J119" s="20">
        <f>G119*AP119</f>
        <v>0</v>
      </c>
      <c r="K119" s="20">
        <f>G119*H119</f>
        <v>0</v>
      </c>
      <c r="L119" s="32" t="s">
        <v>345</v>
      </c>
      <c r="Z119" s="38">
        <f>IF(AQ119="5",BJ119,0)</f>
        <v>0</v>
      </c>
      <c r="AB119" s="38">
        <f>IF(AQ119="1",BH119,0)</f>
        <v>0</v>
      </c>
      <c r="AC119" s="38">
        <f>IF(AQ119="1",BI119,0)</f>
        <v>0</v>
      </c>
      <c r="AD119" s="38">
        <f>IF(AQ119="7",BH119,0)</f>
        <v>0</v>
      </c>
      <c r="AE119" s="38">
        <f>IF(AQ119="7",BI119,0)</f>
        <v>0</v>
      </c>
      <c r="AF119" s="38">
        <f>IF(AQ119="2",BH119,0)</f>
        <v>0</v>
      </c>
      <c r="AG119" s="38">
        <f>IF(AQ119="2",BI119,0)</f>
        <v>0</v>
      </c>
      <c r="AH119" s="38">
        <f>IF(AQ119="0",BJ119,0)</f>
        <v>0</v>
      </c>
      <c r="AI119" s="31" t="s">
        <v>357</v>
      </c>
      <c r="AJ119" s="20">
        <f>IF(AN119=0,K119,0)</f>
        <v>0</v>
      </c>
      <c r="AK119" s="20">
        <f>IF(AN119=15,K119,0)</f>
        <v>0</v>
      </c>
      <c r="AL119" s="20">
        <f>IF(AN119=21,K119,0)</f>
        <v>0</v>
      </c>
      <c r="AN119" s="38">
        <v>21</v>
      </c>
      <c r="AO119" s="38">
        <f>H119*0</f>
        <v>0</v>
      </c>
      <c r="AP119" s="38">
        <f>H119*(1-0)</f>
        <v>0</v>
      </c>
      <c r="AQ119" s="32" t="s">
        <v>7</v>
      </c>
      <c r="AV119" s="38">
        <f>AW119+AX119</f>
        <v>0</v>
      </c>
      <c r="AW119" s="38">
        <f>G119*AO119</f>
        <v>0</v>
      </c>
      <c r="AX119" s="38">
        <f>G119*AP119</f>
        <v>0</v>
      </c>
      <c r="AY119" s="39" t="s">
        <v>362</v>
      </c>
      <c r="AZ119" s="39" t="s">
        <v>384</v>
      </c>
      <c r="BA119" s="31" t="s">
        <v>394</v>
      </c>
      <c r="BC119" s="38">
        <f>AW119+AX119</f>
        <v>0</v>
      </c>
      <c r="BD119" s="38">
        <f>H119/(100-BE119)*100</f>
        <v>0</v>
      </c>
      <c r="BE119" s="38">
        <v>0</v>
      </c>
      <c r="BF119" s="38">
        <f>119</f>
        <v>119</v>
      </c>
      <c r="BH119" s="20">
        <f>G119*AO119</f>
        <v>0</v>
      </c>
      <c r="BI119" s="20">
        <f>G119*AP119</f>
        <v>0</v>
      </c>
      <c r="BJ119" s="20">
        <f>G119*H119</f>
        <v>0</v>
      </c>
    </row>
    <row r="120" spans="1:62" ht="12.75">
      <c r="A120" s="6" t="s">
        <v>76</v>
      </c>
      <c r="B120" s="6" t="s">
        <v>122</v>
      </c>
      <c r="C120" s="103" t="s">
        <v>215</v>
      </c>
      <c r="D120" s="104"/>
      <c r="E120" s="104"/>
      <c r="F120" s="6" t="s">
        <v>320</v>
      </c>
      <c r="G120" s="69">
        <v>3.97</v>
      </c>
      <c r="H120" s="20">
        <v>0</v>
      </c>
      <c r="I120" s="20">
        <f>G120*AO120</f>
        <v>0</v>
      </c>
      <c r="J120" s="20">
        <f>G120*AP120</f>
        <v>0</v>
      </c>
      <c r="K120" s="20">
        <f>G120*H120</f>
        <v>0</v>
      </c>
      <c r="L120" s="32" t="s">
        <v>345</v>
      </c>
      <c r="Z120" s="38">
        <f>IF(AQ120="5",BJ120,0)</f>
        <v>0</v>
      </c>
      <c r="AB120" s="38">
        <f>IF(AQ120="1",BH120,0)</f>
        <v>0</v>
      </c>
      <c r="AC120" s="38">
        <f>IF(AQ120="1",BI120,0)</f>
        <v>0</v>
      </c>
      <c r="AD120" s="38">
        <f>IF(AQ120="7",BH120,0)</f>
        <v>0</v>
      </c>
      <c r="AE120" s="38">
        <f>IF(AQ120="7",BI120,0)</f>
        <v>0</v>
      </c>
      <c r="AF120" s="38">
        <f>IF(AQ120="2",BH120,0)</f>
        <v>0</v>
      </c>
      <c r="AG120" s="38">
        <f>IF(AQ120="2",BI120,0)</f>
        <v>0</v>
      </c>
      <c r="AH120" s="38">
        <f>IF(AQ120="0",BJ120,0)</f>
        <v>0</v>
      </c>
      <c r="AI120" s="31" t="s">
        <v>357</v>
      </c>
      <c r="AJ120" s="20">
        <f>IF(AN120=0,K120,0)</f>
        <v>0</v>
      </c>
      <c r="AK120" s="20">
        <f>IF(AN120=15,K120,0)</f>
        <v>0</v>
      </c>
      <c r="AL120" s="20">
        <f>IF(AN120=21,K120,0)</f>
        <v>0</v>
      </c>
      <c r="AN120" s="38">
        <v>21</v>
      </c>
      <c r="AO120" s="38">
        <f>H120*0</f>
        <v>0</v>
      </c>
      <c r="AP120" s="38">
        <f>H120*(1-0)</f>
        <v>0</v>
      </c>
      <c r="AQ120" s="32" t="s">
        <v>7</v>
      </c>
      <c r="AV120" s="38">
        <f>AW120+AX120</f>
        <v>0</v>
      </c>
      <c r="AW120" s="38">
        <f>G120*AO120</f>
        <v>0</v>
      </c>
      <c r="AX120" s="38">
        <f>G120*AP120</f>
        <v>0</v>
      </c>
      <c r="AY120" s="39" t="s">
        <v>362</v>
      </c>
      <c r="AZ120" s="39" t="s">
        <v>384</v>
      </c>
      <c r="BA120" s="31" t="s">
        <v>394</v>
      </c>
      <c r="BC120" s="38">
        <f>AW120+AX120</f>
        <v>0</v>
      </c>
      <c r="BD120" s="38">
        <f>H120/(100-BE120)*100</f>
        <v>0</v>
      </c>
      <c r="BE120" s="38">
        <v>0</v>
      </c>
      <c r="BF120" s="38">
        <f>120</f>
        <v>120</v>
      </c>
      <c r="BH120" s="20">
        <f>G120*AO120</f>
        <v>0</v>
      </c>
      <c r="BI120" s="20">
        <f>G120*AP120</f>
        <v>0</v>
      </c>
      <c r="BJ120" s="20">
        <f>G120*H120</f>
        <v>0</v>
      </c>
    </row>
    <row r="121" spans="1:62" ht="12.75">
      <c r="A121" s="6" t="s">
        <v>77</v>
      </c>
      <c r="B121" s="6" t="s">
        <v>123</v>
      </c>
      <c r="C121" s="103" t="s">
        <v>216</v>
      </c>
      <c r="D121" s="104"/>
      <c r="E121" s="104"/>
      <c r="F121" s="6" t="s">
        <v>320</v>
      </c>
      <c r="G121" s="69">
        <v>3.97</v>
      </c>
      <c r="H121" s="20">
        <v>0</v>
      </c>
      <c r="I121" s="20">
        <f>G121*AO121</f>
        <v>0</v>
      </c>
      <c r="J121" s="20">
        <f>G121*AP121</f>
        <v>0</v>
      </c>
      <c r="K121" s="20">
        <f>G121*H121</f>
        <v>0</v>
      </c>
      <c r="L121" s="32" t="s">
        <v>345</v>
      </c>
      <c r="Z121" s="38">
        <f>IF(AQ121="5",BJ121,0)</f>
        <v>0</v>
      </c>
      <c r="AB121" s="38">
        <f>IF(AQ121="1",BH121,0)</f>
        <v>0</v>
      </c>
      <c r="AC121" s="38">
        <f>IF(AQ121="1",BI121,0)</f>
        <v>0</v>
      </c>
      <c r="AD121" s="38">
        <f>IF(AQ121="7",BH121,0)</f>
        <v>0</v>
      </c>
      <c r="AE121" s="38">
        <f>IF(AQ121="7",BI121,0)</f>
        <v>0</v>
      </c>
      <c r="AF121" s="38">
        <f>IF(AQ121="2",BH121,0)</f>
        <v>0</v>
      </c>
      <c r="AG121" s="38">
        <f>IF(AQ121="2",BI121,0)</f>
        <v>0</v>
      </c>
      <c r="AH121" s="38">
        <f>IF(AQ121="0",BJ121,0)</f>
        <v>0</v>
      </c>
      <c r="AI121" s="31" t="s">
        <v>357</v>
      </c>
      <c r="AJ121" s="20">
        <f>IF(AN121=0,K121,0)</f>
        <v>0</v>
      </c>
      <c r="AK121" s="20">
        <f>IF(AN121=15,K121,0)</f>
        <v>0</v>
      </c>
      <c r="AL121" s="20">
        <f>IF(AN121=21,K121,0)</f>
        <v>0</v>
      </c>
      <c r="AN121" s="38">
        <v>21</v>
      </c>
      <c r="AO121" s="38">
        <f>H121*0</f>
        <v>0</v>
      </c>
      <c r="AP121" s="38">
        <f>H121*(1-0)</f>
        <v>0</v>
      </c>
      <c r="AQ121" s="32" t="s">
        <v>7</v>
      </c>
      <c r="AV121" s="38">
        <f>AW121+AX121</f>
        <v>0</v>
      </c>
      <c r="AW121" s="38">
        <f>G121*AO121</f>
        <v>0</v>
      </c>
      <c r="AX121" s="38">
        <f>G121*AP121</f>
        <v>0</v>
      </c>
      <c r="AY121" s="39" t="s">
        <v>362</v>
      </c>
      <c r="AZ121" s="39" t="s">
        <v>384</v>
      </c>
      <c r="BA121" s="31" t="s">
        <v>394</v>
      </c>
      <c r="BC121" s="38">
        <f>AW121+AX121</f>
        <v>0</v>
      </c>
      <c r="BD121" s="38">
        <f>H121/(100-BE121)*100</f>
        <v>0</v>
      </c>
      <c r="BE121" s="38">
        <v>0</v>
      </c>
      <c r="BF121" s="38">
        <f>121</f>
        <v>121</v>
      </c>
      <c r="BH121" s="20">
        <f>G121*AO121</f>
        <v>0</v>
      </c>
      <c r="BI121" s="20">
        <f>G121*AP121</f>
        <v>0</v>
      </c>
      <c r="BJ121" s="20">
        <f>G121*H121</f>
        <v>0</v>
      </c>
    </row>
    <row r="122" spans="1:47" ht="12.75">
      <c r="A122" s="5"/>
      <c r="B122" s="15" t="s">
        <v>40</v>
      </c>
      <c r="C122" s="101" t="s">
        <v>276</v>
      </c>
      <c r="D122" s="102"/>
      <c r="E122" s="102"/>
      <c r="F122" s="5" t="s">
        <v>6</v>
      </c>
      <c r="G122" s="5" t="s">
        <v>6</v>
      </c>
      <c r="H122" s="5" t="s">
        <v>6</v>
      </c>
      <c r="I122" s="41">
        <f>SUM(I123:I125)</f>
        <v>0</v>
      </c>
      <c r="J122" s="41">
        <f>SUM(J123:J125)</f>
        <v>0</v>
      </c>
      <c r="K122" s="41">
        <f>SUM(K123:K125)</f>
        <v>0</v>
      </c>
      <c r="L122" s="31"/>
      <c r="AI122" s="31" t="s">
        <v>357</v>
      </c>
      <c r="AS122" s="41">
        <f>SUM(AJ123:AJ125)</f>
        <v>0</v>
      </c>
      <c r="AT122" s="41">
        <f>SUM(AK123:AK125)</f>
        <v>0</v>
      </c>
      <c r="AU122" s="41">
        <f>SUM(AL123:AL125)</f>
        <v>0</v>
      </c>
    </row>
    <row r="123" spans="1:62" ht="12.75">
      <c r="A123" s="6" t="s">
        <v>78</v>
      </c>
      <c r="B123" s="6" t="s">
        <v>169</v>
      </c>
      <c r="C123" s="103" t="s">
        <v>277</v>
      </c>
      <c r="D123" s="104"/>
      <c r="E123" s="104"/>
      <c r="F123" s="6" t="s">
        <v>322</v>
      </c>
      <c r="G123" s="69">
        <v>1</v>
      </c>
      <c r="H123" s="20">
        <v>0</v>
      </c>
      <c r="I123" s="20">
        <f>G123*AO123</f>
        <v>0</v>
      </c>
      <c r="J123" s="20">
        <f>G123*AP123</f>
        <v>0</v>
      </c>
      <c r="K123" s="20">
        <f>G123*H123</f>
        <v>0</v>
      </c>
      <c r="L123" s="32" t="s">
        <v>345</v>
      </c>
      <c r="Z123" s="38">
        <f>IF(AQ123="5",BJ123,0)</f>
        <v>0</v>
      </c>
      <c r="AB123" s="38">
        <f>IF(AQ123="1",BH123,0)</f>
        <v>0</v>
      </c>
      <c r="AC123" s="38">
        <f>IF(AQ123="1",BI123,0)</f>
        <v>0</v>
      </c>
      <c r="AD123" s="38">
        <f>IF(AQ123="7",BH123,0)</f>
        <v>0</v>
      </c>
      <c r="AE123" s="38">
        <f>IF(AQ123="7",BI123,0)</f>
        <v>0</v>
      </c>
      <c r="AF123" s="38">
        <f>IF(AQ123="2",BH123,0)</f>
        <v>0</v>
      </c>
      <c r="AG123" s="38">
        <f>IF(AQ123="2",BI123,0)</f>
        <v>0</v>
      </c>
      <c r="AH123" s="38">
        <f>IF(AQ123="0",BJ123,0)</f>
        <v>0</v>
      </c>
      <c r="AI123" s="31" t="s">
        <v>357</v>
      </c>
      <c r="AJ123" s="20">
        <f>IF(AN123=0,K123,0)</f>
        <v>0</v>
      </c>
      <c r="AK123" s="20">
        <f>IF(AN123=15,K123,0)</f>
        <v>0</v>
      </c>
      <c r="AL123" s="20">
        <f>IF(AN123=21,K123,0)</f>
        <v>0</v>
      </c>
      <c r="AN123" s="38">
        <v>21</v>
      </c>
      <c r="AO123" s="38">
        <f>H123*0.905125654450262</f>
        <v>0</v>
      </c>
      <c r="AP123" s="38">
        <f>H123*(1-0.905125654450262)</f>
        <v>0</v>
      </c>
      <c r="AQ123" s="32" t="s">
        <v>7</v>
      </c>
      <c r="AV123" s="38">
        <f>AW123+AX123</f>
        <v>0</v>
      </c>
      <c r="AW123" s="38">
        <f>G123*AO123</f>
        <v>0</v>
      </c>
      <c r="AX123" s="38">
        <f>G123*AP123</f>
        <v>0</v>
      </c>
      <c r="AY123" s="39" t="s">
        <v>371</v>
      </c>
      <c r="AZ123" s="39" t="s">
        <v>385</v>
      </c>
      <c r="BA123" s="31" t="s">
        <v>394</v>
      </c>
      <c r="BC123" s="38">
        <f>AW123+AX123</f>
        <v>0</v>
      </c>
      <c r="BD123" s="38">
        <f>H123/(100-BE123)*100</f>
        <v>0</v>
      </c>
      <c r="BE123" s="38">
        <v>0</v>
      </c>
      <c r="BF123" s="38">
        <f>123</f>
        <v>123</v>
      </c>
      <c r="BH123" s="20">
        <f>G123*AO123</f>
        <v>0</v>
      </c>
      <c r="BI123" s="20">
        <f>G123*AP123</f>
        <v>0</v>
      </c>
      <c r="BJ123" s="20">
        <f>G123*H123</f>
        <v>0</v>
      </c>
    </row>
    <row r="124" spans="2:12" ht="12.75">
      <c r="B124" s="16" t="s">
        <v>116</v>
      </c>
      <c r="C124" s="105" t="s">
        <v>278</v>
      </c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1:62" ht="12.75">
      <c r="A125" s="6" t="s">
        <v>79</v>
      </c>
      <c r="B125" s="6" t="s">
        <v>170</v>
      </c>
      <c r="C125" s="103" t="s">
        <v>279</v>
      </c>
      <c r="D125" s="104"/>
      <c r="E125" s="104"/>
      <c r="F125" s="6" t="s">
        <v>322</v>
      </c>
      <c r="G125" s="69">
        <v>1</v>
      </c>
      <c r="H125" s="20">
        <v>0</v>
      </c>
      <c r="I125" s="20">
        <f>G125*AO125</f>
        <v>0</v>
      </c>
      <c r="J125" s="20">
        <f>G125*AP125</f>
        <v>0</v>
      </c>
      <c r="K125" s="20">
        <f>G125*H125</f>
        <v>0</v>
      </c>
      <c r="L125" s="32" t="s">
        <v>345</v>
      </c>
      <c r="Z125" s="38">
        <f>IF(AQ125="5",BJ125,0)</f>
        <v>0</v>
      </c>
      <c r="AB125" s="38">
        <f>IF(AQ125="1",BH125,0)</f>
        <v>0</v>
      </c>
      <c r="AC125" s="38">
        <f>IF(AQ125="1",BI125,0)</f>
        <v>0</v>
      </c>
      <c r="AD125" s="38">
        <f>IF(AQ125="7",BH125,0)</f>
        <v>0</v>
      </c>
      <c r="AE125" s="38">
        <f>IF(AQ125="7",BI125,0)</f>
        <v>0</v>
      </c>
      <c r="AF125" s="38">
        <f>IF(AQ125="2",BH125,0)</f>
        <v>0</v>
      </c>
      <c r="AG125" s="38">
        <f>IF(AQ125="2",BI125,0)</f>
        <v>0</v>
      </c>
      <c r="AH125" s="38">
        <f>IF(AQ125="0",BJ125,0)</f>
        <v>0</v>
      </c>
      <c r="AI125" s="31" t="s">
        <v>357</v>
      </c>
      <c r="AJ125" s="20">
        <f>IF(AN125=0,K125,0)</f>
        <v>0</v>
      </c>
      <c r="AK125" s="20">
        <f>IF(AN125=15,K125,0)</f>
        <v>0</v>
      </c>
      <c r="AL125" s="20">
        <f>IF(AN125=21,K125,0)</f>
        <v>0</v>
      </c>
      <c r="AN125" s="38">
        <v>21</v>
      </c>
      <c r="AO125" s="38">
        <f>H125*0.539290047393365</f>
        <v>0</v>
      </c>
      <c r="AP125" s="38">
        <f>H125*(1-0.539290047393365)</f>
        <v>0</v>
      </c>
      <c r="AQ125" s="32" t="s">
        <v>8</v>
      </c>
      <c r="AV125" s="38">
        <f>AW125+AX125</f>
        <v>0</v>
      </c>
      <c r="AW125" s="38">
        <f>G125*AO125</f>
        <v>0</v>
      </c>
      <c r="AX125" s="38">
        <f>G125*AP125</f>
        <v>0</v>
      </c>
      <c r="AY125" s="39" t="s">
        <v>371</v>
      </c>
      <c r="AZ125" s="39" t="s">
        <v>385</v>
      </c>
      <c r="BA125" s="31" t="s">
        <v>394</v>
      </c>
      <c r="BC125" s="38">
        <f>AW125+AX125</f>
        <v>0</v>
      </c>
      <c r="BD125" s="38">
        <f>H125/(100-BE125)*100</f>
        <v>0</v>
      </c>
      <c r="BE125" s="38">
        <v>0</v>
      </c>
      <c r="BF125" s="38">
        <f>125</f>
        <v>125</v>
      </c>
      <c r="BH125" s="20">
        <f>G125*AO125</f>
        <v>0</v>
      </c>
      <c r="BI125" s="20">
        <f>G125*AP125</f>
        <v>0</v>
      </c>
      <c r="BJ125" s="20">
        <f>G125*H125</f>
        <v>0</v>
      </c>
    </row>
    <row r="126" spans="1:47" ht="12.75">
      <c r="A126" s="5"/>
      <c r="B126" s="15" t="s">
        <v>51</v>
      </c>
      <c r="C126" s="101" t="s">
        <v>217</v>
      </c>
      <c r="D126" s="102"/>
      <c r="E126" s="102"/>
      <c r="F126" s="5" t="s">
        <v>6</v>
      </c>
      <c r="G126" s="5" t="s">
        <v>6</v>
      </c>
      <c r="H126" s="5" t="s">
        <v>6</v>
      </c>
      <c r="I126" s="41">
        <f>SUM(I127:I127)</f>
        <v>0</v>
      </c>
      <c r="J126" s="41">
        <f>SUM(J127:J127)</f>
        <v>0</v>
      </c>
      <c r="K126" s="41">
        <f>SUM(K127:K127)</f>
        <v>0</v>
      </c>
      <c r="L126" s="31"/>
      <c r="AI126" s="31" t="s">
        <v>357</v>
      </c>
      <c r="AS126" s="41">
        <f>SUM(AJ127:AJ127)</f>
        <v>0</v>
      </c>
      <c r="AT126" s="41">
        <f>SUM(AK127:AK127)</f>
        <v>0</v>
      </c>
      <c r="AU126" s="41">
        <f>SUM(AL127:AL127)</f>
        <v>0</v>
      </c>
    </row>
    <row r="127" spans="1:62" ht="12.75">
      <c r="A127" s="6" t="s">
        <v>80</v>
      </c>
      <c r="B127" s="6" t="s">
        <v>124</v>
      </c>
      <c r="C127" s="103" t="s">
        <v>218</v>
      </c>
      <c r="D127" s="104"/>
      <c r="E127" s="104"/>
      <c r="F127" s="6" t="s">
        <v>320</v>
      </c>
      <c r="G127" s="69">
        <v>0.924</v>
      </c>
      <c r="H127" s="20">
        <v>0</v>
      </c>
      <c r="I127" s="20">
        <f>G127*AO127</f>
        <v>0</v>
      </c>
      <c r="J127" s="20">
        <f>G127*AP127</f>
        <v>0</v>
      </c>
      <c r="K127" s="20">
        <f>G127*H127</f>
        <v>0</v>
      </c>
      <c r="L127" s="32" t="s">
        <v>345</v>
      </c>
      <c r="Z127" s="38">
        <f>IF(AQ127="5",BJ127,0)</f>
        <v>0</v>
      </c>
      <c r="AB127" s="38">
        <f>IF(AQ127="1",BH127,0)</f>
        <v>0</v>
      </c>
      <c r="AC127" s="38">
        <f>IF(AQ127="1",BI127,0)</f>
        <v>0</v>
      </c>
      <c r="AD127" s="38">
        <f>IF(AQ127="7",BH127,0)</f>
        <v>0</v>
      </c>
      <c r="AE127" s="38">
        <f>IF(AQ127="7",BI127,0)</f>
        <v>0</v>
      </c>
      <c r="AF127" s="38">
        <f>IF(AQ127="2",BH127,0)</f>
        <v>0</v>
      </c>
      <c r="AG127" s="38">
        <f>IF(AQ127="2",BI127,0)</f>
        <v>0</v>
      </c>
      <c r="AH127" s="38">
        <f>IF(AQ127="0",BJ127,0)</f>
        <v>0</v>
      </c>
      <c r="AI127" s="31" t="s">
        <v>357</v>
      </c>
      <c r="AJ127" s="20">
        <f>IF(AN127=0,K127,0)</f>
        <v>0</v>
      </c>
      <c r="AK127" s="20">
        <f>IF(AN127=15,K127,0)</f>
        <v>0</v>
      </c>
      <c r="AL127" s="20">
        <f>IF(AN127=21,K127,0)</f>
        <v>0</v>
      </c>
      <c r="AN127" s="38">
        <v>21</v>
      </c>
      <c r="AO127" s="38">
        <f>H127*0.51164984863774</f>
        <v>0</v>
      </c>
      <c r="AP127" s="38">
        <f>H127*(1-0.51164984863774)</f>
        <v>0</v>
      </c>
      <c r="AQ127" s="32" t="s">
        <v>7</v>
      </c>
      <c r="AV127" s="38">
        <f>AW127+AX127</f>
        <v>0</v>
      </c>
      <c r="AW127" s="38">
        <f>G127*AO127</f>
        <v>0</v>
      </c>
      <c r="AX127" s="38">
        <f>G127*AP127</f>
        <v>0</v>
      </c>
      <c r="AY127" s="39" t="s">
        <v>363</v>
      </c>
      <c r="AZ127" s="39" t="s">
        <v>386</v>
      </c>
      <c r="BA127" s="31" t="s">
        <v>394</v>
      </c>
      <c r="BC127" s="38">
        <f>AW127+AX127</f>
        <v>0</v>
      </c>
      <c r="BD127" s="38">
        <f>H127/(100-BE127)*100</f>
        <v>0</v>
      </c>
      <c r="BE127" s="38">
        <v>0</v>
      </c>
      <c r="BF127" s="38">
        <f>127</f>
        <v>127</v>
      </c>
      <c r="BH127" s="20">
        <f>G127*AO127</f>
        <v>0</v>
      </c>
      <c r="BI127" s="20">
        <f>G127*AP127</f>
        <v>0</v>
      </c>
      <c r="BJ127" s="20">
        <f>G127*H127</f>
        <v>0</v>
      </c>
    </row>
    <row r="128" spans="1:47" ht="12.75">
      <c r="A128" s="5"/>
      <c r="B128" s="15" t="s">
        <v>171</v>
      </c>
      <c r="C128" s="101" t="s">
        <v>280</v>
      </c>
      <c r="D128" s="102"/>
      <c r="E128" s="102"/>
      <c r="F128" s="5" t="s">
        <v>6</v>
      </c>
      <c r="G128" s="5" t="s">
        <v>6</v>
      </c>
      <c r="H128" s="5" t="s">
        <v>6</v>
      </c>
      <c r="I128" s="41">
        <f>SUM(I129:I138)</f>
        <v>0</v>
      </c>
      <c r="J128" s="41">
        <f>SUM(J129:J138)</f>
        <v>0</v>
      </c>
      <c r="K128" s="41">
        <f>SUM(K129:K138)</f>
        <v>0</v>
      </c>
      <c r="L128" s="31"/>
      <c r="AI128" s="31" t="s">
        <v>357</v>
      </c>
      <c r="AS128" s="41">
        <f>SUM(AJ129:AJ138)</f>
        <v>0</v>
      </c>
      <c r="AT128" s="41">
        <f>SUM(AK129:AK138)</f>
        <v>0</v>
      </c>
      <c r="AU128" s="41">
        <f>SUM(AL129:AL138)</f>
        <v>0</v>
      </c>
    </row>
    <row r="129" spans="1:62" ht="12.75">
      <c r="A129" s="6" t="s">
        <v>81</v>
      </c>
      <c r="B129" s="6" t="s">
        <v>172</v>
      </c>
      <c r="C129" s="103" t="s">
        <v>281</v>
      </c>
      <c r="D129" s="104"/>
      <c r="E129" s="104"/>
      <c r="F129" s="6" t="s">
        <v>326</v>
      </c>
      <c r="G129" s="69">
        <v>1</v>
      </c>
      <c r="H129" s="20">
        <v>0</v>
      </c>
      <c r="I129" s="20">
        <f>G129*AO129</f>
        <v>0</v>
      </c>
      <c r="J129" s="20">
        <f>G129*AP129</f>
        <v>0</v>
      </c>
      <c r="K129" s="20">
        <f>G129*H129</f>
        <v>0</v>
      </c>
      <c r="L129" s="32" t="s">
        <v>345</v>
      </c>
      <c r="Z129" s="38">
        <f>IF(AQ129="5",BJ129,0)</f>
        <v>0</v>
      </c>
      <c r="AB129" s="38">
        <f>IF(AQ129="1",BH129,0)</f>
        <v>0</v>
      </c>
      <c r="AC129" s="38">
        <f>IF(AQ129="1",BI129,0)</f>
        <v>0</v>
      </c>
      <c r="AD129" s="38">
        <f>IF(AQ129="7",BH129,0)</f>
        <v>0</v>
      </c>
      <c r="AE129" s="38">
        <f>IF(AQ129="7",BI129,0)</f>
        <v>0</v>
      </c>
      <c r="AF129" s="38">
        <f>IF(AQ129="2",BH129,0)</f>
        <v>0</v>
      </c>
      <c r="AG129" s="38">
        <f>IF(AQ129="2",BI129,0)</f>
        <v>0</v>
      </c>
      <c r="AH129" s="38">
        <f>IF(AQ129="0",BJ129,0)</f>
        <v>0</v>
      </c>
      <c r="AI129" s="31" t="s">
        <v>357</v>
      </c>
      <c r="AJ129" s="20">
        <f>IF(AN129=0,K129,0)</f>
        <v>0</v>
      </c>
      <c r="AK129" s="20">
        <f>IF(AN129=15,K129,0)</f>
        <v>0</v>
      </c>
      <c r="AL129" s="20">
        <f>IF(AN129=21,K129,0)</f>
        <v>0</v>
      </c>
      <c r="AN129" s="38">
        <v>21</v>
      </c>
      <c r="AO129" s="38">
        <f>H129*0.448987043580683</f>
        <v>0</v>
      </c>
      <c r="AP129" s="38">
        <f>H129*(1-0.448987043580683)</f>
        <v>0</v>
      </c>
      <c r="AQ129" s="32" t="s">
        <v>13</v>
      </c>
      <c r="AV129" s="38">
        <f>AW129+AX129</f>
        <v>0</v>
      </c>
      <c r="AW129" s="38">
        <f>G129*AO129</f>
        <v>0</v>
      </c>
      <c r="AX129" s="38">
        <f>G129*AP129</f>
        <v>0</v>
      </c>
      <c r="AY129" s="39" t="s">
        <v>372</v>
      </c>
      <c r="AZ129" s="39" t="s">
        <v>387</v>
      </c>
      <c r="BA129" s="31" t="s">
        <v>394</v>
      </c>
      <c r="BC129" s="38">
        <f>AW129+AX129</f>
        <v>0</v>
      </c>
      <c r="BD129" s="38">
        <f>H129/(100-BE129)*100</f>
        <v>0</v>
      </c>
      <c r="BE129" s="38">
        <v>0</v>
      </c>
      <c r="BF129" s="38">
        <f>129</f>
        <v>129</v>
      </c>
      <c r="BH129" s="20">
        <f>G129*AO129</f>
        <v>0</v>
      </c>
      <c r="BI129" s="20">
        <f>G129*AP129</f>
        <v>0</v>
      </c>
      <c r="BJ129" s="20">
        <f>G129*H129</f>
        <v>0</v>
      </c>
    </row>
    <row r="130" spans="1:62" ht="12.75">
      <c r="A130" s="6" t="s">
        <v>82</v>
      </c>
      <c r="B130" s="6" t="s">
        <v>173</v>
      </c>
      <c r="C130" s="103" t="s">
        <v>282</v>
      </c>
      <c r="D130" s="104"/>
      <c r="E130" s="104"/>
      <c r="F130" s="6" t="s">
        <v>326</v>
      </c>
      <c r="G130" s="69">
        <v>1</v>
      </c>
      <c r="H130" s="20">
        <v>0</v>
      </c>
      <c r="I130" s="20">
        <f>G130*AO130</f>
        <v>0</v>
      </c>
      <c r="J130" s="20">
        <f>G130*AP130</f>
        <v>0</v>
      </c>
      <c r="K130" s="20">
        <f>G130*H130</f>
        <v>0</v>
      </c>
      <c r="L130" s="32" t="s">
        <v>345</v>
      </c>
      <c r="Z130" s="38">
        <f>IF(AQ130="5",BJ130,0)</f>
        <v>0</v>
      </c>
      <c r="AB130" s="38">
        <f>IF(AQ130="1",BH130,0)</f>
        <v>0</v>
      </c>
      <c r="AC130" s="38">
        <f>IF(AQ130="1",BI130,0)</f>
        <v>0</v>
      </c>
      <c r="AD130" s="38">
        <f>IF(AQ130="7",BH130,0)</f>
        <v>0</v>
      </c>
      <c r="AE130" s="38">
        <f>IF(AQ130="7",BI130,0)</f>
        <v>0</v>
      </c>
      <c r="AF130" s="38">
        <f>IF(AQ130="2",BH130,0)</f>
        <v>0</v>
      </c>
      <c r="AG130" s="38">
        <f>IF(AQ130="2",BI130,0)</f>
        <v>0</v>
      </c>
      <c r="AH130" s="38">
        <f>IF(AQ130="0",BJ130,0)</f>
        <v>0</v>
      </c>
      <c r="AI130" s="31" t="s">
        <v>357</v>
      </c>
      <c r="AJ130" s="20">
        <f>IF(AN130=0,K130,0)</f>
        <v>0</v>
      </c>
      <c r="AK130" s="20">
        <f>IF(AN130=15,K130,0)</f>
        <v>0</v>
      </c>
      <c r="AL130" s="20">
        <f>IF(AN130=21,K130,0)</f>
        <v>0</v>
      </c>
      <c r="AN130" s="38">
        <v>21</v>
      </c>
      <c r="AO130" s="38">
        <f>H130*0.068030803080308</f>
        <v>0</v>
      </c>
      <c r="AP130" s="38">
        <f>H130*(1-0.068030803080308)</f>
        <v>0</v>
      </c>
      <c r="AQ130" s="32" t="s">
        <v>13</v>
      </c>
      <c r="AV130" s="38">
        <f>AW130+AX130</f>
        <v>0</v>
      </c>
      <c r="AW130" s="38">
        <f>G130*AO130</f>
        <v>0</v>
      </c>
      <c r="AX130" s="38">
        <f>G130*AP130</f>
        <v>0</v>
      </c>
      <c r="AY130" s="39" t="s">
        <v>372</v>
      </c>
      <c r="AZ130" s="39" t="s">
        <v>387</v>
      </c>
      <c r="BA130" s="31" t="s">
        <v>394</v>
      </c>
      <c r="BC130" s="38">
        <f>AW130+AX130</f>
        <v>0</v>
      </c>
      <c r="BD130" s="38">
        <f>H130/(100-BE130)*100</f>
        <v>0</v>
      </c>
      <c r="BE130" s="38">
        <v>0</v>
      </c>
      <c r="BF130" s="38">
        <f>130</f>
        <v>130</v>
      </c>
      <c r="BH130" s="20">
        <f>G130*AO130</f>
        <v>0</v>
      </c>
      <c r="BI130" s="20">
        <f>G130*AP130</f>
        <v>0</v>
      </c>
      <c r="BJ130" s="20">
        <f>G130*H130</f>
        <v>0</v>
      </c>
    </row>
    <row r="131" spans="1:62" ht="12.75">
      <c r="A131" s="6" t="s">
        <v>83</v>
      </c>
      <c r="B131" s="6" t="s">
        <v>174</v>
      </c>
      <c r="C131" s="103" t="s">
        <v>283</v>
      </c>
      <c r="D131" s="104"/>
      <c r="E131" s="104"/>
      <c r="F131" s="6" t="s">
        <v>321</v>
      </c>
      <c r="G131" s="69">
        <v>1.8</v>
      </c>
      <c r="H131" s="20">
        <v>0</v>
      </c>
      <c r="I131" s="20">
        <f>G131*AO131</f>
        <v>0</v>
      </c>
      <c r="J131" s="20">
        <f>G131*AP131</f>
        <v>0</v>
      </c>
      <c r="K131" s="20">
        <f>G131*H131</f>
        <v>0</v>
      </c>
      <c r="L131" s="32" t="s">
        <v>345</v>
      </c>
      <c r="Z131" s="38">
        <f>IF(AQ131="5",BJ131,0)</f>
        <v>0</v>
      </c>
      <c r="AB131" s="38">
        <f>IF(AQ131="1",BH131,0)</f>
        <v>0</v>
      </c>
      <c r="AC131" s="38">
        <f>IF(AQ131="1",BI131,0)</f>
        <v>0</v>
      </c>
      <c r="AD131" s="38">
        <f>IF(AQ131="7",BH131,0)</f>
        <v>0</v>
      </c>
      <c r="AE131" s="38">
        <f>IF(AQ131="7",BI131,0)</f>
        <v>0</v>
      </c>
      <c r="AF131" s="38">
        <f>IF(AQ131="2",BH131,0)</f>
        <v>0</v>
      </c>
      <c r="AG131" s="38">
        <f>IF(AQ131="2",BI131,0)</f>
        <v>0</v>
      </c>
      <c r="AH131" s="38">
        <f>IF(AQ131="0",BJ131,0)</f>
        <v>0</v>
      </c>
      <c r="AI131" s="31" t="s">
        <v>357</v>
      </c>
      <c r="AJ131" s="20">
        <f>IF(AN131=0,K131,0)</f>
        <v>0</v>
      </c>
      <c r="AK131" s="20">
        <f>IF(AN131=15,K131,0)</f>
        <v>0</v>
      </c>
      <c r="AL131" s="20">
        <f>IF(AN131=21,K131,0)</f>
        <v>0</v>
      </c>
      <c r="AN131" s="38">
        <v>21</v>
      </c>
      <c r="AO131" s="38">
        <f>H131*0.550762589928058</f>
        <v>0</v>
      </c>
      <c r="AP131" s="38">
        <f>H131*(1-0.550762589928058)</f>
        <v>0</v>
      </c>
      <c r="AQ131" s="32" t="s">
        <v>13</v>
      </c>
      <c r="AV131" s="38">
        <f>AW131+AX131</f>
        <v>0</v>
      </c>
      <c r="AW131" s="38">
        <f>G131*AO131</f>
        <v>0</v>
      </c>
      <c r="AX131" s="38">
        <f>G131*AP131</f>
        <v>0</v>
      </c>
      <c r="AY131" s="39" t="s">
        <v>372</v>
      </c>
      <c r="AZ131" s="39" t="s">
        <v>387</v>
      </c>
      <c r="BA131" s="31" t="s">
        <v>394</v>
      </c>
      <c r="BC131" s="38">
        <f>AW131+AX131</f>
        <v>0</v>
      </c>
      <c r="BD131" s="38">
        <f>H131/(100-BE131)*100</f>
        <v>0</v>
      </c>
      <c r="BE131" s="38">
        <v>0</v>
      </c>
      <c r="BF131" s="38">
        <f>131</f>
        <v>131</v>
      </c>
      <c r="BH131" s="20">
        <f>G131*AO131</f>
        <v>0</v>
      </c>
      <c r="BI131" s="20">
        <f>G131*AP131</f>
        <v>0</v>
      </c>
      <c r="BJ131" s="20">
        <f>G131*H131</f>
        <v>0</v>
      </c>
    </row>
    <row r="132" spans="1:62" ht="12.75">
      <c r="A132" s="6" t="s">
        <v>84</v>
      </c>
      <c r="B132" s="6" t="s">
        <v>175</v>
      </c>
      <c r="C132" s="103" t="s">
        <v>284</v>
      </c>
      <c r="D132" s="104"/>
      <c r="E132" s="104"/>
      <c r="F132" s="6" t="s">
        <v>322</v>
      </c>
      <c r="G132" s="69">
        <v>1</v>
      </c>
      <c r="H132" s="20">
        <v>0</v>
      </c>
      <c r="I132" s="20">
        <f>G132*AO132</f>
        <v>0</v>
      </c>
      <c r="J132" s="20">
        <f>G132*AP132</f>
        <v>0</v>
      </c>
      <c r="K132" s="20">
        <f>G132*H132</f>
        <v>0</v>
      </c>
      <c r="L132" s="32" t="s">
        <v>345</v>
      </c>
      <c r="Z132" s="38">
        <f>IF(AQ132="5",BJ132,0)</f>
        <v>0</v>
      </c>
      <c r="AB132" s="38">
        <f>IF(AQ132="1",BH132,0)</f>
        <v>0</v>
      </c>
      <c r="AC132" s="38">
        <f>IF(AQ132="1",BI132,0)</f>
        <v>0</v>
      </c>
      <c r="AD132" s="38">
        <f>IF(AQ132="7",BH132,0)</f>
        <v>0</v>
      </c>
      <c r="AE132" s="38">
        <f>IF(AQ132="7",BI132,0)</f>
        <v>0</v>
      </c>
      <c r="AF132" s="38">
        <f>IF(AQ132="2",BH132,0)</f>
        <v>0</v>
      </c>
      <c r="AG132" s="38">
        <f>IF(AQ132="2",BI132,0)</f>
        <v>0</v>
      </c>
      <c r="AH132" s="38">
        <f>IF(AQ132="0",BJ132,0)</f>
        <v>0</v>
      </c>
      <c r="AI132" s="31" t="s">
        <v>357</v>
      </c>
      <c r="AJ132" s="20">
        <f>IF(AN132=0,K132,0)</f>
        <v>0</v>
      </c>
      <c r="AK132" s="20">
        <f>IF(AN132=15,K132,0)</f>
        <v>0</v>
      </c>
      <c r="AL132" s="20">
        <f>IF(AN132=21,K132,0)</f>
        <v>0</v>
      </c>
      <c r="AN132" s="38">
        <v>21</v>
      </c>
      <c r="AO132" s="38">
        <f>H132*0.221783216783217</f>
        <v>0</v>
      </c>
      <c r="AP132" s="38">
        <f>H132*(1-0.221783216783217)</f>
        <v>0</v>
      </c>
      <c r="AQ132" s="32" t="s">
        <v>13</v>
      </c>
      <c r="AV132" s="38">
        <f>AW132+AX132</f>
        <v>0</v>
      </c>
      <c r="AW132" s="38">
        <f>G132*AO132</f>
        <v>0</v>
      </c>
      <c r="AX132" s="38">
        <f>G132*AP132</f>
        <v>0</v>
      </c>
      <c r="AY132" s="39" t="s">
        <v>372</v>
      </c>
      <c r="AZ132" s="39" t="s">
        <v>387</v>
      </c>
      <c r="BA132" s="31" t="s">
        <v>394</v>
      </c>
      <c r="BC132" s="38">
        <f>AW132+AX132</f>
        <v>0</v>
      </c>
      <c r="BD132" s="38">
        <f>H132/(100-BE132)*100</f>
        <v>0</v>
      </c>
      <c r="BE132" s="38">
        <v>0</v>
      </c>
      <c r="BF132" s="38">
        <f>132</f>
        <v>132</v>
      </c>
      <c r="BH132" s="20">
        <f>G132*AO132</f>
        <v>0</v>
      </c>
      <c r="BI132" s="20">
        <f>G132*AP132</f>
        <v>0</v>
      </c>
      <c r="BJ132" s="20">
        <f>G132*H132</f>
        <v>0</v>
      </c>
    </row>
    <row r="133" spans="1:62" ht="12.75">
      <c r="A133" s="6" t="s">
        <v>85</v>
      </c>
      <c r="B133" s="6" t="s">
        <v>176</v>
      </c>
      <c r="C133" s="103" t="s">
        <v>285</v>
      </c>
      <c r="D133" s="104"/>
      <c r="E133" s="104"/>
      <c r="F133" s="6" t="s">
        <v>322</v>
      </c>
      <c r="G133" s="69">
        <v>1</v>
      </c>
      <c r="H133" s="20">
        <v>0</v>
      </c>
      <c r="I133" s="20">
        <f>G133*AO133</f>
        <v>0</v>
      </c>
      <c r="J133" s="20">
        <f>G133*AP133</f>
        <v>0</v>
      </c>
      <c r="K133" s="20">
        <f>G133*H133</f>
        <v>0</v>
      </c>
      <c r="L133" s="32" t="s">
        <v>345</v>
      </c>
      <c r="Z133" s="38">
        <f>IF(AQ133="5",BJ133,0)</f>
        <v>0</v>
      </c>
      <c r="AB133" s="38">
        <f>IF(AQ133="1",BH133,0)</f>
        <v>0</v>
      </c>
      <c r="AC133" s="38">
        <f>IF(AQ133="1",BI133,0)</f>
        <v>0</v>
      </c>
      <c r="AD133" s="38">
        <f>IF(AQ133="7",BH133,0)</f>
        <v>0</v>
      </c>
      <c r="AE133" s="38">
        <f>IF(AQ133="7",BI133,0)</f>
        <v>0</v>
      </c>
      <c r="AF133" s="38">
        <f>IF(AQ133="2",BH133,0)</f>
        <v>0</v>
      </c>
      <c r="AG133" s="38">
        <f>IF(AQ133="2",BI133,0)</f>
        <v>0</v>
      </c>
      <c r="AH133" s="38">
        <f>IF(AQ133="0",BJ133,0)</f>
        <v>0</v>
      </c>
      <c r="AI133" s="31" t="s">
        <v>357</v>
      </c>
      <c r="AJ133" s="20">
        <f>IF(AN133=0,K133,0)</f>
        <v>0</v>
      </c>
      <c r="AK133" s="20">
        <f>IF(AN133=15,K133,0)</f>
        <v>0</v>
      </c>
      <c r="AL133" s="20">
        <f>IF(AN133=21,K133,0)</f>
        <v>0</v>
      </c>
      <c r="AN133" s="38">
        <v>21</v>
      </c>
      <c r="AO133" s="38">
        <f>H133*0.931388090349076</f>
        <v>0</v>
      </c>
      <c r="AP133" s="38">
        <f>H133*(1-0.931388090349076)</f>
        <v>0</v>
      </c>
      <c r="AQ133" s="32" t="s">
        <v>13</v>
      </c>
      <c r="AV133" s="38">
        <f>AW133+AX133</f>
        <v>0</v>
      </c>
      <c r="AW133" s="38">
        <f>G133*AO133</f>
        <v>0</v>
      </c>
      <c r="AX133" s="38">
        <f>G133*AP133</f>
        <v>0</v>
      </c>
      <c r="AY133" s="39" t="s">
        <v>372</v>
      </c>
      <c r="AZ133" s="39" t="s">
        <v>387</v>
      </c>
      <c r="BA133" s="31" t="s">
        <v>394</v>
      </c>
      <c r="BC133" s="38">
        <f>AW133+AX133</f>
        <v>0</v>
      </c>
      <c r="BD133" s="38">
        <f>H133/(100-BE133)*100</f>
        <v>0</v>
      </c>
      <c r="BE133" s="38">
        <v>0</v>
      </c>
      <c r="BF133" s="38">
        <f>133</f>
        <v>133</v>
      </c>
      <c r="BH133" s="20">
        <f>G133*AO133</f>
        <v>0</v>
      </c>
      <c r="BI133" s="20">
        <f>G133*AP133</f>
        <v>0</v>
      </c>
      <c r="BJ133" s="20">
        <f>G133*H133</f>
        <v>0</v>
      </c>
    </row>
    <row r="134" spans="2:12" ht="12.75">
      <c r="B134" s="16" t="s">
        <v>116</v>
      </c>
      <c r="C134" s="105" t="s">
        <v>286</v>
      </c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1:62" ht="12.75">
      <c r="A135" s="6" t="s">
        <v>86</v>
      </c>
      <c r="B135" s="6" t="s">
        <v>177</v>
      </c>
      <c r="C135" s="103" t="s">
        <v>287</v>
      </c>
      <c r="D135" s="104"/>
      <c r="E135" s="104"/>
      <c r="F135" s="6" t="s">
        <v>322</v>
      </c>
      <c r="G135" s="69">
        <v>2</v>
      </c>
      <c r="H135" s="20">
        <v>0</v>
      </c>
      <c r="I135" s="20">
        <f>G135*AO135</f>
        <v>0</v>
      </c>
      <c r="J135" s="20">
        <f>G135*AP135</f>
        <v>0</v>
      </c>
      <c r="K135" s="20">
        <f>G135*H135</f>
        <v>0</v>
      </c>
      <c r="L135" s="32" t="s">
        <v>345</v>
      </c>
      <c r="Z135" s="38">
        <f>IF(AQ135="5",BJ135,0)</f>
        <v>0</v>
      </c>
      <c r="AB135" s="38">
        <f>IF(AQ135="1",BH135,0)</f>
        <v>0</v>
      </c>
      <c r="AC135" s="38">
        <f>IF(AQ135="1",BI135,0)</f>
        <v>0</v>
      </c>
      <c r="AD135" s="38">
        <f>IF(AQ135="7",BH135,0)</f>
        <v>0</v>
      </c>
      <c r="AE135" s="38">
        <f>IF(AQ135="7",BI135,0)</f>
        <v>0</v>
      </c>
      <c r="AF135" s="38">
        <f>IF(AQ135="2",BH135,0)</f>
        <v>0</v>
      </c>
      <c r="AG135" s="38">
        <f>IF(AQ135="2",BI135,0)</f>
        <v>0</v>
      </c>
      <c r="AH135" s="38">
        <f>IF(AQ135="0",BJ135,0)</f>
        <v>0</v>
      </c>
      <c r="AI135" s="31" t="s">
        <v>357</v>
      </c>
      <c r="AJ135" s="20">
        <f>IF(AN135=0,K135,0)</f>
        <v>0</v>
      </c>
      <c r="AK135" s="20">
        <f>IF(AN135=15,K135,0)</f>
        <v>0</v>
      </c>
      <c r="AL135" s="20">
        <f>IF(AN135=21,K135,0)</f>
        <v>0</v>
      </c>
      <c r="AN135" s="38">
        <v>21</v>
      </c>
      <c r="AO135" s="38">
        <f>H135*0.811042944785276</f>
        <v>0</v>
      </c>
      <c r="AP135" s="38">
        <f>H135*(1-0.811042944785276)</f>
        <v>0</v>
      </c>
      <c r="AQ135" s="32" t="s">
        <v>13</v>
      </c>
      <c r="AV135" s="38">
        <f>AW135+AX135</f>
        <v>0</v>
      </c>
      <c r="AW135" s="38">
        <f>G135*AO135</f>
        <v>0</v>
      </c>
      <c r="AX135" s="38">
        <f>G135*AP135</f>
        <v>0</v>
      </c>
      <c r="AY135" s="39" t="s">
        <v>372</v>
      </c>
      <c r="AZ135" s="39" t="s">
        <v>387</v>
      </c>
      <c r="BA135" s="31" t="s">
        <v>394</v>
      </c>
      <c r="BC135" s="38">
        <f>AW135+AX135</f>
        <v>0</v>
      </c>
      <c r="BD135" s="38">
        <f>H135/(100-BE135)*100</f>
        <v>0</v>
      </c>
      <c r="BE135" s="38">
        <v>0</v>
      </c>
      <c r="BF135" s="38">
        <f>135</f>
        <v>135</v>
      </c>
      <c r="BH135" s="20">
        <f>G135*AO135</f>
        <v>0</v>
      </c>
      <c r="BI135" s="20">
        <f>G135*AP135</f>
        <v>0</v>
      </c>
      <c r="BJ135" s="20">
        <f>G135*H135</f>
        <v>0</v>
      </c>
    </row>
    <row r="136" spans="1:62" ht="12.75">
      <c r="A136" s="6" t="s">
        <v>87</v>
      </c>
      <c r="B136" s="6" t="s">
        <v>178</v>
      </c>
      <c r="C136" s="103" t="s">
        <v>288</v>
      </c>
      <c r="D136" s="104"/>
      <c r="E136" s="104"/>
      <c r="F136" s="6" t="s">
        <v>321</v>
      </c>
      <c r="G136" s="69">
        <v>15.4</v>
      </c>
      <c r="H136" s="20">
        <v>0</v>
      </c>
      <c r="I136" s="20">
        <f>G136*AO136</f>
        <v>0</v>
      </c>
      <c r="J136" s="20">
        <f>G136*AP136</f>
        <v>0</v>
      </c>
      <c r="K136" s="20">
        <f>G136*H136</f>
        <v>0</v>
      </c>
      <c r="L136" s="32" t="s">
        <v>345</v>
      </c>
      <c r="Z136" s="38">
        <f>IF(AQ136="5",BJ136,0)</f>
        <v>0</v>
      </c>
      <c r="AB136" s="38">
        <f>IF(AQ136="1",BH136,0)</f>
        <v>0</v>
      </c>
      <c r="AC136" s="38">
        <f>IF(AQ136="1",BI136,0)</f>
        <v>0</v>
      </c>
      <c r="AD136" s="38">
        <f>IF(AQ136="7",BH136,0)</f>
        <v>0</v>
      </c>
      <c r="AE136" s="38">
        <f>IF(AQ136="7",BI136,0)</f>
        <v>0</v>
      </c>
      <c r="AF136" s="38">
        <f>IF(AQ136="2",BH136,0)</f>
        <v>0</v>
      </c>
      <c r="AG136" s="38">
        <f>IF(AQ136="2",BI136,0)</f>
        <v>0</v>
      </c>
      <c r="AH136" s="38">
        <f>IF(AQ136="0",BJ136,0)</f>
        <v>0</v>
      </c>
      <c r="AI136" s="31" t="s">
        <v>357</v>
      </c>
      <c r="AJ136" s="20">
        <f>IF(AN136=0,K136,0)</f>
        <v>0</v>
      </c>
      <c r="AK136" s="20">
        <f>IF(AN136=15,K136,0)</f>
        <v>0</v>
      </c>
      <c r="AL136" s="20">
        <f>IF(AN136=21,K136,0)</f>
        <v>0</v>
      </c>
      <c r="AN136" s="38">
        <v>21</v>
      </c>
      <c r="AO136" s="38">
        <f>H136*0</f>
        <v>0</v>
      </c>
      <c r="AP136" s="38">
        <f>H136*(1-0)</f>
        <v>0</v>
      </c>
      <c r="AQ136" s="32" t="s">
        <v>13</v>
      </c>
      <c r="AV136" s="38">
        <f>AW136+AX136</f>
        <v>0</v>
      </c>
      <c r="AW136" s="38">
        <f>G136*AO136</f>
        <v>0</v>
      </c>
      <c r="AX136" s="38">
        <f>G136*AP136</f>
        <v>0</v>
      </c>
      <c r="AY136" s="39" t="s">
        <v>372</v>
      </c>
      <c r="AZ136" s="39" t="s">
        <v>387</v>
      </c>
      <c r="BA136" s="31" t="s">
        <v>394</v>
      </c>
      <c r="BC136" s="38">
        <f>AW136+AX136</f>
        <v>0</v>
      </c>
      <c r="BD136" s="38">
        <f>H136/(100-BE136)*100</f>
        <v>0</v>
      </c>
      <c r="BE136" s="38">
        <v>0</v>
      </c>
      <c r="BF136" s="38">
        <f>136</f>
        <v>136</v>
      </c>
      <c r="BH136" s="20">
        <f>G136*AO136</f>
        <v>0</v>
      </c>
      <c r="BI136" s="20">
        <f>G136*AP136</f>
        <v>0</v>
      </c>
      <c r="BJ136" s="20">
        <f>G136*H136</f>
        <v>0</v>
      </c>
    </row>
    <row r="137" spans="1:62" ht="12.75">
      <c r="A137" s="6" t="s">
        <v>88</v>
      </c>
      <c r="B137" s="6" t="s">
        <v>179</v>
      </c>
      <c r="C137" s="103" t="s">
        <v>289</v>
      </c>
      <c r="D137" s="104"/>
      <c r="E137" s="104"/>
      <c r="F137" s="6" t="s">
        <v>322</v>
      </c>
      <c r="G137" s="69">
        <v>1</v>
      </c>
      <c r="H137" s="20">
        <v>0</v>
      </c>
      <c r="I137" s="20">
        <f>G137*AO137</f>
        <v>0</v>
      </c>
      <c r="J137" s="20">
        <f>G137*AP137</f>
        <v>0</v>
      </c>
      <c r="K137" s="20">
        <f>G137*H137</f>
        <v>0</v>
      </c>
      <c r="L137" s="32" t="s">
        <v>345</v>
      </c>
      <c r="Z137" s="38">
        <f>IF(AQ137="5",BJ137,0)</f>
        <v>0</v>
      </c>
      <c r="AB137" s="38">
        <f>IF(AQ137="1",BH137,0)</f>
        <v>0</v>
      </c>
      <c r="AC137" s="38">
        <f>IF(AQ137="1",BI137,0)</f>
        <v>0</v>
      </c>
      <c r="AD137" s="38">
        <f>IF(AQ137="7",BH137,0)</f>
        <v>0</v>
      </c>
      <c r="AE137" s="38">
        <f>IF(AQ137="7",BI137,0)</f>
        <v>0</v>
      </c>
      <c r="AF137" s="38">
        <f>IF(AQ137="2",BH137,0)</f>
        <v>0</v>
      </c>
      <c r="AG137" s="38">
        <f>IF(AQ137="2",BI137,0)</f>
        <v>0</v>
      </c>
      <c r="AH137" s="38">
        <f>IF(AQ137="0",BJ137,0)</f>
        <v>0</v>
      </c>
      <c r="AI137" s="31" t="s">
        <v>357</v>
      </c>
      <c r="AJ137" s="20">
        <f>IF(AN137=0,K137,0)</f>
        <v>0</v>
      </c>
      <c r="AK137" s="20">
        <f>IF(AN137=15,K137,0)</f>
        <v>0</v>
      </c>
      <c r="AL137" s="20">
        <f>IF(AN137=21,K137,0)</f>
        <v>0</v>
      </c>
      <c r="AN137" s="38">
        <v>21</v>
      </c>
      <c r="AO137" s="38">
        <f>H137*0</f>
        <v>0</v>
      </c>
      <c r="AP137" s="38">
        <f>H137*(1-0)</f>
        <v>0</v>
      </c>
      <c r="AQ137" s="32" t="s">
        <v>13</v>
      </c>
      <c r="AV137" s="38">
        <f>AW137+AX137</f>
        <v>0</v>
      </c>
      <c r="AW137" s="38">
        <f>G137*AO137</f>
        <v>0</v>
      </c>
      <c r="AX137" s="38">
        <f>G137*AP137</f>
        <v>0</v>
      </c>
      <c r="AY137" s="39" t="s">
        <v>372</v>
      </c>
      <c r="AZ137" s="39" t="s">
        <v>387</v>
      </c>
      <c r="BA137" s="31" t="s">
        <v>394</v>
      </c>
      <c r="BC137" s="38">
        <f>AW137+AX137</f>
        <v>0</v>
      </c>
      <c r="BD137" s="38">
        <f>H137/(100-BE137)*100</f>
        <v>0</v>
      </c>
      <c r="BE137" s="38">
        <v>0</v>
      </c>
      <c r="BF137" s="38">
        <f>137</f>
        <v>137</v>
      </c>
      <c r="BH137" s="20">
        <f>G137*AO137</f>
        <v>0</v>
      </c>
      <c r="BI137" s="20">
        <f>G137*AP137</f>
        <v>0</v>
      </c>
      <c r="BJ137" s="20">
        <f>G137*H137</f>
        <v>0</v>
      </c>
    </row>
    <row r="138" spans="1:62" ht="12.75">
      <c r="A138" s="6" t="s">
        <v>89</v>
      </c>
      <c r="B138" s="6" t="s">
        <v>180</v>
      </c>
      <c r="C138" s="103" t="s">
        <v>290</v>
      </c>
      <c r="D138" s="104"/>
      <c r="E138" s="104"/>
      <c r="F138" s="6" t="s">
        <v>322</v>
      </c>
      <c r="G138" s="69">
        <v>2</v>
      </c>
      <c r="H138" s="20">
        <v>0</v>
      </c>
      <c r="I138" s="20">
        <f>G138*AO138</f>
        <v>0</v>
      </c>
      <c r="J138" s="20">
        <f>G138*AP138</f>
        <v>0</v>
      </c>
      <c r="K138" s="20">
        <f>G138*H138</f>
        <v>0</v>
      </c>
      <c r="L138" s="32" t="s">
        <v>345</v>
      </c>
      <c r="Z138" s="38">
        <f>IF(AQ138="5",BJ138,0)</f>
        <v>0</v>
      </c>
      <c r="AB138" s="38">
        <f>IF(AQ138="1",BH138,0)</f>
        <v>0</v>
      </c>
      <c r="AC138" s="38">
        <f>IF(AQ138="1",BI138,0)</f>
        <v>0</v>
      </c>
      <c r="AD138" s="38">
        <f>IF(AQ138="7",BH138,0)</f>
        <v>0</v>
      </c>
      <c r="AE138" s="38">
        <f>IF(AQ138="7",BI138,0)</f>
        <v>0</v>
      </c>
      <c r="AF138" s="38">
        <f>IF(AQ138="2",BH138,0)</f>
        <v>0</v>
      </c>
      <c r="AG138" s="38">
        <f>IF(AQ138="2",BI138,0)</f>
        <v>0</v>
      </c>
      <c r="AH138" s="38">
        <f>IF(AQ138="0",BJ138,0)</f>
        <v>0</v>
      </c>
      <c r="AI138" s="31" t="s">
        <v>357</v>
      </c>
      <c r="AJ138" s="20">
        <f>IF(AN138=0,K138,0)</f>
        <v>0</v>
      </c>
      <c r="AK138" s="20">
        <f>IF(AN138=15,K138,0)</f>
        <v>0</v>
      </c>
      <c r="AL138" s="20">
        <f>IF(AN138=21,K138,0)</f>
        <v>0</v>
      </c>
      <c r="AN138" s="38">
        <v>21</v>
      </c>
      <c r="AO138" s="38">
        <f>H138*0.434250325945241</f>
        <v>0</v>
      </c>
      <c r="AP138" s="38">
        <f>H138*(1-0.434250325945241)</f>
        <v>0</v>
      </c>
      <c r="AQ138" s="32" t="s">
        <v>13</v>
      </c>
      <c r="AV138" s="38">
        <f>AW138+AX138</f>
        <v>0</v>
      </c>
      <c r="AW138" s="38">
        <f>G138*AO138</f>
        <v>0</v>
      </c>
      <c r="AX138" s="38">
        <f>G138*AP138</f>
        <v>0</v>
      </c>
      <c r="AY138" s="39" t="s">
        <v>372</v>
      </c>
      <c r="AZ138" s="39" t="s">
        <v>387</v>
      </c>
      <c r="BA138" s="31" t="s">
        <v>394</v>
      </c>
      <c r="BC138" s="38">
        <f>AW138+AX138</f>
        <v>0</v>
      </c>
      <c r="BD138" s="38">
        <f>H138/(100-BE138)*100</f>
        <v>0</v>
      </c>
      <c r="BE138" s="38">
        <v>0</v>
      </c>
      <c r="BF138" s="38">
        <f>138</f>
        <v>138</v>
      </c>
      <c r="BH138" s="20">
        <f>G138*AO138</f>
        <v>0</v>
      </c>
      <c r="BI138" s="20">
        <f>G138*AP138</f>
        <v>0</v>
      </c>
      <c r="BJ138" s="20">
        <f>G138*H138</f>
        <v>0</v>
      </c>
    </row>
    <row r="139" spans="1:47" ht="12.75">
      <c r="A139" s="5"/>
      <c r="B139" s="15" t="s">
        <v>93</v>
      </c>
      <c r="C139" s="101" t="s">
        <v>219</v>
      </c>
      <c r="D139" s="102"/>
      <c r="E139" s="102"/>
      <c r="F139" s="5" t="s">
        <v>6</v>
      </c>
      <c r="G139" s="5" t="s">
        <v>6</v>
      </c>
      <c r="H139" s="5" t="s">
        <v>6</v>
      </c>
      <c r="I139" s="41">
        <f>SUM(I140:I143)</f>
        <v>0</v>
      </c>
      <c r="J139" s="41">
        <f>SUM(J140:J143)</f>
        <v>0</v>
      </c>
      <c r="K139" s="41">
        <f>SUM(K140:K143)</f>
        <v>0</v>
      </c>
      <c r="L139" s="31"/>
      <c r="AI139" s="31" t="s">
        <v>357</v>
      </c>
      <c r="AS139" s="41">
        <f>SUM(AJ140:AJ143)</f>
        <v>0</v>
      </c>
      <c r="AT139" s="41">
        <f>SUM(AK140:AK143)</f>
        <v>0</v>
      </c>
      <c r="AU139" s="41">
        <f>SUM(AL140:AL143)</f>
        <v>0</v>
      </c>
    </row>
    <row r="140" spans="1:62" ht="12.75">
      <c r="A140" s="6" t="s">
        <v>90</v>
      </c>
      <c r="B140" s="6" t="s">
        <v>125</v>
      </c>
      <c r="C140" s="103" t="s">
        <v>220</v>
      </c>
      <c r="D140" s="104"/>
      <c r="E140" s="104"/>
      <c r="F140" s="6" t="s">
        <v>321</v>
      </c>
      <c r="G140" s="69">
        <v>15.4</v>
      </c>
      <c r="H140" s="20">
        <v>0</v>
      </c>
      <c r="I140" s="20">
        <f>G140*AO140</f>
        <v>0</v>
      </c>
      <c r="J140" s="20">
        <f>G140*AP140</f>
        <v>0</v>
      </c>
      <c r="K140" s="20">
        <f>G140*H140</f>
        <v>0</v>
      </c>
      <c r="L140" s="32" t="s">
        <v>345</v>
      </c>
      <c r="Z140" s="38">
        <f>IF(AQ140="5",BJ140,0)</f>
        <v>0</v>
      </c>
      <c r="AB140" s="38">
        <f>IF(AQ140="1",BH140,0)</f>
        <v>0</v>
      </c>
      <c r="AC140" s="38">
        <f>IF(AQ140="1",BI140,0)</f>
        <v>0</v>
      </c>
      <c r="AD140" s="38">
        <f>IF(AQ140="7",BH140,0)</f>
        <v>0</v>
      </c>
      <c r="AE140" s="38">
        <f>IF(AQ140="7",BI140,0)</f>
        <v>0</v>
      </c>
      <c r="AF140" s="38">
        <f>IF(AQ140="2",BH140,0)</f>
        <v>0</v>
      </c>
      <c r="AG140" s="38">
        <f>IF(AQ140="2",BI140,0)</f>
        <v>0</v>
      </c>
      <c r="AH140" s="38">
        <f>IF(AQ140="0",BJ140,0)</f>
        <v>0</v>
      </c>
      <c r="AI140" s="31" t="s">
        <v>357</v>
      </c>
      <c r="AJ140" s="20">
        <f>IF(AN140=0,K140,0)</f>
        <v>0</v>
      </c>
      <c r="AK140" s="20">
        <f>IF(AN140=15,K140,0)</f>
        <v>0</v>
      </c>
      <c r="AL140" s="20">
        <f>IF(AN140=21,K140,0)</f>
        <v>0</v>
      </c>
      <c r="AN140" s="38">
        <v>21</v>
      </c>
      <c r="AO140" s="38">
        <f>H140*0</f>
        <v>0</v>
      </c>
      <c r="AP140" s="38">
        <f>H140*(1-0)</f>
        <v>0</v>
      </c>
      <c r="AQ140" s="32" t="s">
        <v>7</v>
      </c>
      <c r="AV140" s="38">
        <f>AW140+AX140</f>
        <v>0</v>
      </c>
      <c r="AW140" s="38">
        <f>G140*AO140</f>
        <v>0</v>
      </c>
      <c r="AX140" s="38">
        <f>G140*AP140</f>
        <v>0</v>
      </c>
      <c r="AY140" s="39" t="s">
        <v>364</v>
      </c>
      <c r="AZ140" s="39" t="s">
        <v>388</v>
      </c>
      <c r="BA140" s="31" t="s">
        <v>394</v>
      </c>
      <c r="BC140" s="38">
        <f>AW140+AX140</f>
        <v>0</v>
      </c>
      <c r="BD140" s="38">
        <f>H140/(100-BE140)*100</f>
        <v>0</v>
      </c>
      <c r="BE140" s="38">
        <v>0</v>
      </c>
      <c r="BF140" s="38">
        <f>140</f>
        <v>140</v>
      </c>
      <c r="BH140" s="20">
        <f>G140*AO140</f>
        <v>0</v>
      </c>
      <c r="BI140" s="20">
        <f>G140*AP140</f>
        <v>0</v>
      </c>
      <c r="BJ140" s="20">
        <f>G140*H140</f>
        <v>0</v>
      </c>
    </row>
    <row r="141" spans="1:62" ht="12.75">
      <c r="A141" s="7" t="s">
        <v>91</v>
      </c>
      <c r="B141" s="7" t="s">
        <v>181</v>
      </c>
      <c r="C141" s="107" t="s">
        <v>291</v>
      </c>
      <c r="D141" s="108"/>
      <c r="E141" s="108"/>
      <c r="F141" s="7" t="s">
        <v>321</v>
      </c>
      <c r="G141" s="70">
        <v>16</v>
      </c>
      <c r="H141" s="21">
        <v>0</v>
      </c>
      <c r="I141" s="21">
        <f>G141*AO141</f>
        <v>0</v>
      </c>
      <c r="J141" s="21">
        <f>G141*AP141</f>
        <v>0</v>
      </c>
      <c r="K141" s="21">
        <f>G141*H141</f>
        <v>0</v>
      </c>
      <c r="L141" s="33" t="s">
        <v>345</v>
      </c>
      <c r="Z141" s="38">
        <f>IF(AQ141="5",BJ141,0)</f>
        <v>0</v>
      </c>
      <c r="AB141" s="38">
        <f>IF(AQ141="1",BH141,0)</f>
        <v>0</v>
      </c>
      <c r="AC141" s="38">
        <f>IF(AQ141="1",BI141,0)</f>
        <v>0</v>
      </c>
      <c r="AD141" s="38">
        <f>IF(AQ141="7",BH141,0)</f>
        <v>0</v>
      </c>
      <c r="AE141" s="38">
        <f>IF(AQ141="7",BI141,0)</f>
        <v>0</v>
      </c>
      <c r="AF141" s="38">
        <f>IF(AQ141="2",BH141,0)</f>
        <v>0</v>
      </c>
      <c r="AG141" s="38">
        <f>IF(AQ141="2",BI141,0)</f>
        <v>0</v>
      </c>
      <c r="AH141" s="38">
        <f>IF(AQ141="0",BJ141,0)</f>
        <v>0</v>
      </c>
      <c r="AI141" s="31" t="s">
        <v>357</v>
      </c>
      <c r="AJ141" s="21">
        <f>IF(AN141=0,K141,0)</f>
        <v>0</v>
      </c>
      <c r="AK141" s="21">
        <f>IF(AN141=15,K141,0)</f>
        <v>0</v>
      </c>
      <c r="AL141" s="21">
        <f>IF(AN141=21,K141,0)</f>
        <v>0</v>
      </c>
      <c r="AN141" s="38">
        <v>21</v>
      </c>
      <c r="AO141" s="38">
        <f>H141*1</f>
        <v>0</v>
      </c>
      <c r="AP141" s="38">
        <f>H141*(1-1)</f>
        <v>0</v>
      </c>
      <c r="AQ141" s="33" t="s">
        <v>7</v>
      </c>
      <c r="AV141" s="38">
        <f>AW141+AX141</f>
        <v>0</v>
      </c>
      <c r="AW141" s="38">
        <f>G141*AO141</f>
        <v>0</v>
      </c>
      <c r="AX141" s="38">
        <f>G141*AP141</f>
        <v>0</v>
      </c>
      <c r="AY141" s="39" t="s">
        <v>364</v>
      </c>
      <c r="AZ141" s="39" t="s">
        <v>388</v>
      </c>
      <c r="BA141" s="31" t="s">
        <v>394</v>
      </c>
      <c r="BC141" s="38">
        <f>AW141+AX141</f>
        <v>0</v>
      </c>
      <c r="BD141" s="38">
        <f>H141/(100-BE141)*100</f>
        <v>0</v>
      </c>
      <c r="BE141" s="38">
        <v>0</v>
      </c>
      <c r="BF141" s="38">
        <f>141</f>
        <v>141</v>
      </c>
      <c r="BH141" s="21">
        <f>G141*AO141</f>
        <v>0</v>
      </c>
      <c r="BI141" s="21">
        <f>G141*AP141</f>
        <v>0</v>
      </c>
      <c r="BJ141" s="21">
        <f>G141*H141</f>
        <v>0</v>
      </c>
    </row>
    <row r="142" spans="1:62" ht="12.75">
      <c r="A142" s="6" t="s">
        <v>92</v>
      </c>
      <c r="B142" s="6" t="s">
        <v>129</v>
      </c>
      <c r="C142" s="103" t="s">
        <v>224</v>
      </c>
      <c r="D142" s="104"/>
      <c r="E142" s="104"/>
      <c r="F142" s="6" t="s">
        <v>322</v>
      </c>
      <c r="G142" s="69">
        <v>2</v>
      </c>
      <c r="H142" s="20">
        <v>0</v>
      </c>
      <c r="I142" s="20">
        <f>G142*AO142</f>
        <v>0</v>
      </c>
      <c r="J142" s="20">
        <f>G142*AP142</f>
        <v>0</v>
      </c>
      <c r="K142" s="20">
        <f>G142*H142</f>
        <v>0</v>
      </c>
      <c r="L142" s="32" t="s">
        <v>345</v>
      </c>
      <c r="Z142" s="38">
        <f>IF(AQ142="5",BJ142,0)</f>
        <v>0</v>
      </c>
      <c r="AB142" s="38">
        <f>IF(AQ142="1",BH142,0)</f>
        <v>0</v>
      </c>
      <c r="AC142" s="38">
        <f>IF(AQ142="1",BI142,0)</f>
        <v>0</v>
      </c>
      <c r="AD142" s="38">
        <f>IF(AQ142="7",BH142,0)</f>
        <v>0</v>
      </c>
      <c r="AE142" s="38">
        <f>IF(AQ142="7",BI142,0)</f>
        <v>0</v>
      </c>
      <c r="AF142" s="38">
        <f>IF(AQ142="2",BH142,0)</f>
        <v>0</v>
      </c>
      <c r="AG142" s="38">
        <f>IF(AQ142="2",BI142,0)</f>
        <v>0</v>
      </c>
      <c r="AH142" s="38">
        <f>IF(AQ142="0",BJ142,0)</f>
        <v>0</v>
      </c>
      <c r="AI142" s="31" t="s">
        <v>357</v>
      </c>
      <c r="AJ142" s="20">
        <f>IF(AN142=0,K142,0)</f>
        <v>0</v>
      </c>
      <c r="AK142" s="20">
        <f>IF(AN142=15,K142,0)</f>
        <v>0</v>
      </c>
      <c r="AL142" s="20">
        <f>IF(AN142=21,K142,0)</f>
        <v>0</v>
      </c>
      <c r="AN142" s="38">
        <v>21</v>
      </c>
      <c r="AO142" s="38">
        <f>H142*0</f>
        <v>0</v>
      </c>
      <c r="AP142" s="38">
        <f>H142*(1-0)</f>
        <v>0</v>
      </c>
      <c r="AQ142" s="32" t="s">
        <v>7</v>
      </c>
      <c r="AV142" s="38">
        <f>AW142+AX142</f>
        <v>0</v>
      </c>
      <c r="AW142" s="38">
        <f>G142*AO142</f>
        <v>0</v>
      </c>
      <c r="AX142" s="38">
        <f>G142*AP142</f>
        <v>0</v>
      </c>
      <c r="AY142" s="39" t="s">
        <v>364</v>
      </c>
      <c r="AZ142" s="39" t="s">
        <v>388</v>
      </c>
      <c r="BA142" s="31" t="s">
        <v>394</v>
      </c>
      <c r="BC142" s="38">
        <f>AW142+AX142</f>
        <v>0</v>
      </c>
      <c r="BD142" s="38">
        <f>H142/(100-BE142)*100</f>
        <v>0</v>
      </c>
      <c r="BE142" s="38">
        <v>0</v>
      </c>
      <c r="BF142" s="38">
        <f>142</f>
        <v>142</v>
      </c>
      <c r="BH142" s="20">
        <f>G142*AO142</f>
        <v>0</v>
      </c>
      <c r="BI142" s="20">
        <f>G142*AP142</f>
        <v>0</v>
      </c>
      <c r="BJ142" s="20">
        <f>G142*H142</f>
        <v>0</v>
      </c>
    </row>
    <row r="143" spans="1:62" ht="12.75">
      <c r="A143" s="7" t="s">
        <v>93</v>
      </c>
      <c r="B143" s="7" t="s">
        <v>130</v>
      </c>
      <c r="C143" s="107" t="s">
        <v>225</v>
      </c>
      <c r="D143" s="108"/>
      <c r="E143" s="108"/>
      <c r="F143" s="7" t="s">
        <v>322</v>
      </c>
      <c r="G143" s="70">
        <v>2</v>
      </c>
      <c r="H143" s="21">
        <v>0</v>
      </c>
      <c r="I143" s="21">
        <f>G143*AO143</f>
        <v>0</v>
      </c>
      <c r="J143" s="21">
        <f>G143*AP143</f>
        <v>0</v>
      </c>
      <c r="K143" s="21">
        <f>G143*H143</f>
        <v>0</v>
      </c>
      <c r="L143" s="33" t="s">
        <v>345</v>
      </c>
      <c r="Z143" s="38">
        <f>IF(AQ143="5",BJ143,0)</f>
        <v>0</v>
      </c>
      <c r="AB143" s="38">
        <f>IF(AQ143="1",BH143,0)</f>
        <v>0</v>
      </c>
      <c r="AC143" s="38">
        <f>IF(AQ143="1",BI143,0)</f>
        <v>0</v>
      </c>
      <c r="AD143" s="38">
        <f>IF(AQ143="7",BH143,0)</f>
        <v>0</v>
      </c>
      <c r="AE143" s="38">
        <f>IF(AQ143="7",BI143,0)</f>
        <v>0</v>
      </c>
      <c r="AF143" s="38">
        <f>IF(AQ143="2",BH143,0)</f>
        <v>0</v>
      </c>
      <c r="AG143" s="38">
        <f>IF(AQ143="2",BI143,0)</f>
        <v>0</v>
      </c>
      <c r="AH143" s="38">
        <f>IF(AQ143="0",BJ143,0)</f>
        <v>0</v>
      </c>
      <c r="AI143" s="31" t="s">
        <v>357</v>
      </c>
      <c r="AJ143" s="21">
        <f>IF(AN143=0,K143,0)</f>
        <v>0</v>
      </c>
      <c r="AK143" s="21">
        <f>IF(AN143=15,K143,0)</f>
        <v>0</v>
      </c>
      <c r="AL143" s="21">
        <f>IF(AN143=21,K143,0)</f>
        <v>0</v>
      </c>
      <c r="AN143" s="38">
        <v>21</v>
      </c>
      <c r="AO143" s="38">
        <f>H143*1</f>
        <v>0</v>
      </c>
      <c r="AP143" s="38">
        <f>H143*(1-1)</f>
        <v>0</v>
      </c>
      <c r="AQ143" s="33" t="s">
        <v>7</v>
      </c>
      <c r="AV143" s="38">
        <f>AW143+AX143</f>
        <v>0</v>
      </c>
      <c r="AW143" s="38">
        <f>G143*AO143</f>
        <v>0</v>
      </c>
      <c r="AX143" s="38">
        <f>G143*AP143</f>
        <v>0</v>
      </c>
      <c r="AY143" s="39" t="s">
        <v>364</v>
      </c>
      <c r="AZ143" s="39" t="s">
        <v>388</v>
      </c>
      <c r="BA143" s="31" t="s">
        <v>394</v>
      </c>
      <c r="BC143" s="38">
        <f>AW143+AX143</f>
        <v>0</v>
      </c>
      <c r="BD143" s="38">
        <f>H143/(100-BE143)*100</f>
        <v>0</v>
      </c>
      <c r="BE143" s="38">
        <v>0</v>
      </c>
      <c r="BF143" s="38">
        <f>143</f>
        <v>143</v>
      </c>
      <c r="BH143" s="21">
        <f>G143*AO143</f>
        <v>0</v>
      </c>
      <c r="BI143" s="21">
        <f>G143*AP143</f>
        <v>0</v>
      </c>
      <c r="BJ143" s="21">
        <f>G143*H143</f>
        <v>0</v>
      </c>
    </row>
    <row r="144" spans="1:47" ht="12.75">
      <c r="A144" s="5"/>
      <c r="B144" s="15" t="s">
        <v>95</v>
      </c>
      <c r="C144" s="101" t="s">
        <v>228</v>
      </c>
      <c r="D144" s="102"/>
      <c r="E144" s="102"/>
      <c r="F144" s="5" t="s">
        <v>6</v>
      </c>
      <c r="G144" s="5" t="s">
        <v>6</v>
      </c>
      <c r="H144" s="5" t="s">
        <v>6</v>
      </c>
      <c r="I144" s="41">
        <f>SUM(I145:I146)</f>
        <v>0</v>
      </c>
      <c r="J144" s="41">
        <f>SUM(J145:J146)</f>
        <v>0</v>
      </c>
      <c r="K144" s="41">
        <f>SUM(K145:K146)</f>
        <v>0</v>
      </c>
      <c r="L144" s="31"/>
      <c r="AI144" s="31" t="s">
        <v>357</v>
      </c>
      <c r="AS144" s="41">
        <f>SUM(AJ145:AJ146)</f>
        <v>0</v>
      </c>
      <c r="AT144" s="41">
        <f>SUM(AK145:AK146)</f>
        <v>0</v>
      </c>
      <c r="AU144" s="41">
        <f>SUM(AL145:AL146)</f>
        <v>0</v>
      </c>
    </row>
    <row r="145" spans="1:62" ht="12.75">
      <c r="A145" s="6" t="s">
        <v>94</v>
      </c>
      <c r="B145" s="6" t="s">
        <v>133</v>
      </c>
      <c r="C145" s="103" t="s">
        <v>229</v>
      </c>
      <c r="D145" s="104"/>
      <c r="E145" s="104"/>
      <c r="F145" s="6" t="s">
        <v>321</v>
      </c>
      <c r="G145" s="69">
        <v>16</v>
      </c>
      <c r="H145" s="20">
        <v>0</v>
      </c>
      <c r="I145" s="20">
        <f>G145*AO145</f>
        <v>0</v>
      </c>
      <c r="J145" s="20">
        <f>G145*AP145</f>
        <v>0</v>
      </c>
      <c r="K145" s="20">
        <f>G145*H145</f>
        <v>0</v>
      </c>
      <c r="L145" s="32" t="s">
        <v>345</v>
      </c>
      <c r="Z145" s="38">
        <f>IF(AQ145="5",BJ145,0)</f>
        <v>0</v>
      </c>
      <c r="AB145" s="38">
        <f>IF(AQ145="1",BH145,0)</f>
        <v>0</v>
      </c>
      <c r="AC145" s="38">
        <f>IF(AQ145="1",BI145,0)</f>
        <v>0</v>
      </c>
      <c r="AD145" s="38">
        <f>IF(AQ145="7",BH145,0)</f>
        <v>0</v>
      </c>
      <c r="AE145" s="38">
        <f>IF(AQ145="7",BI145,0)</f>
        <v>0</v>
      </c>
      <c r="AF145" s="38">
        <f>IF(AQ145="2",BH145,0)</f>
        <v>0</v>
      </c>
      <c r="AG145" s="38">
        <f>IF(AQ145="2",BI145,0)</f>
        <v>0</v>
      </c>
      <c r="AH145" s="38">
        <f>IF(AQ145="0",BJ145,0)</f>
        <v>0</v>
      </c>
      <c r="AI145" s="31" t="s">
        <v>357</v>
      </c>
      <c r="AJ145" s="20">
        <f>IF(AN145=0,K145,0)</f>
        <v>0</v>
      </c>
      <c r="AK145" s="20">
        <f>IF(AN145=15,K145,0)</f>
        <v>0</v>
      </c>
      <c r="AL145" s="20">
        <f>IF(AN145=21,K145,0)</f>
        <v>0</v>
      </c>
      <c r="AN145" s="38">
        <v>21</v>
      </c>
      <c r="AO145" s="38">
        <f>H145*0.325668449197861</f>
        <v>0</v>
      </c>
      <c r="AP145" s="38">
        <f>H145*(1-0.325668449197861)</f>
        <v>0</v>
      </c>
      <c r="AQ145" s="32" t="s">
        <v>7</v>
      </c>
      <c r="AV145" s="38">
        <f>AW145+AX145</f>
        <v>0</v>
      </c>
      <c r="AW145" s="38">
        <f>G145*AO145</f>
        <v>0</v>
      </c>
      <c r="AX145" s="38">
        <f>G145*AP145</f>
        <v>0</v>
      </c>
      <c r="AY145" s="39" t="s">
        <v>365</v>
      </c>
      <c r="AZ145" s="39" t="s">
        <v>388</v>
      </c>
      <c r="BA145" s="31" t="s">
        <v>394</v>
      </c>
      <c r="BC145" s="38">
        <f>AW145+AX145</f>
        <v>0</v>
      </c>
      <c r="BD145" s="38">
        <f>H145/(100-BE145)*100</f>
        <v>0</v>
      </c>
      <c r="BE145" s="38">
        <v>0</v>
      </c>
      <c r="BF145" s="38">
        <f>145</f>
        <v>145</v>
      </c>
      <c r="BH145" s="20">
        <f>G145*AO145</f>
        <v>0</v>
      </c>
      <c r="BI145" s="20">
        <f>G145*AP145</f>
        <v>0</v>
      </c>
      <c r="BJ145" s="20">
        <f>G145*H145</f>
        <v>0</v>
      </c>
    </row>
    <row r="146" spans="1:62" ht="12.75">
      <c r="A146" s="6" t="s">
        <v>95</v>
      </c>
      <c r="B146" s="6" t="s">
        <v>134</v>
      </c>
      <c r="C146" s="103" t="s">
        <v>292</v>
      </c>
      <c r="D146" s="104"/>
      <c r="E146" s="104"/>
      <c r="F146" s="6" t="s">
        <v>321</v>
      </c>
      <c r="G146" s="69">
        <v>16</v>
      </c>
      <c r="H146" s="20">
        <v>0</v>
      </c>
      <c r="I146" s="20">
        <f>G146*AO146</f>
        <v>0</v>
      </c>
      <c r="J146" s="20">
        <f>G146*AP146</f>
        <v>0</v>
      </c>
      <c r="K146" s="20">
        <f>G146*H146</f>
        <v>0</v>
      </c>
      <c r="L146" s="32" t="s">
        <v>345</v>
      </c>
      <c r="Z146" s="38">
        <f>IF(AQ146="5",BJ146,0)</f>
        <v>0</v>
      </c>
      <c r="AB146" s="38">
        <f>IF(AQ146="1",BH146,0)</f>
        <v>0</v>
      </c>
      <c r="AC146" s="38">
        <f>IF(AQ146="1",BI146,0)</f>
        <v>0</v>
      </c>
      <c r="AD146" s="38">
        <f>IF(AQ146="7",BH146,0)</f>
        <v>0</v>
      </c>
      <c r="AE146" s="38">
        <f>IF(AQ146="7",BI146,0)</f>
        <v>0</v>
      </c>
      <c r="AF146" s="38">
        <f>IF(AQ146="2",BH146,0)</f>
        <v>0</v>
      </c>
      <c r="AG146" s="38">
        <f>IF(AQ146="2",BI146,0)</f>
        <v>0</v>
      </c>
      <c r="AH146" s="38">
        <f>IF(AQ146="0",BJ146,0)</f>
        <v>0</v>
      </c>
      <c r="AI146" s="31" t="s">
        <v>357</v>
      </c>
      <c r="AJ146" s="20">
        <f>IF(AN146=0,K146,0)</f>
        <v>0</v>
      </c>
      <c r="AK146" s="20">
        <f>IF(AN146=15,K146,0)</f>
        <v>0</v>
      </c>
      <c r="AL146" s="20">
        <f>IF(AN146=21,K146,0)</f>
        <v>0</v>
      </c>
      <c r="AN146" s="38">
        <v>21</v>
      </c>
      <c r="AO146" s="38">
        <f>H146*0.233894945490585</f>
        <v>0</v>
      </c>
      <c r="AP146" s="38">
        <f>H146*(1-0.233894945490585)</f>
        <v>0</v>
      </c>
      <c r="AQ146" s="32" t="s">
        <v>7</v>
      </c>
      <c r="AV146" s="38">
        <f>AW146+AX146</f>
        <v>0</v>
      </c>
      <c r="AW146" s="38">
        <f>G146*AO146</f>
        <v>0</v>
      </c>
      <c r="AX146" s="38">
        <f>G146*AP146</f>
        <v>0</v>
      </c>
      <c r="AY146" s="39" t="s">
        <v>365</v>
      </c>
      <c r="AZ146" s="39" t="s">
        <v>388</v>
      </c>
      <c r="BA146" s="31" t="s">
        <v>394</v>
      </c>
      <c r="BC146" s="38">
        <f>AW146+AX146</f>
        <v>0</v>
      </c>
      <c r="BD146" s="38">
        <f>H146/(100-BE146)*100</f>
        <v>0</v>
      </c>
      <c r="BE146" s="38">
        <v>0</v>
      </c>
      <c r="BF146" s="38">
        <f>146</f>
        <v>146</v>
      </c>
      <c r="BH146" s="20">
        <f>G146*AO146</f>
        <v>0</v>
      </c>
      <c r="BI146" s="20">
        <f>G146*AP146</f>
        <v>0</v>
      </c>
      <c r="BJ146" s="20">
        <f>G146*H146</f>
        <v>0</v>
      </c>
    </row>
    <row r="147" spans="1:47" ht="12.75">
      <c r="A147" s="5"/>
      <c r="B147" s="15" t="s">
        <v>143</v>
      </c>
      <c r="C147" s="101" t="s">
        <v>241</v>
      </c>
      <c r="D147" s="102"/>
      <c r="E147" s="102"/>
      <c r="F147" s="5" t="s">
        <v>6</v>
      </c>
      <c r="G147" s="5" t="s">
        <v>6</v>
      </c>
      <c r="H147" s="5" t="s">
        <v>6</v>
      </c>
      <c r="I147" s="41">
        <f>SUM(I148:I148)</f>
        <v>0</v>
      </c>
      <c r="J147" s="41">
        <f>SUM(J148:J148)</f>
        <v>0</v>
      </c>
      <c r="K147" s="41">
        <f>SUM(K148:K148)</f>
        <v>0</v>
      </c>
      <c r="L147" s="31"/>
      <c r="AI147" s="31" t="s">
        <v>357</v>
      </c>
      <c r="AS147" s="41">
        <f>SUM(AJ148:AJ148)</f>
        <v>0</v>
      </c>
      <c r="AT147" s="41">
        <f>SUM(AK148:AK148)</f>
        <v>0</v>
      </c>
      <c r="AU147" s="41">
        <f>SUM(AL148:AL148)</f>
        <v>0</v>
      </c>
    </row>
    <row r="148" spans="1:62" ht="12.75">
      <c r="A148" s="6" t="s">
        <v>96</v>
      </c>
      <c r="B148" s="6" t="s">
        <v>144</v>
      </c>
      <c r="C148" s="103" t="s">
        <v>242</v>
      </c>
      <c r="D148" s="104"/>
      <c r="E148" s="104"/>
      <c r="F148" s="6" t="s">
        <v>324</v>
      </c>
      <c r="G148" s="69">
        <v>10.103</v>
      </c>
      <c r="H148" s="20">
        <v>0</v>
      </c>
      <c r="I148" s="20">
        <f>G148*AO148</f>
        <v>0</v>
      </c>
      <c r="J148" s="20">
        <f>G148*AP148</f>
        <v>0</v>
      </c>
      <c r="K148" s="20">
        <f>G148*H148</f>
        <v>0</v>
      </c>
      <c r="L148" s="32" t="s">
        <v>345</v>
      </c>
      <c r="Z148" s="38">
        <f>IF(AQ148="5",BJ148,0)</f>
        <v>0</v>
      </c>
      <c r="AB148" s="38">
        <f>IF(AQ148="1",BH148,0)</f>
        <v>0</v>
      </c>
      <c r="AC148" s="38">
        <f>IF(AQ148="1",BI148,0)</f>
        <v>0</v>
      </c>
      <c r="AD148" s="38">
        <f>IF(AQ148="7",BH148,0)</f>
        <v>0</v>
      </c>
      <c r="AE148" s="38">
        <f>IF(AQ148="7",BI148,0)</f>
        <v>0</v>
      </c>
      <c r="AF148" s="38">
        <f>IF(AQ148="2",BH148,0)</f>
        <v>0</v>
      </c>
      <c r="AG148" s="38">
        <f>IF(AQ148="2",BI148,0)</f>
        <v>0</v>
      </c>
      <c r="AH148" s="38">
        <f>IF(AQ148="0",BJ148,0)</f>
        <v>0</v>
      </c>
      <c r="AI148" s="31" t="s">
        <v>357</v>
      </c>
      <c r="AJ148" s="20">
        <f>IF(AN148=0,K148,0)</f>
        <v>0</v>
      </c>
      <c r="AK148" s="20">
        <f>IF(AN148=15,K148,0)</f>
        <v>0</v>
      </c>
      <c r="AL148" s="20">
        <f>IF(AN148=21,K148,0)</f>
        <v>0</v>
      </c>
      <c r="AN148" s="38">
        <v>21</v>
      </c>
      <c r="AO148" s="38">
        <f>H148*0</f>
        <v>0</v>
      </c>
      <c r="AP148" s="38">
        <f>H148*(1-0)</f>
        <v>0</v>
      </c>
      <c r="AQ148" s="32" t="s">
        <v>11</v>
      </c>
      <c r="AV148" s="38">
        <f>AW148+AX148</f>
        <v>0</v>
      </c>
      <c r="AW148" s="38">
        <f>G148*AO148</f>
        <v>0</v>
      </c>
      <c r="AX148" s="38">
        <f>G148*AP148</f>
        <v>0</v>
      </c>
      <c r="AY148" s="39" t="s">
        <v>366</v>
      </c>
      <c r="AZ148" s="39" t="s">
        <v>389</v>
      </c>
      <c r="BA148" s="31" t="s">
        <v>394</v>
      </c>
      <c r="BC148" s="38">
        <f>AW148+AX148</f>
        <v>0</v>
      </c>
      <c r="BD148" s="38">
        <f>H148/(100-BE148)*100</f>
        <v>0</v>
      </c>
      <c r="BE148" s="38">
        <v>0</v>
      </c>
      <c r="BF148" s="38">
        <f>148</f>
        <v>148</v>
      </c>
      <c r="BH148" s="20">
        <f>G148*AO148</f>
        <v>0</v>
      </c>
      <c r="BI148" s="20">
        <f>G148*AP148</f>
        <v>0</v>
      </c>
      <c r="BJ148" s="20">
        <f>G148*H148</f>
        <v>0</v>
      </c>
    </row>
    <row r="149" spans="1:12" ht="12.75">
      <c r="A149" s="8"/>
      <c r="B149" s="17"/>
      <c r="C149" s="109" t="s">
        <v>293</v>
      </c>
      <c r="D149" s="110"/>
      <c r="E149" s="110"/>
      <c r="F149" s="8" t="s">
        <v>6</v>
      </c>
      <c r="G149" s="8" t="s">
        <v>6</v>
      </c>
      <c r="H149" s="8" t="s">
        <v>6</v>
      </c>
      <c r="I149" s="42">
        <f>I150+I152+I154+I162</f>
        <v>0</v>
      </c>
      <c r="J149" s="42">
        <f>J150+J152+J154+J162</f>
        <v>0</v>
      </c>
      <c r="K149" s="42">
        <f>K150+K152+K154+K162</f>
        <v>0</v>
      </c>
      <c r="L149" s="34"/>
    </row>
    <row r="150" spans="1:47" ht="12.75">
      <c r="A150" s="5"/>
      <c r="B150" s="15" t="s">
        <v>17</v>
      </c>
      <c r="C150" s="101" t="s">
        <v>199</v>
      </c>
      <c r="D150" s="102"/>
      <c r="E150" s="102"/>
      <c r="F150" s="5" t="s">
        <v>6</v>
      </c>
      <c r="G150" s="5" t="s">
        <v>6</v>
      </c>
      <c r="H150" s="5" t="s">
        <v>6</v>
      </c>
      <c r="I150" s="41">
        <f>SUM(I151:I151)</f>
        <v>0</v>
      </c>
      <c r="J150" s="41">
        <f>SUM(J151:J151)</f>
        <v>0</v>
      </c>
      <c r="K150" s="41">
        <f>SUM(K151:K151)</f>
        <v>0</v>
      </c>
      <c r="L150" s="31"/>
      <c r="AI150" s="31" t="s">
        <v>358</v>
      </c>
      <c r="AS150" s="41">
        <f>SUM(AJ151:AJ151)</f>
        <v>0</v>
      </c>
      <c r="AT150" s="41">
        <f>SUM(AK151:AK151)</f>
        <v>0</v>
      </c>
      <c r="AU150" s="41">
        <f>SUM(AL151:AL151)</f>
        <v>0</v>
      </c>
    </row>
    <row r="151" spans="1:62" ht="12.75">
      <c r="A151" s="6" t="s">
        <v>97</v>
      </c>
      <c r="B151" s="6" t="s">
        <v>112</v>
      </c>
      <c r="C151" s="103" t="s">
        <v>200</v>
      </c>
      <c r="D151" s="104"/>
      <c r="E151" s="104"/>
      <c r="F151" s="6" t="s">
        <v>319</v>
      </c>
      <c r="G151" s="69">
        <v>1</v>
      </c>
      <c r="H151" s="20">
        <v>0</v>
      </c>
      <c r="I151" s="20">
        <f>G151*AO151</f>
        <v>0</v>
      </c>
      <c r="J151" s="20">
        <f>G151*AP151</f>
        <v>0</v>
      </c>
      <c r="K151" s="20">
        <f>G151*H151</f>
        <v>0</v>
      </c>
      <c r="L151" s="32"/>
      <c r="Z151" s="38">
        <f>IF(AQ151="5",BJ151,0)</f>
        <v>0</v>
      </c>
      <c r="AB151" s="38">
        <f>IF(AQ151="1",BH151,0)</f>
        <v>0</v>
      </c>
      <c r="AC151" s="38">
        <f>IF(AQ151="1",BI151,0)</f>
        <v>0</v>
      </c>
      <c r="AD151" s="38">
        <f>IF(AQ151="7",BH151,0)</f>
        <v>0</v>
      </c>
      <c r="AE151" s="38">
        <f>IF(AQ151="7",BI151,0)</f>
        <v>0</v>
      </c>
      <c r="AF151" s="38">
        <f>IF(AQ151="2",BH151,0)</f>
        <v>0</v>
      </c>
      <c r="AG151" s="38">
        <f>IF(AQ151="2",BI151,0)</f>
        <v>0</v>
      </c>
      <c r="AH151" s="38">
        <f>IF(AQ151="0",BJ151,0)</f>
        <v>0</v>
      </c>
      <c r="AI151" s="31" t="s">
        <v>358</v>
      </c>
      <c r="AJ151" s="20">
        <f>IF(AN151=0,K151,0)</f>
        <v>0</v>
      </c>
      <c r="AK151" s="20">
        <f>IF(AN151=15,K151,0)</f>
        <v>0</v>
      </c>
      <c r="AL151" s="20">
        <f>IF(AN151=21,K151,0)</f>
        <v>0</v>
      </c>
      <c r="AN151" s="38">
        <v>21</v>
      </c>
      <c r="AO151" s="38">
        <f>H151*0</f>
        <v>0</v>
      </c>
      <c r="AP151" s="38">
        <f>H151*(1-0)</f>
        <v>0</v>
      </c>
      <c r="AQ151" s="32" t="s">
        <v>7</v>
      </c>
      <c r="AV151" s="38">
        <f>AW151+AX151</f>
        <v>0</v>
      </c>
      <c r="AW151" s="38">
        <f>G151*AO151</f>
        <v>0</v>
      </c>
      <c r="AX151" s="38">
        <f>G151*AP151</f>
        <v>0</v>
      </c>
      <c r="AY151" s="39" t="s">
        <v>359</v>
      </c>
      <c r="AZ151" s="39" t="s">
        <v>390</v>
      </c>
      <c r="BA151" s="31" t="s">
        <v>395</v>
      </c>
      <c r="BC151" s="38">
        <f>AW151+AX151</f>
        <v>0</v>
      </c>
      <c r="BD151" s="38">
        <f>H151/(100-BE151)*100</f>
        <v>0</v>
      </c>
      <c r="BE151" s="38">
        <v>0</v>
      </c>
      <c r="BF151" s="38">
        <f>151</f>
        <v>151</v>
      </c>
      <c r="BH151" s="20">
        <f>G151*AO151</f>
        <v>0</v>
      </c>
      <c r="BI151" s="20">
        <f>G151*AP151</f>
        <v>0</v>
      </c>
      <c r="BJ151" s="20">
        <f>G151*H151</f>
        <v>0</v>
      </c>
    </row>
    <row r="152" spans="1:47" ht="12.75">
      <c r="A152" s="5"/>
      <c r="B152" s="15" t="s">
        <v>23</v>
      </c>
      <c r="C152" s="101" t="s">
        <v>209</v>
      </c>
      <c r="D152" s="102"/>
      <c r="E152" s="102"/>
      <c r="F152" s="5" t="s">
        <v>6</v>
      </c>
      <c r="G152" s="5" t="s">
        <v>6</v>
      </c>
      <c r="H152" s="5" t="s">
        <v>6</v>
      </c>
      <c r="I152" s="41">
        <f>SUM(I153:I153)</f>
        <v>0</v>
      </c>
      <c r="J152" s="41">
        <f>SUM(J153:J153)</f>
        <v>0</v>
      </c>
      <c r="K152" s="41">
        <f>SUM(K153:K153)</f>
        <v>0</v>
      </c>
      <c r="L152" s="31"/>
      <c r="AI152" s="31" t="s">
        <v>358</v>
      </c>
      <c r="AS152" s="41">
        <f>SUM(AJ153:AJ153)</f>
        <v>0</v>
      </c>
      <c r="AT152" s="41">
        <f>SUM(AK153:AK153)</f>
        <v>0</v>
      </c>
      <c r="AU152" s="41">
        <f>SUM(AL153:AL153)</f>
        <v>0</v>
      </c>
    </row>
    <row r="153" spans="1:62" ht="12.75">
      <c r="A153" s="6" t="s">
        <v>98</v>
      </c>
      <c r="B153" s="6" t="s">
        <v>167</v>
      </c>
      <c r="C153" s="103" t="s">
        <v>274</v>
      </c>
      <c r="D153" s="104"/>
      <c r="E153" s="104"/>
      <c r="F153" s="6" t="s">
        <v>320</v>
      </c>
      <c r="G153" s="69">
        <v>3.049</v>
      </c>
      <c r="H153" s="20">
        <v>0</v>
      </c>
      <c r="I153" s="20">
        <f>G153*AO153</f>
        <v>0</v>
      </c>
      <c r="J153" s="20">
        <f>G153*AP153</f>
        <v>0</v>
      </c>
      <c r="K153" s="20">
        <f>G153*H153</f>
        <v>0</v>
      </c>
      <c r="L153" s="32" t="s">
        <v>345</v>
      </c>
      <c r="Z153" s="38">
        <f>IF(AQ153="5",BJ153,0)</f>
        <v>0</v>
      </c>
      <c r="AB153" s="38">
        <f>IF(AQ153="1",BH153,0)</f>
        <v>0</v>
      </c>
      <c r="AC153" s="38">
        <f>IF(AQ153="1",BI153,0)</f>
        <v>0</v>
      </c>
      <c r="AD153" s="38">
        <f>IF(AQ153="7",BH153,0)</f>
        <v>0</v>
      </c>
      <c r="AE153" s="38">
        <f>IF(AQ153="7",BI153,0)</f>
        <v>0</v>
      </c>
      <c r="AF153" s="38">
        <f>IF(AQ153="2",BH153,0)</f>
        <v>0</v>
      </c>
      <c r="AG153" s="38">
        <f>IF(AQ153="2",BI153,0)</f>
        <v>0</v>
      </c>
      <c r="AH153" s="38">
        <f>IF(AQ153="0",BJ153,0)</f>
        <v>0</v>
      </c>
      <c r="AI153" s="31" t="s">
        <v>358</v>
      </c>
      <c r="AJ153" s="20">
        <f>IF(AN153=0,K153,0)</f>
        <v>0</v>
      </c>
      <c r="AK153" s="20">
        <f>IF(AN153=15,K153,0)</f>
        <v>0</v>
      </c>
      <c r="AL153" s="20">
        <f>IF(AN153=21,K153,0)</f>
        <v>0</v>
      </c>
      <c r="AN153" s="38">
        <v>21</v>
      </c>
      <c r="AO153" s="38">
        <f>H153*0.48289453570811</f>
        <v>0</v>
      </c>
      <c r="AP153" s="38">
        <f>H153*(1-0.48289453570811)</f>
        <v>0</v>
      </c>
      <c r="AQ153" s="32" t="s">
        <v>7</v>
      </c>
      <c r="AV153" s="38">
        <f>AW153+AX153</f>
        <v>0</v>
      </c>
      <c r="AW153" s="38">
        <f>G153*AO153</f>
        <v>0</v>
      </c>
      <c r="AX153" s="38">
        <f>G153*AP153</f>
        <v>0</v>
      </c>
      <c r="AY153" s="39" t="s">
        <v>362</v>
      </c>
      <c r="AZ153" s="39" t="s">
        <v>390</v>
      </c>
      <c r="BA153" s="31" t="s">
        <v>395</v>
      </c>
      <c r="BC153" s="38">
        <f>AW153+AX153</f>
        <v>0</v>
      </c>
      <c r="BD153" s="38">
        <f>H153/(100-BE153)*100</f>
        <v>0</v>
      </c>
      <c r="BE153" s="38">
        <v>0</v>
      </c>
      <c r="BF153" s="38">
        <f>153</f>
        <v>153</v>
      </c>
      <c r="BH153" s="20">
        <f>G153*AO153</f>
        <v>0</v>
      </c>
      <c r="BI153" s="20">
        <f>G153*AP153</f>
        <v>0</v>
      </c>
      <c r="BJ153" s="20">
        <f>G153*H153</f>
        <v>0</v>
      </c>
    </row>
    <row r="154" spans="1:47" ht="12.75">
      <c r="A154" s="5"/>
      <c r="B154" s="15" t="s">
        <v>182</v>
      </c>
      <c r="C154" s="101" t="s">
        <v>294</v>
      </c>
      <c r="D154" s="102"/>
      <c r="E154" s="102"/>
      <c r="F154" s="5" t="s">
        <v>6</v>
      </c>
      <c r="G154" s="5" t="s">
        <v>6</v>
      </c>
      <c r="H154" s="5" t="s">
        <v>6</v>
      </c>
      <c r="I154" s="41">
        <f>SUM(I155:I160)</f>
        <v>0</v>
      </c>
      <c r="J154" s="41">
        <f>SUM(J155:J160)</f>
        <v>0</v>
      </c>
      <c r="K154" s="41">
        <f>SUM(K155:K160)</f>
        <v>0</v>
      </c>
      <c r="L154" s="31"/>
      <c r="AI154" s="31" t="s">
        <v>358</v>
      </c>
      <c r="AS154" s="41">
        <f>SUM(AJ155:AJ160)</f>
        <v>0</v>
      </c>
      <c r="AT154" s="41">
        <f>SUM(AK155:AK160)</f>
        <v>0</v>
      </c>
      <c r="AU154" s="41">
        <f>SUM(AL155:AL160)</f>
        <v>0</v>
      </c>
    </row>
    <row r="155" spans="1:62" ht="12.75">
      <c r="A155" s="6" t="s">
        <v>99</v>
      </c>
      <c r="B155" s="6" t="s">
        <v>183</v>
      </c>
      <c r="C155" s="103" t="s">
        <v>295</v>
      </c>
      <c r="D155" s="104"/>
      <c r="E155" s="104"/>
      <c r="F155" s="6" t="s">
        <v>321</v>
      </c>
      <c r="G155" s="69">
        <v>23</v>
      </c>
      <c r="H155" s="20">
        <v>0</v>
      </c>
      <c r="I155" s="20">
        <f>G155*AO155</f>
        <v>0</v>
      </c>
      <c r="J155" s="20">
        <f>G155*AP155</f>
        <v>0</v>
      </c>
      <c r="K155" s="20">
        <f>G155*H155</f>
        <v>0</v>
      </c>
      <c r="L155" s="32" t="s">
        <v>345</v>
      </c>
      <c r="Z155" s="38">
        <f>IF(AQ155="5",BJ155,0)</f>
        <v>0</v>
      </c>
      <c r="AB155" s="38">
        <f>IF(AQ155="1",BH155,0)</f>
        <v>0</v>
      </c>
      <c r="AC155" s="38">
        <f>IF(AQ155="1",BI155,0)</f>
        <v>0</v>
      </c>
      <c r="AD155" s="38">
        <f>IF(AQ155="7",BH155,0)</f>
        <v>0</v>
      </c>
      <c r="AE155" s="38">
        <f>IF(AQ155="7",BI155,0)</f>
        <v>0</v>
      </c>
      <c r="AF155" s="38">
        <f>IF(AQ155="2",BH155,0)</f>
        <v>0</v>
      </c>
      <c r="AG155" s="38">
        <f>IF(AQ155="2",BI155,0)</f>
        <v>0</v>
      </c>
      <c r="AH155" s="38">
        <f>IF(AQ155="0",BJ155,0)</f>
        <v>0</v>
      </c>
      <c r="AI155" s="31" t="s">
        <v>358</v>
      </c>
      <c r="AJ155" s="20">
        <f>IF(AN155=0,K155,0)</f>
        <v>0</v>
      </c>
      <c r="AK155" s="20">
        <f>IF(AN155=15,K155,0)</f>
        <v>0</v>
      </c>
      <c r="AL155" s="20">
        <f>IF(AN155=21,K155,0)</f>
        <v>0</v>
      </c>
      <c r="AN155" s="38">
        <v>21</v>
      </c>
      <c r="AO155" s="38">
        <f>H155*0.339766849089137</f>
        <v>0</v>
      </c>
      <c r="AP155" s="38">
        <f>H155*(1-0.339766849089137)</f>
        <v>0</v>
      </c>
      <c r="AQ155" s="32" t="s">
        <v>8</v>
      </c>
      <c r="AV155" s="38">
        <f>AW155+AX155</f>
        <v>0</v>
      </c>
      <c r="AW155" s="38">
        <f>G155*AO155</f>
        <v>0</v>
      </c>
      <c r="AX155" s="38">
        <f>G155*AP155</f>
        <v>0</v>
      </c>
      <c r="AY155" s="39" t="s">
        <v>373</v>
      </c>
      <c r="AZ155" s="39" t="s">
        <v>391</v>
      </c>
      <c r="BA155" s="31" t="s">
        <v>395</v>
      </c>
      <c r="BC155" s="38">
        <f>AW155+AX155</f>
        <v>0</v>
      </c>
      <c r="BD155" s="38">
        <f>H155/(100-BE155)*100</f>
        <v>0</v>
      </c>
      <c r="BE155" s="38">
        <v>0</v>
      </c>
      <c r="BF155" s="38">
        <f>155</f>
        <v>155</v>
      </c>
      <c r="BH155" s="20">
        <f>G155*AO155</f>
        <v>0</v>
      </c>
      <c r="BI155" s="20">
        <f>G155*AP155</f>
        <v>0</v>
      </c>
      <c r="BJ155" s="20">
        <f>G155*H155</f>
        <v>0</v>
      </c>
    </row>
    <row r="156" spans="2:12" ht="12.75">
      <c r="B156" s="16" t="s">
        <v>116</v>
      </c>
      <c r="C156" s="105" t="s">
        <v>296</v>
      </c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1:62" ht="12.75">
      <c r="A157" s="6" t="s">
        <v>100</v>
      </c>
      <c r="B157" s="6" t="s">
        <v>184</v>
      </c>
      <c r="C157" s="103" t="s">
        <v>297</v>
      </c>
      <c r="D157" s="104"/>
      <c r="E157" s="104"/>
      <c r="F157" s="6" t="s">
        <v>322</v>
      </c>
      <c r="G157" s="69">
        <v>1</v>
      </c>
      <c r="H157" s="20">
        <v>0</v>
      </c>
      <c r="I157" s="20">
        <f>G157*AO157</f>
        <v>0</v>
      </c>
      <c r="J157" s="20">
        <f>G157*AP157</f>
        <v>0</v>
      </c>
      <c r="K157" s="20">
        <f>G157*H157</f>
        <v>0</v>
      </c>
      <c r="L157" s="32" t="s">
        <v>345</v>
      </c>
      <c r="Z157" s="38">
        <f>IF(AQ157="5",BJ157,0)</f>
        <v>0</v>
      </c>
      <c r="AB157" s="38">
        <f>IF(AQ157="1",BH157,0)</f>
        <v>0</v>
      </c>
      <c r="AC157" s="38">
        <f>IF(AQ157="1",BI157,0)</f>
        <v>0</v>
      </c>
      <c r="AD157" s="38">
        <f>IF(AQ157="7",BH157,0)</f>
        <v>0</v>
      </c>
      <c r="AE157" s="38">
        <f>IF(AQ157="7",BI157,0)</f>
        <v>0</v>
      </c>
      <c r="AF157" s="38">
        <f>IF(AQ157="2",BH157,0)</f>
        <v>0</v>
      </c>
      <c r="AG157" s="38">
        <f>IF(AQ157="2",BI157,0)</f>
        <v>0</v>
      </c>
      <c r="AH157" s="38">
        <f>IF(AQ157="0",BJ157,0)</f>
        <v>0</v>
      </c>
      <c r="AI157" s="31" t="s">
        <v>358</v>
      </c>
      <c r="AJ157" s="20">
        <f>IF(AN157=0,K157,0)</f>
        <v>0</v>
      </c>
      <c r="AK157" s="20">
        <f>IF(AN157=15,K157,0)</f>
        <v>0</v>
      </c>
      <c r="AL157" s="20">
        <f>IF(AN157=21,K157,0)</f>
        <v>0</v>
      </c>
      <c r="AN157" s="38">
        <v>21</v>
      </c>
      <c r="AO157" s="38">
        <f>H157*0</f>
        <v>0</v>
      </c>
      <c r="AP157" s="38">
        <f>H157*(1-0)</f>
        <v>0</v>
      </c>
      <c r="AQ157" s="32" t="s">
        <v>8</v>
      </c>
      <c r="AV157" s="38">
        <f>AW157+AX157</f>
        <v>0</v>
      </c>
      <c r="AW157" s="38">
        <f>G157*AO157</f>
        <v>0</v>
      </c>
      <c r="AX157" s="38">
        <f>G157*AP157</f>
        <v>0</v>
      </c>
      <c r="AY157" s="39" t="s">
        <v>373</v>
      </c>
      <c r="AZ157" s="39" t="s">
        <v>391</v>
      </c>
      <c r="BA157" s="31" t="s">
        <v>395</v>
      </c>
      <c r="BC157" s="38">
        <f>AW157+AX157</f>
        <v>0</v>
      </c>
      <c r="BD157" s="38">
        <f>H157/(100-BE157)*100</f>
        <v>0</v>
      </c>
      <c r="BE157" s="38">
        <v>0</v>
      </c>
      <c r="BF157" s="38">
        <f>157</f>
        <v>157</v>
      </c>
      <c r="BH157" s="20">
        <f>G157*AO157</f>
        <v>0</v>
      </c>
      <c r="BI157" s="20">
        <f>G157*AP157</f>
        <v>0</v>
      </c>
      <c r="BJ157" s="20">
        <f>G157*H157</f>
        <v>0</v>
      </c>
    </row>
    <row r="158" spans="1:62" ht="12.75">
      <c r="A158" s="6" t="s">
        <v>101</v>
      </c>
      <c r="B158" s="6" t="s">
        <v>185</v>
      </c>
      <c r="C158" s="103" t="s">
        <v>298</v>
      </c>
      <c r="D158" s="104"/>
      <c r="E158" s="104"/>
      <c r="F158" s="6" t="s">
        <v>321</v>
      </c>
      <c r="G158" s="69">
        <v>22.6</v>
      </c>
      <c r="H158" s="20">
        <v>0</v>
      </c>
      <c r="I158" s="20">
        <f>G158*AO158</f>
        <v>0</v>
      </c>
      <c r="J158" s="20">
        <f>G158*AP158</f>
        <v>0</v>
      </c>
      <c r="K158" s="20">
        <f>G158*H158</f>
        <v>0</v>
      </c>
      <c r="L158" s="32" t="s">
        <v>345</v>
      </c>
      <c r="Z158" s="38">
        <f>IF(AQ158="5",BJ158,0)</f>
        <v>0</v>
      </c>
      <c r="AB158" s="38">
        <f>IF(AQ158="1",BH158,0)</f>
        <v>0</v>
      </c>
      <c r="AC158" s="38">
        <f>IF(AQ158="1",BI158,0)</f>
        <v>0</v>
      </c>
      <c r="AD158" s="38">
        <f>IF(AQ158="7",BH158,0)</f>
        <v>0</v>
      </c>
      <c r="AE158" s="38">
        <f>IF(AQ158="7",BI158,0)</f>
        <v>0</v>
      </c>
      <c r="AF158" s="38">
        <f>IF(AQ158="2",BH158,0)</f>
        <v>0</v>
      </c>
      <c r="AG158" s="38">
        <f>IF(AQ158="2",BI158,0)</f>
        <v>0</v>
      </c>
      <c r="AH158" s="38">
        <f>IF(AQ158="0",BJ158,0)</f>
        <v>0</v>
      </c>
      <c r="AI158" s="31" t="s">
        <v>358</v>
      </c>
      <c r="AJ158" s="20">
        <f>IF(AN158=0,K158,0)</f>
        <v>0</v>
      </c>
      <c r="AK158" s="20">
        <f>IF(AN158=15,K158,0)</f>
        <v>0</v>
      </c>
      <c r="AL158" s="20">
        <f>IF(AN158=21,K158,0)</f>
        <v>0</v>
      </c>
      <c r="AN158" s="38">
        <v>21</v>
      </c>
      <c r="AO158" s="38">
        <f>H158*0.61875</f>
        <v>0</v>
      </c>
      <c r="AP158" s="38">
        <f>H158*(1-0.61875)</f>
        <v>0</v>
      </c>
      <c r="AQ158" s="32" t="s">
        <v>8</v>
      </c>
      <c r="AV158" s="38">
        <f>AW158+AX158</f>
        <v>0</v>
      </c>
      <c r="AW158" s="38">
        <f>G158*AO158</f>
        <v>0</v>
      </c>
      <c r="AX158" s="38">
        <f>G158*AP158</f>
        <v>0</v>
      </c>
      <c r="AY158" s="39" t="s">
        <v>373</v>
      </c>
      <c r="AZ158" s="39" t="s">
        <v>391</v>
      </c>
      <c r="BA158" s="31" t="s">
        <v>395</v>
      </c>
      <c r="BC158" s="38">
        <f>AW158+AX158</f>
        <v>0</v>
      </c>
      <c r="BD158" s="38">
        <f>H158/(100-BE158)*100</f>
        <v>0</v>
      </c>
      <c r="BE158" s="38">
        <v>0</v>
      </c>
      <c r="BF158" s="38">
        <f>158</f>
        <v>158</v>
      </c>
      <c r="BH158" s="20">
        <f>G158*AO158</f>
        <v>0</v>
      </c>
      <c r="BI158" s="20">
        <f>G158*AP158</f>
        <v>0</v>
      </c>
      <c r="BJ158" s="20">
        <f>G158*H158</f>
        <v>0</v>
      </c>
    </row>
    <row r="159" spans="2:12" ht="12.75">
      <c r="B159" s="16" t="s">
        <v>116</v>
      </c>
      <c r="C159" s="105" t="s">
        <v>299</v>
      </c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1:62" ht="12.75">
      <c r="A160" s="6" t="s">
        <v>102</v>
      </c>
      <c r="B160" s="6" t="s">
        <v>186</v>
      </c>
      <c r="C160" s="103" t="s">
        <v>300</v>
      </c>
      <c r="D160" s="104"/>
      <c r="E160" s="104"/>
      <c r="F160" s="6" t="s">
        <v>321</v>
      </c>
      <c r="G160" s="69">
        <v>21.3</v>
      </c>
      <c r="H160" s="20">
        <v>0</v>
      </c>
      <c r="I160" s="20">
        <f>G160*AO160</f>
        <v>0</v>
      </c>
      <c r="J160" s="20">
        <f>G160*AP160</f>
        <v>0</v>
      </c>
      <c r="K160" s="20">
        <f>G160*H160</f>
        <v>0</v>
      </c>
      <c r="L160" s="32" t="s">
        <v>345</v>
      </c>
      <c r="Z160" s="38">
        <f>IF(AQ160="5",BJ160,0)</f>
        <v>0</v>
      </c>
      <c r="AB160" s="38">
        <f>IF(AQ160="1",BH160,0)</f>
        <v>0</v>
      </c>
      <c r="AC160" s="38">
        <f>IF(AQ160="1",BI160,0)</f>
        <v>0</v>
      </c>
      <c r="AD160" s="38">
        <f>IF(AQ160="7",BH160,0)</f>
        <v>0</v>
      </c>
      <c r="AE160" s="38">
        <f>IF(AQ160="7",BI160,0)</f>
        <v>0</v>
      </c>
      <c r="AF160" s="38">
        <f>IF(AQ160="2",BH160,0)</f>
        <v>0</v>
      </c>
      <c r="AG160" s="38">
        <f>IF(AQ160="2",BI160,0)</f>
        <v>0</v>
      </c>
      <c r="AH160" s="38">
        <f>IF(AQ160="0",BJ160,0)</f>
        <v>0</v>
      </c>
      <c r="AI160" s="31" t="s">
        <v>358</v>
      </c>
      <c r="AJ160" s="20">
        <f>IF(AN160=0,K160,0)</f>
        <v>0</v>
      </c>
      <c r="AK160" s="20">
        <f>IF(AN160=15,K160,0)</f>
        <v>0</v>
      </c>
      <c r="AL160" s="20">
        <f>IF(AN160=21,K160,0)</f>
        <v>0</v>
      </c>
      <c r="AN160" s="38">
        <v>21</v>
      </c>
      <c r="AO160" s="38">
        <f>H160*0.751389244046668</f>
        <v>0</v>
      </c>
      <c r="AP160" s="38">
        <f>H160*(1-0.751389244046668)</f>
        <v>0</v>
      </c>
      <c r="AQ160" s="32" t="s">
        <v>8</v>
      </c>
      <c r="AV160" s="38">
        <f>AW160+AX160</f>
        <v>0</v>
      </c>
      <c r="AW160" s="38">
        <f>G160*AO160</f>
        <v>0</v>
      </c>
      <c r="AX160" s="38">
        <f>G160*AP160</f>
        <v>0</v>
      </c>
      <c r="AY160" s="39" t="s">
        <v>373</v>
      </c>
      <c r="AZ160" s="39" t="s">
        <v>391</v>
      </c>
      <c r="BA160" s="31" t="s">
        <v>395</v>
      </c>
      <c r="BC160" s="38">
        <f>AW160+AX160</f>
        <v>0</v>
      </c>
      <c r="BD160" s="38">
        <f>H160/(100-BE160)*100</f>
        <v>0</v>
      </c>
      <c r="BE160" s="38">
        <v>0</v>
      </c>
      <c r="BF160" s="38">
        <f>160</f>
        <v>160</v>
      </c>
      <c r="BH160" s="20">
        <f>G160*AO160</f>
        <v>0</v>
      </c>
      <c r="BI160" s="20">
        <f>G160*AP160</f>
        <v>0</v>
      </c>
      <c r="BJ160" s="20">
        <f>G160*H160</f>
        <v>0</v>
      </c>
    </row>
    <row r="161" spans="2:12" ht="12.75">
      <c r="B161" s="16" t="s">
        <v>116</v>
      </c>
      <c r="C161" s="105" t="s">
        <v>301</v>
      </c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1:47" ht="12.75">
      <c r="A162" s="5"/>
      <c r="B162" s="15" t="s">
        <v>187</v>
      </c>
      <c r="C162" s="101" t="s">
        <v>302</v>
      </c>
      <c r="D162" s="102"/>
      <c r="E162" s="102"/>
      <c r="F162" s="5" t="s">
        <v>6</v>
      </c>
      <c r="G162" s="5" t="s">
        <v>6</v>
      </c>
      <c r="H162" s="5" t="s">
        <v>6</v>
      </c>
      <c r="I162" s="41">
        <f>SUM(I163:I173)</f>
        <v>0</v>
      </c>
      <c r="J162" s="41">
        <f>SUM(J163:J173)</f>
        <v>0</v>
      </c>
      <c r="K162" s="41">
        <f>SUM(K163:K173)</f>
        <v>0</v>
      </c>
      <c r="L162" s="31"/>
      <c r="AI162" s="31" t="s">
        <v>358</v>
      </c>
      <c r="AS162" s="41">
        <f>SUM(AJ163:AJ173)</f>
        <v>0</v>
      </c>
      <c r="AT162" s="41">
        <f>SUM(AK163:AK173)</f>
        <v>0</v>
      </c>
      <c r="AU162" s="41">
        <f>SUM(AL163:AL173)</f>
        <v>0</v>
      </c>
    </row>
    <row r="163" spans="1:62" ht="12.75">
      <c r="A163" s="6" t="s">
        <v>103</v>
      </c>
      <c r="B163" s="6" t="s">
        <v>188</v>
      </c>
      <c r="C163" s="103" t="s">
        <v>303</v>
      </c>
      <c r="D163" s="104"/>
      <c r="E163" s="104"/>
      <c r="F163" s="6" t="s">
        <v>321</v>
      </c>
      <c r="G163" s="69">
        <v>22.6</v>
      </c>
      <c r="H163" s="20">
        <v>0</v>
      </c>
      <c r="I163" s="20">
        <f>G163*AO163</f>
        <v>0</v>
      </c>
      <c r="J163" s="20">
        <f>G163*AP163</f>
        <v>0</v>
      </c>
      <c r="K163" s="20">
        <f>G163*H163</f>
        <v>0</v>
      </c>
      <c r="L163" s="32" t="s">
        <v>345</v>
      </c>
      <c r="Z163" s="38">
        <f>IF(AQ163="5",BJ163,0)</f>
        <v>0</v>
      </c>
      <c r="AB163" s="38">
        <f>IF(AQ163="1",BH163,0)</f>
        <v>0</v>
      </c>
      <c r="AC163" s="38">
        <f>IF(AQ163="1",BI163,0)</f>
        <v>0</v>
      </c>
      <c r="AD163" s="38">
        <f>IF(AQ163="7",BH163,0)</f>
        <v>0</v>
      </c>
      <c r="AE163" s="38">
        <f>IF(AQ163="7",BI163,0)</f>
        <v>0</v>
      </c>
      <c r="AF163" s="38">
        <f>IF(AQ163="2",BH163,0)</f>
        <v>0</v>
      </c>
      <c r="AG163" s="38">
        <f>IF(AQ163="2",BI163,0)</f>
        <v>0</v>
      </c>
      <c r="AH163" s="38">
        <f>IF(AQ163="0",BJ163,0)</f>
        <v>0</v>
      </c>
      <c r="AI163" s="31" t="s">
        <v>358</v>
      </c>
      <c r="AJ163" s="20">
        <f>IF(AN163=0,K163,0)</f>
        <v>0</v>
      </c>
      <c r="AK163" s="20">
        <f>IF(AN163=15,K163,0)</f>
        <v>0</v>
      </c>
      <c r="AL163" s="20">
        <f>IF(AN163=21,K163,0)</f>
        <v>0</v>
      </c>
      <c r="AN163" s="38">
        <v>21</v>
      </c>
      <c r="AO163" s="38">
        <f>H163*0.638482142857143</f>
        <v>0</v>
      </c>
      <c r="AP163" s="38">
        <f>H163*(1-0.638482142857143)</f>
        <v>0</v>
      </c>
      <c r="AQ163" s="32" t="s">
        <v>8</v>
      </c>
      <c r="AV163" s="38">
        <f>AW163+AX163</f>
        <v>0</v>
      </c>
      <c r="AW163" s="38">
        <f>G163*AO163</f>
        <v>0</v>
      </c>
      <c r="AX163" s="38">
        <f>G163*AP163</f>
        <v>0</v>
      </c>
      <c r="AY163" s="39" t="s">
        <v>374</v>
      </c>
      <c r="AZ163" s="39" t="s">
        <v>391</v>
      </c>
      <c r="BA163" s="31" t="s">
        <v>395</v>
      </c>
      <c r="BC163" s="38">
        <f>AW163+AX163</f>
        <v>0</v>
      </c>
      <c r="BD163" s="38">
        <f>H163/(100-BE163)*100</f>
        <v>0</v>
      </c>
      <c r="BE163" s="38">
        <v>0</v>
      </c>
      <c r="BF163" s="38">
        <f>163</f>
        <v>163</v>
      </c>
      <c r="BH163" s="20">
        <f>G163*AO163</f>
        <v>0</v>
      </c>
      <c r="BI163" s="20">
        <f>G163*AP163</f>
        <v>0</v>
      </c>
      <c r="BJ163" s="20">
        <f>G163*H163</f>
        <v>0</v>
      </c>
    </row>
    <row r="164" spans="2:12" ht="12.75">
      <c r="B164" s="16" t="s">
        <v>116</v>
      </c>
      <c r="C164" s="105" t="s">
        <v>304</v>
      </c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1:62" ht="12.75">
      <c r="A165" s="6" t="s">
        <v>104</v>
      </c>
      <c r="B165" s="6" t="s">
        <v>189</v>
      </c>
      <c r="C165" s="103" t="s">
        <v>305</v>
      </c>
      <c r="D165" s="104"/>
      <c r="E165" s="104"/>
      <c r="F165" s="6" t="s">
        <v>321</v>
      </c>
      <c r="G165" s="69">
        <v>22.6</v>
      </c>
      <c r="H165" s="20">
        <v>0</v>
      </c>
      <c r="I165" s="20">
        <f>G165*AO165</f>
        <v>0</v>
      </c>
      <c r="J165" s="20">
        <f>G165*AP165</f>
        <v>0</v>
      </c>
      <c r="K165" s="20">
        <f>G165*H165</f>
        <v>0</v>
      </c>
      <c r="L165" s="32" t="s">
        <v>345</v>
      </c>
      <c r="Z165" s="38">
        <f>IF(AQ165="5",BJ165,0)</f>
        <v>0</v>
      </c>
      <c r="AB165" s="38">
        <f>IF(AQ165="1",BH165,0)</f>
        <v>0</v>
      </c>
      <c r="AC165" s="38">
        <f>IF(AQ165="1",BI165,0)</f>
        <v>0</v>
      </c>
      <c r="AD165" s="38">
        <f>IF(AQ165="7",BH165,0)</f>
        <v>0</v>
      </c>
      <c r="AE165" s="38">
        <f>IF(AQ165="7",BI165,0)</f>
        <v>0</v>
      </c>
      <c r="AF165" s="38">
        <f>IF(AQ165="2",BH165,0)</f>
        <v>0</v>
      </c>
      <c r="AG165" s="38">
        <f>IF(AQ165="2",BI165,0)</f>
        <v>0</v>
      </c>
      <c r="AH165" s="38">
        <f>IF(AQ165="0",BJ165,0)</f>
        <v>0</v>
      </c>
      <c r="AI165" s="31" t="s">
        <v>358</v>
      </c>
      <c r="AJ165" s="20">
        <f>IF(AN165=0,K165,0)</f>
        <v>0</v>
      </c>
      <c r="AK165" s="20">
        <f>IF(AN165=15,K165,0)</f>
        <v>0</v>
      </c>
      <c r="AL165" s="20">
        <f>IF(AN165=21,K165,0)</f>
        <v>0</v>
      </c>
      <c r="AN165" s="38">
        <v>21</v>
      </c>
      <c r="AO165" s="38">
        <f>H165*0.560271966527197</f>
        <v>0</v>
      </c>
      <c r="AP165" s="38">
        <f>H165*(1-0.560271966527197)</f>
        <v>0</v>
      </c>
      <c r="AQ165" s="32" t="s">
        <v>8</v>
      </c>
      <c r="AV165" s="38">
        <f>AW165+AX165</f>
        <v>0</v>
      </c>
      <c r="AW165" s="38">
        <f>G165*AO165</f>
        <v>0</v>
      </c>
      <c r="AX165" s="38">
        <f>G165*AP165</f>
        <v>0</v>
      </c>
      <c r="AY165" s="39" t="s">
        <v>374</v>
      </c>
      <c r="AZ165" s="39" t="s">
        <v>391</v>
      </c>
      <c r="BA165" s="31" t="s">
        <v>395</v>
      </c>
      <c r="BC165" s="38">
        <f>AW165+AX165</f>
        <v>0</v>
      </c>
      <c r="BD165" s="38">
        <f>H165/(100-BE165)*100</f>
        <v>0</v>
      </c>
      <c r="BE165" s="38">
        <v>0</v>
      </c>
      <c r="BF165" s="38">
        <f>165</f>
        <v>165</v>
      </c>
      <c r="BH165" s="20">
        <f>G165*AO165</f>
        <v>0</v>
      </c>
      <c r="BI165" s="20">
        <f>G165*AP165</f>
        <v>0</v>
      </c>
      <c r="BJ165" s="20">
        <f>G165*H165</f>
        <v>0</v>
      </c>
    </row>
    <row r="166" spans="2:12" ht="12.75">
      <c r="B166" s="16" t="s">
        <v>116</v>
      </c>
      <c r="C166" s="105" t="s">
        <v>306</v>
      </c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1:62" ht="12.75">
      <c r="A167" s="6" t="s">
        <v>105</v>
      </c>
      <c r="B167" s="6" t="s">
        <v>190</v>
      </c>
      <c r="C167" s="103" t="s">
        <v>307</v>
      </c>
      <c r="D167" s="104"/>
      <c r="E167" s="104"/>
      <c r="F167" s="6" t="s">
        <v>321</v>
      </c>
      <c r="G167" s="69">
        <v>22.6</v>
      </c>
      <c r="H167" s="20">
        <v>0</v>
      </c>
      <c r="I167" s="20">
        <f>G167*AO167</f>
        <v>0</v>
      </c>
      <c r="J167" s="20">
        <f>G167*AP167</f>
        <v>0</v>
      </c>
      <c r="K167" s="20">
        <f>G167*H167</f>
        <v>0</v>
      </c>
      <c r="L167" s="32" t="s">
        <v>345</v>
      </c>
      <c r="Z167" s="38">
        <f>IF(AQ167="5",BJ167,0)</f>
        <v>0</v>
      </c>
      <c r="AB167" s="38">
        <f>IF(AQ167="1",BH167,0)</f>
        <v>0</v>
      </c>
      <c r="AC167" s="38">
        <f>IF(AQ167="1",BI167,0)</f>
        <v>0</v>
      </c>
      <c r="AD167" s="38">
        <f>IF(AQ167="7",BH167,0)</f>
        <v>0</v>
      </c>
      <c r="AE167" s="38">
        <f>IF(AQ167="7",BI167,0)</f>
        <v>0</v>
      </c>
      <c r="AF167" s="38">
        <f>IF(AQ167="2",BH167,0)</f>
        <v>0</v>
      </c>
      <c r="AG167" s="38">
        <f>IF(AQ167="2",BI167,0)</f>
        <v>0</v>
      </c>
      <c r="AH167" s="38">
        <f>IF(AQ167="0",BJ167,0)</f>
        <v>0</v>
      </c>
      <c r="AI167" s="31" t="s">
        <v>358</v>
      </c>
      <c r="AJ167" s="20">
        <f>IF(AN167=0,K167,0)</f>
        <v>0</v>
      </c>
      <c r="AK167" s="20">
        <f>IF(AN167=15,K167,0)</f>
        <v>0</v>
      </c>
      <c r="AL167" s="20">
        <f>IF(AN167=21,K167,0)</f>
        <v>0</v>
      </c>
      <c r="AN167" s="38">
        <v>21</v>
      </c>
      <c r="AO167" s="38">
        <f>H167*0</f>
        <v>0</v>
      </c>
      <c r="AP167" s="38">
        <f>H167*(1-0)</f>
        <v>0</v>
      </c>
      <c r="AQ167" s="32" t="s">
        <v>8</v>
      </c>
      <c r="AV167" s="38">
        <f>AW167+AX167</f>
        <v>0</v>
      </c>
      <c r="AW167" s="38">
        <f>G167*AO167</f>
        <v>0</v>
      </c>
      <c r="AX167" s="38">
        <f>G167*AP167</f>
        <v>0</v>
      </c>
      <c r="AY167" s="39" t="s">
        <v>374</v>
      </c>
      <c r="AZ167" s="39" t="s">
        <v>391</v>
      </c>
      <c r="BA167" s="31" t="s">
        <v>395</v>
      </c>
      <c r="BC167" s="38">
        <f>AW167+AX167</f>
        <v>0</v>
      </c>
      <c r="BD167" s="38">
        <f>H167/(100-BE167)*100</f>
        <v>0</v>
      </c>
      <c r="BE167" s="38">
        <v>0</v>
      </c>
      <c r="BF167" s="38">
        <f>167</f>
        <v>167</v>
      </c>
      <c r="BH167" s="20">
        <f>G167*AO167</f>
        <v>0</v>
      </c>
      <c r="BI167" s="20">
        <f>G167*AP167</f>
        <v>0</v>
      </c>
      <c r="BJ167" s="20">
        <f>G167*H167</f>
        <v>0</v>
      </c>
    </row>
    <row r="168" spans="2:12" ht="12.75">
      <c r="B168" s="16" t="s">
        <v>116</v>
      </c>
      <c r="C168" s="105" t="s">
        <v>308</v>
      </c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1:62" ht="12.75">
      <c r="A169" s="6" t="s">
        <v>106</v>
      </c>
      <c r="B169" s="6" t="s">
        <v>191</v>
      </c>
      <c r="C169" s="103" t="s">
        <v>309</v>
      </c>
      <c r="D169" s="104"/>
      <c r="E169" s="104"/>
      <c r="F169" s="6" t="s">
        <v>321</v>
      </c>
      <c r="G169" s="69">
        <v>22.6</v>
      </c>
      <c r="H169" s="20">
        <v>0</v>
      </c>
      <c r="I169" s="20">
        <f>G169*AO169</f>
        <v>0</v>
      </c>
      <c r="J169" s="20">
        <f>G169*AP169</f>
        <v>0</v>
      </c>
      <c r="K169" s="20">
        <f>G169*H169</f>
        <v>0</v>
      </c>
      <c r="L169" s="32" t="s">
        <v>345</v>
      </c>
      <c r="Z169" s="38">
        <f>IF(AQ169="5",BJ169,0)</f>
        <v>0</v>
      </c>
      <c r="AB169" s="38">
        <f>IF(AQ169="1",BH169,0)</f>
        <v>0</v>
      </c>
      <c r="AC169" s="38">
        <f>IF(AQ169="1",BI169,0)</f>
        <v>0</v>
      </c>
      <c r="AD169" s="38">
        <f>IF(AQ169="7",BH169,0)</f>
        <v>0</v>
      </c>
      <c r="AE169" s="38">
        <f>IF(AQ169="7",BI169,0)</f>
        <v>0</v>
      </c>
      <c r="AF169" s="38">
        <f>IF(AQ169="2",BH169,0)</f>
        <v>0</v>
      </c>
      <c r="AG169" s="38">
        <f>IF(AQ169="2",BI169,0)</f>
        <v>0</v>
      </c>
      <c r="AH169" s="38">
        <f>IF(AQ169="0",BJ169,0)</f>
        <v>0</v>
      </c>
      <c r="AI169" s="31" t="s">
        <v>358</v>
      </c>
      <c r="AJ169" s="20">
        <f>IF(AN169=0,K169,0)</f>
        <v>0</v>
      </c>
      <c r="AK169" s="20">
        <f>IF(AN169=15,K169,0)</f>
        <v>0</v>
      </c>
      <c r="AL169" s="20">
        <f>IF(AN169=21,K169,0)</f>
        <v>0</v>
      </c>
      <c r="AN169" s="38">
        <v>21</v>
      </c>
      <c r="AO169" s="38">
        <f>H169*0</f>
        <v>0</v>
      </c>
      <c r="AP169" s="38">
        <f>H169*(1-0)</f>
        <v>0</v>
      </c>
      <c r="AQ169" s="32" t="s">
        <v>8</v>
      </c>
      <c r="AV169" s="38">
        <f>AW169+AX169</f>
        <v>0</v>
      </c>
      <c r="AW169" s="38">
        <f>G169*AO169</f>
        <v>0</v>
      </c>
      <c r="AX169" s="38">
        <f>G169*AP169</f>
        <v>0</v>
      </c>
      <c r="AY169" s="39" t="s">
        <v>374</v>
      </c>
      <c r="AZ169" s="39" t="s">
        <v>391</v>
      </c>
      <c r="BA169" s="31" t="s">
        <v>395</v>
      </c>
      <c r="BC169" s="38">
        <f>AW169+AX169</f>
        <v>0</v>
      </c>
      <c r="BD169" s="38">
        <f>H169/(100-BE169)*100</f>
        <v>0</v>
      </c>
      <c r="BE169" s="38">
        <v>0</v>
      </c>
      <c r="BF169" s="38">
        <f>169</f>
        <v>169</v>
      </c>
      <c r="BH169" s="20">
        <f>G169*AO169</f>
        <v>0</v>
      </c>
      <c r="BI169" s="20">
        <f>G169*AP169</f>
        <v>0</v>
      </c>
      <c r="BJ169" s="20">
        <f>G169*H169</f>
        <v>0</v>
      </c>
    </row>
    <row r="170" spans="1:62" ht="12.75">
      <c r="A170" s="6" t="s">
        <v>107</v>
      </c>
      <c r="B170" s="6" t="s">
        <v>192</v>
      </c>
      <c r="C170" s="103" t="s">
        <v>310</v>
      </c>
      <c r="D170" s="104"/>
      <c r="E170" s="104"/>
      <c r="F170" s="6" t="s">
        <v>321</v>
      </c>
      <c r="G170" s="69">
        <v>23</v>
      </c>
      <c r="H170" s="20">
        <v>0</v>
      </c>
      <c r="I170" s="20">
        <f>G170*AO170</f>
        <v>0</v>
      </c>
      <c r="J170" s="20">
        <f>G170*AP170</f>
        <v>0</v>
      </c>
      <c r="K170" s="20">
        <f>G170*H170</f>
        <v>0</v>
      </c>
      <c r="L170" s="32" t="s">
        <v>345</v>
      </c>
      <c r="Z170" s="38">
        <f>IF(AQ170="5",BJ170,0)</f>
        <v>0</v>
      </c>
      <c r="AB170" s="38">
        <f>IF(AQ170="1",BH170,0)</f>
        <v>0</v>
      </c>
      <c r="AC170" s="38">
        <f>IF(AQ170="1",BI170,0)</f>
        <v>0</v>
      </c>
      <c r="AD170" s="38">
        <f>IF(AQ170="7",BH170,0)</f>
        <v>0</v>
      </c>
      <c r="AE170" s="38">
        <f>IF(AQ170="7",BI170,0)</f>
        <v>0</v>
      </c>
      <c r="AF170" s="38">
        <f>IF(AQ170="2",BH170,0)</f>
        <v>0</v>
      </c>
      <c r="AG170" s="38">
        <f>IF(AQ170="2",BI170,0)</f>
        <v>0</v>
      </c>
      <c r="AH170" s="38">
        <f>IF(AQ170="0",BJ170,0)</f>
        <v>0</v>
      </c>
      <c r="AI170" s="31" t="s">
        <v>358</v>
      </c>
      <c r="AJ170" s="20">
        <f>IF(AN170=0,K170,0)</f>
        <v>0</v>
      </c>
      <c r="AK170" s="20">
        <f>IF(AN170=15,K170,0)</f>
        <v>0</v>
      </c>
      <c r="AL170" s="20">
        <f>IF(AN170=21,K170,0)</f>
        <v>0</v>
      </c>
      <c r="AN170" s="38">
        <v>21</v>
      </c>
      <c r="AO170" s="38">
        <f>H170*0.156996587030717</f>
        <v>0</v>
      </c>
      <c r="AP170" s="38">
        <f>H170*(1-0.156996587030717)</f>
        <v>0</v>
      </c>
      <c r="AQ170" s="32" t="s">
        <v>8</v>
      </c>
      <c r="AV170" s="38">
        <f>AW170+AX170</f>
        <v>0</v>
      </c>
      <c r="AW170" s="38">
        <f>G170*AO170</f>
        <v>0</v>
      </c>
      <c r="AX170" s="38">
        <f>G170*AP170</f>
        <v>0</v>
      </c>
      <c r="AY170" s="39" t="s">
        <v>374</v>
      </c>
      <c r="AZ170" s="39" t="s">
        <v>391</v>
      </c>
      <c r="BA170" s="31" t="s">
        <v>395</v>
      </c>
      <c r="BC170" s="38">
        <f>AW170+AX170</f>
        <v>0</v>
      </c>
      <c r="BD170" s="38">
        <f>H170/(100-BE170)*100</f>
        <v>0</v>
      </c>
      <c r="BE170" s="38">
        <v>0</v>
      </c>
      <c r="BF170" s="38">
        <f>170</f>
        <v>170</v>
      </c>
      <c r="BH170" s="20">
        <f>G170*AO170</f>
        <v>0</v>
      </c>
      <c r="BI170" s="20">
        <f>G170*AP170</f>
        <v>0</v>
      </c>
      <c r="BJ170" s="20">
        <f>G170*H170</f>
        <v>0</v>
      </c>
    </row>
    <row r="171" spans="1:62" ht="12.75">
      <c r="A171" s="6" t="s">
        <v>108</v>
      </c>
      <c r="B171" s="6" t="s">
        <v>193</v>
      </c>
      <c r="C171" s="103" t="s">
        <v>311</v>
      </c>
      <c r="D171" s="104"/>
      <c r="E171" s="104"/>
      <c r="F171" s="6" t="s">
        <v>320</v>
      </c>
      <c r="G171" s="69">
        <v>2.26</v>
      </c>
      <c r="H171" s="20">
        <v>0</v>
      </c>
      <c r="I171" s="20">
        <f>G171*AO171</f>
        <v>0</v>
      </c>
      <c r="J171" s="20">
        <f>G171*AP171</f>
        <v>0</v>
      </c>
      <c r="K171" s="20">
        <f>G171*H171</f>
        <v>0</v>
      </c>
      <c r="L171" s="32" t="s">
        <v>345</v>
      </c>
      <c r="Z171" s="38">
        <f>IF(AQ171="5",BJ171,0)</f>
        <v>0</v>
      </c>
      <c r="AB171" s="38">
        <f>IF(AQ171="1",BH171,0)</f>
        <v>0</v>
      </c>
      <c r="AC171" s="38">
        <f>IF(AQ171="1",BI171,0)</f>
        <v>0</v>
      </c>
      <c r="AD171" s="38">
        <f>IF(AQ171="7",BH171,0)</f>
        <v>0</v>
      </c>
      <c r="AE171" s="38">
        <f>IF(AQ171="7",BI171,0)</f>
        <v>0</v>
      </c>
      <c r="AF171" s="38">
        <f>IF(AQ171="2",BH171,0)</f>
        <v>0</v>
      </c>
      <c r="AG171" s="38">
        <f>IF(AQ171="2",BI171,0)</f>
        <v>0</v>
      </c>
      <c r="AH171" s="38">
        <f>IF(AQ171="0",BJ171,0)</f>
        <v>0</v>
      </c>
      <c r="AI171" s="31" t="s">
        <v>358</v>
      </c>
      <c r="AJ171" s="20">
        <f>IF(AN171=0,K171,0)</f>
        <v>0</v>
      </c>
      <c r="AK171" s="20">
        <f>IF(AN171=15,K171,0)</f>
        <v>0</v>
      </c>
      <c r="AL171" s="20">
        <f>IF(AN171=21,K171,0)</f>
        <v>0</v>
      </c>
      <c r="AN171" s="38">
        <v>21</v>
      </c>
      <c r="AO171" s="38">
        <f>H171*0</f>
        <v>0</v>
      </c>
      <c r="AP171" s="38">
        <f>H171*(1-0)</f>
        <v>0</v>
      </c>
      <c r="AQ171" s="32" t="s">
        <v>8</v>
      </c>
      <c r="AV171" s="38">
        <f>AW171+AX171</f>
        <v>0</v>
      </c>
      <c r="AW171" s="38">
        <f>G171*AO171</f>
        <v>0</v>
      </c>
      <c r="AX171" s="38">
        <f>G171*AP171</f>
        <v>0</v>
      </c>
      <c r="AY171" s="39" t="s">
        <v>374</v>
      </c>
      <c r="AZ171" s="39" t="s">
        <v>391</v>
      </c>
      <c r="BA171" s="31" t="s">
        <v>395</v>
      </c>
      <c r="BC171" s="38">
        <f>AW171+AX171</f>
        <v>0</v>
      </c>
      <c r="BD171" s="38">
        <f>H171/(100-BE171)*100</f>
        <v>0</v>
      </c>
      <c r="BE171" s="38">
        <v>0</v>
      </c>
      <c r="BF171" s="38">
        <f>171</f>
        <v>171</v>
      </c>
      <c r="BH171" s="20">
        <f>G171*AO171</f>
        <v>0</v>
      </c>
      <c r="BI171" s="20">
        <f>G171*AP171</f>
        <v>0</v>
      </c>
      <c r="BJ171" s="20">
        <f>G171*H171</f>
        <v>0</v>
      </c>
    </row>
    <row r="172" spans="2:12" ht="12.75">
      <c r="B172" s="16" t="s">
        <v>116</v>
      </c>
      <c r="C172" s="105" t="s">
        <v>312</v>
      </c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1:62" ht="12.75">
      <c r="A173" s="9" t="s">
        <v>109</v>
      </c>
      <c r="B173" s="9" t="s">
        <v>123</v>
      </c>
      <c r="C173" s="111" t="s">
        <v>216</v>
      </c>
      <c r="D173" s="112"/>
      <c r="E173" s="112"/>
      <c r="F173" s="9" t="s">
        <v>320</v>
      </c>
      <c r="G173" s="71">
        <v>2.26</v>
      </c>
      <c r="H173" s="22">
        <v>0</v>
      </c>
      <c r="I173" s="22">
        <f>G173*AO173</f>
        <v>0</v>
      </c>
      <c r="J173" s="22">
        <f>G173*AP173</f>
        <v>0</v>
      </c>
      <c r="K173" s="22">
        <f>G173*H173</f>
        <v>0</v>
      </c>
      <c r="L173" s="35" t="s">
        <v>345</v>
      </c>
      <c r="Z173" s="38">
        <f>IF(AQ173="5",BJ173,0)</f>
        <v>0</v>
      </c>
      <c r="AB173" s="38">
        <f>IF(AQ173="1",BH173,0)</f>
        <v>0</v>
      </c>
      <c r="AC173" s="38">
        <f>IF(AQ173="1",BI173,0)</f>
        <v>0</v>
      </c>
      <c r="AD173" s="38">
        <f>IF(AQ173="7",BH173,0)</f>
        <v>0</v>
      </c>
      <c r="AE173" s="38">
        <f>IF(AQ173="7",BI173,0)</f>
        <v>0</v>
      </c>
      <c r="AF173" s="38">
        <f>IF(AQ173="2",BH173,0)</f>
        <v>0</v>
      </c>
      <c r="AG173" s="38">
        <f>IF(AQ173="2",BI173,0)</f>
        <v>0</v>
      </c>
      <c r="AH173" s="38">
        <f>IF(AQ173="0",BJ173,0)</f>
        <v>0</v>
      </c>
      <c r="AI173" s="31" t="s">
        <v>358</v>
      </c>
      <c r="AJ173" s="20">
        <f>IF(AN173=0,K173,0)</f>
        <v>0</v>
      </c>
      <c r="AK173" s="20">
        <f>IF(AN173=15,K173,0)</f>
        <v>0</v>
      </c>
      <c r="AL173" s="20">
        <f>IF(AN173=21,K173,0)</f>
        <v>0</v>
      </c>
      <c r="AN173" s="38">
        <v>21</v>
      </c>
      <c r="AO173" s="38">
        <f>H173*0</f>
        <v>0</v>
      </c>
      <c r="AP173" s="38">
        <f>H173*(1-0)</f>
        <v>0</v>
      </c>
      <c r="AQ173" s="32" t="s">
        <v>7</v>
      </c>
      <c r="AV173" s="38">
        <f>AW173+AX173</f>
        <v>0</v>
      </c>
      <c r="AW173" s="38">
        <f>G173*AO173</f>
        <v>0</v>
      </c>
      <c r="AX173" s="38">
        <f>G173*AP173</f>
        <v>0</v>
      </c>
      <c r="AY173" s="39" t="s">
        <v>374</v>
      </c>
      <c r="AZ173" s="39" t="s">
        <v>391</v>
      </c>
      <c r="BA173" s="31" t="s">
        <v>395</v>
      </c>
      <c r="BC173" s="38">
        <f>AW173+AX173</f>
        <v>0</v>
      </c>
      <c r="BD173" s="38">
        <f>H173/(100-BE173)*100</f>
        <v>0</v>
      </c>
      <c r="BE173" s="38">
        <v>0</v>
      </c>
      <c r="BF173" s="38">
        <f>173</f>
        <v>173</v>
      </c>
      <c r="BH173" s="20">
        <f>G173*AO173</f>
        <v>0</v>
      </c>
      <c r="BI173" s="20">
        <f>G173*AP173</f>
        <v>0</v>
      </c>
      <c r="BJ173" s="20">
        <f>G173*H173</f>
        <v>0</v>
      </c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13" t="s">
        <v>340</v>
      </c>
      <c r="J174" s="114"/>
      <c r="K174" s="43">
        <f>ROUND(K13+K15+K20+K23+K31+K33+K42+K55+K58+K64+K67+K72+K75+K83+K85+K87+K89+K92+K99+K106+K109+K111+K114+K117+K122+K126+K128+K139+K144+K147+K150+K152+K154+K162,0)</f>
        <v>0</v>
      </c>
      <c r="L174" s="10"/>
    </row>
    <row r="175" ht="11.25" customHeight="1">
      <c r="A175" s="11" t="s">
        <v>110</v>
      </c>
    </row>
    <row r="176" spans="1:12" ht="12.75">
      <c r="A176" s="85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</row>
  </sheetData>
  <mergeCells count="192">
    <mergeCell ref="A176:L176"/>
    <mergeCell ref="C171:E171"/>
    <mergeCell ref="C172:L172"/>
    <mergeCell ref="C173:E173"/>
    <mergeCell ref="I174:J174"/>
    <mergeCell ref="C167:E167"/>
    <mergeCell ref="C168:L168"/>
    <mergeCell ref="C169:E169"/>
    <mergeCell ref="C170:E170"/>
    <mergeCell ref="C163:E163"/>
    <mergeCell ref="C164:L164"/>
    <mergeCell ref="C165:E165"/>
    <mergeCell ref="C166:L166"/>
    <mergeCell ref="C159:L159"/>
    <mergeCell ref="C160:E160"/>
    <mergeCell ref="C161:L161"/>
    <mergeCell ref="C162:E162"/>
    <mergeCell ref="C155:E155"/>
    <mergeCell ref="C156:L156"/>
    <mergeCell ref="C157:E157"/>
    <mergeCell ref="C158:E158"/>
    <mergeCell ref="C151:E151"/>
    <mergeCell ref="C152:E152"/>
    <mergeCell ref="C153:E153"/>
    <mergeCell ref="C154:E154"/>
    <mergeCell ref="C147:E147"/>
    <mergeCell ref="C148:E148"/>
    <mergeCell ref="C149:E149"/>
    <mergeCell ref="C150:E150"/>
    <mergeCell ref="C143:E143"/>
    <mergeCell ref="C144:E144"/>
    <mergeCell ref="C145:E145"/>
    <mergeCell ref="C146:E146"/>
    <mergeCell ref="C139:E139"/>
    <mergeCell ref="C140:E140"/>
    <mergeCell ref="C141:E141"/>
    <mergeCell ref="C142:E142"/>
    <mergeCell ref="C135:E135"/>
    <mergeCell ref="C136:E136"/>
    <mergeCell ref="C137:E137"/>
    <mergeCell ref="C138:E138"/>
    <mergeCell ref="C131:E131"/>
    <mergeCell ref="C132:E132"/>
    <mergeCell ref="C133:E133"/>
    <mergeCell ref="C134:L134"/>
    <mergeCell ref="C127:E127"/>
    <mergeCell ref="C128:E128"/>
    <mergeCell ref="C129:E129"/>
    <mergeCell ref="C130:E130"/>
    <mergeCell ref="C123:E123"/>
    <mergeCell ref="C124:L124"/>
    <mergeCell ref="C125:E125"/>
    <mergeCell ref="C126:E126"/>
    <mergeCell ref="C119:E119"/>
    <mergeCell ref="C120:E120"/>
    <mergeCell ref="C121:E121"/>
    <mergeCell ref="C122:E122"/>
    <mergeCell ref="C115:E115"/>
    <mergeCell ref="C116:E116"/>
    <mergeCell ref="C117:E117"/>
    <mergeCell ref="C118:E118"/>
    <mergeCell ref="C111:E111"/>
    <mergeCell ref="C112:E112"/>
    <mergeCell ref="C113:E113"/>
    <mergeCell ref="C114:E114"/>
    <mergeCell ref="C107:E107"/>
    <mergeCell ref="C108:E108"/>
    <mergeCell ref="C109:E109"/>
    <mergeCell ref="C110:E110"/>
    <mergeCell ref="C103:L103"/>
    <mergeCell ref="C104:E104"/>
    <mergeCell ref="C105:E105"/>
    <mergeCell ref="C106:E106"/>
    <mergeCell ref="C99:E99"/>
    <mergeCell ref="C100:E100"/>
    <mergeCell ref="C101:L101"/>
    <mergeCell ref="C102:E102"/>
    <mergeCell ref="C95:E95"/>
    <mergeCell ref="C96:L96"/>
    <mergeCell ref="C97:E97"/>
    <mergeCell ref="C98:E98"/>
    <mergeCell ref="C91:L91"/>
    <mergeCell ref="C92:E92"/>
    <mergeCell ref="C93:E93"/>
    <mergeCell ref="C94:L94"/>
    <mergeCell ref="C87:E87"/>
    <mergeCell ref="C88:E88"/>
    <mergeCell ref="C89:E89"/>
    <mergeCell ref="C90:E90"/>
    <mergeCell ref="C83:E83"/>
    <mergeCell ref="C84:E84"/>
    <mergeCell ref="C85:E85"/>
    <mergeCell ref="C86:E86"/>
    <mergeCell ref="C79:L79"/>
    <mergeCell ref="C80:E80"/>
    <mergeCell ref="C81:E81"/>
    <mergeCell ref="C82:E82"/>
    <mergeCell ref="C75:E75"/>
    <mergeCell ref="C76:E76"/>
    <mergeCell ref="C77:L77"/>
    <mergeCell ref="C78:E78"/>
    <mergeCell ref="C71:E71"/>
    <mergeCell ref="C72:E72"/>
    <mergeCell ref="C73:E73"/>
    <mergeCell ref="C74:E74"/>
    <mergeCell ref="C67:E67"/>
    <mergeCell ref="C68:E68"/>
    <mergeCell ref="C69:E69"/>
    <mergeCell ref="C70:E70"/>
    <mergeCell ref="C63:E63"/>
    <mergeCell ref="C64:E64"/>
    <mergeCell ref="C65:E65"/>
    <mergeCell ref="C66:E66"/>
    <mergeCell ref="C59:E59"/>
    <mergeCell ref="C60:E60"/>
    <mergeCell ref="C61:E61"/>
    <mergeCell ref="C62:E62"/>
    <mergeCell ref="C55:E55"/>
    <mergeCell ref="C56:E56"/>
    <mergeCell ref="C57:E57"/>
    <mergeCell ref="C58:E58"/>
    <mergeCell ref="C51:E51"/>
    <mergeCell ref="C52:E52"/>
    <mergeCell ref="C53:E53"/>
    <mergeCell ref="C54:E54"/>
    <mergeCell ref="C47:E47"/>
    <mergeCell ref="C48:E48"/>
    <mergeCell ref="C49:E49"/>
    <mergeCell ref="C50:L50"/>
    <mergeCell ref="C43:E43"/>
    <mergeCell ref="C44:E44"/>
    <mergeCell ref="C45:E45"/>
    <mergeCell ref="C46:L46"/>
    <mergeCell ref="C39:E39"/>
    <mergeCell ref="C40:E40"/>
    <mergeCell ref="C41:E41"/>
    <mergeCell ref="C42:E42"/>
    <mergeCell ref="C35:E35"/>
    <mergeCell ref="C36:E36"/>
    <mergeCell ref="C37:E37"/>
    <mergeCell ref="C38:E38"/>
    <mergeCell ref="C31:E31"/>
    <mergeCell ref="C32:E32"/>
    <mergeCell ref="C33:E33"/>
    <mergeCell ref="C34:E34"/>
    <mergeCell ref="C27:L27"/>
    <mergeCell ref="C28:E28"/>
    <mergeCell ref="C29:E29"/>
    <mergeCell ref="C30:E30"/>
    <mergeCell ref="C23:E23"/>
    <mergeCell ref="C24:E24"/>
    <mergeCell ref="C25:L25"/>
    <mergeCell ref="C26:E26"/>
    <mergeCell ref="C19:L19"/>
    <mergeCell ref="C20:E20"/>
    <mergeCell ref="C21:E21"/>
    <mergeCell ref="C22:E22"/>
    <mergeCell ref="C15:E15"/>
    <mergeCell ref="C16:E16"/>
    <mergeCell ref="C17:E17"/>
    <mergeCell ref="C18:E18"/>
    <mergeCell ref="C11:E11"/>
    <mergeCell ref="C12:E12"/>
    <mergeCell ref="C13:E13"/>
    <mergeCell ref="C14:E14"/>
    <mergeCell ref="H8:H9"/>
    <mergeCell ref="I8:L9"/>
    <mergeCell ref="C10:E10"/>
    <mergeCell ref="I10:K10"/>
    <mergeCell ref="A8:B9"/>
    <mergeCell ref="C8:C9"/>
    <mergeCell ref="D8:E9"/>
    <mergeCell ref="F8:G9"/>
    <mergeCell ref="H4:H5"/>
    <mergeCell ref="I4:L5"/>
    <mergeCell ref="A6:B7"/>
    <mergeCell ref="C6:C7"/>
    <mergeCell ref="D6:E7"/>
    <mergeCell ref="F6:G7"/>
    <mergeCell ref="H6:H7"/>
    <mergeCell ref="I6:L7"/>
    <mergeCell ref="A4:B5"/>
    <mergeCell ref="C4:C5"/>
    <mergeCell ref="D4:E5"/>
    <mergeCell ref="F4:G5"/>
    <mergeCell ref="A1:L1"/>
    <mergeCell ref="A2:B3"/>
    <mergeCell ref="C2:C3"/>
    <mergeCell ref="D2:E3"/>
    <mergeCell ref="F2:G3"/>
    <mergeCell ref="H2:H3"/>
    <mergeCell ref="I2:L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1">
      <pane ySplit="10" topLeftCell="BM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72" t="s">
        <v>399</v>
      </c>
      <c r="B1" s="73"/>
      <c r="C1" s="73"/>
      <c r="D1" s="73"/>
      <c r="E1" s="73"/>
      <c r="F1" s="73"/>
      <c r="G1" s="73"/>
    </row>
    <row r="2" spans="1:8" ht="12.75">
      <c r="A2" s="74" t="s">
        <v>1</v>
      </c>
      <c r="B2" s="78" t="str">
        <f>'Stavební rozpočet'!C2</f>
        <v>Vnitřní rozvod sítí pro areál Technických služeb Stochov</v>
      </c>
      <c r="C2" s="114"/>
      <c r="D2" s="81" t="s">
        <v>328</v>
      </c>
      <c r="E2" s="81" t="str">
        <f>'Stavební rozpočet'!I2</f>
        <v>Město Stochov</v>
      </c>
      <c r="F2" s="75"/>
      <c r="G2" s="82"/>
      <c r="H2" s="36"/>
    </row>
    <row r="3" spans="1:8" ht="12.75">
      <c r="A3" s="76"/>
      <c r="B3" s="79"/>
      <c r="C3" s="79"/>
      <c r="D3" s="77"/>
      <c r="E3" s="77"/>
      <c r="F3" s="77"/>
      <c r="G3" s="83"/>
      <c r="H3" s="36"/>
    </row>
    <row r="4" spans="1:8" ht="12.75">
      <c r="A4" s="84" t="s">
        <v>2</v>
      </c>
      <c r="B4" s="85" t="str">
        <f>'Stavební rozpočet'!C4</f>
        <v> </v>
      </c>
      <c r="C4" s="77"/>
      <c r="D4" s="85" t="s">
        <v>329</v>
      </c>
      <c r="E4" s="85" t="str">
        <f>'Stavební rozpočet'!I4</f>
        <v>Projekty S+S s.r.o.</v>
      </c>
      <c r="F4" s="77"/>
      <c r="G4" s="83"/>
      <c r="H4" s="36"/>
    </row>
    <row r="5" spans="1:8" ht="12.75">
      <c r="A5" s="76"/>
      <c r="B5" s="77"/>
      <c r="C5" s="77"/>
      <c r="D5" s="77"/>
      <c r="E5" s="77"/>
      <c r="F5" s="77"/>
      <c r="G5" s="83"/>
      <c r="H5" s="36"/>
    </row>
    <row r="6" spans="1:8" ht="12.75">
      <c r="A6" s="84" t="s">
        <v>3</v>
      </c>
      <c r="B6" s="85" t="str">
        <f>'Stavební rozpočet'!C6</f>
        <v>Poz.č.18/11 a 272/1, k.ú.Honice, obec Stochov</v>
      </c>
      <c r="C6" s="77"/>
      <c r="D6" s="85" t="s">
        <v>330</v>
      </c>
      <c r="E6" s="85" t="str">
        <f>'Stavební rozpočet'!I6</f>
        <v>Dle výběrového řízení</v>
      </c>
      <c r="F6" s="77"/>
      <c r="G6" s="83"/>
      <c r="H6" s="36"/>
    </row>
    <row r="7" spans="1:8" ht="12.75">
      <c r="A7" s="76"/>
      <c r="B7" s="77"/>
      <c r="C7" s="77"/>
      <c r="D7" s="77"/>
      <c r="E7" s="77"/>
      <c r="F7" s="77"/>
      <c r="G7" s="83"/>
      <c r="H7" s="36"/>
    </row>
    <row r="8" spans="1:8" ht="12.75">
      <c r="A8" s="84" t="s">
        <v>331</v>
      </c>
      <c r="B8" s="85" t="str">
        <f>'Stavební rozpočet'!I8</f>
        <v> </v>
      </c>
      <c r="C8" s="77"/>
      <c r="D8" s="86" t="s">
        <v>316</v>
      </c>
      <c r="E8" s="85" t="str">
        <f>'Stavební rozpočet'!F8</f>
        <v>20.05.2020</v>
      </c>
      <c r="F8" s="77"/>
      <c r="G8" s="83"/>
      <c r="H8" s="36"/>
    </row>
    <row r="9" spans="1:8" ht="12.75">
      <c r="A9" s="87"/>
      <c r="B9" s="88"/>
      <c r="C9" s="88"/>
      <c r="D9" s="88"/>
      <c r="E9" s="88"/>
      <c r="F9" s="88"/>
      <c r="G9" s="89"/>
      <c r="H9" s="36"/>
    </row>
    <row r="10" spans="1:8" ht="12.75">
      <c r="A10" s="44" t="s">
        <v>400</v>
      </c>
      <c r="B10" s="46" t="s">
        <v>111</v>
      </c>
      <c r="C10" s="115" t="s">
        <v>401</v>
      </c>
      <c r="D10" s="116"/>
      <c r="E10" s="47" t="s">
        <v>402</v>
      </c>
      <c r="F10" s="47" t="s">
        <v>403</v>
      </c>
      <c r="G10" s="47" t="s">
        <v>404</v>
      </c>
      <c r="H10" s="36"/>
    </row>
    <row r="11" spans="1:9" ht="12.75">
      <c r="A11" s="45" t="s">
        <v>355</v>
      </c>
      <c r="B11" s="45"/>
      <c r="C11" s="117" t="s">
        <v>198</v>
      </c>
      <c r="D11" s="118"/>
      <c r="E11" s="49">
        <f>'Stavební rozpočet'!I12</f>
        <v>0</v>
      </c>
      <c r="F11" s="49">
        <f>'Stavební rozpočet'!J12</f>
        <v>0</v>
      </c>
      <c r="G11" s="49">
        <f>'Stavební rozpočet'!K12</f>
        <v>0</v>
      </c>
      <c r="H11" s="38" t="s">
        <v>405</v>
      </c>
      <c r="I11" s="38">
        <f aca="true" t="shared" si="0" ref="I11:I48">IF(H11="F",0,G11)</f>
        <v>0</v>
      </c>
    </row>
    <row r="12" spans="1:9" ht="12.75">
      <c r="A12" s="18" t="s">
        <v>355</v>
      </c>
      <c r="B12" s="18" t="s">
        <v>17</v>
      </c>
      <c r="C12" s="86" t="s">
        <v>199</v>
      </c>
      <c r="D12" s="77"/>
      <c r="E12" s="38">
        <f>'Stavební rozpočet'!I13</f>
        <v>0</v>
      </c>
      <c r="F12" s="38">
        <f>'Stavební rozpočet'!J13</f>
        <v>0</v>
      </c>
      <c r="G12" s="38">
        <f>'Stavební rozpočet'!K13</f>
        <v>0</v>
      </c>
      <c r="H12" s="38" t="s">
        <v>406</v>
      </c>
      <c r="I12" s="38">
        <f t="shared" si="0"/>
        <v>0</v>
      </c>
    </row>
    <row r="13" spans="1:9" ht="12.75">
      <c r="A13" s="18" t="s">
        <v>355</v>
      </c>
      <c r="B13" s="18" t="s">
        <v>19</v>
      </c>
      <c r="C13" s="86" t="s">
        <v>201</v>
      </c>
      <c r="D13" s="77"/>
      <c r="E13" s="38">
        <f>'Stavební rozpočet'!I15</f>
        <v>0</v>
      </c>
      <c r="F13" s="38">
        <f>'Stavební rozpočet'!J15</f>
        <v>0</v>
      </c>
      <c r="G13" s="38">
        <f>'Stavební rozpočet'!K15</f>
        <v>0</v>
      </c>
      <c r="H13" s="38" t="s">
        <v>406</v>
      </c>
      <c r="I13" s="38">
        <f t="shared" si="0"/>
        <v>0</v>
      </c>
    </row>
    <row r="14" spans="1:9" ht="12.75">
      <c r="A14" s="18" t="s">
        <v>355</v>
      </c>
      <c r="B14" s="18" t="s">
        <v>22</v>
      </c>
      <c r="C14" s="86" t="s">
        <v>206</v>
      </c>
      <c r="D14" s="77"/>
      <c r="E14" s="38">
        <f>'Stavební rozpočet'!I20</f>
        <v>0</v>
      </c>
      <c r="F14" s="38">
        <f>'Stavební rozpočet'!J20</f>
        <v>0</v>
      </c>
      <c r="G14" s="38">
        <f>'Stavební rozpočet'!K20</f>
        <v>0</v>
      </c>
      <c r="H14" s="38" t="s">
        <v>406</v>
      </c>
      <c r="I14" s="38">
        <f t="shared" si="0"/>
        <v>0</v>
      </c>
    </row>
    <row r="15" spans="1:9" ht="12.75">
      <c r="A15" s="18" t="s">
        <v>355</v>
      </c>
      <c r="B15" s="18" t="s">
        <v>23</v>
      </c>
      <c r="C15" s="86" t="s">
        <v>209</v>
      </c>
      <c r="D15" s="77"/>
      <c r="E15" s="38">
        <f>'Stavební rozpočet'!I23</f>
        <v>0</v>
      </c>
      <c r="F15" s="38">
        <f>'Stavební rozpočet'!J23</f>
        <v>0</v>
      </c>
      <c r="G15" s="38">
        <f>'Stavební rozpočet'!K23</f>
        <v>0</v>
      </c>
      <c r="H15" s="38" t="s">
        <v>406</v>
      </c>
      <c r="I15" s="38">
        <f t="shared" si="0"/>
        <v>0</v>
      </c>
    </row>
    <row r="16" spans="1:9" ht="12.75">
      <c r="A16" s="18" t="s">
        <v>355</v>
      </c>
      <c r="B16" s="18" t="s">
        <v>51</v>
      </c>
      <c r="C16" s="86" t="s">
        <v>217</v>
      </c>
      <c r="D16" s="77"/>
      <c r="E16" s="38">
        <f>'Stavební rozpočet'!I31</f>
        <v>0</v>
      </c>
      <c r="F16" s="38">
        <f>'Stavební rozpočet'!J31</f>
        <v>0</v>
      </c>
      <c r="G16" s="38">
        <f>'Stavební rozpočet'!K31</f>
        <v>0</v>
      </c>
      <c r="H16" s="38" t="s">
        <v>406</v>
      </c>
      <c r="I16" s="38">
        <f t="shared" si="0"/>
        <v>0</v>
      </c>
    </row>
    <row r="17" spans="1:9" ht="12.75">
      <c r="A17" s="18" t="s">
        <v>355</v>
      </c>
      <c r="B17" s="18" t="s">
        <v>93</v>
      </c>
      <c r="C17" s="86" t="s">
        <v>219</v>
      </c>
      <c r="D17" s="77"/>
      <c r="E17" s="38">
        <f>'Stavební rozpočet'!I33</f>
        <v>0</v>
      </c>
      <c r="F17" s="38">
        <f>'Stavební rozpočet'!J33</f>
        <v>0</v>
      </c>
      <c r="G17" s="38">
        <f>'Stavební rozpočet'!K33</f>
        <v>0</v>
      </c>
      <c r="H17" s="38" t="s">
        <v>406</v>
      </c>
      <c r="I17" s="38">
        <f t="shared" si="0"/>
        <v>0</v>
      </c>
    </row>
    <row r="18" spans="1:9" ht="12.75">
      <c r="A18" s="18" t="s">
        <v>355</v>
      </c>
      <c r="B18" s="18" t="s">
        <v>95</v>
      </c>
      <c r="C18" s="86" t="s">
        <v>228</v>
      </c>
      <c r="D18" s="77"/>
      <c r="E18" s="38">
        <f>'Stavební rozpočet'!I42</f>
        <v>0</v>
      </c>
      <c r="F18" s="38">
        <f>'Stavební rozpočet'!J42</f>
        <v>0</v>
      </c>
      <c r="G18" s="38">
        <f>'Stavební rozpočet'!K42</f>
        <v>0</v>
      </c>
      <c r="H18" s="38" t="s">
        <v>406</v>
      </c>
      <c r="I18" s="38">
        <f t="shared" si="0"/>
        <v>0</v>
      </c>
    </row>
    <row r="19" spans="1:9" ht="12.75">
      <c r="A19" s="18" t="s">
        <v>355</v>
      </c>
      <c r="B19" s="18" t="s">
        <v>143</v>
      </c>
      <c r="C19" s="86" t="s">
        <v>241</v>
      </c>
      <c r="D19" s="77"/>
      <c r="E19" s="38">
        <f>'Stavební rozpočet'!I55</f>
        <v>0</v>
      </c>
      <c r="F19" s="38">
        <f>'Stavební rozpočet'!J55</f>
        <v>0</v>
      </c>
      <c r="G19" s="38">
        <f>'Stavební rozpočet'!K55</f>
        <v>0</v>
      </c>
      <c r="H19" s="38" t="s">
        <v>406</v>
      </c>
      <c r="I19" s="38">
        <f t="shared" si="0"/>
        <v>0</v>
      </c>
    </row>
    <row r="20" spans="1:9" ht="12.75">
      <c r="A20" s="18" t="s">
        <v>356</v>
      </c>
      <c r="B20" s="18"/>
      <c r="C20" s="86" t="s">
        <v>243</v>
      </c>
      <c r="D20" s="77"/>
      <c r="E20" s="38">
        <f>'Stavební rozpočet'!I57</f>
        <v>0</v>
      </c>
      <c r="F20" s="38">
        <f>'Stavební rozpočet'!J57</f>
        <v>0</v>
      </c>
      <c r="G20" s="38">
        <f>'Stavební rozpočet'!K57</f>
        <v>0</v>
      </c>
      <c r="H20" s="38" t="s">
        <v>405</v>
      </c>
      <c r="I20" s="38">
        <f t="shared" si="0"/>
        <v>0</v>
      </c>
    </row>
    <row r="21" spans="1:9" ht="12.75">
      <c r="A21" s="18" t="s">
        <v>356</v>
      </c>
      <c r="B21" s="18" t="s">
        <v>17</v>
      </c>
      <c r="C21" s="86" t="s">
        <v>199</v>
      </c>
      <c r="D21" s="77"/>
      <c r="E21" s="38">
        <f>'Stavební rozpočet'!I58</f>
        <v>0</v>
      </c>
      <c r="F21" s="38">
        <f>'Stavební rozpočet'!J58</f>
        <v>0</v>
      </c>
      <c r="G21" s="38">
        <f>'Stavební rozpočet'!K58</f>
        <v>0</v>
      </c>
      <c r="H21" s="38" t="s">
        <v>406</v>
      </c>
      <c r="I21" s="38">
        <f t="shared" si="0"/>
        <v>0</v>
      </c>
    </row>
    <row r="22" spans="1:9" ht="12.75">
      <c r="A22" s="18" t="s">
        <v>356</v>
      </c>
      <c r="B22" s="18" t="s">
        <v>19</v>
      </c>
      <c r="C22" s="86" t="s">
        <v>201</v>
      </c>
      <c r="D22" s="77"/>
      <c r="E22" s="38">
        <f>'Stavební rozpočet'!I64</f>
        <v>0</v>
      </c>
      <c r="F22" s="38">
        <f>'Stavební rozpočet'!J64</f>
        <v>0</v>
      </c>
      <c r="G22" s="38">
        <f>'Stavební rozpočet'!K64</f>
        <v>0</v>
      </c>
      <c r="H22" s="38" t="s">
        <v>406</v>
      </c>
      <c r="I22" s="38">
        <f t="shared" si="0"/>
        <v>0</v>
      </c>
    </row>
    <row r="23" spans="1:9" ht="12.75">
      <c r="A23" s="18" t="s">
        <v>356</v>
      </c>
      <c r="B23" s="18" t="s">
        <v>21</v>
      </c>
      <c r="C23" s="86" t="s">
        <v>248</v>
      </c>
      <c r="D23" s="77"/>
      <c r="E23" s="38">
        <f>'Stavební rozpočet'!I67</f>
        <v>0</v>
      </c>
      <c r="F23" s="38">
        <f>'Stavební rozpočet'!J67</f>
        <v>0</v>
      </c>
      <c r="G23" s="38">
        <f>'Stavební rozpočet'!K67</f>
        <v>0</v>
      </c>
      <c r="H23" s="38" t="s">
        <v>406</v>
      </c>
      <c r="I23" s="38">
        <f t="shared" si="0"/>
        <v>0</v>
      </c>
    </row>
    <row r="24" spans="1:9" ht="12.75">
      <c r="A24" s="18" t="s">
        <v>356</v>
      </c>
      <c r="B24" s="18" t="s">
        <v>22</v>
      </c>
      <c r="C24" s="86" t="s">
        <v>206</v>
      </c>
      <c r="D24" s="77"/>
      <c r="E24" s="38">
        <f>'Stavební rozpočet'!I72</f>
        <v>0</v>
      </c>
      <c r="F24" s="38">
        <f>'Stavební rozpočet'!J72</f>
        <v>0</v>
      </c>
      <c r="G24" s="38">
        <f>'Stavební rozpočet'!K72</f>
        <v>0</v>
      </c>
      <c r="H24" s="38" t="s">
        <v>406</v>
      </c>
      <c r="I24" s="38">
        <f t="shared" si="0"/>
        <v>0</v>
      </c>
    </row>
    <row r="25" spans="1:9" ht="12.75">
      <c r="A25" s="18" t="s">
        <v>356</v>
      </c>
      <c r="B25" s="18" t="s">
        <v>23</v>
      </c>
      <c r="C25" s="86" t="s">
        <v>209</v>
      </c>
      <c r="D25" s="77"/>
      <c r="E25" s="38">
        <f>'Stavební rozpočet'!I75</f>
        <v>0</v>
      </c>
      <c r="F25" s="38">
        <f>'Stavební rozpočet'!J75</f>
        <v>0</v>
      </c>
      <c r="G25" s="38">
        <f>'Stavební rozpočet'!K75</f>
        <v>0</v>
      </c>
      <c r="H25" s="38" t="s">
        <v>406</v>
      </c>
      <c r="I25" s="38">
        <f t="shared" si="0"/>
        <v>0</v>
      </c>
    </row>
    <row r="26" spans="1:9" ht="12.75">
      <c r="A26" s="18" t="s">
        <v>356</v>
      </c>
      <c r="B26" s="18" t="s">
        <v>24</v>
      </c>
      <c r="C26" s="86" t="s">
        <v>253</v>
      </c>
      <c r="D26" s="77"/>
      <c r="E26" s="38">
        <f>'Stavební rozpočet'!I83</f>
        <v>0</v>
      </c>
      <c r="F26" s="38">
        <f>'Stavební rozpočet'!J83</f>
        <v>0</v>
      </c>
      <c r="G26" s="38">
        <f>'Stavební rozpočet'!K83</f>
        <v>0</v>
      </c>
      <c r="H26" s="38" t="s">
        <v>406</v>
      </c>
      <c r="I26" s="38">
        <f t="shared" si="0"/>
        <v>0</v>
      </c>
    </row>
    <row r="27" spans="1:9" ht="12.75">
      <c r="A27" s="18" t="s">
        <v>356</v>
      </c>
      <c r="B27" s="18" t="s">
        <v>51</v>
      </c>
      <c r="C27" s="86" t="s">
        <v>217</v>
      </c>
      <c r="D27" s="77"/>
      <c r="E27" s="38">
        <f>'Stavební rozpočet'!I85</f>
        <v>0</v>
      </c>
      <c r="F27" s="38">
        <f>'Stavební rozpočet'!J85</f>
        <v>0</v>
      </c>
      <c r="G27" s="38">
        <f>'Stavební rozpočet'!K85</f>
        <v>0</v>
      </c>
      <c r="H27" s="38" t="s">
        <v>406</v>
      </c>
      <c r="I27" s="38">
        <f t="shared" si="0"/>
        <v>0</v>
      </c>
    </row>
    <row r="28" spans="1:9" ht="12.75">
      <c r="A28" s="18" t="s">
        <v>356</v>
      </c>
      <c r="B28" s="18" t="s">
        <v>154</v>
      </c>
      <c r="C28" s="86" t="s">
        <v>255</v>
      </c>
      <c r="D28" s="77"/>
      <c r="E28" s="38">
        <f>'Stavební rozpočet'!I87</f>
        <v>0</v>
      </c>
      <c r="F28" s="38">
        <f>'Stavební rozpočet'!J87</f>
        <v>0</v>
      </c>
      <c r="G28" s="38">
        <f>'Stavební rozpočet'!K87</f>
        <v>0</v>
      </c>
      <c r="H28" s="38" t="s">
        <v>406</v>
      </c>
      <c r="I28" s="38">
        <f t="shared" si="0"/>
        <v>0</v>
      </c>
    </row>
    <row r="29" spans="1:9" ht="12.75">
      <c r="A29" s="18" t="s">
        <v>356</v>
      </c>
      <c r="B29" s="18" t="s">
        <v>89</v>
      </c>
      <c r="C29" s="86" t="s">
        <v>257</v>
      </c>
      <c r="D29" s="77"/>
      <c r="E29" s="38">
        <f>'Stavební rozpočet'!I89</f>
        <v>0</v>
      </c>
      <c r="F29" s="38">
        <f>'Stavební rozpočet'!J89</f>
        <v>0</v>
      </c>
      <c r="G29" s="38">
        <f>'Stavební rozpočet'!K89</f>
        <v>0</v>
      </c>
      <c r="H29" s="38" t="s">
        <v>406</v>
      </c>
      <c r="I29" s="38">
        <f t="shared" si="0"/>
        <v>0</v>
      </c>
    </row>
    <row r="30" spans="1:9" ht="12.75">
      <c r="A30" s="18" t="s">
        <v>356</v>
      </c>
      <c r="B30" s="18" t="s">
        <v>93</v>
      </c>
      <c r="C30" s="86" t="s">
        <v>219</v>
      </c>
      <c r="D30" s="77"/>
      <c r="E30" s="38">
        <f>'Stavební rozpočet'!I92</f>
        <v>0</v>
      </c>
      <c r="F30" s="38">
        <f>'Stavební rozpočet'!J92</f>
        <v>0</v>
      </c>
      <c r="G30" s="38">
        <f>'Stavební rozpočet'!K92</f>
        <v>0</v>
      </c>
      <c r="H30" s="38" t="s">
        <v>406</v>
      </c>
      <c r="I30" s="38">
        <f t="shared" si="0"/>
        <v>0</v>
      </c>
    </row>
    <row r="31" spans="1:9" ht="12.75">
      <c r="A31" s="18" t="s">
        <v>356</v>
      </c>
      <c r="B31" s="18" t="s">
        <v>95</v>
      </c>
      <c r="C31" s="86" t="s">
        <v>228</v>
      </c>
      <c r="D31" s="77"/>
      <c r="E31" s="38">
        <f>'Stavební rozpočet'!I99</f>
        <v>0</v>
      </c>
      <c r="F31" s="38">
        <f>'Stavební rozpočet'!J99</f>
        <v>0</v>
      </c>
      <c r="G31" s="38">
        <f>'Stavební rozpočet'!K99</f>
        <v>0</v>
      </c>
      <c r="H31" s="38" t="s">
        <v>406</v>
      </c>
      <c r="I31" s="38">
        <f t="shared" si="0"/>
        <v>0</v>
      </c>
    </row>
    <row r="32" spans="1:9" ht="12.75">
      <c r="A32" s="18" t="s">
        <v>356</v>
      </c>
      <c r="B32" s="18" t="s">
        <v>143</v>
      </c>
      <c r="C32" s="86" t="s">
        <v>241</v>
      </c>
      <c r="D32" s="77"/>
      <c r="E32" s="38">
        <f>'Stavební rozpočet'!I106</f>
        <v>0</v>
      </c>
      <c r="F32" s="38">
        <f>'Stavební rozpočet'!J106</f>
        <v>0</v>
      </c>
      <c r="G32" s="38">
        <f>'Stavební rozpočet'!K106</f>
        <v>0</v>
      </c>
      <c r="H32" s="38" t="s">
        <v>406</v>
      </c>
      <c r="I32" s="38">
        <f t="shared" si="0"/>
        <v>0</v>
      </c>
    </row>
    <row r="33" spans="1:9" ht="12.75">
      <c r="A33" s="18" t="s">
        <v>357</v>
      </c>
      <c r="B33" s="18"/>
      <c r="C33" s="86" t="s">
        <v>271</v>
      </c>
      <c r="D33" s="77"/>
      <c r="E33" s="38">
        <f>'Stavební rozpočet'!I108</f>
        <v>0</v>
      </c>
      <c r="F33" s="38">
        <f>'Stavební rozpočet'!J108</f>
        <v>0</v>
      </c>
      <c r="G33" s="38">
        <f>'Stavební rozpočet'!K108</f>
        <v>0</v>
      </c>
      <c r="H33" s="38" t="s">
        <v>405</v>
      </c>
      <c r="I33" s="38">
        <f t="shared" si="0"/>
        <v>0</v>
      </c>
    </row>
    <row r="34" spans="1:9" ht="12.75">
      <c r="A34" s="18" t="s">
        <v>357</v>
      </c>
      <c r="B34" s="18" t="s">
        <v>17</v>
      </c>
      <c r="C34" s="86" t="s">
        <v>199</v>
      </c>
      <c r="D34" s="77"/>
      <c r="E34" s="38">
        <f>'Stavební rozpočet'!I109</f>
        <v>0</v>
      </c>
      <c r="F34" s="38">
        <f>'Stavební rozpočet'!J109</f>
        <v>0</v>
      </c>
      <c r="G34" s="38">
        <f>'Stavební rozpočet'!K109</f>
        <v>0</v>
      </c>
      <c r="H34" s="38" t="s">
        <v>406</v>
      </c>
      <c r="I34" s="38">
        <f t="shared" si="0"/>
        <v>0</v>
      </c>
    </row>
    <row r="35" spans="1:9" ht="12.75">
      <c r="A35" s="18" t="s">
        <v>357</v>
      </c>
      <c r="B35" s="18" t="s">
        <v>19</v>
      </c>
      <c r="C35" s="86" t="s">
        <v>201</v>
      </c>
      <c r="D35" s="77"/>
      <c r="E35" s="38">
        <f>'Stavební rozpočet'!I111</f>
        <v>0</v>
      </c>
      <c r="F35" s="38">
        <f>'Stavební rozpočet'!J111</f>
        <v>0</v>
      </c>
      <c r="G35" s="38">
        <f>'Stavební rozpočet'!K111</f>
        <v>0</v>
      </c>
      <c r="H35" s="38" t="s">
        <v>406</v>
      </c>
      <c r="I35" s="38">
        <f t="shared" si="0"/>
        <v>0</v>
      </c>
    </row>
    <row r="36" spans="1:9" ht="12.75">
      <c r="A36" s="18" t="s">
        <v>357</v>
      </c>
      <c r="B36" s="18" t="s">
        <v>22</v>
      </c>
      <c r="C36" s="86" t="s">
        <v>206</v>
      </c>
      <c r="D36" s="77"/>
      <c r="E36" s="38">
        <f>'Stavební rozpočet'!I114</f>
        <v>0</v>
      </c>
      <c r="F36" s="38">
        <f>'Stavební rozpočet'!J114</f>
        <v>0</v>
      </c>
      <c r="G36" s="38">
        <f>'Stavební rozpočet'!K114</f>
        <v>0</v>
      </c>
      <c r="H36" s="38" t="s">
        <v>406</v>
      </c>
      <c r="I36" s="38">
        <f t="shared" si="0"/>
        <v>0</v>
      </c>
    </row>
    <row r="37" spans="1:9" ht="12.75">
      <c r="A37" s="18" t="s">
        <v>357</v>
      </c>
      <c r="B37" s="18" t="s">
        <v>23</v>
      </c>
      <c r="C37" s="86" t="s">
        <v>209</v>
      </c>
      <c r="D37" s="77"/>
      <c r="E37" s="38">
        <f>'Stavební rozpočet'!I117</f>
        <v>0</v>
      </c>
      <c r="F37" s="38">
        <f>'Stavební rozpočet'!J117</f>
        <v>0</v>
      </c>
      <c r="G37" s="38">
        <f>'Stavební rozpočet'!K117</f>
        <v>0</v>
      </c>
      <c r="H37" s="38" t="s">
        <v>406</v>
      </c>
      <c r="I37" s="38">
        <f t="shared" si="0"/>
        <v>0</v>
      </c>
    </row>
    <row r="38" spans="1:9" ht="12.75">
      <c r="A38" s="18" t="s">
        <v>357</v>
      </c>
      <c r="B38" s="18" t="s">
        <v>40</v>
      </c>
      <c r="C38" s="86" t="s">
        <v>276</v>
      </c>
      <c r="D38" s="77"/>
      <c r="E38" s="38">
        <f>'Stavební rozpočet'!I122</f>
        <v>0</v>
      </c>
      <c r="F38" s="38">
        <f>'Stavební rozpočet'!J122</f>
        <v>0</v>
      </c>
      <c r="G38" s="38">
        <f>'Stavební rozpočet'!K122</f>
        <v>0</v>
      </c>
      <c r="H38" s="38" t="s">
        <v>406</v>
      </c>
      <c r="I38" s="38">
        <f t="shared" si="0"/>
        <v>0</v>
      </c>
    </row>
    <row r="39" spans="1:9" ht="12.75">
      <c r="A39" s="18" t="s">
        <v>357</v>
      </c>
      <c r="B39" s="18" t="s">
        <v>51</v>
      </c>
      <c r="C39" s="86" t="s">
        <v>217</v>
      </c>
      <c r="D39" s="77"/>
      <c r="E39" s="38">
        <f>'Stavební rozpočet'!I126</f>
        <v>0</v>
      </c>
      <c r="F39" s="38">
        <f>'Stavební rozpočet'!J126</f>
        <v>0</v>
      </c>
      <c r="G39" s="38">
        <f>'Stavební rozpočet'!K126</f>
        <v>0</v>
      </c>
      <c r="H39" s="38" t="s">
        <v>406</v>
      </c>
      <c r="I39" s="38">
        <f t="shared" si="0"/>
        <v>0</v>
      </c>
    </row>
    <row r="40" spans="1:9" ht="12.75">
      <c r="A40" s="18" t="s">
        <v>357</v>
      </c>
      <c r="B40" s="18" t="s">
        <v>171</v>
      </c>
      <c r="C40" s="86" t="s">
        <v>280</v>
      </c>
      <c r="D40" s="77"/>
      <c r="E40" s="38">
        <f>'Stavební rozpočet'!I128</f>
        <v>0</v>
      </c>
      <c r="F40" s="38">
        <f>'Stavební rozpočet'!J128</f>
        <v>0</v>
      </c>
      <c r="G40" s="38">
        <f>'Stavební rozpočet'!K128</f>
        <v>0</v>
      </c>
      <c r="H40" s="38" t="s">
        <v>406</v>
      </c>
      <c r="I40" s="38">
        <f t="shared" si="0"/>
        <v>0</v>
      </c>
    </row>
    <row r="41" spans="1:9" ht="12.75">
      <c r="A41" s="18" t="s">
        <v>357</v>
      </c>
      <c r="B41" s="18" t="s">
        <v>93</v>
      </c>
      <c r="C41" s="86" t="s">
        <v>219</v>
      </c>
      <c r="D41" s="77"/>
      <c r="E41" s="38">
        <f>'Stavební rozpočet'!I139</f>
        <v>0</v>
      </c>
      <c r="F41" s="38">
        <f>'Stavební rozpočet'!J139</f>
        <v>0</v>
      </c>
      <c r="G41" s="38">
        <f>'Stavební rozpočet'!K139</f>
        <v>0</v>
      </c>
      <c r="H41" s="38" t="s">
        <v>406</v>
      </c>
      <c r="I41" s="38">
        <f t="shared" si="0"/>
        <v>0</v>
      </c>
    </row>
    <row r="42" spans="1:9" ht="12.75">
      <c r="A42" s="18" t="s">
        <v>357</v>
      </c>
      <c r="B42" s="18" t="s">
        <v>95</v>
      </c>
      <c r="C42" s="86" t="s">
        <v>228</v>
      </c>
      <c r="D42" s="77"/>
      <c r="E42" s="38">
        <f>'Stavební rozpočet'!I144</f>
        <v>0</v>
      </c>
      <c r="F42" s="38">
        <f>'Stavební rozpočet'!J144</f>
        <v>0</v>
      </c>
      <c r="G42" s="38">
        <f>'Stavební rozpočet'!K144</f>
        <v>0</v>
      </c>
      <c r="H42" s="38" t="s">
        <v>406</v>
      </c>
      <c r="I42" s="38">
        <f t="shared" si="0"/>
        <v>0</v>
      </c>
    </row>
    <row r="43" spans="1:9" ht="12.75">
      <c r="A43" s="18" t="s">
        <v>357</v>
      </c>
      <c r="B43" s="18" t="s">
        <v>143</v>
      </c>
      <c r="C43" s="86" t="s">
        <v>241</v>
      </c>
      <c r="D43" s="77"/>
      <c r="E43" s="38">
        <f>'Stavební rozpočet'!I147</f>
        <v>0</v>
      </c>
      <c r="F43" s="38">
        <f>'Stavební rozpočet'!J147</f>
        <v>0</v>
      </c>
      <c r="G43" s="38">
        <f>'Stavební rozpočet'!K147</f>
        <v>0</v>
      </c>
      <c r="H43" s="38" t="s">
        <v>406</v>
      </c>
      <c r="I43" s="38">
        <f t="shared" si="0"/>
        <v>0</v>
      </c>
    </row>
    <row r="44" spans="1:9" ht="12.75">
      <c r="A44" s="18" t="s">
        <v>358</v>
      </c>
      <c r="B44" s="18"/>
      <c r="C44" s="86" t="s">
        <v>293</v>
      </c>
      <c r="D44" s="77"/>
      <c r="E44" s="38">
        <f>'Stavební rozpočet'!I149</f>
        <v>0</v>
      </c>
      <c r="F44" s="38">
        <f>'Stavební rozpočet'!J149</f>
        <v>0</v>
      </c>
      <c r="G44" s="38">
        <f>'Stavební rozpočet'!K149</f>
        <v>0</v>
      </c>
      <c r="H44" s="38" t="s">
        <v>405</v>
      </c>
      <c r="I44" s="38">
        <f t="shared" si="0"/>
        <v>0</v>
      </c>
    </row>
    <row r="45" spans="1:9" ht="12.75">
      <c r="A45" s="18" t="s">
        <v>358</v>
      </c>
      <c r="B45" s="18" t="s">
        <v>17</v>
      </c>
      <c r="C45" s="86" t="s">
        <v>199</v>
      </c>
      <c r="D45" s="77"/>
      <c r="E45" s="38">
        <f>'Stavební rozpočet'!I150</f>
        <v>0</v>
      </c>
      <c r="F45" s="38">
        <f>'Stavební rozpočet'!J150</f>
        <v>0</v>
      </c>
      <c r="G45" s="38">
        <f>'Stavební rozpočet'!K150</f>
        <v>0</v>
      </c>
      <c r="H45" s="38" t="s">
        <v>406</v>
      </c>
      <c r="I45" s="38">
        <f t="shared" si="0"/>
        <v>0</v>
      </c>
    </row>
    <row r="46" spans="1:9" ht="12.75">
      <c r="A46" s="18" t="s">
        <v>358</v>
      </c>
      <c r="B46" s="18" t="s">
        <v>23</v>
      </c>
      <c r="C46" s="86" t="s">
        <v>209</v>
      </c>
      <c r="D46" s="77"/>
      <c r="E46" s="38">
        <f>'Stavební rozpočet'!I152</f>
        <v>0</v>
      </c>
      <c r="F46" s="38">
        <f>'Stavební rozpočet'!J152</f>
        <v>0</v>
      </c>
      <c r="G46" s="38">
        <f>'Stavební rozpočet'!K152</f>
        <v>0</v>
      </c>
      <c r="H46" s="38" t="s">
        <v>406</v>
      </c>
      <c r="I46" s="38">
        <f t="shared" si="0"/>
        <v>0</v>
      </c>
    </row>
    <row r="47" spans="1:9" ht="12.75">
      <c r="A47" s="18" t="s">
        <v>358</v>
      </c>
      <c r="B47" s="18" t="s">
        <v>182</v>
      </c>
      <c r="C47" s="86" t="s">
        <v>294</v>
      </c>
      <c r="D47" s="77"/>
      <c r="E47" s="38">
        <f>'Stavební rozpočet'!I154</f>
        <v>0</v>
      </c>
      <c r="F47" s="38">
        <f>'Stavební rozpočet'!J154</f>
        <v>0</v>
      </c>
      <c r="G47" s="38">
        <f>'Stavební rozpočet'!K154</f>
        <v>0</v>
      </c>
      <c r="H47" s="38" t="s">
        <v>406</v>
      </c>
      <c r="I47" s="38">
        <f t="shared" si="0"/>
        <v>0</v>
      </c>
    </row>
    <row r="48" spans="1:9" ht="12.75">
      <c r="A48" s="18" t="s">
        <v>358</v>
      </c>
      <c r="B48" s="18" t="s">
        <v>187</v>
      </c>
      <c r="C48" s="86" t="s">
        <v>302</v>
      </c>
      <c r="D48" s="77"/>
      <c r="E48" s="38">
        <f>'Stavební rozpočet'!I162</f>
        <v>0</v>
      </c>
      <c r="F48" s="38">
        <f>'Stavební rozpočet'!J162</f>
        <v>0</v>
      </c>
      <c r="G48" s="38">
        <f>'Stavební rozpočet'!K162</f>
        <v>0</v>
      </c>
      <c r="H48" s="38" t="s">
        <v>406</v>
      </c>
      <c r="I48" s="38">
        <f t="shared" si="0"/>
        <v>0</v>
      </c>
    </row>
    <row r="50" spans="6:7" ht="12.75">
      <c r="F50" s="48" t="s">
        <v>340</v>
      </c>
      <c r="G50" s="50">
        <f>ROUND(SUM(I11:I48),0)</f>
        <v>0</v>
      </c>
    </row>
  </sheetData>
  <mergeCells count="56">
    <mergeCell ref="C46:D46"/>
    <mergeCell ref="C47:D47"/>
    <mergeCell ref="C48:D48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A8:A9"/>
    <mergeCell ref="B8:C9"/>
    <mergeCell ref="D8:D9"/>
    <mergeCell ref="E8:G9"/>
    <mergeCell ref="A6:A7"/>
    <mergeCell ref="B6:C7"/>
    <mergeCell ref="D6:D7"/>
    <mergeCell ref="E6:G7"/>
    <mergeCell ref="A4:A5"/>
    <mergeCell ref="B4:C5"/>
    <mergeCell ref="D4:D5"/>
    <mergeCell ref="E4:G5"/>
    <mergeCell ref="A1:G1"/>
    <mergeCell ref="A2:A3"/>
    <mergeCell ref="B2:C3"/>
    <mergeCell ref="D2:D3"/>
    <mergeCell ref="E2:G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8"/>
      <c r="B1" s="51"/>
      <c r="C1" s="119" t="s">
        <v>422</v>
      </c>
      <c r="D1" s="73"/>
      <c r="E1" s="73"/>
      <c r="F1" s="73"/>
      <c r="G1" s="73"/>
      <c r="H1" s="73"/>
      <c r="I1" s="73"/>
    </row>
    <row r="2" spans="1:10" ht="12.75">
      <c r="A2" s="74" t="s">
        <v>1</v>
      </c>
      <c r="B2" s="75"/>
      <c r="C2" s="78" t="str">
        <f>'Stavební rozpočet'!C2</f>
        <v>Vnitřní rozvod sítí pro areál Technických služeb Stochov</v>
      </c>
      <c r="D2" s="114"/>
      <c r="E2" s="81" t="s">
        <v>328</v>
      </c>
      <c r="F2" s="81" t="str">
        <f>'Stavební rozpočet'!I2</f>
        <v>Město Stochov</v>
      </c>
      <c r="G2" s="75"/>
      <c r="H2" s="81" t="s">
        <v>447</v>
      </c>
      <c r="I2" s="120"/>
      <c r="J2" s="36"/>
    </row>
    <row r="3" spans="1:10" ht="12.75">
      <c r="A3" s="76"/>
      <c r="B3" s="77"/>
      <c r="C3" s="79"/>
      <c r="D3" s="79"/>
      <c r="E3" s="77"/>
      <c r="F3" s="77"/>
      <c r="G3" s="77"/>
      <c r="H3" s="77"/>
      <c r="I3" s="83"/>
      <c r="J3" s="36"/>
    </row>
    <row r="4" spans="1:10" ht="12.75">
      <c r="A4" s="84" t="s">
        <v>2</v>
      </c>
      <c r="B4" s="77"/>
      <c r="C4" s="85" t="str">
        <f>'Stavební rozpočet'!C4</f>
        <v> </v>
      </c>
      <c r="D4" s="77"/>
      <c r="E4" s="85" t="s">
        <v>329</v>
      </c>
      <c r="F4" s="85" t="str">
        <f>'Stavební rozpočet'!I4</f>
        <v>Projekty S+S s.r.o.</v>
      </c>
      <c r="G4" s="77"/>
      <c r="H4" s="85" t="s">
        <v>447</v>
      </c>
      <c r="I4" s="121"/>
      <c r="J4" s="36"/>
    </row>
    <row r="5" spans="1:10" ht="12.75">
      <c r="A5" s="76"/>
      <c r="B5" s="77"/>
      <c r="C5" s="77"/>
      <c r="D5" s="77"/>
      <c r="E5" s="77"/>
      <c r="F5" s="77"/>
      <c r="G5" s="77"/>
      <c r="H5" s="77"/>
      <c r="I5" s="83"/>
      <c r="J5" s="36"/>
    </row>
    <row r="6" spans="1:10" ht="12.75">
      <c r="A6" s="84" t="s">
        <v>3</v>
      </c>
      <c r="B6" s="77"/>
      <c r="C6" s="85" t="str">
        <f>'Stavební rozpočet'!C6</f>
        <v>Poz.č.18/11 a 272/1, k.ú.Honice, obec Stochov</v>
      </c>
      <c r="D6" s="77"/>
      <c r="E6" s="85" t="s">
        <v>330</v>
      </c>
      <c r="F6" s="85" t="str">
        <f>'Stavební rozpočet'!I6</f>
        <v>Dle výběrového řízení</v>
      </c>
      <c r="G6" s="77"/>
      <c r="H6" s="85" t="s">
        <v>447</v>
      </c>
      <c r="I6" s="121"/>
      <c r="J6" s="36"/>
    </row>
    <row r="7" spans="1:10" ht="12.75">
      <c r="A7" s="76"/>
      <c r="B7" s="77"/>
      <c r="C7" s="77"/>
      <c r="D7" s="77"/>
      <c r="E7" s="77"/>
      <c r="F7" s="77"/>
      <c r="G7" s="77"/>
      <c r="H7" s="77"/>
      <c r="I7" s="83"/>
      <c r="J7" s="36"/>
    </row>
    <row r="8" spans="1:10" ht="12.75">
      <c r="A8" s="84" t="s">
        <v>314</v>
      </c>
      <c r="B8" s="77"/>
      <c r="C8" s="85" t="str">
        <f>'Stavební rozpočet'!F4</f>
        <v> </v>
      </c>
      <c r="D8" s="77"/>
      <c r="E8" s="85" t="s">
        <v>315</v>
      </c>
      <c r="F8" s="85" t="str">
        <f>'Stavební rozpočet'!F6</f>
        <v> </v>
      </c>
      <c r="G8" s="77"/>
      <c r="H8" s="86" t="s">
        <v>448</v>
      </c>
      <c r="I8" s="121" t="s">
        <v>109</v>
      </c>
      <c r="J8" s="36"/>
    </row>
    <row r="9" spans="1:10" ht="12.75">
      <c r="A9" s="76"/>
      <c r="B9" s="77"/>
      <c r="C9" s="77"/>
      <c r="D9" s="77"/>
      <c r="E9" s="77"/>
      <c r="F9" s="77"/>
      <c r="G9" s="77"/>
      <c r="H9" s="77"/>
      <c r="I9" s="83"/>
      <c r="J9" s="36"/>
    </row>
    <row r="10" spans="1:10" ht="12.75">
      <c r="A10" s="84" t="s">
        <v>4</v>
      </c>
      <c r="B10" s="77"/>
      <c r="C10" s="85" t="str">
        <f>'Stavební rozpočet'!C8</f>
        <v> </v>
      </c>
      <c r="D10" s="77"/>
      <c r="E10" s="85" t="s">
        <v>331</v>
      </c>
      <c r="F10" s="85" t="str">
        <f>'Stavební rozpočet'!I8</f>
        <v> </v>
      </c>
      <c r="G10" s="77"/>
      <c r="H10" s="86" t="s">
        <v>449</v>
      </c>
      <c r="I10" s="124" t="str">
        <f>'Stavební rozpočet'!F8</f>
        <v>20.05.2020</v>
      </c>
      <c r="J10" s="36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5"/>
      <c r="J11" s="36"/>
    </row>
    <row r="12" spans="1:9" ht="23.25" customHeight="1">
      <c r="A12" s="126" t="s">
        <v>407</v>
      </c>
      <c r="B12" s="127"/>
      <c r="C12" s="127"/>
      <c r="D12" s="127"/>
      <c r="E12" s="127"/>
      <c r="F12" s="127"/>
      <c r="G12" s="127"/>
      <c r="H12" s="127"/>
      <c r="I12" s="127"/>
    </row>
    <row r="13" spans="1:10" ht="26.25" customHeight="1">
      <c r="A13" s="52" t="s">
        <v>408</v>
      </c>
      <c r="B13" s="128" t="s">
        <v>420</v>
      </c>
      <c r="C13" s="129"/>
      <c r="D13" s="52" t="s">
        <v>423</v>
      </c>
      <c r="E13" s="128" t="s">
        <v>432</v>
      </c>
      <c r="F13" s="129"/>
      <c r="G13" s="52" t="s">
        <v>433</v>
      </c>
      <c r="H13" s="128" t="s">
        <v>450</v>
      </c>
      <c r="I13" s="129"/>
      <c r="J13" s="36"/>
    </row>
    <row r="14" spans="1:10" ht="15" customHeight="1">
      <c r="A14" s="53" t="s">
        <v>409</v>
      </c>
      <c r="B14" s="57" t="s">
        <v>421</v>
      </c>
      <c r="C14" s="61">
        <f>SUM('Stavební rozpočet'!AB12:AB173)</f>
        <v>0</v>
      </c>
      <c r="D14" s="130" t="s">
        <v>424</v>
      </c>
      <c r="E14" s="131"/>
      <c r="F14" s="61">
        <v>0</v>
      </c>
      <c r="G14" s="130" t="s">
        <v>434</v>
      </c>
      <c r="H14" s="131"/>
      <c r="I14" s="61">
        <v>0</v>
      </c>
      <c r="J14" s="36"/>
    </row>
    <row r="15" spans="1:10" ht="15" customHeight="1">
      <c r="A15" s="54"/>
      <c r="B15" s="57" t="s">
        <v>341</v>
      </c>
      <c r="C15" s="61">
        <f>SUM('Stavební rozpočet'!AC12:AC173)</f>
        <v>0</v>
      </c>
      <c r="D15" s="130" t="s">
        <v>425</v>
      </c>
      <c r="E15" s="131"/>
      <c r="F15" s="61">
        <v>0</v>
      </c>
      <c r="G15" s="130" t="s">
        <v>435</v>
      </c>
      <c r="H15" s="131"/>
      <c r="I15" s="61">
        <v>0</v>
      </c>
      <c r="J15" s="36"/>
    </row>
    <row r="16" spans="1:10" ht="15" customHeight="1">
      <c r="A16" s="53" t="s">
        <v>410</v>
      </c>
      <c r="B16" s="57" t="s">
        <v>421</v>
      </c>
      <c r="C16" s="61">
        <f>SUM('Stavební rozpočet'!AD12:AD173)</f>
        <v>0</v>
      </c>
      <c r="D16" s="130" t="s">
        <v>426</v>
      </c>
      <c r="E16" s="131"/>
      <c r="F16" s="61">
        <v>0</v>
      </c>
      <c r="G16" s="130" t="s">
        <v>436</v>
      </c>
      <c r="H16" s="131"/>
      <c r="I16" s="61">
        <v>0</v>
      </c>
      <c r="J16" s="36"/>
    </row>
    <row r="17" spans="1:10" ht="15" customHeight="1">
      <c r="A17" s="54"/>
      <c r="B17" s="57" t="s">
        <v>341</v>
      </c>
      <c r="C17" s="61">
        <f>SUM('Stavební rozpočet'!AE12:AE173)</f>
        <v>0</v>
      </c>
      <c r="D17" s="130"/>
      <c r="E17" s="131"/>
      <c r="F17" s="62"/>
      <c r="G17" s="130" t="s">
        <v>437</v>
      </c>
      <c r="H17" s="131"/>
      <c r="I17" s="61">
        <v>0</v>
      </c>
      <c r="J17" s="36"/>
    </row>
    <row r="18" spans="1:10" ht="15" customHeight="1">
      <c r="A18" s="53" t="s">
        <v>411</v>
      </c>
      <c r="B18" s="57" t="s">
        <v>421</v>
      </c>
      <c r="C18" s="61">
        <f>SUM('Stavební rozpočet'!AF12:AF173)</f>
        <v>0</v>
      </c>
      <c r="D18" s="130"/>
      <c r="E18" s="131"/>
      <c r="F18" s="62"/>
      <c r="G18" s="130" t="s">
        <v>438</v>
      </c>
      <c r="H18" s="131"/>
      <c r="I18" s="61">
        <v>0</v>
      </c>
      <c r="J18" s="36"/>
    </row>
    <row r="19" spans="1:10" ht="15" customHeight="1">
      <c r="A19" s="54"/>
      <c r="B19" s="57" t="s">
        <v>341</v>
      </c>
      <c r="C19" s="61">
        <f>SUM('Stavební rozpočet'!AG12:AG173)</f>
        <v>0</v>
      </c>
      <c r="D19" s="130"/>
      <c r="E19" s="131"/>
      <c r="F19" s="62"/>
      <c r="G19" s="130" t="s">
        <v>439</v>
      </c>
      <c r="H19" s="131"/>
      <c r="I19" s="61">
        <v>0</v>
      </c>
      <c r="J19" s="36"/>
    </row>
    <row r="20" spans="1:10" ht="15" customHeight="1">
      <c r="A20" s="132" t="s">
        <v>412</v>
      </c>
      <c r="B20" s="133"/>
      <c r="C20" s="61">
        <f>SUM('Stavební rozpočet'!AH12:AH173)</f>
        <v>0</v>
      </c>
      <c r="D20" s="130"/>
      <c r="E20" s="131"/>
      <c r="F20" s="62"/>
      <c r="G20" s="130"/>
      <c r="H20" s="131"/>
      <c r="I20" s="62"/>
      <c r="J20" s="36"/>
    </row>
    <row r="21" spans="1:10" ht="15" customHeight="1">
      <c r="A21" s="132" t="s">
        <v>413</v>
      </c>
      <c r="B21" s="133"/>
      <c r="C21" s="61">
        <f>SUM('Stavební rozpočet'!Z12:Z173)</f>
        <v>0</v>
      </c>
      <c r="D21" s="130"/>
      <c r="E21" s="131"/>
      <c r="F21" s="62"/>
      <c r="G21" s="130"/>
      <c r="H21" s="131"/>
      <c r="I21" s="62"/>
      <c r="J21" s="36"/>
    </row>
    <row r="22" spans="1:10" ht="16.5" customHeight="1">
      <c r="A22" s="132" t="s">
        <v>414</v>
      </c>
      <c r="B22" s="133"/>
      <c r="C22" s="61">
        <f>ROUND(SUM(C14:C21),0)</f>
        <v>0</v>
      </c>
      <c r="D22" s="132" t="s">
        <v>427</v>
      </c>
      <c r="E22" s="133"/>
      <c r="F22" s="61">
        <f>SUM(F14:F21)</f>
        <v>0</v>
      </c>
      <c r="G22" s="132" t="s">
        <v>440</v>
      </c>
      <c r="H22" s="133"/>
      <c r="I22" s="61">
        <f>ROUND(C22*(5/100),2)</f>
        <v>0</v>
      </c>
      <c r="J22" s="36"/>
    </row>
    <row r="23" spans="1:10" ht="15" customHeight="1">
      <c r="A23" s="10"/>
      <c r="B23" s="10"/>
      <c r="C23" s="59"/>
      <c r="D23" s="132" t="s">
        <v>428</v>
      </c>
      <c r="E23" s="133"/>
      <c r="F23" s="63">
        <v>0</v>
      </c>
      <c r="G23" s="132" t="s">
        <v>441</v>
      </c>
      <c r="H23" s="133"/>
      <c r="I23" s="61">
        <v>0</v>
      </c>
      <c r="J23" s="36"/>
    </row>
    <row r="24" spans="4:9" ht="15" customHeight="1">
      <c r="D24" s="10"/>
      <c r="E24" s="10"/>
      <c r="F24" s="64"/>
      <c r="G24" s="132" t="s">
        <v>442</v>
      </c>
      <c r="H24" s="133"/>
      <c r="I24" s="66"/>
    </row>
    <row r="25" spans="6:10" ht="15" customHeight="1">
      <c r="F25" s="65"/>
      <c r="G25" s="132" t="s">
        <v>443</v>
      </c>
      <c r="H25" s="133"/>
      <c r="I25" s="61">
        <v>0</v>
      </c>
      <c r="J25" s="36"/>
    </row>
    <row r="26" spans="1:9" ht="12.75">
      <c r="A26" s="51"/>
      <c r="B26" s="51"/>
      <c r="C26" s="51"/>
      <c r="G26" s="10"/>
      <c r="H26" s="10"/>
      <c r="I26" s="10"/>
    </row>
    <row r="27" spans="1:9" ht="15" customHeight="1">
      <c r="A27" s="134" t="s">
        <v>415</v>
      </c>
      <c r="B27" s="135"/>
      <c r="C27" s="67">
        <f>ROUND(SUM('Stavební rozpočet'!AJ12:AJ173),0)</f>
        <v>0</v>
      </c>
      <c r="D27" s="60"/>
      <c r="E27" s="51"/>
      <c r="F27" s="51"/>
      <c r="G27" s="51"/>
      <c r="H27" s="51"/>
      <c r="I27" s="51"/>
    </row>
    <row r="28" spans="1:10" ht="15" customHeight="1">
      <c r="A28" s="134" t="s">
        <v>416</v>
      </c>
      <c r="B28" s="135"/>
      <c r="C28" s="67">
        <f>ROUND(SUM('Stavební rozpočet'!AK12:AK173),0)</f>
        <v>0</v>
      </c>
      <c r="D28" s="134" t="s">
        <v>429</v>
      </c>
      <c r="E28" s="135"/>
      <c r="F28" s="67">
        <f>ROUND(C28*(15/100),2)</f>
        <v>0</v>
      </c>
      <c r="G28" s="134" t="s">
        <v>444</v>
      </c>
      <c r="H28" s="135"/>
      <c r="I28" s="67">
        <f>ROUND(SUM(C27:C29),0)</f>
        <v>0</v>
      </c>
      <c r="J28" s="36"/>
    </row>
    <row r="29" spans="1:10" ht="15" customHeight="1">
      <c r="A29" s="134" t="s">
        <v>417</v>
      </c>
      <c r="B29" s="135"/>
      <c r="C29" s="67">
        <f>ROUND(SUM('Stavební rozpočet'!AL12:AL173)+(F22+I22+F23+I23+I24+I25),0)</f>
        <v>0</v>
      </c>
      <c r="D29" s="134" t="s">
        <v>430</v>
      </c>
      <c r="E29" s="135"/>
      <c r="F29" s="67">
        <f>ROUND(C29*(21/100),2)</f>
        <v>0</v>
      </c>
      <c r="G29" s="134" t="s">
        <v>445</v>
      </c>
      <c r="H29" s="135"/>
      <c r="I29" s="67">
        <f>ROUND(SUM(F28:F29)+I28,0)</f>
        <v>0</v>
      </c>
      <c r="J29" s="36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10" ht="14.25" customHeight="1">
      <c r="A31" s="136" t="s">
        <v>418</v>
      </c>
      <c r="B31" s="137"/>
      <c r="C31" s="138"/>
      <c r="D31" s="136" t="s">
        <v>431</v>
      </c>
      <c r="E31" s="137"/>
      <c r="F31" s="138"/>
      <c r="G31" s="136" t="s">
        <v>446</v>
      </c>
      <c r="H31" s="137"/>
      <c r="I31" s="138"/>
      <c r="J31" s="37"/>
    </row>
    <row r="32" spans="1:10" ht="14.25" customHeight="1">
      <c r="A32" s="139"/>
      <c r="B32" s="140"/>
      <c r="C32" s="141"/>
      <c r="D32" s="139"/>
      <c r="E32" s="140"/>
      <c r="F32" s="141"/>
      <c r="G32" s="139"/>
      <c r="H32" s="140"/>
      <c r="I32" s="141"/>
      <c r="J32" s="37"/>
    </row>
    <row r="33" spans="1:10" ht="14.25" customHeight="1">
      <c r="A33" s="139"/>
      <c r="B33" s="140"/>
      <c r="C33" s="141"/>
      <c r="D33" s="139"/>
      <c r="E33" s="140"/>
      <c r="F33" s="141"/>
      <c r="G33" s="139"/>
      <c r="H33" s="140"/>
      <c r="I33" s="141"/>
      <c r="J33" s="37"/>
    </row>
    <row r="34" spans="1:10" ht="14.25" customHeight="1">
      <c r="A34" s="139"/>
      <c r="B34" s="140"/>
      <c r="C34" s="141"/>
      <c r="D34" s="139"/>
      <c r="E34" s="140"/>
      <c r="F34" s="141"/>
      <c r="G34" s="139"/>
      <c r="H34" s="140"/>
      <c r="I34" s="141"/>
      <c r="J34" s="37"/>
    </row>
    <row r="35" spans="1:10" ht="14.25" customHeight="1">
      <c r="A35" s="142" t="s">
        <v>419</v>
      </c>
      <c r="B35" s="143"/>
      <c r="C35" s="144"/>
      <c r="D35" s="142" t="s">
        <v>419</v>
      </c>
      <c r="E35" s="143"/>
      <c r="F35" s="144"/>
      <c r="G35" s="142" t="s">
        <v>419</v>
      </c>
      <c r="H35" s="143"/>
      <c r="I35" s="144"/>
      <c r="J35" s="37"/>
    </row>
    <row r="36" spans="1:9" ht="11.25" customHeight="1">
      <c r="A36" s="56" t="s">
        <v>110</v>
      </c>
      <c r="B36" s="58"/>
      <c r="C36" s="58"/>
      <c r="D36" s="58"/>
      <c r="E36" s="58"/>
      <c r="F36" s="58"/>
      <c r="G36" s="58"/>
      <c r="H36" s="58"/>
      <c r="I36" s="58"/>
    </row>
    <row r="37" spans="1:9" ht="12.75">
      <c r="A37" s="85"/>
      <c r="B37" s="77"/>
      <c r="C37" s="77"/>
      <c r="D37" s="77"/>
      <c r="E37" s="77"/>
      <c r="F37" s="77"/>
      <c r="G37" s="77"/>
      <c r="H37" s="77"/>
      <c r="I37" s="77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4:H24"/>
    <mergeCell ref="G25:H25"/>
    <mergeCell ref="A27:B27"/>
    <mergeCell ref="A28:B28"/>
    <mergeCell ref="D28:E28"/>
    <mergeCell ref="G28:H28"/>
    <mergeCell ref="A22:B22"/>
    <mergeCell ref="D22:E22"/>
    <mergeCell ref="G22:H22"/>
    <mergeCell ref="D23:E23"/>
    <mergeCell ref="G23:H23"/>
    <mergeCell ref="A20:B20"/>
    <mergeCell ref="D20:E20"/>
    <mergeCell ref="G20:H20"/>
    <mergeCell ref="A21:B21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D14:E14"/>
    <mergeCell ref="G14:H14"/>
    <mergeCell ref="D15:E15"/>
    <mergeCell ref="G15:H15"/>
    <mergeCell ref="A12:I12"/>
    <mergeCell ref="B13:C13"/>
    <mergeCell ref="E13:F13"/>
    <mergeCell ref="H13:I13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Plicka</cp:lastModifiedBy>
  <dcterms:created xsi:type="dcterms:W3CDTF">2020-05-21T09:27:31Z</dcterms:created>
  <dcterms:modified xsi:type="dcterms:W3CDTF">2020-05-21T09:27:31Z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