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tavební rozpočet" sheetId="1" r:id="rId1"/>
    <sheet name="Rozpočet - Jen skupiny" sheetId="2" r:id="rId2"/>
    <sheet name="Stavební rozpočet - součet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<sst xmlns="http://schemas.openxmlformats.org/spreadsheetml/2006/main" count="2080" uniqueCount="660">
  <si>
    <t>92</t>
  </si>
  <si>
    <t>Svislé a kompletní konstrukce</t>
  </si>
  <si>
    <t>Demontáž záklopů z hrubých prken tl. do 3,2 cm</t>
  </si>
  <si>
    <t>včetně dodávky zásuvky a rámečku</t>
  </si>
  <si>
    <t>Doba výstavby:</t>
  </si>
  <si>
    <t>Projektant</t>
  </si>
  <si>
    <t>67</t>
  </si>
  <si>
    <t>210110041RT6</t>
  </si>
  <si>
    <t>998721102R00</t>
  </si>
  <si>
    <t>M22</t>
  </si>
  <si>
    <t>Základ 15%</t>
  </si>
  <si>
    <t>Malby</t>
  </si>
  <si>
    <t>713111130RT1</t>
  </si>
  <si>
    <t>Svítidlo nástěnné LED 15W, ozn.E</t>
  </si>
  <si>
    <t>103</t>
  </si>
  <si>
    <t>27.12.2022</t>
  </si>
  <si>
    <t>35822002417</t>
  </si>
  <si>
    <t>91</t>
  </si>
  <si>
    <t>650101665R00</t>
  </si>
  <si>
    <t>87</t>
  </si>
  <si>
    <t>Základ 21%</t>
  </si>
  <si>
    <t>Zárubeň ocelová HSE "U" 150, 600x1970 L, P</t>
  </si>
  <si>
    <t>Chránič proudový LS-FI 40/4/0,003</t>
  </si>
  <si>
    <t>20</t>
  </si>
  <si>
    <t>Dodávka</t>
  </si>
  <si>
    <t>NUS celkem z obj.</t>
  </si>
  <si>
    <t>3_</t>
  </si>
  <si>
    <t>Náklady (Kč) - celkem</t>
  </si>
  <si>
    <t>Zkouška těsnosti kanalizace vodou DN 125 mm</t>
  </si>
  <si>
    <t>72_</t>
  </si>
  <si>
    <t>Dokončovací práce</t>
  </si>
  <si>
    <t>147</t>
  </si>
  <si>
    <t>Název stavby:</t>
  </si>
  <si>
    <t>Ostatní materiál</t>
  </si>
  <si>
    <t>48</t>
  </si>
  <si>
    <t>29</t>
  </si>
  <si>
    <t>Č</t>
  </si>
  <si>
    <t>tloušťka 20 mm-S1</t>
  </si>
  <si>
    <t>Poznámka:</t>
  </si>
  <si>
    <t>Přesun hmot pro vnitřní vodovod, výšky do 12 m</t>
  </si>
  <si>
    <t>762810110RAC</t>
  </si>
  <si>
    <t>Lokalita:</t>
  </si>
  <si>
    <t>79</t>
  </si>
  <si>
    <t>Izolace</t>
  </si>
  <si>
    <t>71</t>
  </si>
  <si>
    <t>16</t>
  </si>
  <si>
    <t>PSV</t>
  </si>
  <si>
    <t>24</t>
  </si>
  <si>
    <t>713120010RAB</t>
  </si>
  <si>
    <t>Bez pevné podl.</t>
  </si>
  <si>
    <t>Celkem</t>
  </si>
  <si>
    <t>Zařízení staveniště</t>
  </si>
  <si>
    <t>28410301</t>
  </si>
  <si>
    <t>631591115R00</t>
  </si>
  <si>
    <t>766_</t>
  </si>
  <si>
    <t>Přesun hmot pro izolace tepelné, výšky do 12 m</t>
  </si>
  <si>
    <t>978012191R00</t>
  </si>
  <si>
    <t>766666112R00</t>
  </si>
  <si>
    <t>Svislá doprava suti a vybouraných hmot shozem</t>
  </si>
  <si>
    <t>4</t>
  </si>
  <si>
    <t>97</t>
  </si>
  <si>
    <t>121</t>
  </si>
  <si>
    <t>94</t>
  </si>
  <si>
    <t>900      R00</t>
  </si>
  <si>
    <t>Přesun hmot pro truhlářské konstr., výšky do 12 m</t>
  </si>
  <si>
    <t>650063611R00</t>
  </si>
  <si>
    <t>145</t>
  </si>
  <si>
    <t>60</t>
  </si>
  <si>
    <t>Dveře vnitřní CPL 0,2 KLASIK plné 1kř. 80x197 cm</t>
  </si>
  <si>
    <t>Základní rozpočtové náklady</t>
  </si>
  <si>
    <t>998713102R00</t>
  </si>
  <si>
    <t>650122617RT2</t>
  </si>
  <si>
    <t>26</t>
  </si>
  <si>
    <t>6_</t>
  </si>
  <si>
    <t>105</t>
  </si>
  <si>
    <t>965200021RAB</t>
  </si>
  <si>
    <t>135</t>
  </si>
  <si>
    <t>342264051RT2</t>
  </si>
  <si>
    <t>Město Stochov</t>
  </si>
  <si>
    <t>Zárubeň ocelová HSE "U" 100, 800x1970 L, P</t>
  </si>
  <si>
    <t>Celkem bez DPH</t>
  </si>
  <si>
    <t>122</t>
  </si>
  <si>
    <t>722170911R00</t>
  </si>
  <si>
    <t>včetně dodávky kabelu</t>
  </si>
  <si>
    <t>642942212RT2</t>
  </si>
  <si>
    <t>Zakování dveří 2křídlých kompletizovaných</t>
  </si>
  <si>
    <t>138</t>
  </si>
  <si>
    <t>M21</t>
  </si>
  <si>
    <t>721_</t>
  </si>
  <si>
    <t>Podlaha povlaková z PVC pásů, soklík</t>
  </si>
  <si>
    <t>725100002RA0</t>
  </si>
  <si>
    <t>722290234R00</t>
  </si>
  <si>
    <t>6</t>
  </si>
  <si>
    <t>Rozpočtové náklady v Kč</t>
  </si>
  <si>
    <t>68</t>
  </si>
  <si>
    <t>Dřez, baterie, zápachová uzávěrka</t>
  </si>
  <si>
    <t>81</t>
  </si>
  <si>
    <t>766661422R00</t>
  </si>
  <si>
    <t>Bourání mazanin betonových tl. 10 cm, nad 4 m2</t>
  </si>
  <si>
    <t>210800105RT1</t>
  </si>
  <si>
    <t>B</t>
  </si>
  <si>
    <t>119</t>
  </si>
  <si>
    <t>Náklady na umístění stavby (NUS)</t>
  </si>
  <si>
    <t>Zdravotně technické instalace</t>
  </si>
  <si>
    <t>Osazení zárubní dveřních ocelových, pl. do 4,5 m2</t>
  </si>
  <si>
    <t>42</t>
  </si>
  <si>
    <t>82</t>
  </si>
  <si>
    <t>Přizdívky z desek Ytong tl. 100 mm</t>
  </si>
  <si>
    <t>Montáž</t>
  </si>
  <si>
    <t>342948111R00</t>
  </si>
  <si>
    <t>342261112RT1</t>
  </si>
  <si>
    <t>Datum, razítko a podpis</t>
  </si>
  <si>
    <t>Spojovací prostředky pro montáž stropů</t>
  </si>
  <si>
    <t>776_</t>
  </si>
  <si>
    <t>ZRN celkem</t>
  </si>
  <si>
    <t>Rozvodnice doplnění RS</t>
  </si>
  <si>
    <t>968072455R00</t>
  </si>
  <si>
    <t>725860109R00</t>
  </si>
  <si>
    <t>358890406</t>
  </si>
  <si>
    <t>346275113R00</t>
  </si>
  <si>
    <t>631361921RT9</t>
  </si>
  <si>
    <t>979082121R00</t>
  </si>
  <si>
    <t>včetně dodávky vodiče H07V-U (CY) 6 mm2</t>
  </si>
  <si>
    <t>Položení separační fólie</t>
  </si>
  <si>
    <t>Dokončení okování dveří,oc.zárub.,posuvných 1kříd</t>
  </si>
  <si>
    <t>Odstranění násypů pod podlahami a na střechách</t>
  </si>
  <si>
    <t>69</t>
  </si>
  <si>
    <t>141</t>
  </si>
  <si>
    <t>Poplatek za uložení suti - směs betonu, cihel, dřeva, skupina odpadu 170904</t>
  </si>
  <si>
    <t>Dveřní kování - dle výběru</t>
  </si>
  <si>
    <t>33</t>
  </si>
  <si>
    <t>DPH 15%</t>
  </si>
  <si>
    <t>včetně dodávky kabelu AYKY</t>
  </si>
  <si>
    <t>78</t>
  </si>
  <si>
    <t>Ukotvení příček k cihelné konstrukci kotvami na hmoždinky</t>
  </si>
  <si>
    <t>Krycí list slepého rozpočtu</t>
  </si>
  <si>
    <t>120</t>
  </si>
  <si>
    <t>63</t>
  </si>
  <si>
    <t>Montáž rámečku</t>
  </si>
  <si>
    <t>Stěny a příčky</t>
  </si>
  <si>
    <t>Dveře vnitřní CPL 0,2 KLASIK plné 1kř. 60x197 cm</t>
  </si>
  <si>
    <t>Položení podlah. desek ve dvou vrstvách šroubovan.</t>
  </si>
  <si>
    <t>77_</t>
  </si>
  <si>
    <t>Konstrukce</t>
  </si>
  <si>
    <t>137</t>
  </si>
  <si>
    <t>25</t>
  </si>
  <si>
    <t>kus</t>
  </si>
  <si>
    <t>Dodávky</t>
  </si>
  <si>
    <t>soustava</t>
  </si>
  <si>
    <t>650071111R00</t>
  </si>
  <si>
    <t>Vnitrostaveništní doprava suti do 10 m</t>
  </si>
  <si>
    <t>Ostatní mat.</t>
  </si>
  <si>
    <t>941955001R00</t>
  </si>
  <si>
    <t>130</t>
  </si>
  <si>
    <t>prkna tloušťky 32 mm-S3</t>
  </si>
  <si>
    <t>Cenová</t>
  </si>
  <si>
    <t>desky protipožární tl. 12,5 mm, bez izolace</t>
  </si>
  <si>
    <t>Montáž kliky a štítku</t>
  </si>
  <si>
    <t>133</t>
  </si>
  <si>
    <t>Revize</t>
  </si>
  <si>
    <t>HSV prac</t>
  </si>
  <si>
    <t>725534223R00</t>
  </si>
  <si>
    <t>139</t>
  </si>
  <si>
    <t>60725033</t>
  </si>
  <si>
    <t>129</t>
  </si>
  <si>
    <t>Příplatek za dalších započatých 1000 m nad 6000 m</t>
  </si>
  <si>
    <t>Elektroinstalace</t>
  </si>
  <si>
    <t>Oprava stropu - sondy, kontrola stropních trámů</t>
  </si>
  <si>
    <t>Výkup kovů - železný šrot tl. nad 4 mm</t>
  </si>
  <si>
    <t>S1,S2</t>
  </si>
  <si>
    <t>13</t>
  </si>
  <si>
    <t>"M"</t>
  </si>
  <si>
    <t>Montáž LED reflektoru v liště s difuzorem</t>
  </si>
  <si>
    <t>včetně dodávky PE fólie-S1</t>
  </si>
  <si>
    <t>Štuk na stěnách vnitřní Cemix 033, ručně</t>
  </si>
  <si>
    <t>140</t>
  </si>
  <si>
    <t>97_</t>
  </si>
  <si>
    <t>650101521R00</t>
  </si>
  <si>
    <t>jednostranné pouzdro 1000/1970 mm</t>
  </si>
  <si>
    <t>Vyčištění budov o výšce podlaží do 4 m</t>
  </si>
  <si>
    <t>Cena/MJ</t>
  </si>
  <si>
    <t>Konec výstavby:</t>
  </si>
  <si>
    <t>Dřevěné vnitřní samonosné schodiště - repase+nové madlo</t>
  </si>
  <si>
    <t>127</t>
  </si>
  <si>
    <t>Pouzdro pro posuvné dveře jednostranné, do SDK</t>
  </si>
  <si>
    <t>998766102R00</t>
  </si>
  <si>
    <t>784191101R00</t>
  </si>
  <si>
    <t>Kód</t>
  </si>
  <si>
    <t>S</t>
  </si>
  <si>
    <t>Svítidlo LED 21W, IP20, ozn.B</t>
  </si>
  <si>
    <t>43</t>
  </si>
  <si>
    <t>979951112R00</t>
  </si>
  <si>
    <t>1 vrstva - materiál ve specifikaci</t>
  </si>
  <si>
    <t>61169704</t>
  </si>
  <si>
    <t>Slepý stavební rozpočet - Jen skupiny</t>
  </si>
  <si>
    <t>Spínač zapuštěný seriový, řazení 5</t>
  </si>
  <si>
    <t>Lešení lehké pomocné, výška podlahy do 1,2 m</t>
  </si>
  <si>
    <t>soubor</t>
  </si>
  <si>
    <t>MJ</t>
  </si>
  <si>
    <t>45</t>
  </si>
  <si>
    <t>40</t>
  </si>
  <si>
    <t>Montáž stykače pomocného do 40 A</t>
  </si>
  <si>
    <t>Stavební úpravy - Muzeum Stochov - výstavní prostory 2.NP</t>
  </si>
  <si>
    <t>905      R01</t>
  </si>
  <si>
    <t>Dveře posuvné do pouzdra UNO 100x200 cm</t>
  </si>
  <si>
    <t>9_</t>
  </si>
  <si>
    <t>Montáž LED svítidla nástěnného přisazeného</t>
  </si>
  <si>
    <t>Doplňkové náklady</t>
  </si>
  <si>
    <t>132</t>
  </si>
  <si>
    <t>PSV prac</t>
  </si>
  <si>
    <t>HSV</t>
  </si>
  <si>
    <t>prkna tloušťky 32 mm-S1</t>
  </si>
  <si>
    <t>9</t>
  </si>
  <si>
    <t>143</t>
  </si>
  <si>
    <t>104</t>
  </si>
  <si>
    <t>28375342</t>
  </si>
  <si>
    <t>15</t>
  </si>
  <si>
    <t>210120561R00</t>
  </si>
  <si>
    <t>95</t>
  </si>
  <si>
    <t>ISWORK</t>
  </si>
  <si>
    <t>Celkem včetně DPH</t>
  </si>
  <si>
    <t>Zkouška tlaku potrubí závitového DN 50 mm</t>
  </si>
  <si>
    <t>999281108R00</t>
  </si>
  <si>
    <t>142</t>
  </si>
  <si>
    <t>Základ 0%</t>
  </si>
  <si>
    <t>611601206</t>
  </si>
  <si>
    <t>S_</t>
  </si>
  <si>
    <t>721176103R00</t>
  </si>
  <si>
    <t>766</t>
  </si>
  <si>
    <t>52</t>
  </si>
  <si>
    <t>118</t>
  </si>
  <si>
    <t>Násyp pod podlahy z keramzitu</t>
  </si>
  <si>
    <t>210110045RT6</t>
  </si>
  <si>
    <t>Montáž dveří dvoukřídlových šířky 125 cm</t>
  </si>
  <si>
    <t>51</t>
  </si>
  <si>
    <t>Provedení opravy vnitřní kanalizace, potrubí plastové, vsazení odbočky, D 50 mm</t>
  </si>
  <si>
    <t>Přesuny sutí</t>
  </si>
  <si>
    <t>721170905R00</t>
  </si>
  <si>
    <t>Mont prac</t>
  </si>
  <si>
    <t>44</t>
  </si>
  <si>
    <t>21011111VD</t>
  </si>
  <si>
    <t>78_</t>
  </si>
  <si>
    <t>h</t>
  </si>
  <si>
    <t>Potrubí HT připojovací, D 50 x 1,8 mm</t>
  </si>
  <si>
    <t>včetně dodávky zárubně  800/100</t>
  </si>
  <si>
    <t>vnitřní průměr 20 mm</t>
  </si>
  <si>
    <t>776511820RT2</t>
  </si>
  <si>
    <t>23</t>
  </si>
  <si>
    <t>725_</t>
  </si>
  <si>
    <t>35822002416</t>
  </si>
  <si>
    <t>128</t>
  </si>
  <si>
    <t>59</t>
  </si>
  <si>
    <t>3481410802</t>
  </si>
  <si>
    <t>109</t>
  </si>
  <si>
    <t>Hzs-provedení výchozí revize a vypracování revizní zprávy</t>
  </si>
  <si>
    <t>t</t>
  </si>
  <si>
    <t>117</t>
  </si>
  <si>
    <t> </t>
  </si>
  <si>
    <t>53</t>
  </si>
  <si>
    <t>Zárubeň ocelová S 100 DV 1250x1970x100</t>
  </si>
  <si>
    <t>Konstrukce truhlářské</t>
  </si>
  <si>
    <t>99</t>
  </si>
  <si>
    <t>107</t>
  </si>
  <si>
    <t>762895000R00</t>
  </si>
  <si>
    <t>776520010RAI</t>
  </si>
  <si>
    <t>602011141RT1</t>
  </si>
  <si>
    <t>125</t>
  </si>
  <si>
    <t>JKSO:</t>
  </si>
  <si>
    <t>Dveře vnitřní CPL 0,2 KLASIK plné 2kř. 125x197 cm</t>
  </si>
  <si>
    <t>210111011RT6</t>
  </si>
  <si>
    <t>7661111VD</t>
  </si>
  <si>
    <t>85</t>
  </si>
  <si>
    <t>64</t>
  </si>
  <si>
    <t>Rámeček přístrojový jednonásobný</t>
  </si>
  <si>
    <t>Příplatek k vnitrost. dopravě suti za dalších 5 m</t>
  </si>
  <si>
    <t>Náklady (Kč) - dodávka</t>
  </si>
  <si>
    <t>včetně dodávky KU 68-1901 bez víčka</t>
  </si>
  <si>
    <t>311230012RA0</t>
  </si>
  <si>
    <t>77</t>
  </si>
  <si>
    <t>Varianta:</t>
  </si>
  <si>
    <t>DN celkem</t>
  </si>
  <si>
    <t>zárubně</t>
  </si>
  <si>
    <t>H99_</t>
  </si>
  <si>
    <t>642942221R00</t>
  </si>
  <si>
    <t>210010311RT3</t>
  </si>
  <si>
    <t>766660014RA0</t>
  </si>
  <si>
    <t>Stochov, nám.u dubu 30, parc.č.3, k.ú.Stochov</t>
  </si>
  <si>
    <t>429853066</t>
  </si>
  <si>
    <t>116</t>
  </si>
  <si>
    <t>GROUPCODE</t>
  </si>
  <si>
    <t>146</t>
  </si>
  <si>
    <t>35821101</t>
  </si>
  <si>
    <t>0</t>
  </si>
  <si>
    <t>vč. dodávky strojku, rámečku a krytu</t>
  </si>
  <si>
    <t>Kabel CYKY 750 V 3Cx2,5 mm2 uložený pod omítkou</t>
  </si>
  <si>
    <t>Provozní vlivy</t>
  </si>
  <si>
    <t>5</t>
  </si>
  <si>
    <t>76_</t>
  </si>
  <si>
    <t>Výztuž mazanin svařovanou sítí</t>
  </si>
  <si>
    <t>Potrubí plastové PP-R Instaplast, včetně zednických výpomocí, D 20 x 2,8 mm, PN 16</t>
  </si>
  <si>
    <t>Dodávka+montáž</t>
  </si>
  <si>
    <t>Montáž dveří posuvných, osazení závěsu, 1kř.</t>
  </si>
  <si>
    <t>144</t>
  </si>
  <si>
    <t>Svítidlo nouzové s vlastním zdrojem</t>
  </si>
  <si>
    <t>Druh stavby:</t>
  </si>
  <si>
    <t>Montáž dveří protipožárních 1kříd. nad 80 cm</t>
  </si>
  <si>
    <t>Deska z minerální plsti ORSIK tl. 1200 x 600 x 200 mm</t>
  </si>
  <si>
    <t>784</t>
  </si>
  <si>
    <t>96</t>
  </si>
  <si>
    <t>Vybourání kovových dveřních zárubní pl. do 2 m2</t>
  </si>
  <si>
    <t>včetně dodávky KU 68-1902 s víčkem</t>
  </si>
  <si>
    <t>Zpracováno dne:</t>
  </si>
  <si>
    <t>Vybourání otv. zeď cihel. pl. 4 m2, tl. 30 cm, MC</t>
  </si>
  <si>
    <t>776590010RAI</t>
  </si>
  <si>
    <t>HZS - ostatní práce v rozpočtu nespecifikované</t>
  </si>
  <si>
    <t>971035641R00</t>
  </si>
  <si>
    <t>968072456R00</t>
  </si>
  <si>
    <t>pouze lepení, podlahovina ve specifikaci</t>
  </si>
  <si>
    <t>611601203</t>
  </si>
  <si>
    <t>tloušťka vrstvy 2 mm</t>
  </si>
  <si>
    <t>pouze položení - podložka ve specifikaci</t>
  </si>
  <si>
    <t>210999VD</t>
  </si>
  <si>
    <t>Jistič jednopólový do 25 A se zapojením</t>
  </si>
  <si>
    <t>10</t>
  </si>
  <si>
    <t>631310032RA0</t>
  </si>
  <si>
    <t>965042141RT1</t>
  </si>
  <si>
    <t>58</t>
  </si>
  <si>
    <t>S2</t>
  </si>
  <si>
    <t>36</t>
  </si>
  <si>
    <t>34800600.V</t>
  </si>
  <si>
    <t>998776102R00</t>
  </si>
  <si>
    <t>14</t>
  </si>
  <si>
    <t>31</t>
  </si>
  <si>
    <t>Zařizovací předměty</t>
  </si>
  <si>
    <t>84</t>
  </si>
  <si>
    <t>612425931R00</t>
  </si>
  <si>
    <t>Malba Primalex Plus, bílá, bez penetrace, 2 x</t>
  </si>
  <si>
    <t>Staveništní přesuny hmot</t>
  </si>
  <si>
    <t>Množství</t>
  </si>
  <si>
    <t>Spínač zapuštěný střídavý, řazení 6</t>
  </si>
  <si>
    <t>38</t>
  </si>
  <si>
    <t>Podlaha lepená Vinyl Concept 908x2020x2 mm</t>
  </si>
  <si>
    <t>95_</t>
  </si>
  <si>
    <t>Přesun hmot pro podlahy povlakové, výšky do 12 m</t>
  </si>
  <si>
    <t>722290226R00</t>
  </si>
  <si>
    <t>979990107R00</t>
  </si>
  <si>
    <t>Zásuvka domovní jednoduchá</t>
  </si>
  <si>
    <t>Vnitřní vodovod</t>
  </si>
  <si>
    <t>Typ skupiny</t>
  </si>
  <si>
    <t>73</t>
  </si>
  <si>
    <t>762</t>
  </si>
  <si>
    <t>Úpravy povrchů a osazování výplní otvorů</t>
  </si>
  <si>
    <t>3481410801</t>
  </si>
  <si>
    <t>762_</t>
  </si>
  <si>
    <t>61_</t>
  </si>
  <si>
    <t>56</t>
  </si>
  <si>
    <t>28410302</t>
  </si>
  <si>
    <t>722_</t>
  </si>
  <si>
    <t>766699VD</t>
  </si>
  <si>
    <t>19</t>
  </si>
  <si>
    <t>C</t>
  </si>
  <si>
    <t>Náklady (Kč)</t>
  </si>
  <si>
    <t>721</t>
  </si>
  <si>
    <t>110</t>
  </si>
  <si>
    <t>39</t>
  </si>
  <si>
    <t>30</t>
  </si>
  <si>
    <t>54914621</t>
  </si>
  <si>
    <t>IČO/DIČ:</t>
  </si>
  <si>
    <t>Uložení vodiče Cu 6 mm2 volně</t>
  </si>
  <si>
    <t>Ostatní</t>
  </si>
  <si>
    <t>86</t>
  </si>
  <si>
    <t>Montáž dveří jednokřídlových šířky 80 cm</t>
  </si>
  <si>
    <t>55</t>
  </si>
  <si>
    <t>Podlahy povlakové</t>
  </si>
  <si>
    <t>Zpracoval:</t>
  </si>
  <si>
    <t>Vodorovné přemístění suti na skládku do 6000 m</t>
  </si>
  <si>
    <t>Výlevka závěsná MIRA s plastovou mřížkou</t>
  </si>
  <si>
    <t>76</t>
  </si>
  <si>
    <t>Jistič trojpólový do 80 A se zapojením - montáž</t>
  </si>
  <si>
    <t>Baterie výlevka stojánková</t>
  </si>
  <si>
    <t>Dle výběrového řízení</t>
  </si>
  <si>
    <t>KY 80, drát d 8,0 mm, oko 150 x 150 mm</t>
  </si>
  <si>
    <t>Pomocný stykač R40/20</t>
  </si>
  <si>
    <t>64_</t>
  </si>
  <si>
    <t>Zhotovitel</t>
  </si>
  <si>
    <t>vč.naložení a složení</t>
  </si>
  <si>
    <t>762595000R00</t>
  </si>
  <si>
    <t>979083191R00</t>
  </si>
  <si>
    <t>766660010RA0</t>
  </si>
  <si>
    <t>2</t>
  </si>
  <si>
    <t>Projektant:</t>
  </si>
  <si>
    <t>776583110RT1</t>
  </si>
  <si>
    <t>ORN celkem</t>
  </si>
  <si>
    <t>Zkrácený popis / Varianta</t>
  </si>
  <si>
    <t/>
  </si>
  <si>
    <t>Oprava plastového potrubí, vsazení odbočky D 32 mm</t>
  </si>
  <si>
    <t>Zásuvka domovní jednoduchá IP 44</t>
  </si>
  <si>
    <t>17</t>
  </si>
  <si>
    <t>210800106RT1</t>
  </si>
  <si>
    <t>ručně tl. mazaniny 5 - 8 cm-S2</t>
  </si>
  <si>
    <t>98</t>
  </si>
  <si>
    <t>112</t>
  </si>
  <si>
    <t>Lešení a stavební výtahy</t>
  </si>
  <si>
    <t>Vysekání rýh ve zdi cihelné 7 x 15 cm</t>
  </si>
  <si>
    <t>21</t>
  </si>
  <si>
    <t>Podlahy</t>
  </si>
  <si>
    <t>34_</t>
  </si>
  <si>
    <t>Kabel CYKY 750 V 3Cx1,5 mm2 uložený pod omítkou</t>
  </si>
  <si>
    <t>Úprava povrchů vnitřní</t>
  </si>
  <si>
    <t>Práce přesčas</t>
  </si>
  <si>
    <t>Mazanina z betonu C 16/20, tloušťka 10 cm</t>
  </si>
  <si>
    <t>31_</t>
  </si>
  <si>
    <t>713191100RT9</t>
  </si>
  <si>
    <t>Montáž dveří jednokřídlových šířky 60 cm</t>
  </si>
  <si>
    <t>766660022RA0</t>
  </si>
  <si>
    <t>61</t>
  </si>
  <si>
    <t>Zazdění niky z cihel pálených plných na MVC</t>
  </si>
  <si>
    <t>Proplach a dezinfekce vodovodního potrubí DN 80 mm</t>
  </si>
  <si>
    <t>126</t>
  </si>
  <si>
    <t>124</t>
  </si>
  <si>
    <t>767642110R00</t>
  </si>
  <si>
    <t>12</t>
  </si>
  <si>
    <t>Zárubeň ocelová HSE "U" 150, 800x1970 L, P</t>
  </si>
  <si>
    <t>Kulturní památka</t>
  </si>
  <si>
    <t>Objekt</t>
  </si>
  <si>
    <t>Různé dokončovací konstrukce a práce na pozemních stavbách</t>
  </si>
  <si>
    <t>Bourání konstrukcí</t>
  </si>
  <si>
    <t>LED panel 50W, IP20, ozn.A</t>
  </si>
  <si>
    <t>Izolace návleková MIRELON PRO tl. stěny 9 mm</t>
  </si>
  <si>
    <t>974031144R00</t>
  </si>
  <si>
    <t>DPH 21%</t>
  </si>
  <si>
    <t>968061125R00</t>
  </si>
  <si>
    <t>134</t>
  </si>
  <si>
    <t>Ing.arch. Karel  Albrecht</t>
  </si>
  <si>
    <t>Elektromontáže</t>
  </si>
  <si>
    <t>Vysávání podlah prům.vysavačem pod povlak.podlahy</t>
  </si>
  <si>
    <t>342270044RA0</t>
  </si>
  <si>
    <t>979990181R00</t>
  </si>
  <si>
    <t>998762102R00</t>
  </si>
  <si>
    <t>_</t>
  </si>
  <si>
    <t>Přesun hmot pro vnitřní kanalizaci, výšky do 12 m</t>
  </si>
  <si>
    <t>kpl</t>
  </si>
  <si>
    <t>ORN celkem z obj.</t>
  </si>
  <si>
    <t>553310762</t>
  </si>
  <si>
    <t>Otlučení omítek vnitřních rákosov.stropů do 100 %</t>
  </si>
  <si>
    <t>210110043RT6</t>
  </si>
  <si>
    <t>49</t>
  </si>
  <si>
    <t>72</t>
  </si>
  <si>
    <t>Příplatek za stržení povrchu mazaniny tl. 12 cm</t>
  </si>
  <si>
    <t xml:space="preserve">S2
</t>
  </si>
  <si>
    <t>713_</t>
  </si>
  <si>
    <t>Přesuny</t>
  </si>
  <si>
    <t>MAT</t>
  </si>
  <si>
    <t>979011321R00</t>
  </si>
  <si>
    <t>998725102R00</t>
  </si>
  <si>
    <t>70</t>
  </si>
  <si>
    <t>766670021R00</t>
  </si>
  <si>
    <t>776</t>
  </si>
  <si>
    <t>979083117R00</t>
  </si>
  <si>
    <t>8</t>
  </si>
  <si>
    <t>Celkem:</t>
  </si>
  <si>
    <t>Mimostav. doprava</t>
  </si>
  <si>
    <t>Uzávěrka zápachová výlevka</t>
  </si>
  <si>
    <t>18</t>
  </si>
  <si>
    <t>DN celkem z obj.</t>
  </si>
  <si>
    <t>desky standard tl. 12,5 mm, izol. minerál tl. 5 cm</t>
  </si>
  <si>
    <t>46</t>
  </si>
  <si>
    <t>Kuchyňská linka vč.lednice</t>
  </si>
  <si>
    <t>včetně dodávky ocelových prvků 100/50 - SDK příčka</t>
  </si>
  <si>
    <t>713</t>
  </si>
  <si>
    <t>776101101R00</t>
  </si>
  <si>
    <t>Jistič do 80 A 1 pól. charakteristika B, LTN-6B-1</t>
  </si>
  <si>
    <t>71_</t>
  </si>
  <si>
    <t>722172311R00</t>
  </si>
  <si>
    <t>Elektroinstalace - třífázové lišty</t>
  </si>
  <si>
    <t>348284382</t>
  </si>
  <si>
    <t>100</t>
  </si>
  <si>
    <t>108</t>
  </si>
  <si>
    <t>50</t>
  </si>
  <si>
    <t>Montáž a demontáž shozu za 2.NP</t>
  </si>
  <si>
    <t>m</t>
  </si>
  <si>
    <t>Montáž tepelné izolace stropů rovných spodem, vložená mezi trámy</t>
  </si>
  <si>
    <t>Slepý stavební rozpočet - rekapitulace</t>
  </si>
  <si>
    <t>11</t>
  </si>
  <si>
    <t>RTS II / 2022</t>
  </si>
  <si>
    <t>32</t>
  </si>
  <si>
    <t>721290111R00</t>
  </si>
  <si>
    <t>Kabel CYKY 750 V 3Ax1,5 mm2 uložený pod omítkou</t>
  </si>
  <si>
    <t>Objednatel:</t>
  </si>
  <si>
    <t>35822001012</t>
  </si>
  <si>
    <t>998722102R00</t>
  </si>
  <si>
    <t>210901090RT1</t>
  </si>
  <si>
    <t>611653603</t>
  </si>
  <si>
    <t>PSV mat</t>
  </si>
  <si>
    <t>650101931R00</t>
  </si>
  <si>
    <t>Izolace tepelné</t>
  </si>
  <si>
    <t>Vybourání kovových dveřních zárubní pl. nad 2 m2</t>
  </si>
  <si>
    <t>Osazení ocelových profilů do č.12</t>
  </si>
  <si>
    <t>3</t>
  </si>
  <si>
    <t>Rámeček přístrojový dvojnásobný</t>
  </si>
  <si>
    <t>Podhled sádrokartonový na zavěšenou ocel. konstr.</t>
  </si>
  <si>
    <t>102</t>
  </si>
  <si>
    <t>Oprava vápen.omítek stěn do 50 % pl. - štukových</t>
  </si>
  <si>
    <t>Zhotovitel:</t>
  </si>
  <si>
    <t>553310732</t>
  </si>
  <si>
    <t>vč.prahu</t>
  </si>
  <si>
    <t>642942111R00</t>
  </si>
  <si>
    <t>Montáž nouzového svítidla</t>
  </si>
  <si>
    <t>96_</t>
  </si>
  <si>
    <t>952901111R00</t>
  </si>
  <si>
    <t>784_</t>
  </si>
  <si>
    <t>35</t>
  </si>
  <si>
    <t>z ploch nad 20 m2</t>
  </si>
  <si>
    <t>M65</t>
  </si>
  <si>
    <t>Začátek výstavby:</t>
  </si>
  <si>
    <t>762811811R00</t>
  </si>
  <si>
    <t>Zakování dveří 1křídlých kompletizovaných</t>
  </si>
  <si>
    <t>Zárubeň ocelová YHtm 150/1970/850 L, P, EI, EW 30</t>
  </si>
  <si>
    <t>A</t>
  </si>
  <si>
    <t>Spínač zapuštěný jednopólový, řazení 1</t>
  </si>
  <si>
    <t>Mont mat</t>
  </si>
  <si>
    <t>722</t>
  </si>
  <si>
    <t>Poplatek za uložení suti - PVC podlahová krytina, skupina odpadu 200307</t>
  </si>
  <si>
    <t>Slepý stavební rozpočet</t>
  </si>
  <si>
    <t>93</t>
  </si>
  <si>
    <t>Osazení zárubní dveřních ocelových, pl. do 2,5 m2</t>
  </si>
  <si>
    <t>210010479R00</t>
  </si>
  <si>
    <t>210120571R00</t>
  </si>
  <si>
    <t>63_</t>
  </si>
  <si>
    <t>642941211RT5</t>
  </si>
  <si>
    <t>Výměna povlakové podlahy schodišť</t>
  </si>
  <si>
    <t>101</t>
  </si>
  <si>
    <t>75</t>
  </si>
  <si>
    <t>Podlaha lepená Vinyl Concept 1220x228x2 mm</t>
  </si>
  <si>
    <t>979011311R00</t>
  </si>
  <si>
    <t>54</t>
  </si>
  <si>
    <t>54914635</t>
  </si>
  <si>
    <t xml:space="preserve"> </t>
  </si>
  <si>
    <t>Selitbloc 1,5mm Grip Tec podložka izolační podlahová</t>
  </si>
  <si>
    <t>136</t>
  </si>
  <si>
    <t>Přesun hmot pro zařizovací předměty, výšky do 12 m</t>
  </si>
  <si>
    <t>123</t>
  </si>
  <si>
    <t>317940010RAA</t>
  </si>
  <si>
    <t>Objednatel</t>
  </si>
  <si>
    <t>650101571R00</t>
  </si>
  <si>
    <t>429853065</t>
  </si>
  <si>
    <t>Záklop z hrubých prken na sraz, impregnovaný</t>
  </si>
  <si>
    <t>Dokončovací práce, demolice</t>
  </si>
  <si>
    <t>57</t>
  </si>
  <si>
    <t>Demontáž podlah bez polštářů z dřevotřísky do 2 cm</t>
  </si>
  <si>
    <t>(Kč)</t>
  </si>
  <si>
    <t>Montáž LED svítidla stropního přisazeného</t>
  </si>
  <si>
    <t>22</t>
  </si>
  <si>
    <t>115</t>
  </si>
  <si>
    <t>Územní vlivy</t>
  </si>
  <si>
    <t>Vyvěšení dřevěných dveřních křídel pl. do 2 m2</t>
  </si>
  <si>
    <t>Zdi podpěrné a volné</t>
  </si>
  <si>
    <t>m3</t>
  </si>
  <si>
    <t>725</t>
  </si>
  <si>
    <t>T</t>
  </si>
  <si>
    <t>5533301326</t>
  </si>
  <si>
    <t>358890501</t>
  </si>
  <si>
    <t>63151379.A</t>
  </si>
  <si>
    <t>766665921R00</t>
  </si>
  <si>
    <t>Datum:</t>
  </si>
  <si>
    <t>27</t>
  </si>
  <si>
    <t>37</t>
  </si>
  <si>
    <t>80</t>
  </si>
  <si>
    <t>z ploch 10 - 20 m2</t>
  </si>
  <si>
    <t>m2</t>
  </si>
  <si>
    <t>41</t>
  </si>
  <si>
    <t>762512125R00</t>
  </si>
  <si>
    <t>Přesun hmot a sutí</t>
  </si>
  <si>
    <t>NUS z rozpočtu</t>
  </si>
  <si>
    <t>Penetrace podkladu univerzální Primalex 1x</t>
  </si>
  <si>
    <t>Chránič proudový OFI-16/2/0,003</t>
  </si>
  <si>
    <t>1</t>
  </si>
  <si>
    <t>č.106</t>
  </si>
  <si>
    <t>7</t>
  </si>
  <si>
    <t>34853203</t>
  </si>
  <si>
    <t>Izolace návleková MIRELON PRO tl. stěny 13 mm</t>
  </si>
  <si>
    <t>Rozměry</t>
  </si>
  <si>
    <t>Práce s přezbrojením rozvaděče</t>
  </si>
  <si>
    <t>Krabice univerzální KU, bez zapojení, kruhová</t>
  </si>
  <si>
    <t>74</t>
  </si>
  <si>
    <t>612421431R00</t>
  </si>
  <si>
    <t>Položek:</t>
  </si>
  <si>
    <t>NUS celkem</t>
  </si>
  <si>
    <t>Podlahy a podlahové konstrukce</t>
  </si>
  <si>
    <t>WORK</t>
  </si>
  <si>
    <t>131</t>
  </si>
  <si>
    <t>722181212RZ6</t>
  </si>
  <si>
    <t>979082111R00</t>
  </si>
  <si>
    <t>Dveřní kování - posuvné dveře</t>
  </si>
  <si>
    <t>S1</t>
  </si>
  <si>
    <t>83</t>
  </si>
  <si>
    <t>766665931R00</t>
  </si>
  <si>
    <t>u schodiště - 2x</t>
  </si>
  <si>
    <t>Výplně otvorů</t>
  </si>
  <si>
    <t>Dodávka+montáž-cena předběžná</t>
  </si>
  <si>
    <t>9531199VD</t>
  </si>
  <si>
    <t>631319173R00</t>
  </si>
  <si>
    <t>114</t>
  </si>
  <si>
    <t>Odstranění PVC a koberců lepených s podložkou</t>
  </si>
  <si>
    <t>725823121RT0</t>
  </si>
  <si>
    <t>47</t>
  </si>
  <si>
    <t>Omítka vápenná vnitřního ostění - štuková</t>
  </si>
  <si>
    <t>210010311RT1</t>
  </si>
  <si>
    <t>725019103R00</t>
  </si>
  <si>
    <t>Montáž chrániče proudového dvoupólového do 25 A</t>
  </si>
  <si>
    <t>HSV mat</t>
  </si>
  <si>
    <t>M21_</t>
  </si>
  <si>
    <t>Kabel protahovací AYKY</t>
  </si>
  <si>
    <t>66</t>
  </si>
  <si>
    <t>Osazení zárubně do sádrokarton. příčky tl. 100 mm</t>
  </si>
  <si>
    <t>pouze položení, podlahovina ve specifikaci</t>
  </si>
  <si>
    <t>776511820RT1</t>
  </si>
  <si>
    <t>pro dveře č.106</t>
  </si>
  <si>
    <t>Konstrukce tesařské</t>
  </si>
  <si>
    <t>H99</t>
  </si>
  <si>
    <t>Příčka z desek Ytong hladkých, tloušťka 15 cm</t>
  </si>
  <si>
    <t>90</t>
  </si>
  <si>
    <t>Deska dřevoštěpková OSB ECO 3 N tl. 15 mm</t>
  </si>
  <si>
    <t>89</t>
  </si>
  <si>
    <t>Přesun hmot pro opravy a údržbu do výšky 12 m</t>
  </si>
  <si>
    <t>Spojovací a ochranné prostředky k položení podlah</t>
  </si>
  <si>
    <t>tloušťka 20 cm-S2</t>
  </si>
  <si>
    <t>642945121R00</t>
  </si>
  <si>
    <t>M65_</t>
  </si>
  <si>
    <t>55330815</t>
  </si>
  <si>
    <t>Přesun hmot pro tesařské konstrukce, výšky do 12 m</t>
  </si>
  <si>
    <t>88</t>
  </si>
  <si>
    <t>722181213RZ6</t>
  </si>
  <si>
    <t>Dveře protipožární profil. plné 1kř. 85x197cm lak</t>
  </si>
  <si>
    <t>Zkrácený popis</t>
  </si>
  <si>
    <t>28</t>
  </si>
  <si>
    <t>111</t>
  </si>
  <si>
    <t>Jistič do 80 A 3 pól. charakterist. B, LSN-32A</t>
  </si>
  <si>
    <t>Ohřívač elek. zásob. závěsný DZ Dražice OKCE 80</t>
  </si>
  <si>
    <t>Izolace podlah kročejová minerální z desek PTS</t>
  </si>
  <si>
    <t>Příčka sádrokarton. ocel.kce, 1x oplášť. tl.100 mm</t>
  </si>
  <si>
    <t>CELK</t>
  </si>
  <si>
    <t>113</t>
  </si>
  <si>
    <t>106</t>
  </si>
  <si>
    <t>M22_</t>
  </si>
  <si>
    <t>94_</t>
  </si>
  <si>
    <t>784195212R00</t>
  </si>
  <si>
    <t>65</t>
  </si>
  <si>
    <t>Prorážení otvorů a ostatní bourací práce</t>
  </si>
  <si>
    <t>611601201</t>
  </si>
  <si>
    <t>Osazení zárubní ocel. požár.1křídl., zazděním</t>
  </si>
  <si>
    <t>34</t>
  </si>
  <si>
    <t>62</t>
  </si>
  <si>
    <t>762526811R00</t>
  </si>
  <si>
    <t>LED reflektor do lišty, ozn.E</t>
  </si>
  <si>
    <t>553310760</t>
  </si>
  <si>
    <t>Jistič do 80 A 3 pól. charakterist. B, LSN-40A</t>
  </si>
  <si>
    <t>Položení podložky pod povlakové podlahy</t>
  </si>
  <si>
    <t>Náklady (Kč) - Montáž</t>
  </si>
  <si>
    <t>Vnitřní kanalizace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</si>
</sst>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6">
    <font>
      <sz val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i/>
      <sz val="10"/>
      <color rgb="FF000000"/>
      <name val="Arial"/>
      <family val="0"/>
    </font>
    <font>
      <b/>
      <sz val="2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1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4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11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4" fontId="48" fillId="0" borderId="16" xfId="0" applyNumberFormat="1" applyFont="1" applyFill="1" applyBorder="1" applyAlignment="1" applyProtection="1">
      <alignment horizontal="right" vertical="center"/>
      <protection/>
    </xf>
    <xf numFmtId="4" fontId="48" fillId="0" borderId="17" xfId="0" applyNumberFormat="1" applyFont="1" applyFill="1" applyBorder="1" applyAlignment="1" applyProtection="1">
      <alignment horizontal="right" vertical="center"/>
      <protection/>
    </xf>
    <xf numFmtId="0" fontId="47" fillId="33" borderId="11" xfId="0" applyNumberFormat="1" applyFont="1" applyFill="1" applyBorder="1" applyAlignment="1" applyProtection="1">
      <alignment horizontal="righ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4" fontId="46" fillId="0" borderId="16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4" fontId="49" fillId="33" borderId="20" xfId="0" applyNumberFormat="1" applyFont="1" applyFill="1" applyBorder="1" applyAlignment="1" applyProtection="1">
      <alignment horizontal="right" vertical="center"/>
      <protection/>
    </xf>
    <xf numFmtId="0" fontId="46" fillId="33" borderId="13" xfId="0" applyNumberFormat="1" applyFont="1" applyFill="1" applyBorder="1" applyAlignment="1" applyProtection="1">
      <alignment horizontal="lef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1" xfId="0" applyNumberFormat="1" applyFont="1" applyFill="1" applyBorder="1" applyAlignment="1" applyProtection="1">
      <alignment horizontal="righ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46" fillId="0" borderId="24" xfId="0" applyNumberFormat="1" applyFont="1" applyFill="1" applyBorder="1" applyAlignment="1" applyProtection="1">
      <alignment horizontal="left" vertical="center"/>
      <protection/>
    </xf>
    <xf numFmtId="0" fontId="46" fillId="33" borderId="13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6" fillId="0" borderId="11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center" vertical="center"/>
      <protection/>
    </xf>
    <xf numFmtId="4" fontId="46" fillId="0" borderId="10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6" fillId="35" borderId="0" xfId="0" applyNumberFormat="1" applyFont="1" applyFill="1" applyBorder="1" applyAlignment="1" applyProtection="1">
      <alignment horizontal="right" vertical="center"/>
      <protection locked="0"/>
    </xf>
    <xf numFmtId="0" fontId="52" fillId="33" borderId="26" xfId="0" applyNumberFormat="1" applyFont="1" applyFill="1" applyBorder="1" applyAlignment="1" applyProtection="1">
      <alignment horizontal="center" vertical="center"/>
      <protection/>
    </xf>
    <xf numFmtId="4" fontId="46" fillId="35" borderId="10" xfId="0" applyNumberFormat="1" applyFont="1" applyFill="1" applyBorder="1" applyAlignment="1" applyProtection="1">
      <alignment horizontal="right" vertical="center"/>
      <protection locked="0"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24" xfId="0" applyNumberFormat="1" applyFont="1" applyFill="1" applyBorder="1" applyAlignment="1" applyProtection="1">
      <alignment horizontal="center" vertical="center"/>
      <protection/>
    </xf>
    <xf numFmtId="4" fontId="49" fillId="33" borderId="16" xfId="0" applyNumberFormat="1" applyFont="1" applyFill="1" applyBorder="1" applyAlignment="1" applyProtection="1">
      <alignment horizontal="right" vertical="center"/>
      <protection/>
    </xf>
    <xf numFmtId="0" fontId="47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4" fontId="48" fillId="0" borderId="20" xfId="0" applyNumberFormat="1" applyFont="1" applyFill="1" applyBorder="1" applyAlignment="1" applyProtection="1">
      <alignment horizontal="right" vertical="center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0" fontId="47" fillId="0" borderId="28" xfId="0" applyNumberFormat="1" applyFont="1" applyFill="1" applyBorder="1" applyAlignment="1" applyProtection="1">
      <alignment horizontal="center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52" fillId="33" borderId="20" xfId="0" applyNumberFormat="1" applyFont="1" applyFill="1" applyBorder="1" applyAlignment="1" applyProtection="1">
      <alignment horizontal="center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30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31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35" borderId="32" xfId="0" applyNumberFormat="1" applyFont="1" applyFill="1" applyBorder="1" applyAlignment="1" applyProtection="1">
      <alignment horizontal="left" vertical="center"/>
      <protection locked="0"/>
    </xf>
    <xf numFmtId="0" fontId="46" fillId="35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33" xfId="0" applyNumberFormat="1" applyFont="1" applyFill="1" applyBorder="1" applyAlignment="1" applyProtection="1">
      <alignment horizontal="left" vertical="center"/>
      <protection/>
    </xf>
    <xf numFmtId="0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46" fillId="35" borderId="11" xfId="0" applyNumberFormat="1" applyFont="1" applyFill="1" applyBorder="1" applyAlignment="1" applyProtection="1">
      <alignment horizontal="left" vertical="center"/>
      <protection locked="0"/>
    </xf>
    <xf numFmtId="0" fontId="47" fillId="0" borderId="28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29" xfId="0" applyNumberFormat="1" applyFont="1" applyFill="1" applyBorder="1" applyAlignment="1" applyProtection="1">
      <alignment horizontal="left" vertical="center"/>
      <protection/>
    </xf>
    <xf numFmtId="0" fontId="47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center" vertical="center"/>
      <protection/>
    </xf>
    <xf numFmtId="0" fontId="47" fillId="0" borderId="35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35" borderId="0" xfId="0" applyNumberFormat="1" applyFont="1" applyFill="1" applyBorder="1" applyAlignment="1" applyProtection="1">
      <alignment horizontal="left" vertical="center"/>
      <protection locked="0"/>
    </xf>
    <xf numFmtId="0" fontId="51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6" fillId="0" borderId="33" xfId="0" applyNumberFormat="1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1" fontId="46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37" xfId="0" applyNumberFormat="1" applyFont="1" applyFill="1" applyBorder="1" applyAlignment="1" applyProtection="1">
      <alignment horizontal="left" vertical="center"/>
      <protection/>
    </xf>
    <xf numFmtId="0" fontId="55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38" xfId="0" applyNumberFormat="1" applyFont="1" applyFill="1" applyBorder="1" applyAlignment="1" applyProtection="1">
      <alignment horizontal="lef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33" borderId="38" xfId="0" applyNumberFormat="1" applyFont="1" applyFill="1" applyBorder="1" applyAlignment="1" applyProtection="1">
      <alignment horizontal="left" vertical="center"/>
      <protection/>
    </xf>
    <xf numFmtId="0" fontId="49" fillId="33" borderId="37" xfId="0" applyNumberFormat="1" applyFont="1" applyFill="1" applyBorder="1" applyAlignment="1" applyProtection="1">
      <alignment horizontal="left" vertical="center"/>
      <protection/>
    </xf>
    <xf numFmtId="0" fontId="49" fillId="33" borderId="14" xfId="0" applyNumberFormat="1" applyFont="1" applyFill="1" applyBorder="1" applyAlignment="1" applyProtection="1">
      <alignment horizontal="left" vertical="center"/>
      <protection/>
    </xf>
    <xf numFmtId="0" fontId="49" fillId="33" borderId="10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285750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6"/>
  <sheetViews>
    <sheetView tabSelected="1" showOutlineSymbols="0" zoomScalePageLayoutView="0" workbookViewId="0" topLeftCell="A1">
      <pane ySplit="11" topLeftCell="A12" activePane="bottomLeft" state="frozen"/>
      <selection pane="topLeft" activeCell="A236" sqref="A236:M236"/>
      <selection pane="bottomLeft" activeCell="A1" sqref="A1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82.33203125" style="0" customWidth="1"/>
    <col min="5" max="6" width="14.16015625" style="0" customWidth="1"/>
    <col min="7" max="7" width="7.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74" width="14.16015625" style="0" hidden="1" customWidth="1"/>
  </cols>
  <sheetData>
    <row r="1" spans="1:13" ht="54.75" customHeight="1">
      <c r="A1" s="63" t="s">
        <v>523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>
      <c r="A2" s="64" t="s">
        <v>32</v>
      </c>
      <c r="B2" s="65"/>
      <c r="C2" s="71" t="s">
        <v>202</v>
      </c>
      <c r="D2" s="72"/>
      <c r="E2" s="65" t="s">
        <v>4</v>
      </c>
      <c r="F2" s="65"/>
      <c r="G2" s="74" t="s">
        <v>537</v>
      </c>
      <c r="H2" s="74"/>
      <c r="I2" s="69" t="s">
        <v>488</v>
      </c>
      <c r="J2" s="69" t="s">
        <v>78</v>
      </c>
      <c r="K2" s="65"/>
      <c r="L2" s="65"/>
      <c r="M2" s="76"/>
    </row>
    <row r="3" spans="1:13" ht="15" customHeight="1">
      <c r="A3" s="66"/>
      <c r="B3" s="67"/>
      <c r="C3" s="73"/>
      <c r="D3" s="73"/>
      <c r="E3" s="67"/>
      <c r="F3" s="67"/>
      <c r="G3" s="75"/>
      <c r="H3" s="75"/>
      <c r="I3" s="67"/>
      <c r="J3" s="67"/>
      <c r="K3" s="67"/>
      <c r="L3" s="67"/>
      <c r="M3" s="77"/>
    </row>
    <row r="4" spans="1:13" ht="15" customHeight="1">
      <c r="A4" s="68" t="s">
        <v>304</v>
      </c>
      <c r="B4" s="67"/>
      <c r="C4" s="70" t="s">
        <v>537</v>
      </c>
      <c r="D4" s="67"/>
      <c r="E4" s="67" t="s">
        <v>514</v>
      </c>
      <c r="F4" s="67"/>
      <c r="G4" s="75" t="s">
        <v>537</v>
      </c>
      <c r="H4" s="75"/>
      <c r="I4" s="70" t="s">
        <v>390</v>
      </c>
      <c r="J4" s="70" t="s">
        <v>433</v>
      </c>
      <c r="K4" s="67"/>
      <c r="L4" s="67"/>
      <c r="M4" s="77"/>
    </row>
    <row r="5" spans="1:13" ht="15" customHeight="1">
      <c r="A5" s="66"/>
      <c r="B5" s="67"/>
      <c r="C5" s="67"/>
      <c r="D5" s="67"/>
      <c r="E5" s="67"/>
      <c r="F5" s="67"/>
      <c r="G5" s="75"/>
      <c r="H5" s="75"/>
      <c r="I5" s="67"/>
      <c r="J5" s="67"/>
      <c r="K5" s="67"/>
      <c r="L5" s="67"/>
      <c r="M5" s="77"/>
    </row>
    <row r="6" spans="1:13" ht="15" customHeight="1">
      <c r="A6" s="68" t="s">
        <v>41</v>
      </c>
      <c r="B6" s="67"/>
      <c r="C6" s="70" t="s">
        <v>286</v>
      </c>
      <c r="D6" s="67"/>
      <c r="E6" s="67" t="s">
        <v>181</v>
      </c>
      <c r="F6" s="67"/>
      <c r="G6" s="75" t="s">
        <v>537</v>
      </c>
      <c r="H6" s="75"/>
      <c r="I6" s="70" t="s">
        <v>503</v>
      </c>
      <c r="J6" s="78" t="s">
        <v>380</v>
      </c>
      <c r="K6" s="75"/>
      <c r="L6" s="75"/>
      <c r="M6" s="79"/>
    </row>
    <row r="7" spans="1:13" ht="15" customHeight="1">
      <c r="A7" s="66"/>
      <c r="B7" s="67"/>
      <c r="C7" s="67"/>
      <c r="D7" s="67"/>
      <c r="E7" s="67"/>
      <c r="F7" s="67"/>
      <c r="G7" s="75"/>
      <c r="H7" s="75"/>
      <c r="I7" s="67"/>
      <c r="J7" s="75"/>
      <c r="K7" s="75"/>
      <c r="L7" s="75"/>
      <c r="M7" s="79"/>
    </row>
    <row r="8" spans="1:13" ht="15" customHeight="1">
      <c r="A8" s="68" t="s">
        <v>267</v>
      </c>
      <c r="B8" s="67"/>
      <c r="C8" s="70" t="s">
        <v>537</v>
      </c>
      <c r="D8" s="67"/>
      <c r="E8" s="67" t="s">
        <v>311</v>
      </c>
      <c r="F8" s="67"/>
      <c r="G8" s="75" t="s">
        <v>15</v>
      </c>
      <c r="H8" s="75"/>
      <c r="I8" s="70" t="s">
        <v>374</v>
      </c>
      <c r="J8" s="75" t="s">
        <v>257</v>
      </c>
      <c r="K8" s="75"/>
      <c r="L8" s="75"/>
      <c r="M8" s="79"/>
    </row>
    <row r="9" spans="1:13" ht="15" customHeight="1">
      <c r="A9" s="66"/>
      <c r="B9" s="67"/>
      <c r="C9" s="67"/>
      <c r="D9" s="67"/>
      <c r="E9" s="67"/>
      <c r="F9" s="67"/>
      <c r="G9" s="75"/>
      <c r="H9" s="75"/>
      <c r="I9" s="67"/>
      <c r="J9" s="75"/>
      <c r="K9" s="75"/>
      <c r="L9" s="75"/>
      <c r="M9" s="79"/>
    </row>
    <row r="10" spans="1:64" ht="15" customHeight="1">
      <c r="A10" s="20" t="s">
        <v>36</v>
      </c>
      <c r="B10" s="30" t="s">
        <v>187</v>
      </c>
      <c r="C10" s="80" t="s">
        <v>393</v>
      </c>
      <c r="D10" s="80"/>
      <c r="E10" s="80"/>
      <c r="F10" s="81"/>
      <c r="G10" s="30" t="s">
        <v>198</v>
      </c>
      <c r="H10" s="43" t="s">
        <v>338</v>
      </c>
      <c r="I10" s="57" t="s">
        <v>180</v>
      </c>
      <c r="J10" s="84" t="s">
        <v>361</v>
      </c>
      <c r="K10" s="85"/>
      <c r="L10" s="86"/>
      <c r="M10" s="61" t="s">
        <v>155</v>
      </c>
      <c r="BK10" s="10" t="s">
        <v>219</v>
      </c>
      <c r="BL10" s="45" t="s">
        <v>289</v>
      </c>
    </row>
    <row r="11" spans="1:62" ht="15" customHeight="1">
      <c r="A11" s="36" t="s">
        <v>537</v>
      </c>
      <c r="B11" s="54" t="s">
        <v>537</v>
      </c>
      <c r="C11" s="82" t="s">
        <v>581</v>
      </c>
      <c r="D11" s="82"/>
      <c r="E11" s="82"/>
      <c r="F11" s="83"/>
      <c r="G11" s="54" t="s">
        <v>537</v>
      </c>
      <c r="H11" s="54" t="s">
        <v>537</v>
      </c>
      <c r="I11" s="58" t="s">
        <v>550</v>
      </c>
      <c r="J11" s="51" t="s">
        <v>24</v>
      </c>
      <c r="K11" s="17" t="s">
        <v>108</v>
      </c>
      <c r="L11" s="12" t="s">
        <v>50</v>
      </c>
      <c r="M11" s="12" t="s">
        <v>148</v>
      </c>
      <c r="Z11" s="10" t="s">
        <v>451</v>
      </c>
      <c r="AA11" s="10" t="s">
        <v>348</v>
      </c>
      <c r="AB11" s="10" t="s">
        <v>610</v>
      </c>
      <c r="AC11" s="10" t="s">
        <v>160</v>
      </c>
      <c r="AD11" s="10" t="s">
        <v>493</v>
      </c>
      <c r="AE11" s="10" t="s">
        <v>209</v>
      </c>
      <c r="AF11" s="10" t="s">
        <v>520</v>
      </c>
      <c r="AG11" s="10" t="s">
        <v>238</v>
      </c>
      <c r="AH11" s="10" t="s">
        <v>151</v>
      </c>
      <c r="BH11" s="10" t="s">
        <v>452</v>
      </c>
      <c r="BI11" s="10" t="s">
        <v>589</v>
      </c>
      <c r="BJ11" s="10" t="s">
        <v>641</v>
      </c>
    </row>
    <row r="12" spans="1:47" ht="15" customHeight="1">
      <c r="A12" s="37" t="s">
        <v>394</v>
      </c>
      <c r="B12" s="62" t="s">
        <v>332</v>
      </c>
      <c r="C12" s="87" t="s">
        <v>556</v>
      </c>
      <c r="D12" s="87"/>
      <c r="E12" s="87"/>
      <c r="F12" s="87"/>
      <c r="G12" s="49" t="s">
        <v>537</v>
      </c>
      <c r="H12" s="49" t="s">
        <v>537</v>
      </c>
      <c r="I12" s="32" t="s">
        <v>537</v>
      </c>
      <c r="J12" s="7">
        <f>SUM(J13:J15)</f>
        <v>0</v>
      </c>
      <c r="K12" s="7">
        <f>SUM(K13:K15)</f>
        <v>0</v>
      </c>
      <c r="L12" s="7">
        <f>SUM(L13:L15)</f>
        <v>0</v>
      </c>
      <c r="M12" s="15" t="s">
        <v>394</v>
      </c>
      <c r="AI12" s="10" t="s">
        <v>394</v>
      </c>
      <c r="AS12" s="24">
        <f>SUM(AJ13:AJ15)</f>
        <v>0</v>
      </c>
      <c r="AT12" s="24">
        <f>SUM(AK13:AK15)</f>
        <v>0</v>
      </c>
      <c r="AU12" s="24">
        <f>SUM(AL13:AL15)</f>
        <v>0</v>
      </c>
    </row>
    <row r="13" spans="1:64" ht="15" customHeight="1">
      <c r="A13" s="4" t="s">
        <v>576</v>
      </c>
      <c r="B13" s="18" t="s">
        <v>542</v>
      </c>
      <c r="C13" s="67" t="s">
        <v>497</v>
      </c>
      <c r="D13" s="67"/>
      <c r="E13" s="67"/>
      <c r="F13" s="67"/>
      <c r="G13" s="18" t="s">
        <v>255</v>
      </c>
      <c r="H13" s="29">
        <v>0.036</v>
      </c>
      <c r="I13" s="46">
        <v>0</v>
      </c>
      <c r="J13" s="29">
        <f>H13*AO13</f>
        <v>0</v>
      </c>
      <c r="K13" s="29">
        <f>H13*AP13</f>
        <v>0</v>
      </c>
      <c r="L13" s="29">
        <f>H13*I13</f>
        <v>0</v>
      </c>
      <c r="M13" s="41" t="s">
        <v>484</v>
      </c>
      <c r="Z13" s="29">
        <f>IF(AQ13="5",BJ13,0)</f>
        <v>0</v>
      </c>
      <c r="AB13" s="29">
        <f>IF(AQ13="1",BH13,0)</f>
        <v>0</v>
      </c>
      <c r="AC13" s="29">
        <f>IF(AQ13="1",BI13,0)</f>
        <v>0</v>
      </c>
      <c r="AD13" s="29">
        <f>IF(AQ13="7",BH13,0)</f>
        <v>0</v>
      </c>
      <c r="AE13" s="29">
        <f>IF(AQ13="7",BI13,0)</f>
        <v>0</v>
      </c>
      <c r="AF13" s="29">
        <f>IF(AQ13="2",BH13,0)</f>
        <v>0</v>
      </c>
      <c r="AG13" s="29">
        <f>IF(AQ13="2",BI13,0)</f>
        <v>0</v>
      </c>
      <c r="AH13" s="29">
        <f>IF(AQ13="0",BJ13,0)</f>
        <v>0</v>
      </c>
      <c r="AI13" s="10" t="s">
        <v>394</v>
      </c>
      <c r="AJ13" s="29">
        <f>IF(AN13=0,L13,0)</f>
        <v>0</v>
      </c>
      <c r="AK13" s="29">
        <f>IF(AN13=15,L13,0)</f>
        <v>0</v>
      </c>
      <c r="AL13" s="29">
        <f>IF(AN13=21,L13,0)</f>
        <v>0</v>
      </c>
      <c r="AN13" s="29">
        <v>21</v>
      </c>
      <c r="AO13" s="29">
        <f>I13*0.846398640234257</f>
        <v>0</v>
      </c>
      <c r="AP13" s="29">
        <f>I13*(1-0.846398640234257)</f>
        <v>0</v>
      </c>
      <c r="AQ13" s="23" t="s">
        <v>576</v>
      </c>
      <c r="AV13" s="29">
        <f>AW13+AX13</f>
        <v>0</v>
      </c>
      <c r="AW13" s="29">
        <f>H13*AO13</f>
        <v>0</v>
      </c>
      <c r="AX13" s="29">
        <f>H13*AP13</f>
        <v>0</v>
      </c>
      <c r="AY13" s="23" t="s">
        <v>411</v>
      </c>
      <c r="AZ13" s="23" t="s">
        <v>26</v>
      </c>
      <c r="BA13" s="10" t="s">
        <v>439</v>
      </c>
      <c r="BC13" s="29">
        <f>AW13+AX13</f>
        <v>0</v>
      </c>
      <c r="BD13" s="29">
        <f>I13/(100-BE13)*100</f>
        <v>0</v>
      </c>
      <c r="BE13" s="29">
        <v>0</v>
      </c>
      <c r="BF13" s="29">
        <f>13</f>
        <v>13</v>
      </c>
      <c r="BH13" s="29">
        <f>H13*AO13</f>
        <v>0</v>
      </c>
      <c r="BI13" s="29">
        <f>H13*AP13</f>
        <v>0</v>
      </c>
      <c r="BJ13" s="29">
        <f>H13*I13</f>
        <v>0</v>
      </c>
      <c r="BK13" s="29"/>
      <c r="BL13" s="29">
        <v>31</v>
      </c>
    </row>
    <row r="14" spans="1:13" ht="13.5" customHeight="1">
      <c r="A14" s="40"/>
      <c r="B14" s="34" t="s">
        <v>279</v>
      </c>
      <c r="C14" s="88" t="s">
        <v>468</v>
      </c>
      <c r="D14" s="89"/>
      <c r="E14" s="89"/>
      <c r="F14" s="89"/>
      <c r="G14" s="89"/>
      <c r="H14" s="89"/>
      <c r="I14" s="90"/>
      <c r="J14" s="89"/>
      <c r="K14" s="89"/>
      <c r="L14" s="89"/>
      <c r="M14" s="91"/>
    </row>
    <row r="15" spans="1:64" ht="15" customHeight="1">
      <c r="A15" s="4" t="s">
        <v>389</v>
      </c>
      <c r="B15" s="18" t="s">
        <v>277</v>
      </c>
      <c r="C15" s="67" t="s">
        <v>416</v>
      </c>
      <c r="D15" s="67"/>
      <c r="E15" s="67"/>
      <c r="F15" s="67"/>
      <c r="G15" s="18" t="s">
        <v>557</v>
      </c>
      <c r="H15" s="29">
        <v>0.8</v>
      </c>
      <c r="I15" s="46">
        <v>0</v>
      </c>
      <c r="J15" s="29">
        <f>H15*AO15</f>
        <v>0</v>
      </c>
      <c r="K15" s="29">
        <f>H15*AP15</f>
        <v>0</v>
      </c>
      <c r="L15" s="29">
        <f>H15*I15</f>
        <v>0</v>
      </c>
      <c r="M15" s="41" t="s">
        <v>484</v>
      </c>
      <c r="Z15" s="29">
        <f>IF(AQ15="5",BJ15,0)</f>
        <v>0</v>
      </c>
      <c r="AB15" s="29">
        <f>IF(AQ15="1",BH15,0)</f>
        <v>0</v>
      </c>
      <c r="AC15" s="29">
        <f>IF(AQ15="1",BI15,0)</f>
        <v>0</v>
      </c>
      <c r="AD15" s="29">
        <f>IF(AQ15="7",BH15,0)</f>
        <v>0</v>
      </c>
      <c r="AE15" s="29">
        <f>IF(AQ15="7",BI15,0)</f>
        <v>0</v>
      </c>
      <c r="AF15" s="29">
        <f>IF(AQ15="2",BH15,0)</f>
        <v>0</v>
      </c>
      <c r="AG15" s="29">
        <f>IF(AQ15="2",BI15,0)</f>
        <v>0</v>
      </c>
      <c r="AH15" s="29">
        <f>IF(AQ15="0",BJ15,0)</f>
        <v>0</v>
      </c>
      <c r="AI15" s="10" t="s">
        <v>394</v>
      </c>
      <c r="AJ15" s="29">
        <f>IF(AN15=0,L15,0)</f>
        <v>0</v>
      </c>
      <c r="AK15" s="29">
        <f>IF(AN15=15,L15,0)</f>
        <v>0</v>
      </c>
      <c r="AL15" s="29">
        <f>IF(AN15=21,L15,0)</f>
        <v>0</v>
      </c>
      <c r="AN15" s="29">
        <v>21</v>
      </c>
      <c r="AO15" s="29">
        <f>I15*0.636886002886003</f>
        <v>0</v>
      </c>
      <c r="AP15" s="29">
        <f>I15*(1-0.636886002886003)</f>
        <v>0</v>
      </c>
      <c r="AQ15" s="23" t="s">
        <v>576</v>
      </c>
      <c r="AV15" s="29">
        <f>AW15+AX15</f>
        <v>0</v>
      </c>
      <c r="AW15" s="29">
        <f>H15*AO15</f>
        <v>0</v>
      </c>
      <c r="AX15" s="29">
        <f>H15*AP15</f>
        <v>0</v>
      </c>
      <c r="AY15" s="23" t="s">
        <v>411</v>
      </c>
      <c r="AZ15" s="23" t="s">
        <v>26</v>
      </c>
      <c r="BA15" s="10" t="s">
        <v>439</v>
      </c>
      <c r="BC15" s="29">
        <f>AW15+AX15</f>
        <v>0</v>
      </c>
      <c r="BD15" s="29">
        <f>I15/(100-BE15)*100</f>
        <v>0</v>
      </c>
      <c r="BE15" s="29">
        <v>0</v>
      </c>
      <c r="BF15" s="29">
        <f>15</f>
        <v>15</v>
      </c>
      <c r="BH15" s="29">
        <f>H15*AO15</f>
        <v>0</v>
      </c>
      <c r="BI15" s="29">
        <f>H15*AP15</f>
        <v>0</v>
      </c>
      <c r="BJ15" s="29">
        <f>H15*I15</f>
        <v>0</v>
      </c>
      <c r="BK15" s="29"/>
      <c r="BL15" s="29">
        <v>31</v>
      </c>
    </row>
    <row r="16" spans="1:13" ht="13.5" customHeight="1">
      <c r="A16" s="40"/>
      <c r="B16" s="34" t="s">
        <v>279</v>
      </c>
      <c r="C16" s="88" t="s">
        <v>597</v>
      </c>
      <c r="D16" s="89"/>
      <c r="E16" s="89"/>
      <c r="F16" s="89"/>
      <c r="G16" s="89"/>
      <c r="H16" s="89"/>
      <c r="I16" s="90"/>
      <c r="J16" s="89"/>
      <c r="K16" s="89"/>
      <c r="L16" s="89"/>
      <c r="M16" s="91"/>
    </row>
    <row r="17" spans="1:47" ht="15" customHeight="1">
      <c r="A17" s="26" t="s">
        <v>394</v>
      </c>
      <c r="B17" s="8" t="s">
        <v>651</v>
      </c>
      <c r="C17" s="87" t="s">
        <v>139</v>
      </c>
      <c r="D17" s="87"/>
      <c r="E17" s="87"/>
      <c r="F17" s="87"/>
      <c r="G17" s="42" t="s">
        <v>537</v>
      </c>
      <c r="H17" s="42" t="s">
        <v>537</v>
      </c>
      <c r="I17" s="50" t="s">
        <v>537</v>
      </c>
      <c r="J17" s="24">
        <f>SUM(J18:J25)</f>
        <v>0</v>
      </c>
      <c r="K17" s="24">
        <f>SUM(K18:K25)</f>
        <v>0</v>
      </c>
      <c r="L17" s="24">
        <f>SUM(L18:L25)</f>
        <v>0</v>
      </c>
      <c r="M17" s="9" t="s">
        <v>394</v>
      </c>
      <c r="AI17" s="10" t="s">
        <v>394</v>
      </c>
      <c r="AS17" s="24">
        <f>SUM(AJ18:AJ25)</f>
        <v>0</v>
      </c>
      <c r="AT17" s="24">
        <f>SUM(AK18:AK25)</f>
        <v>0</v>
      </c>
      <c r="AU17" s="24">
        <f>SUM(AL18:AL25)</f>
        <v>0</v>
      </c>
    </row>
    <row r="18" spans="1:64" ht="15" customHeight="1">
      <c r="A18" s="4" t="s">
        <v>498</v>
      </c>
      <c r="B18" s="18" t="s">
        <v>110</v>
      </c>
      <c r="C18" s="67" t="s">
        <v>640</v>
      </c>
      <c r="D18" s="67"/>
      <c r="E18" s="67"/>
      <c r="F18" s="67"/>
      <c r="G18" s="18" t="s">
        <v>569</v>
      </c>
      <c r="H18" s="29">
        <v>9.864</v>
      </c>
      <c r="I18" s="46">
        <v>0</v>
      </c>
      <c r="J18" s="29">
        <f>H18*AO18</f>
        <v>0</v>
      </c>
      <c r="K18" s="29">
        <f>H18*AP18</f>
        <v>0</v>
      </c>
      <c r="L18" s="29">
        <f>H18*I18</f>
        <v>0</v>
      </c>
      <c r="M18" s="41" t="s">
        <v>484</v>
      </c>
      <c r="Z18" s="29">
        <f>IF(AQ18="5",BJ18,0)</f>
        <v>0</v>
      </c>
      <c r="AB18" s="29">
        <f>IF(AQ18="1",BH18,0)</f>
        <v>0</v>
      </c>
      <c r="AC18" s="29">
        <f>IF(AQ18="1",BI18,0)</f>
        <v>0</v>
      </c>
      <c r="AD18" s="29">
        <f>IF(AQ18="7",BH18,0)</f>
        <v>0</v>
      </c>
      <c r="AE18" s="29">
        <f>IF(AQ18="7",BI18,0)</f>
        <v>0</v>
      </c>
      <c r="AF18" s="29">
        <f>IF(AQ18="2",BH18,0)</f>
        <v>0</v>
      </c>
      <c r="AG18" s="29">
        <f>IF(AQ18="2",BI18,0)</f>
        <v>0</v>
      </c>
      <c r="AH18" s="29">
        <f>IF(AQ18="0",BJ18,0)</f>
        <v>0</v>
      </c>
      <c r="AI18" s="10" t="s">
        <v>394</v>
      </c>
      <c r="AJ18" s="29">
        <f>IF(AN18=0,L18,0)</f>
        <v>0</v>
      </c>
      <c r="AK18" s="29">
        <f>IF(AN18=15,L18,0)</f>
        <v>0</v>
      </c>
      <c r="AL18" s="29">
        <f>IF(AN18=21,L18,0)</f>
        <v>0</v>
      </c>
      <c r="AN18" s="29">
        <v>21</v>
      </c>
      <c r="AO18" s="29">
        <f>I18*0.523168517423746</f>
        <v>0</v>
      </c>
      <c r="AP18" s="29">
        <f>I18*(1-0.523168517423746)</f>
        <v>0</v>
      </c>
      <c r="AQ18" s="23" t="s">
        <v>576</v>
      </c>
      <c r="AV18" s="29">
        <f>AW18+AX18</f>
        <v>0</v>
      </c>
      <c r="AW18" s="29">
        <f>H18*AO18</f>
        <v>0</v>
      </c>
      <c r="AX18" s="29">
        <f>H18*AP18</f>
        <v>0</v>
      </c>
      <c r="AY18" s="23" t="s">
        <v>406</v>
      </c>
      <c r="AZ18" s="23" t="s">
        <v>26</v>
      </c>
      <c r="BA18" s="10" t="s">
        <v>439</v>
      </c>
      <c r="BC18" s="29">
        <f>AW18+AX18</f>
        <v>0</v>
      </c>
      <c r="BD18" s="29">
        <f>I18/(100-BE18)*100</f>
        <v>0</v>
      </c>
      <c r="BE18" s="29">
        <v>0</v>
      </c>
      <c r="BF18" s="29">
        <f>18</f>
        <v>18</v>
      </c>
      <c r="BH18" s="29">
        <f>H18*AO18</f>
        <v>0</v>
      </c>
      <c r="BI18" s="29">
        <f>H18*AP18</f>
        <v>0</v>
      </c>
      <c r="BJ18" s="29">
        <f>H18*I18</f>
        <v>0</v>
      </c>
      <c r="BK18" s="29"/>
      <c r="BL18" s="29">
        <v>34</v>
      </c>
    </row>
    <row r="19" spans="1:13" ht="13.5" customHeight="1">
      <c r="A19" s="40"/>
      <c r="B19" s="34" t="s">
        <v>279</v>
      </c>
      <c r="C19" s="88" t="s">
        <v>465</v>
      </c>
      <c r="D19" s="89"/>
      <c r="E19" s="89"/>
      <c r="F19" s="89"/>
      <c r="G19" s="89"/>
      <c r="H19" s="89"/>
      <c r="I19" s="90"/>
      <c r="J19" s="89"/>
      <c r="K19" s="89"/>
      <c r="L19" s="89"/>
      <c r="M19" s="91"/>
    </row>
    <row r="20" spans="1:64" ht="15" customHeight="1">
      <c r="A20" s="4" t="s">
        <v>59</v>
      </c>
      <c r="B20" s="18" t="s">
        <v>109</v>
      </c>
      <c r="C20" s="67" t="s">
        <v>134</v>
      </c>
      <c r="D20" s="67"/>
      <c r="E20" s="67"/>
      <c r="F20" s="67"/>
      <c r="G20" s="18" t="s">
        <v>480</v>
      </c>
      <c r="H20" s="29">
        <v>11.2</v>
      </c>
      <c r="I20" s="46">
        <v>0</v>
      </c>
      <c r="J20" s="29">
        <f>H20*AO20</f>
        <v>0</v>
      </c>
      <c r="K20" s="29">
        <f>H20*AP20</f>
        <v>0</v>
      </c>
      <c r="L20" s="29">
        <f>H20*I20</f>
        <v>0</v>
      </c>
      <c r="M20" s="41" t="s">
        <v>484</v>
      </c>
      <c r="Z20" s="29">
        <f>IF(AQ20="5",BJ20,0)</f>
        <v>0</v>
      </c>
      <c r="AB20" s="29">
        <f>IF(AQ20="1",BH20,0)</f>
        <v>0</v>
      </c>
      <c r="AC20" s="29">
        <f>IF(AQ20="1",BI20,0)</f>
        <v>0</v>
      </c>
      <c r="AD20" s="29">
        <f>IF(AQ20="7",BH20,0)</f>
        <v>0</v>
      </c>
      <c r="AE20" s="29">
        <f>IF(AQ20="7",BI20,0)</f>
        <v>0</v>
      </c>
      <c r="AF20" s="29">
        <f>IF(AQ20="2",BH20,0)</f>
        <v>0</v>
      </c>
      <c r="AG20" s="29">
        <f>IF(AQ20="2",BI20,0)</f>
        <v>0</v>
      </c>
      <c r="AH20" s="29">
        <f>IF(AQ20="0",BJ20,0)</f>
        <v>0</v>
      </c>
      <c r="AI20" s="10" t="s">
        <v>394</v>
      </c>
      <c r="AJ20" s="29">
        <f>IF(AN20=0,L20,0)</f>
        <v>0</v>
      </c>
      <c r="AK20" s="29">
        <f>IF(AN20=15,L20,0)</f>
        <v>0</v>
      </c>
      <c r="AL20" s="29">
        <f>IF(AN20=21,L20,0)</f>
        <v>0</v>
      </c>
      <c r="AN20" s="29">
        <v>21</v>
      </c>
      <c r="AO20" s="29">
        <f>I20*0.210103092783505</f>
        <v>0</v>
      </c>
      <c r="AP20" s="29">
        <f>I20*(1-0.210103092783505)</f>
        <v>0</v>
      </c>
      <c r="AQ20" s="23" t="s">
        <v>576</v>
      </c>
      <c r="AV20" s="29">
        <f>AW20+AX20</f>
        <v>0</v>
      </c>
      <c r="AW20" s="29">
        <f>H20*AO20</f>
        <v>0</v>
      </c>
      <c r="AX20" s="29">
        <f>H20*AP20</f>
        <v>0</v>
      </c>
      <c r="AY20" s="23" t="s">
        <v>406</v>
      </c>
      <c r="AZ20" s="23" t="s">
        <v>26</v>
      </c>
      <c r="BA20" s="10" t="s">
        <v>439</v>
      </c>
      <c r="BC20" s="29">
        <f>AW20+AX20</f>
        <v>0</v>
      </c>
      <c r="BD20" s="29">
        <f>I20/(100-BE20)*100</f>
        <v>0</v>
      </c>
      <c r="BE20" s="29">
        <v>0</v>
      </c>
      <c r="BF20" s="29">
        <f>20</f>
        <v>20</v>
      </c>
      <c r="BH20" s="29">
        <f>H20*AO20</f>
        <v>0</v>
      </c>
      <c r="BI20" s="29">
        <f>H20*AP20</f>
        <v>0</v>
      </c>
      <c r="BJ20" s="29">
        <f>H20*I20</f>
        <v>0</v>
      </c>
      <c r="BK20" s="29"/>
      <c r="BL20" s="29">
        <v>34</v>
      </c>
    </row>
    <row r="21" spans="1:64" ht="15" customHeight="1">
      <c r="A21" s="4" t="s">
        <v>296</v>
      </c>
      <c r="B21" s="18" t="s">
        <v>77</v>
      </c>
      <c r="C21" s="67" t="s">
        <v>500</v>
      </c>
      <c r="D21" s="67"/>
      <c r="E21" s="67"/>
      <c r="F21" s="67"/>
      <c r="G21" s="18" t="s">
        <v>569</v>
      </c>
      <c r="H21" s="29">
        <v>129.2</v>
      </c>
      <c r="I21" s="46">
        <v>0</v>
      </c>
      <c r="J21" s="29">
        <f>H21*AO21</f>
        <v>0</v>
      </c>
      <c r="K21" s="29">
        <f>H21*AP21</f>
        <v>0</v>
      </c>
      <c r="L21" s="29">
        <f>H21*I21</f>
        <v>0</v>
      </c>
      <c r="M21" s="41" t="s">
        <v>484</v>
      </c>
      <c r="Z21" s="29">
        <f>IF(AQ21="5",BJ21,0)</f>
        <v>0</v>
      </c>
      <c r="AB21" s="29">
        <f>IF(AQ21="1",BH21,0)</f>
        <v>0</v>
      </c>
      <c r="AC21" s="29">
        <f>IF(AQ21="1",BI21,0)</f>
        <v>0</v>
      </c>
      <c r="AD21" s="29">
        <f>IF(AQ21="7",BH21,0)</f>
        <v>0</v>
      </c>
      <c r="AE21" s="29">
        <f>IF(AQ21="7",BI21,0)</f>
        <v>0</v>
      </c>
      <c r="AF21" s="29">
        <f>IF(AQ21="2",BH21,0)</f>
        <v>0</v>
      </c>
      <c r="AG21" s="29">
        <f>IF(AQ21="2",BI21,0)</f>
        <v>0</v>
      </c>
      <c r="AH21" s="29">
        <f>IF(AQ21="0",BJ21,0)</f>
        <v>0</v>
      </c>
      <c r="AI21" s="10" t="s">
        <v>394</v>
      </c>
      <c r="AJ21" s="29">
        <f>IF(AN21=0,L21,0)</f>
        <v>0</v>
      </c>
      <c r="AK21" s="29">
        <f>IF(AN21=15,L21,0)</f>
        <v>0</v>
      </c>
      <c r="AL21" s="29">
        <f>IF(AN21=21,L21,0)</f>
        <v>0</v>
      </c>
      <c r="AN21" s="29">
        <v>21</v>
      </c>
      <c r="AO21" s="29">
        <f>I21*0.440010857763301</f>
        <v>0</v>
      </c>
      <c r="AP21" s="29">
        <f>I21*(1-0.440010857763301)</f>
        <v>0</v>
      </c>
      <c r="AQ21" s="23" t="s">
        <v>576</v>
      </c>
      <c r="AV21" s="29">
        <f>AW21+AX21</f>
        <v>0</v>
      </c>
      <c r="AW21" s="29">
        <f>H21*AO21</f>
        <v>0</v>
      </c>
      <c r="AX21" s="29">
        <f>H21*AP21</f>
        <v>0</v>
      </c>
      <c r="AY21" s="23" t="s">
        <v>406</v>
      </c>
      <c r="AZ21" s="23" t="s">
        <v>26</v>
      </c>
      <c r="BA21" s="10" t="s">
        <v>439</v>
      </c>
      <c r="BC21" s="29">
        <f>AW21+AX21</f>
        <v>0</v>
      </c>
      <c r="BD21" s="29">
        <f>I21/(100-BE21)*100</f>
        <v>0</v>
      </c>
      <c r="BE21" s="29">
        <v>0</v>
      </c>
      <c r="BF21" s="29">
        <f>21</f>
        <v>21</v>
      </c>
      <c r="BH21" s="29">
        <f>H21*AO21</f>
        <v>0</v>
      </c>
      <c r="BI21" s="29">
        <f>H21*AP21</f>
        <v>0</v>
      </c>
      <c r="BJ21" s="29">
        <f>H21*I21</f>
        <v>0</v>
      </c>
      <c r="BK21" s="29"/>
      <c r="BL21" s="29">
        <v>34</v>
      </c>
    </row>
    <row r="22" spans="1:13" ht="13.5" customHeight="1">
      <c r="A22" s="40"/>
      <c r="B22" s="34" t="s">
        <v>279</v>
      </c>
      <c r="C22" s="88" t="s">
        <v>156</v>
      </c>
      <c r="D22" s="89"/>
      <c r="E22" s="89"/>
      <c r="F22" s="89"/>
      <c r="G22" s="89"/>
      <c r="H22" s="89"/>
      <c r="I22" s="90"/>
      <c r="J22" s="89"/>
      <c r="K22" s="89"/>
      <c r="L22" s="89"/>
      <c r="M22" s="91"/>
    </row>
    <row r="23" spans="1:64" ht="15" customHeight="1">
      <c r="A23" s="4" t="s">
        <v>92</v>
      </c>
      <c r="B23" s="18" t="s">
        <v>436</v>
      </c>
      <c r="C23" s="67" t="s">
        <v>620</v>
      </c>
      <c r="D23" s="67"/>
      <c r="E23" s="67"/>
      <c r="F23" s="67"/>
      <c r="G23" s="18" t="s">
        <v>569</v>
      </c>
      <c r="H23" s="29">
        <v>1.48</v>
      </c>
      <c r="I23" s="46">
        <v>0</v>
      </c>
      <c r="J23" s="29">
        <f>H23*AO23</f>
        <v>0</v>
      </c>
      <c r="K23" s="29">
        <f>H23*AP23</f>
        <v>0</v>
      </c>
      <c r="L23" s="29">
        <f>H23*I23</f>
        <v>0</v>
      </c>
      <c r="M23" s="41" t="s">
        <v>484</v>
      </c>
      <c r="Z23" s="29">
        <f>IF(AQ23="5",BJ23,0)</f>
        <v>0</v>
      </c>
      <c r="AB23" s="29">
        <f>IF(AQ23="1",BH23,0)</f>
        <v>0</v>
      </c>
      <c r="AC23" s="29">
        <f>IF(AQ23="1",BI23,0)</f>
        <v>0</v>
      </c>
      <c r="AD23" s="29">
        <f>IF(AQ23="7",BH23,0)</f>
        <v>0</v>
      </c>
      <c r="AE23" s="29">
        <f>IF(AQ23="7",BI23,0)</f>
        <v>0</v>
      </c>
      <c r="AF23" s="29">
        <f>IF(AQ23="2",BH23,0)</f>
        <v>0</v>
      </c>
      <c r="AG23" s="29">
        <f>IF(AQ23="2",BI23,0)</f>
        <v>0</v>
      </c>
      <c r="AH23" s="29">
        <f>IF(AQ23="0",BJ23,0)</f>
        <v>0</v>
      </c>
      <c r="AI23" s="10" t="s">
        <v>394</v>
      </c>
      <c r="AJ23" s="29">
        <f>IF(AN23=0,L23,0)</f>
        <v>0</v>
      </c>
      <c r="AK23" s="29">
        <f>IF(AN23=15,L23,0)</f>
        <v>0</v>
      </c>
      <c r="AL23" s="29">
        <f>IF(AN23=21,L23,0)</f>
        <v>0</v>
      </c>
      <c r="AN23" s="29">
        <v>21</v>
      </c>
      <c r="AO23" s="29">
        <f>I23*0.726618828932262</f>
        <v>0</v>
      </c>
      <c r="AP23" s="29">
        <f>I23*(1-0.726618828932262)</f>
        <v>0</v>
      </c>
      <c r="AQ23" s="23" t="s">
        <v>576</v>
      </c>
      <c r="AV23" s="29">
        <f>AW23+AX23</f>
        <v>0</v>
      </c>
      <c r="AW23" s="29">
        <f>H23*AO23</f>
        <v>0</v>
      </c>
      <c r="AX23" s="29">
        <f>H23*AP23</f>
        <v>0</v>
      </c>
      <c r="AY23" s="23" t="s">
        <v>406</v>
      </c>
      <c r="AZ23" s="23" t="s">
        <v>26</v>
      </c>
      <c r="BA23" s="10" t="s">
        <v>439</v>
      </c>
      <c r="BC23" s="29">
        <f>AW23+AX23</f>
        <v>0</v>
      </c>
      <c r="BD23" s="29">
        <f>I23/(100-BE23)*100</f>
        <v>0</v>
      </c>
      <c r="BE23" s="29">
        <v>0</v>
      </c>
      <c r="BF23" s="29">
        <f>23</f>
        <v>23</v>
      </c>
      <c r="BH23" s="29">
        <f>H23*AO23</f>
        <v>0</v>
      </c>
      <c r="BI23" s="29">
        <f>H23*AP23</f>
        <v>0</v>
      </c>
      <c r="BJ23" s="29">
        <f>H23*I23</f>
        <v>0</v>
      </c>
      <c r="BK23" s="29"/>
      <c r="BL23" s="29">
        <v>34</v>
      </c>
    </row>
    <row r="24" spans="1:13" ht="13.5" customHeight="1">
      <c r="A24" s="40"/>
      <c r="B24" s="34" t="s">
        <v>279</v>
      </c>
      <c r="C24" s="88" t="s">
        <v>577</v>
      </c>
      <c r="D24" s="89"/>
      <c r="E24" s="89"/>
      <c r="F24" s="89"/>
      <c r="G24" s="89"/>
      <c r="H24" s="89"/>
      <c r="I24" s="90"/>
      <c r="J24" s="89"/>
      <c r="K24" s="89"/>
      <c r="L24" s="89"/>
      <c r="M24" s="91"/>
    </row>
    <row r="25" spans="1:64" ht="15" customHeight="1">
      <c r="A25" s="4" t="s">
        <v>578</v>
      </c>
      <c r="B25" s="18" t="s">
        <v>119</v>
      </c>
      <c r="C25" s="67" t="s">
        <v>107</v>
      </c>
      <c r="D25" s="67"/>
      <c r="E25" s="67"/>
      <c r="F25" s="67"/>
      <c r="G25" s="18" t="s">
        <v>569</v>
      </c>
      <c r="H25" s="29">
        <v>4.4</v>
      </c>
      <c r="I25" s="46">
        <v>0</v>
      </c>
      <c r="J25" s="29">
        <f>H25*AO25</f>
        <v>0</v>
      </c>
      <c r="K25" s="29">
        <f>H25*AP25</f>
        <v>0</v>
      </c>
      <c r="L25" s="29">
        <f>H25*I25</f>
        <v>0</v>
      </c>
      <c r="M25" s="41" t="s">
        <v>484</v>
      </c>
      <c r="Z25" s="29">
        <f>IF(AQ25="5",BJ25,0)</f>
        <v>0</v>
      </c>
      <c r="AB25" s="29">
        <f>IF(AQ25="1",BH25,0)</f>
        <v>0</v>
      </c>
      <c r="AC25" s="29">
        <f>IF(AQ25="1",BI25,0)</f>
        <v>0</v>
      </c>
      <c r="AD25" s="29">
        <f>IF(AQ25="7",BH25,0)</f>
        <v>0</v>
      </c>
      <c r="AE25" s="29">
        <f>IF(AQ25="7",BI25,0)</f>
        <v>0</v>
      </c>
      <c r="AF25" s="29">
        <f>IF(AQ25="2",BH25,0)</f>
        <v>0</v>
      </c>
      <c r="AG25" s="29">
        <f>IF(AQ25="2",BI25,0)</f>
        <v>0</v>
      </c>
      <c r="AH25" s="29">
        <f>IF(AQ25="0",BJ25,0)</f>
        <v>0</v>
      </c>
      <c r="AI25" s="10" t="s">
        <v>394</v>
      </c>
      <c r="AJ25" s="29">
        <f>IF(AN25=0,L25,0)</f>
        <v>0</v>
      </c>
      <c r="AK25" s="29">
        <f>IF(AN25=15,L25,0)</f>
        <v>0</v>
      </c>
      <c r="AL25" s="29">
        <f>IF(AN25=21,L25,0)</f>
        <v>0</v>
      </c>
      <c r="AN25" s="29">
        <v>21</v>
      </c>
      <c r="AO25" s="29">
        <f>I25*0.64832264957265</f>
        <v>0</v>
      </c>
      <c r="AP25" s="29">
        <f>I25*(1-0.64832264957265)</f>
        <v>0</v>
      </c>
      <c r="AQ25" s="23" t="s">
        <v>576</v>
      </c>
      <c r="AV25" s="29">
        <f>AW25+AX25</f>
        <v>0</v>
      </c>
      <c r="AW25" s="29">
        <f>H25*AO25</f>
        <v>0</v>
      </c>
      <c r="AX25" s="29">
        <f>H25*AP25</f>
        <v>0</v>
      </c>
      <c r="AY25" s="23" t="s">
        <v>406</v>
      </c>
      <c r="AZ25" s="23" t="s">
        <v>26</v>
      </c>
      <c r="BA25" s="10" t="s">
        <v>439</v>
      </c>
      <c r="BC25" s="29">
        <f>AW25+AX25</f>
        <v>0</v>
      </c>
      <c r="BD25" s="29">
        <f>I25/(100-BE25)*100</f>
        <v>0</v>
      </c>
      <c r="BE25" s="29">
        <v>0</v>
      </c>
      <c r="BF25" s="29">
        <f>25</f>
        <v>25</v>
      </c>
      <c r="BH25" s="29">
        <f>H25*AO25</f>
        <v>0</v>
      </c>
      <c r="BI25" s="29">
        <f>H25*AP25</f>
        <v>0</v>
      </c>
      <c r="BJ25" s="29">
        <f>H25*I25</f>
        <v>0</v>
      </c>
      <c r="BK25" s="29"/>
      <c r="BL25" s="29">
        <v>34</v>
      </c>
    </row>
    <row r="26" spans="1:13" ht="13.5" customHeight="1">
      <c r="A26" s="40"/>
      <c r="B26" s="34" t="s">
        <v>279</v>
      </c>
      <c r="C26" s="88" t="s">
        <v>577</v>
      </c>
      <c r="D26" s="89"/>
      <c r="E26" s="89"/>
      <c r="F26" s="89"/>
      <c r="G26" s="89"/>
      <c r="H26" s="89"/>
      <c r="I26" s="90"/>
      <c r="J26" s="89"/>
      <c r="K26" s="89"/>
      <c r="L26" s="89"/>
      <c r="M26" s="91"/>
    </row>
    <row r="27" spans="1:47" ht="15" customHeight="1">
      <c r="A27" s="26" t="s">
        <v>394</v>
      </c>
      <c r="B27" s="8" t="s">
        <v>415</v>
      </c>
      <c r="C27" s="87" t="s">
        <v>408</v>
      </c>
      <c r="D27" s="87"/>
      <c r="E27" s="87"/>
      <c r="F27" s="87"/>
      <c r="G27" s="42" t="s">
        <v>537</v>
      </c>
      <c r="H27" s="42" t="s">
        <v>537</v>
      </c>
      <c r="I27" s="50" t="s">
        <v>537</v>
      </c>
      <c r="J27" s="24">
        <f>SUM(J28:J30)</f>
        <v>0</v>
      </c>
      <c r="K27" s="24">
        <f>SUM(K28:K30)</f>
        <v>0</v>
      </c>
      <c r="L27" s="24">
        <f>SUM(L28:L30)</f>
        <v>0</v>
      </c>
      <c r="M27" s="9" t="s">
        <v>394</v>
      </c>
      <c r="AI27" s="10" t="s">
        <v>394</v>
      </c>
      <c r="AS27" s="24">
        <f>SUM(AJ28:AJ30)</f>
        <v>0</v>
      </c>
      <c r="AT27" s="24">
        <f>SUM(AK28:AK30)</f>
        <v>0</v>
      </c>
      <c r="AU27" s="24">
        <f>SUM(AL28:AL30)</f>
        <v>0</v>
      </c>
    </row>
    <row r="28" spans="1:64" ht="15" customHeight="1">
      <c r="A28" s="4" t="s">
        <v>459</v>
      </c>
      <c r="B28" s="18" t="s">
        <v>585</v>
      </c>
      <c r="C28" s="67" t="s">
        <v>502</v>
      </c>
      <c r="D28" s="67"/>
      <c r="E28" s="67"/>
      <c r="F28" s="67"/>
      <c r="G28" s="18" t="s">
        <v>569</v>
      </c>
      <c r="H28" s="29">
        <v>125</v>
      </c>
      <c r="I28" s="46">
        <v>0</v>
      </c>
      <c r="J28" s="29">
        <f>H28*AO28</f>
        <v>0</v>
      </c>
      <c r="K28" s="29">
        <f>H28*AP28</f>
        <v>0</v>
      </c>
      <c r="L28" s="29">
        <f>H28*I28</f>
        <v>0</v>
      </c>
      <c r="M28" s="41" t="s">
        <v>484</v>
      </c>
      <c r="Z28" s="29">
        <f>IF(AQ28="5",BJ28,0)</f>
        <v>0</v>
      </c>
      <c r="AB28" s="29">
        <f>IF(AQ28="1",BH28,0)</f>
        <v>0</v>
      </c>
      <c r="AC28" s="29">
        <f>IF(AQ28="1",BI28,0)</f>
        <v>0</v>
      </c>
      <c r="AD28" s="29">
        <f>IF(AQ28="7",BH28,0)</f>
        <v>0</v>
      </c>
      <c r="AE28" s="29">
        <f>IF(AQ28="7",BI28,0)</f>
        <v>0</v>
      </c>
      <c r="AF28" s="29">
        <f>IF(AQ28="2",BH28,0)</f>
        <v>0</v>
      </c>
      <c r="AG28" s="29">
        <f>IF(AQ28="2",BI28,0)</f>
        <v>0</v>
      </c>
      <c r="AH28" s="29">
        <f>IF(AQ28="0",BJ28,0)</f>
        <v>0</v>
      </c>
      <c r="AI28" s="10" t="s">
        <v>394</v>
      </c>
      <c r="AJ28" s="29">
        <f>IF(AN28=0,L28,0)</f>
        <v>0</v>
      </c>
      <c r="AK28" s="29">
        <f>IF(AN28=15,L28,0)</f>
        <v>0</v>
      </c>
      <c r="AL28" s="29">
        <f>IF(AN28=21,L28,0)</f>
        <v>0</v>
      </c>
      <c r="AN28" s="29">
        <v>21</v>
      </c>
      <c r="AO28" s="29">
        <f>I28*0.134744121715076</f>
        <v>0</v>
      </c>
      <c r="AP28" s="29">
        <f>I28*(1-0.134744121715076)</f>
        <v>0</v>
      </c>
      <c r="AQ28" s="23" t="s">
        <v>576</v>
      </c>
      <c r="AV28" s="29">
        <f>AW28+AX28</f>
        <v>0</v>
      </c>
      <c r="AW28" s="29">
        <f>H28*AO28</f>
        <v>0</v>
      </c>
      <c r="AX28" s="29">
        <f>H28*AP28</f>
        <v>0</v>
      </c>
      <c r="AY28" s="23" t="s">
        <v>354</v>
      </c>
      <c r="AZ28" s="23" t="s">
        <v>73</v>
      </c>
      <c r="BA28" s="10" t="s">
        <v>439</v>
      </c>
      <c r="BC28" s="29">
        <f>AW28+AX28</f>
        <v>0</v>
      </c>
      <c r="BD28" s="29">
        <f>I28/(100-BE28)*100</f>
        <v>0</v>
      </c>
      <c r="BE28" s="29">
        <v>0</v>
      </c>
      <c r="BF28" s="29">
        <f>28</f>
        <v>28</v>
      </c>
      <c r="BH28" s="29">
        <f>H28*AO28</f>
        <v>0</v>
      </c>
      <c r="BI28" s="29">
        <f>H28*AP28</f>
        <v>0</v>
      </c>
      <c r="BJ28" s="29">
        <f>H28*I28</f>
        <v>0</v>
      </c>
      <c r="BK28" s="29"/>
      <c r="BL28" s="29">
        <v>61</v>
      </c>
    </row>
    <row r="29" spans="1:64" ht="15" customHeight="1">
      <c r="A29" s="4" t="s">
        <v>212</v>
      </c>
      <c r="B29" s="18" t="s">
        <v>335</v>
      </c>
      <c r="C29" s="67" t="s">
        <v>606</v>
      </c>
      <c r="D29" s="67"/>
      <c r="E29" s="67"/>
      <c r="F29" s="67"/>
      <c r="G29" s="18" t="s">
        <v>569</v>
      </c>
      <c r="H29" s="29">
        <v>32</v>
      </c>
      <c r="I29" s="46">
        <v>0</v>
      </c>
      <c r="J29" s="29">
        <f>H29*AO29</f>
        <v>0</v>
      </c>
      <c r="K29" s="29">
        <f>H29*AP29</f>
        <v>0</v>
      </c>
      <c r="L29" s="29">
        <f>H29*I29</f>
        <v>0</v>
      </c>
      <c r="M29" s="41" t="s">
        <v>484</v>
      </c>
      <c r="Z29" s="29">
        <f>IF(AQ29="5",BJ29,0)</f>
        <v>0</v>
      </c>
      <c r="AB29" s="29">
        <f>IF(AQ29="1",BH29,0)</f>
        <v>0</v>
      </c>
      <c r="AC29" s="29">
        <f>IF(AQ29="1",BI29,0)</f>
        <v>0</v>
      </c>
      <c r="AD29" s="29">
        <f>IF(AQ29="7",BH29,0)</f>
        <v>0</v>
      </c>
      <c r="AE29" s="29">
        <f>IF(AQ29="7",BI29,0)</f>
        <v>0</v>
      </c>
      <c r="AF29" s="29">
        <f>IF(AQ29="2",BH29,0)</f>
        <v>0</v>
      </c>
      <c r="AG29" s="29">
        <f>IF(AQ29="2",BI29,0)</f>
        <v>0</v>
      </c>
      <c r="AH29" s="29">
        <f>IF(AQ29="0",BJ29,0)</f>
        <v>0</v>
      </c>
      <c r="AI29" s="10" t="s">
        <v>394</v>
      </c>
      <c r="AJ29" s="29">
        <f>IF(AN29=0,L29,0)</f>
        <v>0</v>
      </c>
      <c r="AK29" s="29">
        <f>IF(AN29=15,L29,0)</f>
        <v>0</v>
      </c>
      <c r="AL29" s="29">
        <f>IF(AN29=21,L29,0)</f>
        <v>0</v>
      </c>
      <c r="AN29" s="29">
        <v>21</v>
      </c>
      <c r="AO29" s="29">
        <f>I29*0.156750998668442</f>
        <v>0</v>
      </c>
      <c r="AP29" s="29">
        <f>I29*(1-0.156750998668442)</f>
        <v>0</v>
      </c>
      <c r="AQ29" s="23" t="s">
        <v>576</v>
      </c>
      <c r="AV29" s="29">
        <f>AW29+AX29</f>
        <v>0</v>
      </c>
      <c r="AW29" s="29">
        <f>H29*AO29</f>
        <v>0</v>
      </c>
      <c r="AX29" s="29">
        <f>H29*AP29</f>
        <v>0</v>
      </c>
      <c r="AY29" s="23" t="s">
        <v>354</v>
      </c>
      <c r="AZ29" s="23" t="s">
        <v>73</v>
      </c>
      <c r="BA29" s="10" t="s">
        <v>439</v>
      </c>
      <c r="BC29" s="29">
        <f>AW29+AX29</f>
        <v>0</v>
      </c>
      <c r="BD29" s="29">
        <f>I29/(100-BE29)*100</f>
        <v>0</v>
      </c>
      <c r="BE29" s="29">
        <v>0</v>
      </c>
      <c r="BF29" s="29">
        <f>29</f>
        <v>29</v>
      </c>
      <c r="BH29" s="29">
        <f>H29*AO29</f>
        <v>0</v>
      </c>
      <c r="BI29" s="29">
        <f>H29*AP29</f>
        <v>0</v>
      </c>
      <c r="BJ29" s="29">
        <f>H29*I29</f>
        <v>0</v>
      </c>
      <c r="BK29" s="29"/>
      <c r="BL29" s="29">
        <v>61</v>
      </c>
    </row>
    <row r="30" spans="1:64" ht="15" customHeight="1">
      <c r="A30" s="4" t="s">
        <v>323</v>
      </c>
      <c r="B30" s="18" t="s">
        <v>265</v>
      </c>
      <c r="C30" s="67" t="s">
        <v>174</v>
      </c>
      <c r="D30" s="67"/>
      <c r="E30" s="67"/>
      <c r="F30" s="67"/>
      <c r="G30" s="18" t="s">
        <v>569</v>
      </c>
      <c r="H30" s="29">
        <v>250</v>
      </c>
      <c r="I30" s="46">
        <v>0</v>
      </c>
      <c r="J30" s="29">
        <f>H30*AO30</f>
        <v>0</v>
      </c>
      <c r="K30" s="29">
        <f>H30*AP30</f>
        <v>0</v>
      </c>
      <c r="L30" s="29">
        <f>H30*I30</f>
        <v>0</v>
      </c>
      <c r="M30" s="41" t="s">
        <v>484</v>
      </c>
      <c r="Z30" s="29">
        <f>IF(AQ30="5",BJ30,0)</f>
        <v>0</v>
      </c>
      <c r="AB30" s="29">
        <f>IF(AQ30="1",BH30,0)</f>
        <v>0</v>
      </c>
      <c r="AC30" s="29">
        <f>IF(AQ30="1",BI30,0)</f>
        <v>0</v>
      </c>
      <c r="AD30" s="29">
        <f>IF(AQ30="7",BH30,0)</f>
        <v>0</v>
      </c>
      <c r="AE30" s="29">
        <f>IF(AQ30="7",BI30,0)</f>
        <v>0</v>
      </c>
      <c r="AF30" s="29">
        <f>IF(AQ30="2",BH30,0)</f>
        <v>0</v>
      </c>
      <c r="AG30" s="29">
        <f>IF(AQ30="2",BI30,0)</f>
        <v>0</v>
      </c>
      <c r="AH30" s="29">
        <f>IF(AQ30="0",BJ30,0)</f>
        <v>0</v>
      </c>
      <c r="AI30" s="10" t="s">
        <v>394</v>
      </c>
      <c r="AJ30" s="29">
        <f>IF(AN30=0,L30,0)</f>
        <v>0</v>
      </c>
      <c r="AK30" s="29">
        <f>IF(AN30=15,L30,0)</f>
        <v>0</v>
      </c>
      <c r="AL30" s="29">
        <f>IF(AN30=21,L30,0)</f>
        <v>0</v>
      </c>
      <c r="AN30" s="29">
        <v>21</v>
      </c>
      <c r="AO30" s="29">
        <f>I30*0.12524195282816</f>
        <v>0</v>
      </c>
      <c r="AP30" s="29">
        <f>I30*(1-0.12524195282816)</f>
        <v>0</v>
      </c>
      <c r="AQ30" s="23" t="s">
        <v>576</v>
      </c>
      <c r="AV30" s="29">
        <f>AW30+AX30</f>
        <v>0</v>
      </c>
      <c r="AW30" s="29">
        <f>H30*AO30</f>
        <v>0</v>
      </c>
      <c r="AX30" s="29">
        <f>H30*AP30</f>
        <v>0</v>
      </c>
      <c r="AY30" s="23" t="s">
        <v>354</v>
      </c>
      <c r="AZ30" s="23" t="s">
        <v>73</v>
      </c>
      <c r="BA30" s="10" t="s">
        <v>439</v>
      </c>
      <c r="BC30" s="29">
        <f>AW30+AX30</f>
        <v>0</v>
      </c>
      <c r="BD30" s="29">
        <f>I30/(100-BE30)*100</f>
        <v>0</v>
      </c>
      <c r="BE30" s="29">
        <v>0</v>
      </c>
      <c r="BF30" s="29">
        <f>30</f>
        <v>30</v>
      </c>
      <c r="BH30" s="29">
        <f>H30*AO30</f>
        <v>0</v>
      </c>
      <c r="BI30" s="29">
        <f>H30*AP30</f>
        <v>0</v>
      </c>
      <c r="BJ30" s="29">
        <f>H30*I30</f>
        <v>0</v>
      </c>
      <c r="BK30" s="29"/>
      <c r="BL30" s="29">
        <v>61</v>
      </c>
    </row>
    <row r="31" spans="1:13" ht="13.5" customHeight="1">
      <c r="A31" s="40"/>
      <c r="B31" s="34" t="s">
        <v>279</v>
      </c>
      <c r="C31" s="88" t="s">
        <v>319</v>
      </c>
      <c r="D31" s="89"/>
      <c r="E31" s="89"/>
      <c r="F31" s="89"/>
      <c r="G31" s="89"/>
      <c r="H31" s="89"/>
      <c r="I31" s="90"/>
      <c r="J31" s="89"/>
      <c r="K31" s="89"/>
      <c r="L31" s="89"/>
      <c r="M31" s="91"/>
    </row>
    <row r="32" spans="1:47" ht="15" customHeight="1">
      <c r="A32" s="26" t="s">
        <v>394</v>
      </c>
      <c r="B32" s="8" t="s">
        <v>137</v>
      </c>
      <c r="C32" s="87" t="s">
        <v>588</v>
      </c>
      <c r="D32" s="87"/>
      <c r="E32" s="87"/>
      <c r="F32" s="87"/>
      <c r="G32" s="42" t="s">
        <v>537</v>
      </c>
      <c r="H32" s="42" t="s">
        <v>537</v>
      </c>
      <c r="I32" s="50" t="s">
        <v>537</v>
      </c>
      <c r="J32" s="24">
        <f>SUM(J33:J40)</f>
        <v>0</v>
      </c>
      <c r="K32" s="24">
        <f>SUM(K33:K40)</f>
        <v>0</v>
      </c>
      <c r="L32" s="24">
        <f>SUM(L33:L40)</f>
        <v>0</v>
      </c>
      <c r="M32" s="9" t="s">
        <v>394</v>
      </c>
      <c r="AI32" s="10" t="s">
        <v>394</v>
      </c>
      <c r="AS32" s="24">
        <f>SUM(AJ33:AJ40)</f>
        <v>0</v>
      </c>
      <c r="AT32" s="24">
        <f>SUM(AK33:AK40)</f>
        <v>0</v>
      </c>
      <c r="AU32" s="24">
        <f>SUM(AL33:AL40)</f>
        <v>0</v>
      </c>
    </row>
    <row r="33" spans="1:64" ht="15" customHeight="1">
      <c r="A33" s="4" t="s">
        <v>483</v>
      </c>
      <c r="B33" s="18" t="s">
        <v>53</v>
      </c>
      <c r="C33" s="67" t="s">
        <v>231</v>
      </c>
      <c r="D33" s="67"/>
      <c r="E33" s="67"/>
      <c r="F33" s="67"/>
      <c r="G33" s="18" t="s">
        <v>557</v>
      </c>
      <c r="H33" s="29">
        <v>0.84</v>
      </c>
      <c r="I33" s="46">
        <v>0</v>
      </c>
      <c r="J33" s="29">
        <f>H33*AO33</f>
        <v>0</v>
      </c>
      <c r="K33" s="29">
        <f>H33*AP33</f>
        <v>0</v>
      </c>
      <c r="L33" s="29">
        <f>H33*I33</f>
        <v>0</v>
      </c>
      <c r="M33" s="41" t="s">
        <v>484</v>
      </c>
      <c r="Z33" s="29">
        <f>IF(AQ33="5",BJ33,0)</f>
        <v>0</v>
      </c>
      <c r="AB33" s="29">
        <f>IF(AQ33="1",BH33,0)</f>
        <v>0</v>
      </c>
      <c r="AC33" s="29">
        <f>IF(AQ33="1",BI33,0)</f>
        <v>0</v>
      </c>
      <c r="AD33" s="29">
        <f>IF(AQ33="7",BH33,0)</f>
        <v>0</v>
      </c>
      <c r="AE33" s="29">
        <f>IF(AQ33="7",BI33,0)</f>
        <v>0</v>
      </c>
      <c r="AF33" s="29">
        <f>IF(AQ33="2",BH33,0)</f>
        <v>0</v>
      </c>
      <c r="AG33" s="29">
        <f>IF(AQ33="2",BI33,0)</f>
        <v>0</v>
      </c>
      <c r="AH33" s="29">
        <f>IF(AQ33="0",BJ33,0)</f>
        <v>0</v>
      </c>
      <c r="AI33" s="10" t="s">
        <v>394</v>
      </c>
      <c r="AJ33" s="29">
        <f>IF(AN33=0,L33,0)</f>
        <v>0</v>
      </c>
      <c r="AK33" s="29">
        <f>IF(AN33=15,L33,0)</f>
        <v>0</v>
      </c>
      <c r="AL33" s="29">
        <f>IF(AN33=21,L33,0)</f>
        <v>0</v>
      </c>
      <c r="AN33" s="29">
        <v>21</v>
      </c>
      <c r="AO33" s="29">
        <f>I33*0.770334302325581</f>
        <v>0</v>
      </c>
      <c r="AP33" s="29">
        <f>I33*(1-0.770334302325581)</f>
        <v>0</v>
      </c>
      <c r="AQ33" s="23" t="s">
        <v>576</v>
      </c>
      <c r="AV33" s="29">
        <f>AW33+AX33</f>
        <v>0</v>
      </c>
      <c r="AW33" s="29">
        <f>H33*AO33</f>
        <v>0</v>
      </c>
      <c r="AX33" s="29">
        <f>H33*AP33</f>
        <v>0</v>
      </c>
      <c r="AY33" s="23" t="s">
        <v>528</v>
      </c>
      <c r="AZ33" s="23" t="s">
        <v>73</v>
      </c>
      <c r="BA33" s="10" t="s">
        <v>439</v>
      </c>
      <c r="BC33" s="29">
        <f>AW33+AX33</f>
        <v>0</v>
      </c>
      <c r="BD33" s="29">
        <f>I33/(100-BE33)*100</f>
        <v>0</v>
      </c>
      <c r="BE33" s="29">
        <v>0</v>
      </c>
      <c r="BF33" s="29">
        <f>33</f>
        <v>33</v>
      </c>
      <c r="BH33" s="29">
        <f>H33*AO33</f>
        <v>0</v>
      </c>
      <c r="BI33" s="29">
        <f>H33*AP33</f>
        <v>0</v>
      </c>
      <c r="BJ33" s="29">
        <f>H33*I33</f>
        <v>0</v>
      </c>
      <c r="BK33" s="29"/>
      <c r="BL33" s="29">
        <v>63</v>
      </c>
    </row>
    <row r="34" spans="1:13" ht="13.5" customHeight="1">
      <c r="A34" s="40"/>
      <c r="B34" s="34" t="s">
        <v>279</v>
      </c>
      <c r="C34" s="88" t="s">
        <v>594</v>
      </c>
      <c r="D34" s="89"/>
      <c r="E34" s="89"/>
      <c r="F34" s="89"/>
      <c r="G34" s="89"/>
      <c r="H34" s="89"/>
      <c r="I34" s="90"/>
      <c r="J34" s="89"/>
      <c r="K34" s="89"/>
      <c r="L34" s="89"/>
      <c r="M34" s="91"/>
    </row>
    <row r="35" spans="1:64" ht="15" customHeight="1">
      <c r="A35" s="4" t="s">
        <v>421</v>
      </c>
      <c r="B35" s="18" t="s">
        <v>53</v>
      </c>
      <c r="C35" s="67" t="s">
        <v>231</v>
      </c>
      <c r="D35" s="67"/>
      <c r="E35" s="67"/>
      <c r="F35" s="67"/>
      <c r="G35" s="18" t="s">
        <v>557</v>
      </c>
      <c r="H35" s="29">
        <v>4.544</v>
      </c>
      <c r="I35" s="46">
        <v>0</v>
      </c>
      <c r="J35" s="29">
        <f>H35*AO35</f>
        <v>0</v>
      </c>
      <c r="K35" s="29">
        <f>H35*AP35</f>
        <v>0</v>
      </c>
      <c r="L35" s="29">
        <f>H35*I35</f>
        <v>0</v>
      </c>
      <c r="M35" s="41" t="s">
        <v>484</v>
      </c>
      <c r="Z35" s="29">
        <f>IF(AQ35="5",BJ35,0)</f>
        <v>0</v>
      </c>
      <c r="AB35" s="29">
        <f>IF(AQ35="1",BH35,0)</f>
        <v>0</v>
      </c>
      <c r="AC35" s="29">
        <f>IF(AQ35="1",BI35,0)</f>
        <v>0</v>
      </c>
      <c r="AD35" s="29">
        <f>IF(AQ35="7",BH35,0)</f>
        <v>0</v>
      </c>
      <c r="AE35" s="29">
        <f>IF(AQ35="7",BI35,0)</f>
        <v>0</v>
      </c>
      <c r="AF35" s="29">
        <f>IF(AQ35="2",BH35,0)</f>
        <v>0</v>
      </c>
      <c r="AG35" s="29">
        <f>IF(AQ35="2",BI35,0)</f>
        <v>0</v>
      </c>
      <c r="AH35" s="29">
        <f>IF(AQ35="0",BJ35,0)</f>
        <v>0</v>
      </c>
      <c r="AI35" s="10" t="s">
        <v>394</v>
      </c>
      <c r="AJ35" s="29">
        <f>IF(AN35=0,L35,0)</f>
        <v>0</v>
      </c>
      <c r="AK35" s="29">
        <f>IF(AN35=15,L35,0)</f>
        <v>0</v>
      </c>
      <c r="AL35" s="29">
        <f>IF(AN35=21,L35,0)</f>
        <v>0</v>
      </c>
      <c r="AN35" s="29">
        <v>21</v>
      </c>
      <c r="AO35" s="29">
        <f>I35*0.770337259217084</f>
        <v>0</v>
      </c>
      <c r="AP35" s="29">
        <f>I35*(1-0.770337259217084)</f>
        <v>0</v>
      </c>
      <c r="AQ35" s="23" t="s">
        <v>576</v>
      </c>
      <c r="AV35" s="29">
        <f>AW35+AX35</f>
        <v>0</v>
      </c>
      <c r="AW35" s="29">
        <f>H35*AO35</f>
        <v>0</v>
      </c>
      <c r="AX35" s="29">
        <f>H35*AP35</f>
        <v>0</v>
      </c>
      <c r="AY35" s="23" t="s">
        <v>528</v>
      </c>
      <c r="AZ35" s="23" t="s">
        <v>73</v>
      </c>
      <c r="BA35" s="10" t="s">
        <v>439</v>
      </c>
      <c r="BC35" s="29">
        <f>AW35+AX35</f>
        <v>0</v>
      </c>
      <c r="BD35" s="29">
        <f>I35/(100-BE35)*100</f>
        <v>0</v>
      </c>
      <c r="BE35" s="29">
        <v>0</v>
      </c>
      <c r="BF35" s="29">
        <f>35</f>
        <v>35</v>
      </c>
      <c r="BH35" s="29">
        <f>H35*AO35</f>
        <v>0</v>
      </c>
      <c r="BI35" s="29">
        <f>H35*AP35</f>
        <v>0</v>
      </c>
      <c r="BJ35" s="29">
        <f>H35*I35</f>
        <v>0</v>
      </c>
      <c r="BK35" s="29"/>
      <c r="BL35" s="29">
        <v>63</v>
      </c>
    </row>
    <row r="36" spans="1:13" ht="13.5" customHeight="1">
      <c r="A36" s="40"/>
      <c r="B36" s="34" t="s">
        <v>279</v>
      </c>
      <c r="C36" s="88" t="s">
        <v>449</v>
      </c>
      <c r="D36" s="89"/>
      <c r="E36" s="89"/>
      <c r="F36" s="89"/>
      <c r="G36" s="89"/>
      <c r="H36" s="89"/>
      <c r="I36" s="90"/>
      <c r="J36" s="89"/>
      <c r="K36" s="89"/>
      <c r="L36" s="89"/>
      <c r="M36" s="91"/>
    </row>
    <row r="37" spans="1:64" ht="15" customHeight="1">
      <c r="A37" s="4" t="s">
        <v>170</v>
      </c>
      <c r="B37" s="18" t="s">
        <v>324</v>
      </c>
      <c r="C37" s="67" t="s">
        <v>410</v>
      </c>
      <c r="D37" s="67"/>
      <c r="E37" s="67"/>
      <c r="F37" s="67"/>
      <c r="G37" s="18" t="s">
        <v>569</v>
      </c>
      <c r="H37" s="29">
        <v>56.8</v>
      </c>
      <c r="I37" s="46">
        <v>0</v>
      </c>
      <c r="J37" s="29">
        <f>H37*AO37</f>
        <v>0</v>
      </c>
      <c r="K37" s="29">
        <f>H37*AP37</f>
        <v>0</v>
      </c>
      <c r="L37" s="29">
        <f>H37*I37</f>
        <v>0</v>
      </c>
      <c r="M37" s="41" t="s">
        <v>484</v>
      </c>
      <c r="Z37" s="29">
        <f>IF(AQ37="5",BJ37,0)</f>
        <v>0</v>
      </c>
      <c r="AB37" s="29">
        <f>IF(AQ37="1",BH37,0)</f>
        <v>0</v>
      </c>
      <c r="AC37" s="29">
        <f>IF(AQ37="1",BI37,0)</f>
        <v>0</v>
      </c>
      <c r="AD37" s="29">
        <f>IF(AQ37="7",BH37,0)</f>
        <v>0</v>
      </c>
      <c r="AE37" s="29">
        <f>IF(AQ37="7",BI37,0)</f>
        <v>0</v>
      </c>
      <c r="AF37" s="29">
        <f>IF(AQ37="2",BH37,0)</f>
        <v>0</v>
      </c>
      <c r="AG37" s="29">
        <f>IF(AQ37="2",BI37,0)</f>
        <v>0</v>
      </c>
      <c r="AH37" s="29">
        <f>IF(AQ37="0",BJ37,0)</f>
        <v>0</v>
      </c>
      <c r="AI37" s="10" t="s">
        <v>394</v>
      </c>
      <c r="AJ37" s="29">
        <f>IF(AN37=0,L37,0)</f>
        <v>0</v>
      </c>
      <c r="AK37" s="29">
        <f>IF(AN37=15,L37,0)</f>
        <v>0</v>
      </c>
      <c r="AL37" s="29">
        <f>IF(AN37=21,L37,0)</f>
        <v>0</v>
      </c>
      <c r="AN37" s="29">
        <v>21</v>
      </c>
      <c r="AO37" s="29">
        <f>I37*0.576069246435845</f>
        <v>0</v>
      </c>
      <c r="AP37" s="29">
        <f>I37*(1-0.576069246435845)</f>
        <v>0</v>
      </c>
      <c r="AQ37" s="23" t="s">
        <v>576</v>
      </c>
      <c r="AV37" s="29">
        <f>AW37+AX37</f>
        <v>0</v>
      </c>
      <c r="AW37" s="29">
        <f>H37*AO37</f>
        <v>0</v>
      </c>
      <c r="AX37" s="29">
        <f>H37*AP37</f>
        <v>0</v>
      </c>
      <c r="AY37" s="23" t="s">
        <v>528</v>
      </c>
      <c r="AZ37" s="23" t="s">
        <v>73</v>
      </c>
      <c r="BA37" s="10" t="s">
        <v>439</v>
      </c>
      <c r="BC37" s="29">
        <f>AW37+AX37</f>
        <v>0</v>
      </c>
      <c r="BD37" s="29">
        <f>I37/(100-BE37)*100</f>
        <v>0</v>
      </c>
      <c r="BE37" s="29">
        <v>0</v>
      </c>
      <c r="BF37" s="29">
        <f>37</f>
        <v>37</v>
      </c>
      <c r="BH37" s="29">
        <f>H37*AO37</f>
        <v>0</v>
      </c>
      <c r="BI37" s="29">
        <f>H37*AP37</f>
        <v>0</v>
      </c>
      <c r="BJ37" s="29">
        <f>H37*I37</f>
        <v>0</v>
      </c>
      <c r="BK37" s="29"/>
      <c r="BL37" s="29">
        <v>63</v>
      </c>
    </row>
    <row r="38" spans="1:13" ht="13.5" customHeight="1">
      <c r="A38" s="40"/>
      <c r="B38" s="34" t="s">
        <v>279</v>
      </c>
      <c r="C38" s="88" t="s">
        <v>327</v>
      </c>
      <c r="D38" s="89"/>
      <c r="E38" s="89"/>
      <c r="F38" s="89"/>
      <c r="G38" s="89"/>
      <c r="H38" s="89"/>
      <c r="I38" s="90"/>
      <c r="J38" s="89"/>
      <c r="K38" s="89"/>
      <c r="L38" s="89"/>
      <c r="M38" s="91"/>
    </row>
    <row r="39" spans="1:64" ht="15" customHeight="1">
      <c r="A39" s="4" t="s">
        <v>331</v>
      </c>
      <c r="B39" s="18" t="s">
        <v>601</v>
      </c>
      <c r="C39" s="67" t="s">
        <v>448</v>
      </c>
      <c r="D39" s="67"/>
      <c r="E39" s="67"/>
      <c r="F39" s="67"/>
      <c r="G39" s="18" t="s">
        <v>557</v>
      </c>
      <c r="H39" s="29">
        <v>5.68</v>
      </c>
      <c r="I39" s="46">
        <v>0</v>
      </c>
      <c r="J39" s="29">
        <f>H39*AO39</f>
        <v>0</v>
      </c>
      <c r="K39" s="29">
        <f>H39*AP39</f>
        <v>0</v>
      </c>
      <c r="L39" s="29">
        <f>H39*I39</f>
        <v>0</v>
      </c>
      <c r="M39" s="41" t="s">
        <v>484</v>
      </c>
      <c r="Z39" s="29">
        <f>IF(AQ39="5",BJ39,0)</f>
        <v>0</v>
      </c>
      <c r="AB39" s="29">
        <f>IF(AQ39="1",BH39,0)</f>
        <v>0</v>
      </c>
      <c r="AC39" s="29">
        <f>IF(AQ39="1",BI39,0)</f>
        <v>0</v>
      </c>
      <c r="AD39" s="29">
        <f>IF(AQ39="7",BH39,0)</f>
        <v>0</v>
      </c>
      <c r="AE39" s="29">
        <f>IF(AQ39="7",BI39,0)</f>
        <v>0</v>
      </c>
      <c r="AF39" s="29">
        <f>IF(AQ39="2",BH39,0)</f>
        <v>0</v>
      </c>
      <c r="AG39" s="29">
        <f>IF(AQ39="2",BI39,0)</f>
        <v>0</v>
      </c>
      <c r="AH39" s="29">
        <f>IF(AQ39="0",BJ39,0)</f>
        <v>0</v>
      </c>
      <c r="AI39" s="10" t="s">
        <v>394</v>
      </c>
      <c r="AJ39" s="29">
        <f>IF(AN39=0,L39,0)</f>
        <v>0</v>
      </c>
      <c r="AK39" s="29">
        <f>IF(AN39=15,L39,0)</f>
        <v>0</v>
      </c>
      <c r="AL39" s="29">
        <f>IF(AN39=21,L39,0)</f>
        <v>0</v>
      </c>
      <c r="AN39" s="29">
        <v>21</v>
      </c>
      <c r="AO39" s="29">
        <f>I39*0</f>
        <v>0</v>
      </c>
      <c r="AP39" s="29">
        <f>I39*(1-0)</f>
        <v>0</v>
      </c>
      <c r="AQ39" s="23" t="s">
        <v>576</v>
      </c>
      <c r="AV39" s="29">
        <f>AW39+AX39</f>
        <v>0</v>
      </c>
      <c r="AW39" s="29">
        <f>H39*AO39</f>
        <v>0</v>
      </c>
      <c r="AX39" s="29">
        <f>H39*AP39</f>
        <v>0</v>
      </c>
      <c r="AY39" s="23" t="s">
        <v>528</v>
      </c>
      <c r="AZ39" s="23" t="s">
        <v>73</v>
      </c>
      <c r="BA39" s="10" t="s">
        <v>439</v>
      </c>
      <c r="BC39" s="29">
        <f>AW39+AX39</f>
        <v>0</v>
      </c>
      <c r="BD39" s="29">
        <f>I39/(100-BE39)*100</f>
        <v>0</v>
      </c>
      <c r="BE39" s="29">
        <v>0</v>
      </c>
      <c r="BF39" s="29">
        <f>39</f>
        <v>39</v>
      </c>
      <c r="BH39" s="29">
        <f>H39*AO39</f>
        <v>0</v>
      </c>
      <c r="BI39" s="29">
        <f>H39*AP39</f>
        <v>0</v>
      </c>
      <c r="BJ39" s="29">
        <f>H39*I39</f>
        <v>0</v>
      </c>
      <c r="BK39" s="29"/>
      <c r="BL39" s="29">
        <v>63</v>
      </c>
    </row>
    <row r="40" spans="1:64" ht="15" customHeight="1">
      <c r="A40" s="4" t="s">
        <v>216</v>
      </c>
      <c r="B40" s="18" t="s">
        <v>120</v>
      </c>
      <c r="C40" s="67" t="s">
        <v>298</v>
      </c>
      <c r="D40" s="67"/>
      <c r="E40" s="67"/>
      <c r="F40" s="67"/>
      <c r="G40" s="18" t="s">
        <v>255</v>
      </c>
      <c r="H40" s="29">
        <v>0.322</v>
      </c>
      <c r="I40" s="46">
        <v>0</v>
      </c>
      <c r="J40" s="29">
        <f>H40*AO40</f>
        <v>0</v>
      </c>
      <c r="K40" s="29">
        <f>H40*AP40</f>
        <v>0</v>
      </c>
      <c r="L40" s="29">
        <f>H40*I40</f>
        <v>0</v>
      </c>
      <c r="M40" s="41" t="s">
        <v>484</v>
      </c>
      <c r="Z40" s="29">
        <f>IF(AQ40="5",BJ40,0)</f>
        <v>0</v>
      </c>
      <c r="AB40" s="29">
        <f>IF(AQ40="1",BH40,0)</f>
        <v>0</v>
      </c>
      <c r="AC40" s="29">
        <f>IF(AQ40="1",BI40,0)</f>
        <v>0</v>
      </c>
      <c r="AD40" s="29">
        <f>IF(AQ40="7",BH40,0)</f>
        <v>0</v>
      </c>
      <c r="AE40" s="29">
        <f>IF(AQ40="7",BI40,0)</f>
        <v>0</v>
      </c>
      <c r="AF40" s="29">
        <f>IF(AQ40="2",BH40,0)</f>
        <v>0</v>
      </c>
      <c r="AG40" s="29">
        <f>IF(AQ40="2",BI40,0)</f>
        <v>0</v>
      </c>
      <c r="AH40" s="29">
        <f>IF(AQ40="0",BJ40,0)</f>
        <v>0</v>
      </c>
      <c r="AI40" s="10" t="s">
        <v>394</v>
      </c>
      <c r="AJ40" s="29">
        <f>IF(AN40=0,L40,0)</f>
        <v>0</v>
      </c>
      <c r="AK40" s="29">
        <f>IF(AN40=15,L40,0)</f>
        <v>0</v>
      </c>
      <c r="AL40" s="29">
        <f>IF(AN40=21,L40,0)</f>
        <v>0</v>
      </c>
      <c r="AN40" s="29">
        <v>21</v>
      </c>
      <c r="AO40" s="29">
        <f>I40*0.88818905687545</f>
        <v>0</v>
      </c>
      <c r="AP40" s="29">
        <f>I40*(1-0.88818905687545)</f>
        <v>0</v>
      </c>
      <c r="AQ40" s="23" t="s">
        <v>576</v>
      </c>
      <c r="AV40" s="29">
        <f>AW40+AX40</f>
        <v>0</v>
      </c>
      <c r="AW40" s="29">
        <f>H40*AO40</f>
        <v>0</v>
      </c>
      <c r="AX40" s="29">
        <f>H40*AP40</f>
        <v>0</v>
      </c>
      <c r="AY40" s="23" t="s">
        <v>528</v>
      </c>
      <c r="AZ40" s="23" t="s">
        <v>73</v>
      </c>
      <c r="BA40" s="10" t="s">
        <v>439</v>
      </c>
      <c r="BC40" s="29">
        <f>AW40+AX40</f>
        <v>0</v>
      </c>
      <c r="BD40" s="29">
        <f>I40/(100-BE40)*100</f>
        <v>0</v>
      </c>
      <c r="BE40" s="29">
        <v>0</v>
      </c>
      <c r="BF40" s="29">
        <f>40</f>
        <v>40</v>
      </c>
      <c r="BH40" s="29">
        <f>H40*AO40</f>
        <v>0</v>
      </c>
      <c r="BI40" s="29">
        <f>H40*AP40</f>
        <v>0</v>
      </c>
      <c r="BJ40" s="29">
        <f>H40*I40</f>
        <v>0</v>
      </c>
      <c r="BK40" s="29"/>
      <c r="BL40" s="29">
        <v>63</v>
      </c>
    </row>
    <row r="41" spans="1:13" ht="13.5" customHeight="1">
      <c r="A41" s="40"/>
      <c r="B41" s="34" t="s">
        <v>279</v>
      </c>
      <c r="C41" s="88" t="s">
        <v>381</v>
      </c>
      <c r="D41" s="89"/>
      <c r="E41" s="89"/>
      <c r="F41" s="89"/>
      <c r="G41" s="89"/>
      <c r="H41" s="89"/>
      <c r="I41" s="90"/>
      <c r="J41" s="89"/>
      <c r="K41" s="89"/>
      <c r="L41" s="89"/>
      <c r="M41" s="91"/>
    </row>
    <row r="42" spans="1:47" ht="15" customHeight="1">
      <c r="A42" s="26" t="s">
        <v>394</v>
      </c>
      <c r="B42" s="8" t="s">
        <v>272</v>
      </c>
      <c r="C42" s="87" t="s">
        <v>598</v>
      </c>
      <c r="D42" s="87"/>
      <c r="E42" s="87"/>
      <c r="F42" s="87"/>
      <c r="G42" s="42" t="s">
        <v>537</v>
      </c>
      <c r="H42" s="42" t="s">
        <v>537</v>
      </c>
      <c r="I42" s="50" t="s">
        <v>537</v>
      </c>
      <c r="J42" s="24">
        <f>SUM(J43:J53)</f>
        <v>0</v>
      </c>
      <c r="K42" s="24">
        <f>SUM(K43:K53)</f>
        <v>0</v>
      </c>
      <c r="L42" s="24">
        <f>SUM(L43:L53)</f>
        <v>0</v>
      </c>
      <c r="M42" s="9" t="s">
        <v>394</v>
      </c>
      <c r="AI42" s="10" t="s">
        <v>394</v>
      </c>
      <c r="AS42" s="24">
        <f>SUM(AJ43:AJ53)</f>
        <v>0</v>
      </c>
      <c r="AT42" s="24">
        <f>SUM(AK43:AK53)</f>
        <v>0</v>
      </c>
      <c r="AU42" s="24">
        <f>SUM(AL43:AL53)</f>
        <v>0</v>
      </c>
    </row>
    <row r="43" spans="1:64" ht="15" customHeight="1">
      <c r="A43" s="4" t="s">
        <v>45</v>
      </c>
      <c r="B43" s="18" t="s">
        <v>529</v>
      </c>
      <c r="C43" s="67" t="s">
        <v>184</v>
      </c>
      <c r="D43" s="67"/>
      <c r="E43" s="67"/>
      <c r="F43" s="67"/>
      <c r="G43" s="18" t="s">
        <v>146</v>
      </c>
      <c r="H43" s="29">
        <v>1</v>
      </c>
      <c r="I43" s="46">
        <v>0</v>
      </c>
      <c r="J43" s="29">
        <f>H43*AO43</f>
        <v>0</v>
      </c>
      <c r="K43" s="29">
        <f>H43*AP43</f>
        <v>0</v>
      </c>
      <c r="L43" s="29">
        <f>H43*I43</f>
        <v>0</v>
      </c>
      <c r="M43" s="41" t="s">
        <v>484</v>
      </c>
      <c r="Z43" s="29">
        <f>IF(AQ43="5",BJ43,0)</f>
        <v>0</v>
      </c>
      <c r="AB43" s="29">
        <f>IF(AQ43="1",BH43,0)</f>
        <v>0</v>
      </c>
      <c r="AC43" s="29">
        <f>IF(AQ43="1",BI43,0)</f>
        <v>0</v>
      </c>
      <c r="AD43" s="29">
        <f>IF(AQ43="7",BH43,0)</f>
        <v>0</v>
      </c>
      <c r="AE43" s="29">
        <f>IF(AQ43="7",BI43,0)</f>
        <v>0</v>
      </c>
      <c r="AF43" s="29">
        <f>IF(AQ43="2",BH43,0)</f>
        <v>0</v>
      </c>
      <c r="AG43" s="29">
        <f>IF(AQ43="2",BI43,0)</f>
        <v>0</v>
      </c>
      <c r="AH43" s="29">
        <f>IF(AQ43="0",BJ43,0)</f>
        <v>0</v>
      </c>
      <c r="AI43" s="10" t="s">
        <v>394</v>
      </c>
      <c r="AJ43" s="29">
        <f>IF(AN43=0,L43,0)</f>
        <v>0</v>
      </c>
      <c r="AK43" s="29">
        <f>IF(AN43=15,L43,0)</f>
        <v>0</v>
      </c>
      <c r="AL43" s="29">
        <f>IF(AN43=21,L43,0)</f>
        <v>0</v>
      </c>
      <c r="AN43" s="29">
        <v>21</v>
      </c>
      <c r="AO43" s="29">
        <f>I43*0.923223988439306</f>
        <v>0</v>
      </c>
      <c r="AP43" s="29">
        <f>I43*(1-0.923223988439306)</f>
        <v>0</v>
      </c>
      <c r="AQ43" s="23" t="s">
        <v>576</v>
      </c>
      <c r="AV43" s="29">
        <f>AW43+AX43</f>
        <v>0</v>
      </c>
      <c r="AW43" s="29">
        <f>H43*AO43</f>
        <v>0</v>
      </c>
      <c r="AX43" s="29">
        <f>H43*AP43</f>
        <v>0</v>
      </c>
      <c r="AY43" s="23" t="s">
        <v>383</v>
      </c>
      <c r="AZ43" s="23" t="s">
        <v>73</v>
      </c>
      <c r="BA43" s="10" t="s">
        <v>439</v>
      </c>
      <c r="BC43" s="29">
        <f>AW43+AX43</f>
        <v>0</v>
      </c>
      <c r="BD43" s="29">
        <f>I43/(100-BE43)*100</f>
        <v>0</v>
      </c>
      <c r="BE43" s="29">
        <v>0</v>
      </c>
      <c r="BF43" s="29">
        <f>43</f>
        <v>43</v>
      </c>
      <c r="BH43" s="29">
        <f>H43*AO43</f>
        <v>0</v>
      </c>
      <c r="BI43" s="29">
        <f>H43*AP43</f>
        <v>0</v>
      </c>
      <c r="BJ43" s="29">
        <f>H43*I43</f>
        <v>0</v>
      </c>
      <c r="BK43" s="29"/>
      <c r="BL43" s="29">
        <v>64</v>
      </c>
    </row>
    <row r="44" spans="1:13" ht="13.5" customHeight="1">
      <c r="A44" s="40"/>
      <c r="B44" s="34" t="s">
        <v>279</v>
      </c>
      <c r="C44" s="88" t="s">
        <v>178</v>
      </c>
      <c r="D44" s="89"/>
      <c r="E44" s="89"/>
      <c r="F44" s="89"/>
      <c r="G44" s="89"/>
      <c r="H44" s="89"/>
      <c r="I44" s="90"/>
      <c r="J44" s="89"/>
      <c r="K44" s="89"/>
      <c r="L44" s="89"/>
      <c r="M44" s="91"/>
    </row>
    <row r="45" spans="1:64" ht="15" customHeight="1">
      <c r="A45" s="4" t="s">
        <v>397</v>
      </c>
      <c r="B45" s="18" t="s">
        <v>506</v>
      </c>
      <c r="C45" s="67" t="s">
        <v>525</v>
      </c>
      <c r="D45" s="67"/>
      <c r="E45" s="67"/>
      <c r="F45" s="67"/>
      <c r="G45" s="18" t="s">
        <v>146</v>
      </c>
      <c r="H45" s="29">
        <v>6</v>
      </c>
      <c r="I45" s="46">
        <v>0</v>
      </c>
      <c r="J45" s="29">
        <f aca="true" t="shared" si="0" ref="J45:J53">H45*AO45</f>
        <v>0</v>
      </c>
      <c r="K45" s="29">
        <f aca="true" t="shared" si="1" ref="K45:K53">H45*AP45</f>
        <v>0</v>
      </c>
      <c r="L45" s="29">
        <f aca="true" t="shared" si="2" ref="L45:L53">H45*I45</f>
        <v>0</v>
      </c>
      <c r="M45" s="41" t="s">
        <v>484</v>
      </c>
      <c r="Z45" s="29">
        <f aca="true" t="shared" si="3" ref="Z45:Z53">IF(AQ45="5",BJ45,0)</f>
        <v>0</v>
      </c>
      <c r="AB45" s="29">
        <f aca="true" t="shared" si="4" ref="AB45:AB53">IF(AQ45="1",BH45,0)</f>
        <v>0</v>
      </c>
      <c r="AC45" s="29">
        <f aca="true" t="shared" si="5" ref="AC45:AC53">IF(AQ45="1",BI45,0)</f>
        <v>0</v>
      </c>
      <c r="AD45" s="29">
        <f aca="true" t="shared" si="6" ref="AD45:AD53">IF(AQ45="7",BH45,0)</f>
        <v>0</v>
      </c>
      <c r="AE45" s="29">
        <f aca="true" t="shared" si="7" ref="AE45:AE53">IF(AQ45="7",BI45,0)</f>
        <v>0</v>
      </c>
      <c r="AF45" s="29">
        <f aca="true" t="shared" si="8" ref="AF45:AF53">IF(AQ45="2",BH45,0)</f>
        <v>0</v>
      </c>
      <c r="AG45" s="29">
        <f aca="true" t="shared" si="9" ref="AG45:AG53">IF(AQ45="2",BI45,0)</f>
        <v>0</v>
      </c>
      <c r="AH45" s="29">
        <f aca="true" t="shared" si="10" ref="AH45:AH53">IF(AQ45="0",BJ45,0)</f>
        <v>0</v>
      </c>
      <c r="AI45" s="10" t="s">
        <v>394</v>
      </c>
      <c r="AJ45" s="29">
        <f aca="true" t="shared" si="11" ref="AJ45:AJ53">IF(AN45=0,L45,0)</f>
        <v>0</v>
      </c>
      <c r="AK45" s="29">
        <f aca="true" t="shared" si="12" ref="AK45:AK53">IF(AN45=15,L45,0)</f>
        <v>0</v>
      </c>
      <c r="AL45" s="29">
        <f aca="true" t="shared" si="13" ref="AL45:AL53">IF(AN45=21,L45,0)</f>
        <v>0</v>
      </c>
      <c r="AN45" s="29">
        <v>21</v>
      </c>
      <c r="AO45" s="29">
        <f>I45*0.0227537146658933</f>
        <v>0</v>
      </c>
      <c r="AP45" s="29">
        <f>I45*(1-0.0227537146658933)</f>
        <v>0</v>
      </c>
      <c r="AQ45" s="23" t="s">
        <v>576</v>
      </c>
      <c r="AV45" s="29">
        <f aca="true" t="shared" si="14" ref="AV45:AV53">AW45+AX45</f>
        <v>0</v>
      </c>
      <c r="AW45" s="29">
        <f aca="true" t="shared" si="15" ref="AW45:AW53">H45*AO45</f>
        <v>0</v>
      </c>
      <c r="AX45" s="29">
        <f aca="true" t="shared" si="16" ref="AX45:AX53">H45*AP45</f>
        <v>0</v>
      </c>
      <c r="AY45" s="23" t="s">
        <v>383</v>
      </c>
      <c r="AZ45" s="23" t="s">
        <v>73</v>
      </c>
      <c r="BA45" s="10" t="s">
        <v>439</v>
      </c>
      <c r="BC45" s="29">
        <f aca="true" t="shared" si="17" ref="BC45:BC53">AW45+AX45</f>
        <v>0</v>
      </c>
      <c r="BD45" s="29">
        <f aca="true" t="shared" si="18" ref="BD45:BD53">I45/(100-BE45)*100</f>
        <v>0</v>
      </c>
      <c r="BE45" s="29">
        <v>0</v>
      </c>
      <c r="BF45" s="29">
        <f>45</f>
        <v>45</v>
      </c>
      <c r="BH45" s="29">
        <f aca="true" t="shared" si="19" ref="BH45:BH53">H45*AO45</f>
        <v>0</v>
      </c>
      <c r="BI45" s="29">
        <f aca="true" t="shared" si="20" ref="BI45:BI53">H45*AP45</f>
        <v>0</v>
      </c>
      <c r="BJ45" s="29">
        <f aca="true" t="shared" si="21" ref="BJ45:BJ53">H45*I45</f>
        <v>0</v>
      </c>
      <c r="BK45" s="29"/>
      <c r="BL45" s="29">
        <v>64</v>
      </c>
    </row>
    <row r="46" spans="1:64" ht="15" customHeight="1">
      <c r="A46" s="4" t="s">
        <v>463</v>
      </c>
      <c r="B46" s="18" t="s">
        <v>504</v>
      </c>
      <c r="C46" s="67" t="s">
        <v>79</v>
      </c>
      <c r="D46" s="67"/>
      <c r="E46" s="67"/>
      <c r="F46" s="67"/>
      <c r="G46" s="18" t="s">
        <v>146</v>
      </c>
      <c r="H46" s="29">
        <v>4</v>
      </c>
      <c r="I46" s="46">
        <v>0</v>
      </c>
      <c r="J46" s="29">
        <f t="shared" si="0"/>
        <v>0</v>
      </c>
      <c r="K46" s="29">
        <f t="shared" si="1"/>
        <v>0</v>
      </c>
      <c r="L46" s="29">
        <f t="shared" si="2"/>
        <v>0</v>
      </c>
      <c r="M46" s="41" t="s">
        <v>484</v>
      </c>
      <c r="Z46" s="29">
        <f t="shared" si="3"/>
        <v>0</v>
      </c>
      <c r="AB46" s="29">
        <f t="shared" si="4"/>
        <v>0</v>
      </c>
      <c r="AC46" s="29">
        <f t="shared" si="5"/>
        <v>0</v>
      </c>
      <c r="AD46" s="29">
        <f t="shared" si="6"/>
        <v>0</v>
      </c>
      <c r="AE46" s="29">
        <f t="shared" si="7"/>
        <v>0</v>
      </c>
      <c r="AF46" s="29">
        <f t="shared" si="8"/>
        <v>0</v>
      </c>
      <c r="AG46" s="29">
        <f t="shared" si="9"/>
        <v>0</v>
      </c>
      <c r="AH46" s="29">
        <f t="shared" si="10"/>
        <v>0</v>
      </c>
      <c r="AI46" s="10" t="s">
        <v>394</v>
      </c>
      <c r="AJ46" s="29">
        <f t="shared" si="11"/>
        <v>0</v>
      </c>
      <c r="AK46" s="29">
        <f t="shared" si="12"/>
        <v>0</v>
      </c>
      <c r="AL46" s="29">
        <f t="shared" si="13"/>
        <v>0</v>
      </c>
      <c r="AN46" s="29">
        <v>21</v>
      </c>
      <c r="AO46" s="29">
        <f>I46*1</f>
        <v>0</v>
      </c>
      <c r="AP46" s="29">
        <f>I46*(1-1)</f>
        <v>0</v>
      </c>
      <c r="AQ46" s="23" t="s">
        <v>576</v>
      </c>
      <c r="AV46" s="29">
        <f t="shared" si="14"/>
        <v>0</v>
      </c>
      <c r="AW46" s="29">
        <f t="shared" si="15"/>
        <v>0</v>
      </c>
      <c r="AX46" s="29">
        <f t="shared" si="16"/>
        <v>0</v>
      </c>
      <c r="AY46" s="23" t="s">
        <v>383</v>
      </c>
      <c r="AZ46" s="23" t="s">
        <v>73</v>
      </c>
      <c r="BA46" s="10" t="s">
        <v>439</v>
      </c>
      <c r="BC46" s="29">
        <f t="shared" si="17"/>
        <v>0</v>
      </c>
      <c r="BD46" s="29">
        <f t="shared" si="18"/>
        <v>0</v>
      </c>
      <c r="BE46" s="29">
        <v>0</v>
      </c>
      <c r="BF46" s="29">
        <f>46</f>
        <v>46</v>
      </c>
      <c r="BH46" s="29">
        <f t="shared" si="19"/>
        <v>0</v>
      </c>
      <c r="BI46" s="29">
        <f t="shared" si="20"/>
        <v>0</v>
      </c>
      <c r="BJ46" s="29">
        <f t="shared" si="21"/>
        <v>0</v>
      </c>
      <c r="BK46" s="29"/>
      <c r="BL46" s="29">
        <v>64</v>
      </c>
    </row>
    <row r="47" spans="1:64" ht="15" customHeight="1">
      <c r="A47" s="4" t="s">
        <v>359</v>
      </c>
      <c r="B47" s="18" t="s">
        <v>443</v>
      </c>
      <c r="C47" s="67" t="s">
        <v>422</v>
      </c>
      <c r="D47" s="67"/>
      <c r="E47" s="67"/>
      <c r="F47" s="67"/>
      <c r="G47" s="18" t="s">
        <v>146</v>
      </c>
      <c r="H47" s="29">
        <v>1</v>
      </c>
      <c r="I47" s="46">
        <v>0</v>
      </c>
      <c r="J47" s="29">
        <f t="shared" si="0"/>
        <v>0</v>
      </c>
      <c r="K47" s="29">
        <f t="shared" si="1"/>
        <v>0</v>
      </c>
      <c r="L47" s="29">
        <f t="shared" si="2"/>
        <v>0</v>
      </c>
      <c r="M47" s="41" t="s">
        <v>484</v>
      </c>
      <c r="Z47" s="29">
        <f t="shared" si="3"/>
        <v>0</v>
      </c>
      <c r="AB47" s="29">
        <f t="shared" si="4"/>
        <v>0</v>
      </c>
      <c r="AC47" s="29">
        <f t="shared" si="5"/>
        <v>0</v>
      </c>
      <c r="AD47" s="29">
        <f t="shared" si="6"/>
        <v>0</v>
      </c>
      <c r="AE47" s="29">
        <f t="shared" si="7"/>
        <v>0</v>
      </c>
      <c r="AF47" s="29">
        <f t="shared" si="8"/>
        <v>0</v>
      </c>
      <c r="AG47" s="29">
        <f t="shared" si="9"/>
        <v>0</v>
      </c>
      <c r="AH47" s="29">
        <f t="shared" si="10"/>
        <v>0</v>
      </c>
      <c r="AI47" s="10" t="s">
        <v>394</v>
      </c>
      <c r="AJ47" s="29">
        <f t="shared" si="11"/>
        <v>0</v>
      </c>
      <c r="AK47" s="29">
        <f t="shared" si="12"/>
        <v>0</v>
      </c>
      <c r="AL47" s="29">
        <f t="shared" si="13"/>
        <v>0</v>
      </c>
      <c r="AN47" s="29">
        <v>21</v>
      </c>
      <c r="AO47" s="29">
        <f>I47*1</f>
        <v>0</v>
      </c>
      <c r="AP47" s="29">
        <f>I47*(1-1)</f>
        <v>0</v>
      </c>
      <c r="AQ47" s="23" t="s">
        <v>576</v>
      </c>
      <c r="AV47" s="29">
        <f t="shared" si="14"/>
        <v>0</v>
      </c>
      <c r="AW47" s="29">
        <f t="shared" si="15"/>
        <v>0</v>
      </c>
      <c r="AX47" s="29">
        <f t="shared" si="16"/>
        <v>0</v>
      </c>
      <c r="AY47" s="23" t="s">
        <v>383</v>
      </c>
      <c r="AZ47" s="23" t="s">
        <v>73</v>
      </c>
      <c r="BA47" s="10" t="s">
        <v>439</v>
      </c>
      <c r="BC47" s="29">
        <f t="shared" si="17"/>
        <v>0</v>
      </c>
      <c r="BD47" s="29">
        <f t="shared" si="18"/>
        <v>0</v>
      </c>
      <c r="BE47" s="29">
        <v>0</v>
      </c>
      <c r="BF47" s="29">
        <f>47</f>
        <v>47</v>
      </c>
      <c r="BH47" s="29">
        <f t="shared" si="19"/>
        <v>0</v>
      </c>
      <c r="BI47" s="29">
        <f t="shared" si="20"/>
        <v>0</v>
      </c>
      <c r="BJ47" s="29">
        <f t="shared" si="21"/>
        <v>0</v>
      </c>
      <c r="BK47" s="29"/>
      <c r="BL47" s="29">
        <v>64</v>
      </c>
    </row>
    <row r="48" spans="1:64" ht="15" customHeight="1">
      <c r="A48" s="4" t="s">
        <v>23</v>
      </c>
      <c r="B48" s="18" t="s">
        <v>655</v>
      </c>
      <c r="C48" s="67" t="s">
        <v>21</v>
      </c>
      <c r="D48" s="67"/>
      <c r="E48" s="67"/>
      <c r="F48" s="67"/>
      <c r="G48" s="18" t="s">
        <v>146</v>
      </c>
      <c r="H48" s="29">
        <v>1</v>
      </c>
      <c r="I48" s="46">
        <v>0</v>
      </c>
      <c r="J48" s="29">
        <f t="shared" si="0"/>
        <v>0</v>
      </c>
      <c r="K48" s="29">
        <f t="shared" si="1"/>
        <v>0</v>
      </c>
      <c r="L48" s="29">
        <f t="shared" si="2"/>
        <v>0</v>
      </c>
      <c r="M48" s="41" t="s">
        <v>484</v>
      </c>
      <c r="Z48" s="29">
        <f t="shared" si="3"/>
        <v>0</v>
      </c>
      <c r="AB48" s="29">
        <f t="shared" si="4"/>
        <v>0</v>
      </c>
      <c r="AC48" s="29">
        <f t="shared" si="5"/>
        <v>0</v>
      </c>
      <c r="AD48" s="29">
        <f t="shared" si="6"/>
        <v>0</v>
      </c>
      <c r="AE48" s="29">
        <f t="shared" si="7"/>
        <v>0</v>
      </c>
      <c r="AF48" s="29">
        <f t="shared" si="8"/>
        <v>0</v>
      </c>
      <c r="AG48" s="29">
        <f t="shared" si="9"/>
        <v>0</v>
      </c>
      <c r="AH48" s="29">
        <f t="shared" si="10"/>
        <v>0</v>
      </c>
      <c r="AI48" s="10" t="s">
        <v>394</v>
      </c>
      <c r="AJ48" s="29">
        <f t="shared" si="11"/>
        <v>0</v>
      </c>
      <c r="AK48" s="29">
        <f t="shared" si="12"/>
        <v>0</v>
      </c>
      <c r="AL48" s="29">
        <f t="shared" si="13"/>
        <v>0</v>
      </c>
      <c r="AN48" s="29">
        <v>21</v>
      </c>
      <c r="AO48" s="29">
        <f>I48*1</f>
        <v>0</v>
      </c>
      <c r="AP48" s="29">
        <f>I48*(1-1)</f>
        <v>0</v>
      </c>
      <c r="AQ48" s="23" t="s">
        <v>576</v>
      </c>
      <c r="AV48" s="29">
        <f t="shared" si="14"/>
        <v>0</v>
      </c>
      <c r="AW48" s="29">
        <f t="shared" si="15"/>
        <v>0</v>
      </c>
      <c r="AX48" s="29">
        <f t="shared" si="16"/>
        <v>0</v>
      </c>
      <c r="AY48" s="23" t="s">
        <v>383</v>
      </c>
      <c r="AZ48" s="23" t="s">
        <v>73</v>
      </c>
      <c r="BA48" s="10" t="s">
        <v>439</v>
      </c>
      <c r="BC48" s="29">
        <f t="shared" si="17"/>
        <v>0</v>
      </c>
      <c r="BD48" s="29">
        <f t="shared" si="18"/>
        <v>0</v>
      </c>
      <c r="BE48" s="29">
        <v>0</v>
      </c>
      <c r="BF48" s="29">
        <f>48</f>
        <v>48</v>
      </c>
      <c r="BH48" s="29">
        <f t="shared" si="19"/>
        <v>0</v>
      </c>
      <c r="BI48" s="29">
        <f t="shared" si="20"/>
        <v>0</v>
      </c>
      <c r="BJ48" s="29">
        <f t="shared" si="21"/>
        <v>0</v>
      </c>
      <c r="BK48" s="29"/>
      <c r="BL48" s="29">
        <v>64</v>
      </c>
    </row>
    <row r="49" spans="1:64" ht="15" customHeight="1">
      <c r="A49" s="4" t="s">
        <v>404</v>
      </c>
      <c r="B49" s="18" t="s">
        <v>283</v>
      </c>
      <c r="C49" s="67" t="s">
        <v>104</v>
      </c>
      <c r="D49" s="67"/>
      <c r="E49" s="67"/>
      <c r="F49" s="67"/>
      <c r="G49" s="18" t="s">
        <v>146</v>
      </c>
      <c r="H49" s="29">
        <v>1</v>
      </c>
      <c r="I49" s="46">
        <v>0</v>
      </c>
      <c r="J49" s="29">
        <f t="shared" si="0"/>
        <v>0</v>
      </c>
      <c r="K49" s="29">
        <f t="shared" si="1"/>
        <v>0</v>
      </c>
      <c r="L49" s="29">
        <f t="shared" si="2"/>
        <v>0</v>
      </c>
      <c r="M49" s="41" t="s">
        <v>484</v>
      </c>
      <c r="Z49" s="29">
        <f t="shared" si="3"/>
        <v>0</v>
      </c>
      <c r="AB49" s="29">
        <f t="shared" si="4"/>
        <v>0</v>
      </c>
      <c r="AC49" s="29">
        <f t="shared" si="5"/>
        <v>0</v>
      </c>
      <c r="AD49" s="29">
        <f t="shared" si="6"/>
        <v>0</v>
      </c>
      <c r="AE49" s="29">
        <f t="shared" si="7"/>
        <v>0</v>
      </c>
      <c r="AF49" s="29">
        <f t="shared" si="8"/>
        <v>0</v>
      </c>
      <c r="AG49" s="29">
        <f t="shared" si="9"/>
        <v>0</v>
      </c>
      <c r="AH49" s="29">
        <f t="shared" si="10"/>
        <v>0</v>
      </c>
      <c r="AI49" s="10" t="s">
        <v>394</v>
      </c>
      <c r="AJ49" s="29">
        <f t="shared" si="11"/>
        <v>0</v>
      </c>
      <c r="AK49" s="29">
        <f t="shared" si="12"/>
        <v>0</v>
      </c>
      <c r="AL49" s="29">
        <f t="shared" si="13"/>
        <v>0</v>
      </c>
      <c r="AN49" s="29">
        <v>21</v>
      </c>
      <c r="AO49" s="29">
        <f>I49*0.0354545454545455</f>
        <v>0</v>
      </c>
      <c r="AP49" s="29">
        <f>I49*(1-0.0354545454545455)</f>
        <v>0</v>
      </c>
      <c r="AQ49" s="23" t="s">
        <v>576</v>
      </c>
      <c r="AV49" s="29">
        <f t="shared" si="14"/>
        <v>0</v>
      </c>
      <c r="AW49" s="29">
        <f t="shared" si="15"/>
        <v>0</v>
      </c>
      <c r="AX49" s="29">
        <f t="shared" si="16"/>
        <v>0</v>
      </c>
      <c r="AY49" s="23" t="s">
        <v>383</v>
      </c>
      <c r="AZ49" s="23" t="s">
        <v>73</v>
      </c>
      <c r="BA49" s="10" t="s">
        <v>439</v>
      </c>
      <c r="BC49" s="29">
        <f t="shared" si="17"/>
        <v>0</v>
      </c>
      <c r="BD49" s="29">
        <f t="shared" si="18"/>
        <v>0</v>
      </c>
      <c r="BE49" s="29">
        <v>0</v>
      </c>
      <c r="BF49" s="29">
        <f>49</f>
        <v>49</v>
      </c>
      <c r="BH49" s="29">
        <f t="shared" si="19"/>
        <v>0</v>
      </c>
      <c r="BI49" s="29">
        <f t="shared" si="20"/>
        <v>0</v>
      </c>
      <c r="BJ49" s="29">
        <f t="shared" si="21"/>
        <v>0</v>
      </c>
      <c r="BK49" s="29"/>
      <c r="BL49" s="29">
        <v>64</v>
      </c>
    </row>
    <row r="50" spans="1:64" ht="15" customHeight="1">
      <c r="A50" s="4" t="s">
        <v>552</v>
      </c>
      <c r="B50" s="18" t="s">
        <v>629</v>
      </c>
      <c r="C50" s="67" t="s">
        <v>259</v>
      </c>
      <c r="D50" s="67"/>
      <c r="E50" s="67"/>
      <c r="F50" s="67"/>
      <c r="G50" s="18" t="s">
        <v>146</v>
      </c>
      <c r="H50" s="29">
        <v>1</v>
      </c>
      <c r="I50" s="46">
        <v>0</v>
      </c>
      <c r="J50" s="29">
        <f t="shared" si="0"/>
        <v>0</v>
      </c>
      <c r="K50" s="29">
        <f t="shared" si="1"/>
        <v>0</v>
      </c>
      <c r="L50" s="29">
        <f t="shared" si="2"/>
        <v>0</v>
      </c>
      <c r="M50" s="41" t="s">
        <v>484</v>
      </c>
      <c r="Z50" s="29">
        <f t="shared" si="3"/>
        <v>0</v>
      </c>
      <c r="AB50" s="29">
        <f t="shared" si="4"/>
        <v>0</v>
      </c>
      <c r="AC50" s="29">
        <f t="shared" si="5"/>
        <v>0</v>
      </c>
      <c r="AD50" s="29">
        <f t="shared" si="6"/>
        <v>0</v>
      </c>
      <c r="AE50" s="29">
        <f t="shared" si="7"/>
        <v>0</v>
      </c>
      <c r="AF50" s="29">
        <f t="shared" si="8"/>
        <v>0</v>
      </c>
      <c r="AG50" s="29">
        <f t="shared" si="9"/>
        <v>0</v>
      </c>
      <c r="AH50" s="29">
        <f t="shared" si="10"/>
        <v>0</v>
      </c>
      <c r="AI50" s="10" t="s">
        <v>394</v>
      </c>
      <c r="AJ50" s="29">
        <f t="shared" si="11"/>
        <v>0</v>
      </c>
      <c r="AK50" s="29">
        <f t="shared" si="12"/>
        <v>0</v>
      </c>
      <c r="AL50" s="29">
        <f t="shared" si="13"/>
        <v>0</v>
      </c>
      <c r="AN50" s="29">
        <v>21</v>
      </c>
      <c r="AO50" s="29">
        <f>I50*1</f>
        <v>0</v>
      </c>
      <c r="AP50" s="29">
        <f>I50*(1-1)</f>
        <v>0</v>
      </c>
      <c r="AQ50" s="23" t="s">
        <v>576</v>
      </c>
      <c r="AV50" s="29">
        <f t="shared" si="14"/>
        <v>0</v>
      </c>
      <c r="AW50" s="29">
        <f t="shared" si="15"/>
        <v>0</v>
      </c>
      <c r="AX50" s="29">
        <f t="shared" si="16"/>
        <v>0</v>
      </c>
      <c r="AY50" s="23" t="s">
        <v>383</v>
      </c>
      <c r="AZ50" s="23" t="s">
        <v>73</v>
      </c>
      <c r="BA50" s="10" t="s">
        <v>439</v>
      </c>
      <c r="BC50" s="29">
        <f t="shared" si="17"/>
        <v>0</v>
      </c>
      <c r="BD50" s="29">
        <f t="shared" si="18"/>
        <v>0</v>
      </c>
      <c r="BE50" s="29">
        <v>0</v>
      </c>
      <c r="BF50" s="29">
        <f>50</f>
        <v>50</v>
      </c>
      <c r="BH50" s="29">
        <f t="shared" si="19"/>
        <v>0</v>
      </c>
      <c r="BI50" s="29">
        <f t="shared" si="20"/>
        <v>0</v>
      </c>
      <c r="BJ50" s="29">
        <f t="shared" si="21"/>
        <v>0</v>
      </c>
      <c r="BK50" s="29"/>
      <c r="BL50" s="29">
        <v>64</v>
      </c>
    </row>
    <row r="51" spans="1:64" ht="15" customHeight="1">
      <c r="A51" s="4" t="s">
        <v>247</v>
      </c>
      <c r="B51" s="18" t="s">
        <v>627</v>
      </c>
      <c r="C51" s="67" t="s">
        <v>650</v>
      </c>
      <c r="D51" s="67"/>
      <c r="E51" s="67"/>
      <c r="F51" s="67"/>
      <c r="G51" s="18" t="s">
        <v>146</v>
      </c>
      <c r="H51" s="29">
        <v>1</v>
      </c>
      <c r="I51" s="46">
        <v>0</v>
      </c>
      <c r="J51" s="29">
        <f t="shared" si="0"/>
        <v>0</v>
      </c>
      <c r="K51" s="29">
        <f t="shared" si="1"/>
        <v>0</v>
      </c>
      <c r="L51" s="29">
        <f t="shared" si="2"/>
        <v>0</v>
      </c>
      <c r="M51" s="41" t="s">
        <v>484</v>
      </c>
      <c r="Z51" s="29">
        <f t="shared" si="3"/>
        <v>0</v>
      </c>
      <c r="AB51" s="29">
        <f t="shared" si="4"/>
        <v>0</v>
      </c>
      <c r="AC51" s="29">
        <f t="shared" si="5"/>
        <v>0</v>
      </c>
      <c r="AD51" s="29">
        <f t="shared" si="6"/>
        <v>0</v>
      </c>
      <c r="AE51" s="29">
        <f t="shared" si="7"/>
        <v>0</v>
      </c>
      <c r="AF51" s="29">
        <f t="shared" si="8"/>
        <v>0</v>
      </c>
      <c r="AG51" s="29">
        <f t="shared" si="9"/>
        <v>0</v>
      </c>
      <c r="AH51" s="29">
        <f t="shared" si="10"/>
        <v>0</v>
      </c>
      <c r="AI51" s="10" t="s">
        <v>394</v>
      </c>
      <c r="AJ51" s="29">
        <f t="shared" si="11"/>
        <v>0</v>
      </c>
      <c r="AK51" s="29">
        <f t="shared" si="12"/>
        <v>0</v>
      </c>
      <c r="AL51" s="29">
        <f t="shared" si="13"/>
        <v>0</v>
      </c>
      <c r="AN51" s="29">
        <v>21</v>
      </c>
      <c r="AO51" s="29">
        <f>I51*0.168484682713348</f>
        <v>0</v>
      </c>
      <c r="AP51" s="29">
        <f>I51*(1-0.168484682713348)</f>
        <v>0</v>
      </c>
      <c r="AQ51" s="23" t="s">
        <v>576</v>
      </c>
      <c r="AV51" s="29">
        <f t="shared" si="14"/>
        <v>0</v>
      </c>
      <c r="AW51" s="29">
        <f t="shared" si="15"/>
        <v>0</v>
      </c>
      <c r="AX51" s="29">
        <f t="shared" si="16"/>
        <v>0</v>
      </c>
      <c r="AY51" s="23" t="s">
        <v>383</v>
      </c>
      <c r="AZ51" s="23" t="s">
        <v>73</v>
      </c>
      <c r="BA51" s="10" t="s">
        <v>439</v>
      </c>
      <c r="BC51" s="29">
        <f t="shared" si="17"/>
        <v>0</v>
      </c>
      <c r="BD51" s="29">
        <f t="shared" si="18"/>
        <v>0</v>
      </c>
      <c r="BE51" s="29">
        <v>0</v>
      </c>
      <c r="BF51" s="29">
        <f>51</f>
        <v>51</v>
      </c>
      <c r="BH51" s="29">
        <f t="shared" si="19"/>
        <v>0</v>
      </c>
      <c r="BI51" s="29">
        <f t="shared" si="20"/>
        <v>0</v>
      </c>
      <c r="BJ51" s="29">
        <f t="shared" si="21"/>
        <v>0</v>
      </c>
      <c r="BK51" s="29"/>
      <c r="BL51" s="29">
        <v>64</v>
      </c>
    </row>
    <row r="52" spans="1:64" ht="15" customHeight="1">
      <c r="A52" s="4" t="s">
        <v>47</v>
      </c>
      <c r="B52" s="18" t="s">
        <v>560</v>
      </c>
      <c r="C52" s="67" t="s">
        <v>517</v>
      </c>
      <c r="D52" s="67"/>
      <c r="E52" s="67"/>
      <c r="F52" s="67"/>
      <c r="G52" s="18" t="s">
        <v>146</v>
      </c>
      <c r="H52" s="29">
        <v>1</v>
      </c>
      <c r="I52" s="46">
        <v>0</v>
      </c>
      <c r="J52" s="29">
        <f t="shared" si="0"/>
        <v>0</v>
      </c>
      <c r="K52" s="29">
        <f t="shared" si="1"/>
        <v>0</v>
      </c>
      <c r="L52" s="29">
        <f t="shared" si="2"/>
        <v>0</v>
      </c>
      <c r="M52" s="41" t="s">
        <v>484</v>
      </c>
      <c r="Z52" s="29">
        <f t="shared" si="3"/>
        <v>0</v>
      </c>
      <c r="AB52" s="29">
        <f t="shared" si="4"/>
        <v>0</v>
      </c>
      <c r="AC52" s="29">
        <f t="shared" si="5"/>
        <v>0</v>
      </c>
      <c r="AD52" s="29">
        <f t="shared" si="6"/>
        <v>0</v>
      </c>
      <c r="AE52" s="29">
        <f t="shared" si="7"/>
        <v>0</v>
      </c>
      <c r="AF52" s="29">
        <f t="shared" si="8"/>
        <v>0</v>
      </c>
      <c r="AG52" s="29">
        <f t="shared" si="9"/>
        <v>0</v>
      </c>
      <c r="AH52" s="29">
        <f t="shared" si="10"/>
        <v>0</v>
      </c>
      <c r="AI52" s="10" t="s">
        <v>394</v>
      </c>
      <c r="AJ52" s="29">
        <f t="shared" si="11"/>
        <v>0</v>
      </c>
      <c r="AK52" s="29">
        <f t="shared" si="12"/>
        <v>0</v>
      </c>
      <c r="AL52" s="29">
        <f t="shared" si="13"/>
        <v>0</v>
      </c>
      <c r="AN52" s="29">
        <v>21</v>
      </c>
      <c r="AO52" s="29">
        <f>I52*1</f>
        <v>0</v>
      </c>
      <c r="AP52" s="29">
        <f>I52*(1-1)</f>
        <v>0</v>
      </c>
      <c r="AQ52" s="23" t="s">
        <v>576</v>
      </c>
      <c r="AV52" s="29">
        <f t="shared" si="14"/>
        <v>0</v>
      </c>
      <c r="AW52" s="29">
        <f t="shared" si="15"/>
        <v>0</v>
      </c>
      <c r="AX52" s="29">
        <f t="shared" si="16"/>
        <v>0</v>
      </c>
      <c r="AY52" s="23" t="s">
        <v>383</v>
      </c>
      <c r="AZ52" s="23" t="s">
        <v>73</v>
      </c>
      <c r="BA52" s="10" t="s">
        <v>439</v>
      </c>
      <c r="BC52" s="29">
        <f t="shared" si="17"/>
        <v>0</v>
      </c>
      <c r="BD52" s="29">
        <f t="shared" si="18"/>
        <v>0</v>
      </c>
      <c r="BE52" s="29">
        <v>0</v>
      </c>
      <c r="BF52" s="29">
        <f>52</f>
        <v>52</v>
      </c>
      <c r="BH52" s="29">
        <f t="shared" si="19"/>
        <v>0</v>
      </c>
      <c r="BI52" s="29">
        <f t="shared" si="20"/>
        <v>0</v>
      </c>
      <c r="BJ52" s="29">
        <f t="shared" si="21"/>
        <v>0</v>
      </c>
      <c r="BK52" s="29"/>
      <c r="BL52" s="29">
        <v>64</v>
      </c>
    </row>
    <row r="53" spans="1:64" ht="15" customHeight="1">
      <c r="A53" s="4" t="s">
        <v>145</v>
      </c>
      <c r="B53" s="18" t="s">
        <v>84</v>
      </c>
      <c r="C53" s="67" t="s">
        <v>614</v>
      </c>
      <c r="D53" s="67"/>
      <c r="E53" s="67"/>
      <c r="F53" s="67"/>
      <c r="G53" s="18" t="s">
        <v>146</v>
      </c>
      <c r="H53" s="29">
        <v>1</v>
      </c>
      <c r="I53" s="46">
        <v>0</v>
      </c>
      <c r="J53" s="29">
        <f t="shared" si="0"/>
        <v>0</v>
      </c>
      <c r="K53" s="29">
        <f t="shared" si="1"/>
        <v>0</v>
      </c>
      <c r="L53" s="29">
        <f t="shared" si="2"/>
        <v>0</v>
      </c>
      <c r="M53" s="41" t="s">
        <v>484</v>
      </c>
      <c r="Z53" s="29">
        <f t="shared" si="3"/>
        <v>0</v>
      </c>
      <c r="AB53" s="29">
        <f t="shared" si="4"/>
        <v>0</v>
      </c>
      <c r="AC53" s="29">
        <f t="shared" si="5"/>
        <v>0</v>
      </c>
      <c r="AD53" s="29">
        <f t="shared" si="6"/>
        <v>0</v>
      </c>
      <c r="AE53" s="29">
        <f t="shared" si="7"/>
        <v>0</v>
      </c>
      <c r="AF53" s="29">
        <f t="shared" si="8"/>
        <v>0</v>
      </c>
      <c r="AG53" s="29">
        <f t="shared" si="9"/>
        <v>0</v>
      </c>
      <c r="AH53" s="29">
        <f t="shared" si="10"/>
        <v>0</v>
      </c>
      <c r="AI53" s="10" t="s">
        <v>394</v>
      </c>
      <c r="AJ53" s="29">
        <f t="shared" si="11"/>
        <v>0</v>
      </c>
      <c r="AK53" s="29">
        <f t="shared" si="12"/>
        <v>0</v>
      </c>
      <c r="AL53" s="29">
        <f t="shared" si="13"/>
        <v>0</v>
      </c>
      <c r="AN53" s="29">
        <v>21</v>
      </c>
      <c r="AO53" s="29">
        <f>I53*0.79111914893617</f>
        <v>0</v>
      </c>
      <c r="AP53" s="29">
        <f>I53*(1-0.79111914893617)</f>
        <v>0</v>
      </c>
      <c r="AQ53" s="23" t="s">
        <v>576</v>
      </c>
      <c r="AV53" s="29">
        <f t="shared" si="14"/>
        <v>0</v>
      </c>
      <c r="AW53" s="29">
        <f t="shared" si="15"/>
        <v>0</v>
      </c>
      <c r="AX53" s="29">
        <f t="shared" si="16"/>
        <v>0</v>
      </c>
      <c r="AY53" s="23" t="s">
        <v>383</v>
      </c>
      <c r="AZ53" s="23" t="s">
        <v>73</v>
      </c>
      <c r="BA53" s="10" t="s">
        <v>439</v>
      </c>
      <c r="BC53" s="29">
        <f t="shared" si="17"/>
        <v>0</v>
      </c>
      <c r="BD53" s="29">
        <f t="shared" si="18"/>
        <v>0</v>
      </c>
      <c r="BE53" s="29">
        <v>0</v>
      </c>
      <c r="BF53" s="29">
        <f>53</f>
        <v>53</v>
      </c>
      <c r="BH53" s="29">
        <f t="shared" si="19"/>
        <v>0</v>
      </c>
      <c r="BI53" s="29">
        <f t="shared" si="20"/>
        <v>0</v>
      </c>
      <c r="BJ53" s="29">
        <f t="shared" si="21"/>
        <v>0</v>
      </c>
      <c r="BK53" s="29"/>
      <c r="BL53" s="29">
        <v>64</v>
      </c>
    </row>
    <row r="54" spans="1:13" ht="13.5" customHeight="1">
      <c r="A54" s="40"/>
      <c r="B54" s="34" t="s">
        <v>279</v>
      </c>
      <c r="C54" s="88" t="s">
        <v>244</v>
      </c>
      <c r="D54" s="89"/>
      <c r="E54" s="89"/>
      <c r="F54" s="89"/>
      <c r="G54" s="89"/>
      <c r="H54" s="89"/>
      <c r="I54" s="90"/>
      <c r="J54" s="89"/>
      <c r="K54" s="89"/>
      <c r="L54" s="89"/>
      <c r="M54" s="91"/>
    </row>
    <row r="55" spans="1:47" ht="15" customHeight="1">
      <c r="A55" s="26" t="s">
        <v>394</v>
      </c>
      <c r="B55" s="8" t="s">
        <v>62</v>
      </c>
      <c r="C55" s="87" t="s">
        <v>402</v>
      </c>
      <c r="D55" s="87"/>
      <c r="E55" s="87"/>
      <c r="F55" s="87"/>
      <c r="G55" s="42" t="s">
        <v>537</v>
      </c>
      <c r="H55" s="42" t="s">
        <v>537</v>
      </c>
      <c r="I55" s="50" t="s">
        <v>537</v>
      </c>
      <c r="J55" s="24">
        <f>SUM(J56:J56)</f>
        <v>0</v>
      </c>
      <c r="K55" s="24">
        <f>SUM(K56:K56)</f>
        <v>0</v>
      </c>
      <c r="L55" s="24">
        <f>SUM(L56:L56)</f>
        <v>0</v>
      </c>
      <c r="M55" s="9" t="s">
        <v>394</v>
      </c>
      <c r="AI55" s="10" t="s">
        <v>394</v>
      </c>
      <c r="AS55" s="24">
        <f>SUM(AJ56:AJ56)</f>
        <v>0</v>
      </c>
      <c r="AT55" s="24">
        <f>SUM(AK56:AK56)</f>
        <v>0</v>
      </c>
      <c r="AU55" s="24">
        <f>SUM(AL56:AL56)</f>
        <v>0</v>
      </c>
    </row>
    <row r="56" spans="1:64" ht="15" customHeight="1">
      <c r="A56" s="4" t="s">
        <v>72</v>
      </c>
      <c r="B56" s="18" t="s">
        <v>152</v>
      </c>
      <c r="C56" s="67" t="s">
        <v>196</v>
      </c>
      <c r="D56" s="67"/>
      <c r="E56" s="67"/>
      <c r="F56" s="67"/>
      <c r="G56" s="18" t="s">
        <v>569</v>
      </c>
      <c r="H56" s="29">
        <v>130</v>
      </c>
      <c r="I56" s="46">
        <v>0</v>
      </c>
      <c r="J56" s="29">
        <f>H56*AO56</f>
        <v>0</v>
      </c>
      <c r="K56" s="29">
        <f>H56*AP56</f>
        <v>0</v>
      </c>
      <c r="L56" s="29">
        <f>H56*I56</f>
        <v>0</v>
      </c>
      <c r="M56" s="41" t="s">
        <v>484</v>
      </c>
      <c r="Z56" s="29">
        <f>IF(AQ56="5",BJ56,0)</f>
        <v>0</v>
      </c>
      <c r="AB56" s="29">
        <f>IF(AQ56="1",BH56,0)</f>
        <v>0</v>
      </c>
      <c r="AC56" s="29">
        <f>IF(AQ56="1",BI56,0)</f>
        <v>0</v>
      </c>
      <c r="AD56" s="29">
        <f>IF(AQ56="7",BH56,0)</f>
        <v>0</v>
      </c>
      <c r="AE56" s="29">
        <f>IF(AQ56="7",BI56,0)</f>
        <v>0</v>
      </c>
      <c r="AF56" s="29">
        <f>IF(AQ56="2",BH56,0)</f>
        <v>0</v>
      </c>
      <c r="AG56" s="29">
        <f>IF(AQ56="2",BI56,0)</f>
        <v>0</v>
      </c>
      <c r="AH56" s="29">
        <f>IF(AQ56="0",BJ56,0)</f>
        <v>0</v>
      </c>
      <c r="AI56" s="10" t="s">
        <v>394</v>
      </c>
      <c r="AJ56" s="29">
        <f>IF(AN56=0,L56,0)</f>
        <v>0</v>
      </c>
      <c r="AK56" s="29">
        <f>IF(AN56=15,L56,0)</f>
        <v>0</v>
      </c>
      <c r="AL56" s="29">
        <f>IF(AN56=21,L56,0)</f>
        <v>0</v>
      </c>
      <c r="AN56" s="29">
        <v>21</v>
      </c>
      <c r="AO56" s="29">
        <f>I56*0.379318181818182</f>
        <v>0</v>
      </c>
      <c r="AP56" s="29">
        <f>I56*(1-0.379318181818182)</f>
        <v>0</v>
      </c>
      <c r="AQ56" s="23" t="s">
        <v>576</v>
      </c>
      <c r="AV56" s="29">
        <f>AW56+AX56</f>
        <v>0</v>
      </c>
      <c r="AW56" s="29">
        <f>H56*AO56</f>
        <v>0</v>
      </c>
      <c r="AX56" s="29">
        <f>H56*AP56</f>
        <v>0</v>
      </c>
      <c r="AY56" s="23" t="s">
        <v>645</v>
      </c>
      <c r="AZ56" s="23" t="s">
        <v>205</v>
      </c>
      <c r="BA56" s="10" t="s">
        <v>439</v>
      </c>
      <c r="BC56" s="29">
        <f>AW56+AX56</f>
        <v>0</v>
      </c>
      <c r="BD56" s="29">
        <f>I56/(100-BE56)*100</f>
        <v>0</v>
      </c>
      <c r="BE56" s="29">
        <v>0</v>
      </c>
      <c r="BF56" s="29">
        <f>56</f>
        <v>56</v>
      </c>
      <c r="BH56" s="29">
        <f>H56*AO56</f>
        <v>0</v>
      </c>
      <c r="BI56" s="29">
        <f>H56*AP56</f>
        <v>0</v>
      </c>
      <c r="BJ56" s="29">
        <f>H56*I56</f>
        <v>0</v>
      </c>
      <c r="BK56" s="29"/>
      <c r="BL56" s="29">
        <v>94</v>
      </c>
    </row>
    <row r="57" spans="1:47" ht="15" customHeight="1">
      <c r="A57" s="26" t="s">
        <v>394</v>
      </c>
      <c r="B57" s="8" t="s">
        <v>218</v>
      </c>
      <c r="C57" s="87" t="s">
        <v>425</v>
      </c>
      <c r="D57" s="87"/>
      <c r="E57" s="87"/>
      <c r="F57" s="87"/>
      <c r="G57" s="42" t="s">
        <v>537</v>
      </c>
      <c r="H57" s="42" t="s">
        <v>537</v>
      </c>
      <c r="I57" s="50" t="s">
        <v>537</v>
      </c>
      <c r="J57" s="24">
        <f>SUM(J58:J59)</f>
        <v>0</v>
      </c>
      <c r="K57" s="24">
        <f>SUM(K58:K59)</f>
        <v>0</v>
      </c>
      <c r="L57" s="24">
        <f>SUM(L58:L59)</f>
        <v>0</v>
      </c>
      <c r="M57" s="9" t="s">
        <v>394</v>
      </c>
      <c r="AI57" s="10" t="s">
        <v>394</v>
      </c>
      <c r="AS57" s="24">
        <f>SUM(AJ58:AJ59)</f>
        <v>0</v>
      </c>
      <c r="AT57" s="24">
        <f>SUM(AK58:AK59)</f>
        <v>0</v>
      </c>
      <c r="AU57" s="24">
        <f>SUM(AL58:AL59)</f>
        <v>0</v>
      </c>
    </row>
    <row r="58" spans="1:64" ht="15" customHeight="1">
      <c r="A58" s="4" t="s">
        <v>565</v>
      </c>
      <c r="B58" s="18" t="s">
        <v>509</v>
      </c>
      <c r="C58" s="67" t="s">
        <v>179</v>
      </c>
      <c r="D58" s="67"/>
      <c r="E58" s="67"/>
      <c r="F58" s="67"/>
      <c r="G58" s="18" t="s">
        <v>569</v>
      </c>
      <c r="H58" s="29">
        <v>130</v>
      </c>
      <c r="I58" s="46">
        <v>0</v>
      </c>
      <c r="J58" s="29">
        <f>H58*AO58</f>
        <v>0</v>
      </c>
      <c r="K58" s="29">
        <f>H58*AP58</f>
        <v>0</v>
      </c>
      <c r="L58" s="29">
        <f>H58*I58</f>
        <v>0</v>
      </c>
      <c r="M58" s="41" t="s">
        <v>484</v>
      </c>
      <c r="Z58" s="29">
        <f>IF(AQ58="5",BJ58,0)</f>
        <v>0</v>
      </c>
      <c r="AB58" s="29">
        <f>IF(AQ58="1",BH58,0)</f>
        <v>0</v>
      </c>
      <c r="AC58" s="29">
        <f>IF(AQ58="1",BI58,0)</f>
        <v>0</v>
      </c>
      <c r="AD58" s="29">
        <f>IF(AQ58="7",BH58,0)</f>
        <v>0</v>
      </c>
      <c r="AE58" s="29">
        <f>IF(AQ58="7",BI58,0)</f>
        <v>0</v>
      </c>
      <c r="AF58" s="29">
        <f>IF(AQ58="2",BH58,0)</f>
        <v>0</v>
      </c>
      <c r="AG58" s="29">
        <f>IF(AQ58="2",BI58,0)</f>
        <v>0</v>
      </c>
      <c r="AH58" s="29">
        <f>IF(AQ58="0",BJ58,0)</f>
        <v>0</v>
      </c>
      <c r="AI58" s="10" t="s">
        <v>394</v>
      </c>
      <c r="AJ58" s="29">
        <f>IF(AN58=0,L58,0)</f>
        <v>0</v>
      </c>
      <c r="AK58" s="29">
        <f>IF(AN58=15,L58,0)</f>
        <v>0</v>
      </c>
      <c r="AL58" s="29">
        <f>IF(AN58=21,L58,0)</f>
        <v>0</v>
      </c>
      <c r="AN58" s="29">
        <v>21</v>
      </c>
      <c r="AO58" s="29">
        <f>I58*0.0121374045801527</f>
        <v>0</v>
      </c>
      <c r="AP58" s="29">
        <f>I58*(1-0.0121374045801527)</f>
        <v>0</v>
      </c>
      <c r="AQ58" s="23" t="s">
        <v>576</v>
      </c>
      <c r="AV58" s="29">
        <f>AW58+AX58</f>
        <v>0</v>
      </c>
      <c r="AW58" s="29">
        <f>H58*AO58</f>
        <v>0</v>
      </c>
      <c r="AX58" s="29">
        <f>H58*AP58</f>
        <v>0</v>
      </c>
      <c r="AY58" s="23" t="s">
        <v>342</v>
      </c>
      <c r="AZ58" s="23" t="s">
        <v>205</v>
      </c>
      <c r="BA58" s="10" t="s">
        <v>439</v>
      </c>
      <c r="BC58" s="29">
        <f>AW58+AX58</f>
        <v>0</v>
      </c>
      <c r="BD58" s="29">
        <f>I58/(100-BE58)*100</f>
        <v>0</v>
      </c>
      <c r="BE58" s="29">
        <v>0</v>
      </c>
      <c r="BF58" s="29">
        <f>58</f>
        <v>58</v>
      </c>
      <c r="BH58" s="29">
        <f>H58*AO58</f>
        <v>0</v>
      </c>
      <c r="BI58" s="29">
        <f>H58*AP58</f>
        <v>0</v>
      </c>
      <c r="BJ58" s="29">
        <f>H58*I58</f>
        <v>0</v>
      </c>
      <c r="BK58" s="29"/>
      <c r="BL58" s="29">
        <v>95</v>
      </c>
    </row>
    <row r="59" spans="1:64" ht="15" customHeight="1">
      <c r="A59" s="4" t="s">
        <v>635</v>
      </c>
      <c r="B59" s="18" t="s">
        <v>600</v>
      </c>
      <c r="C59" s="67" t="s">
        <v>167</v>
      </c>
      <c r="D59" s="67"/>
      <c r="E59" s="67"/>
      <c r="F59" s="67"/>
      <c r="G59" s="18" t="s">
        <v>441</v>
      </c>
      <c r="H59" s="29">
        <v>1</v>
      </c>
      <c r="I59" s="46">
        <v>0</v>
      </c>
      <c r="J59" s="29">
        <f>H59*AO59</f>
        <v>0</v>
      </c>
      <c r="K59" s="29">
        <f>H59*AP59</f>
        <v>0</v>
      </c>
      <c r="L59" s="29">
        <f>H59*I59</f>
        <v>0</v>
      </c>
      <c r="M59" s="41" t="s">
        <v>394</v>
      </c>
      <c r="Z59" s="29">
        <f>IF(AQ59="5",BJ59,0)</f>
        <v>0</v>
      </c>
      <c r="AB59" s="29">
        <f>IF(AQ59="1",BH59,0)</f>
        <v>0</v>
      </c>
      <c r="AC59" s="29">
        <f>IF(AQ59="1",BI59,0)</f>
        <v>0</v>
      </c>
      <c r="AD59" s="29">
        <f>IF(AQ59="7",BH59,0)</f>
        <v>0</v>
      </c>
      <c r="AE59" s="29">
        <f>IF(AQ59="7",BI59,0)</f>
        <v>0</v>
      </c>
      <c r="AF59" s="29">
        <f>IF(AQ59="2",BH59,0)</f>
        <v>0</v>
      </c>
      <c r="AG59" s="29">
        <f>IF(AQ59="2",BI59,0)</f>
        <v>0</v>
      </c>
      <c r="AH59" s="29">
        <f>IF(AQ59="0",BJ59,0)</f>
        <v>0</v>
      </c>
      <c r="AI59" s="10" t="s">
        <v>394</v>
      </c>
      <c r="AJ59" s="29">
        <f>IF(AN59=0,L59,0)</f>
        <v>0</v>
      </c>
      <c r="AK59" s="29">
        <f>IF(AN59=15,L59,0)</f>
        <v>0</v>
      </c>
      <c r="AL59" s="29">
        <f>IF(AN59=21,L59,0)</f>
        <v>0</v>
      </c>
      <c r="AN59" s="29">
        <v>21</v>
      </c>
      <c r="AO59" s="29">
        <f>I59*0.8</f>
        <v>0</v>
      </c>
      <c r="AP59" s="29">
        <f>I59*(1-0.8)</f>
        <v>0</v>
      </c>
      <c r="AQ59" s="23" t="s">
        <v>576</v>
      </c>
      <c r="AV59" s="29">
        <f>AW59+AX59</f>
        <v>0</v>
      </c>
      <c r="AW59" s="29">
        <f>H59*AO59</f>
        <v>0</v>
      </c>
      <c r="AX59" s="29">
        <f>H59*AP59</f>
        <v>0</v>
      </c>
      <c r="AY59" s="23" t="s">
        <v>342</v>
      </c>
      <c r="AZ59" s="23" t="s">
        <v>205</v>
      </c>
      <c r="BA59" s="10" t="s">
        <v>439</v>
      </c>
      <c r="BC59" s="29">
        <f>AW59+AX59</f>
        <v>0</v>
      </c>
      <c r="BD59" s="29">
        <f>I59/(100-BE59)*100</f>
        <v>0</v>
      </c>
      <c r="BE59" s="29">
        <v>0</v>
      </c>
      <c r="BF59" s="29">
        <f>59</f>
        <v>59</v>
      </c>
      <c r="BH59" s="29">
        <f>H59*AO59</f>
        <v>0</v>
      </c>
      <c r="BI59" s="29">
        <f>H59*AP59</f>
        <v>0</v>
      </c>
      <c r="BJ59" s="29">
        <f>H59*I59</f>
        <v>0</v>
      </c>
      <c r="BK59" s="29"/>
      <c r="BL59" s="29">
        <v>95</v>
      </c>
    </row>
    <row r="60" spans="1:13" ht="13.5" customHeight="1">
      <c r="A60" s="40"/>
      <c r="B60" s="34" t="s">
        <v>279</v>
      </c>
      <c r="C60" s="88" t="s">
        <v>300</v>
      </c>
      <c r="D60" s="89"/>
      <c r="E60" s="89"/>
      <c r="F60" s="89"/>
      <c r="G60" s="89"/>
      <c r="H60" s="89"/>
      <c r="I60" s="90"/>
      <c r="J60" s="89"/>
      <c r="K60" s="89"/>
      <c r="L60" s="89"/>
      <c r="M60" s="91"/>
    </row>
    <row r="61" spans="1:47" ht="15" customHeight="1">
      <c r="A61" s="26" t="s">
        <v>394</v>
      </c>
      <c r="B61" s="8" t="s">
        <v>619</v>
      </c>
      <c r="C61" s="87" t="s">
        <v>337</v>
      </c>
      <c r="D61" s="87"/>
      <c r="E61" s="87"/>
      <c r="F61" s="87"/>
      <c r="G61" s="42" t="s">
        <v>537</v>
      </c>
      <c r="H61" s="42" t="s">
        <v>537</v>
      </c>
      <c r="I61" s="50" t="s">
        <v>537</v>
      </c>
      <c r="J61" s="24">
        <f>SUM(J62:J62)</f>
        <v>0</v>
      </c>
      <c r="K61" s="24">
        <f>SUM(K62:K62)</f>
        <v>0</v>
      </c>
      <c r="L61" s="24">
        <f>SUM(L62:L62)</f>
        <v>0</v>
      </c>
      <c r="M61" s="9" t="s">
        <v>394</v>
      </c>
      <c r="AI61" s="10" t="s">
        <v>394</v>
      </c>
      <c r="AS61" s="24">
        <f>SUM(AJ62:AJ62)</f>
        <v>0</v>
      </c>
      <c r="AT61" s="24">
        <f>SUM(AK62:AK62)</f>
        <v>0</v>
      </c>
      <c r="AU61" s="24">
        <f>SUM(AL62:AL62)</f>
        <v>0</v>
      </c>
    </row>
    <row r="62" spans="1:64" ht="15" customHeight="1">
      <c r="A62" s="4" t="s">
        <v>35</v>
      </c>
      <c r="B62" s="18" t="s">
        <v>222</v>
      </c>
      <c r="C62" s="67" t="s">
        <v>624</v>
      </c>
      <c r="D62" s="67"/>
      <c r="E62" s="67"/>
      <c r="F62" s="67"/>
      <c r="G62" s="18" t="s">
        <v>255</v>
      </c>
      <c r="H62" s="29">
        <v>25.906</v>
      </c>
      <c r="I62" s="46">
        <v>0</v>
      </c>
      <c r="J62" s="29">
        <f>H62*AO62</f>
        <v>0</v>
      </c>
      <c r="K62" s="29">
        <f>H62*AP62</f>
        <v>0</v>
      </c>
      <c r="L62" s="29">
        <f>H62*I62</f>
        <v>0</v>
      </c>
      <c r="M62" s="41" t="s">
        <v>484</v>
      </c>
      <c r="Z62" s="29">
        <f>IF(AQ62="5",BJ62,0)</f>
        <v>0</v>
      </c>
      <c r="AB62" s="29">
        <f>IF(AQ62="1",BH62,0)</f>
        <v>0</v>
      </c>
      <c r="AC62" s="29">
        <f>IF(AQ62="1",BI62,0)</f>
        <v>0</v>
      </c>
      <c r="AD62" s="29">
        <f>IF(AQ62="7",BH62,0)</f>
        <v>0</v>
      </c>
      <c r="AE62" s="29">
        <f>IF(AQ62="7",BI62,0)</f>
        <v>0</v>
      </c>
      <c r="AF62" s="29">
        <f>IF(AQ62="2",BH62,0)</f>
        <v>0</v>
      </c>
      <c r="AG62" s="29">
        <f>IF(AQ62="2",BI62,0)</f>
        <v>0</v>
      </c>
      <c r="AH62" s="29">
        <f>IF(AQ62="0",BJ62,0)</f>
        <v>0</v>
      </c>
      <c r="AI62" s="10" t="s">
        <v>394</v>
      </c>
      <c r="AJ62" s="29">
        <f>IF(AN62=0,L62,0)</f>
        <v>0</v>
      </c>
      <c r="AK62" s="29">
        <f>IF(AN62=15,L62,0)</f>
        <v>0</v>
      </c>
      <c r="AL62" s="29">
        <f>IF(AN62=21,L62,0)</f>
        <v>0</v>
      </c>
      <c r="AN62" s="29">
        <v>21</v>
      </c>
      <c r="AO62" s="29">
        <f>I62*0</f>
        <v>0</v>
      </c>
      <c r="AP62" s="29">
        <f>I62*(1-0)</f>
        <v>0</v>
      </c>
      <c r="AQ62" s="23" t="s">
        <v>296</v>
      </c>
      <c r="AV62" s="29">
        <f>AW62+AX62</f>
        <v>0</v>
      </c>
      <c r="AW62" s="29">
        <f>H62*AO62</f>
        <v>0</v>
      </c>
      <c r="AX62" s="29">
        <f>H62*AP62</f>
        <v>0</v>
      </c>
      <c r="AY62" s="23" t="s">
        <v>282</v>
      </c>
      <c r="AZ62" s="23" t="s">
        <v>205</v>
      </c>
      <c r="BA62" s="10" t="s">
        <v>439</v>
      </c>
      <c r="BC62" s="29">
        <f>AW62+AX62</f>
        <v>0</v>
      </c>
      <c r="BD62" s="29">
        <f>I62/(100-BE62)*100</f>
        <v>0</v>
      </c>
      <c r="BE62" s="29">
        <v>0</v>
      </c>
      <c r="BF62" s="29">
        <f>62</f>
        <v>62</v>
      </c>
      <c r="BH62" s="29">
        <f>H62*AO62</f>
        <v>0</v>
      </c>
      <c r="BI62" s="29">
        <f>H62*AP62</f>
        <v>0</v>
      </c>
      <c r="BJ62" s="29">
        <f>H62*I62</f>
        <v>0</v>
      </c>
      <c r="BK62" s="29"/>
      <c r="BL62" s="29"/>
    </row>
    <row r="63" spans="1:47" ht="15" customHeight="1">
      <c r="A63" s="26" t="s">
        <v>394</v>
      </c>
      <c r="B63" s="8" t="s">
        <v>308</v>
      </c>
      <c r="C63" s="87" t="s">
        <v>426</v>
      </c>
      <c r="D63" s="87"/>
      <c r="E63" s="87"/>
      <c r="F63" s="87"/>
      <c r="G63" s="42" t="s">
        <v>537</v>
      </c>
      <c r="H63" s="42" t="s">
        <v>537</v>
      </c>
      <c r="I63" s="50" t="s">
        <v>537</v>
      </c>
      <c r="J63" s="24">
        <f>SUM(J64:J69)</f>
        <v>0</v>
      </c>
      <c r="K63" s="24">
        <f>SUM(K64:K69)</f>
        <v>0</v>
      </c>
      <c r="L63" s="24">
        <f>SUM(L64:L69)</f>
        <v>0</v>
      </c>
      <c r="M63" s="9" t="s">
        <v>394</v>
      </c>
      <c r="AI63" s="10" t="s">
        <v>394</v>
      </c>
      <c r="AS63" s="24">
        <f>SUM(AJ64:AJ69)</f>
        <v>0</v>
      </c>
      <c r="AT63" s="24">
        <f>SUM(AK64:AK69)</f>
        <v>0</v>
      </c>
      <c r="AU63" s="24">
        <f>SUM(AL64:AL69)</f>
        <v>0</v>
      </c>
    </row>
    <row r="64" spans="1:64" ht="15" customHeight="1">
      <c r="A64" s="4" t="s">
        <v>365</v>
      </c>
      <c r="B64" s="18" t="s">
        <v>431</v>
      </c>
      <c r="C64" s="67" t="s">
        <v>555</v>
      </c>
      <c r="D64" s="67"/>
      <c r="E64" s="67"/>
      <c r="F64" s="67"/>
      <c r="G64" s="18" t="s">
        <v>146</v>
      </c>
      <c r="H64" s="29">
        <v>8</v>
      </c>
      <c r="I64" s="46">
        <v>0</v>
      </c>
      <c r="J64" s="29">
        <f>H64*AO64</f>
        <v>0</v>
      </c>
      <c r="K64" s="29">
        <f>H64*AP64</f>
        <v>0</v>
      </c>
      <c r="L64" s="29">
        <f>H64*I64</f>
        <v>0</v>
      </c>
      <c r="M64" s="41" t="s">
        <v>484</v>
      </c>
      <c r="Z64" s="29">
        <f>IF(AQ64="5",BJ64,0)</f>
        <v>0</v>
      </c>
      <c r="AB64" s="29">
        <f>IF(AQ64="1",BH64,0)</f>
        <v>0</v>
      </c>
      <c r="AC64" s="29">
        <f>IF(AQ64="1",BI64,0)</f>
        <v>0</v>
      </c>
      <c r="AD64" s="29">
        <f>IF(AQ64="7",BH64,0)</f>
        <v>0</v>
      </c>
      <c r="AE64" s="29">
        <f>IF(AQ64="7",BI64,0)</f>
        <v>0</v>
      </c>
      <c r="AF64" s="29">
        <f>IF(AQ64="2",BH64,0)</f>
        <v>0</v>
      </c>
      <c r="AG64" s="29">
        <f>IF(AQ64="2",BI64,0)</f>
        <v>0</v>
      </c>
      <c r="AH64" s="29">
        <f>IF(AQ64="0",BJ64,0)</f>
        <v>0</v>
      </c>
      <c r="AI64" s="10" t="s">
        <v>394</v>
      </c>
      <c r="AJ64" s="29">
        <f>IF(AN64=0,L64,0)</f>
        <v>0</v>
      </c>
      <c r="AK64" s="29">
        <f>IF(AN64=15,L64,0)</f>
        <v>0</v>
      </c>
      <c r="AL64" s="29">
        <f>IF(AN64=21,L64,0)</f>
        <v>0</v>
      </c>
      <c r="AN64" s="29">
        <v>21</v>
      </c>
      <c r="AO64" s="29">
        <f>I64*0</f>
        <v>0</v>
      </c>
      <c r="AP64" s="29">
        <f>I64*(1-0)</f>
        <v>0</v>
      </c>
      <c r="AQ64" s="23" t="s">
        <v>576</v>
      </c>
      <c r="AV64" s="29">
        <f>AW64+AX64</f>
        <v>0</v>
      </c>
      <c r="AW64" s="29">
        <f>H64*AO64</f>
        <v>0</v>
      </c>
      <c r="AX64" s="29">
        <f>H64*AP64</f>
        <v>0</v>
      </c>
      <c r="AY64" s="23" t="s">
        <v>508</v>
      </c>
      <c r="AZ64" s="23" t="s">
        <v>205</v>
      </c>
      <c r="BA64" s="10" t="s">
        <v>439</v>
      </c>
      <c r="BC64" s="29">
        <f>AW64+AX64</f>
        <v>0</v>
      </c>
      <c r="BD64" s="29">
        <f>I64/(100-BE64)*100</f>
        <v>0</v>
      </c>
      <c r="BE64" s="29">
        <v>0</v>
      </c>
      <c r="BF64" s="29">
        <f>64</f>
        <v>64</v>
      </c>
      <c r="BH64" s="29">
        <f>H64*AO64</f>
        <v>0</v>
      </c>
      <c r="BI64" s="29">
        <f>H64*AP64</f>
        <v>0</v>
      </c>
      <c r="BJ64" s="29">
        <f>H64*I64</f>
        <v>0</v>
      </c>
      <c r="BK64" s="29"/>
      <c r="BL64" s="29">
        <v>96</v>
      </c>
    </row>
    <row r="65" spans="1:64" ht="15" customHeight="1">
      <c r="A65" s="4" t="s">
        <v>332</v>
      </c>
      <c r="B65" s="18" t="s">
        <v>116</v>
      </c>
      <c r="C65" s="67" t="s">
        <v>309</v>
      </c>
      <c r="D65" s="67"/>
      <c r="E65" s="67"/>
      <c r="F65" s="67"/>
      <c r="G65" s="18" t="s">
        <v>569</v>
      </c>
      <c r="H65" s="29">
        <v>9.2</v>
      </c>
      <c r="I65" s="46">
        <v>0</v>
      </c>
      <c r="J65" s="29">
        <f>H65*AO65</f>
        <v>0</v>
      </c>
      <c r="K65" s="29">
        <f>H65*AP65</f>
        <v>0</v>
      </c>
      <c r="L65" s="29">
        <f>H65*I65</f>
        <v>0</v>
      </c>
      <c r="M65" s="41" t="s">
        <v>484</v>
      </c>
      <c r="Z65" s="29">
        <f>IF(AQ65="5",BJ65,0)</f>
        <v>0</v>
      </c>
      <c r="AB65" s="29">
        <f>IF(AQ65="1",BH65,0)</f>
        <v>0</v>
      </c>
      <c r="AC65" s="29">
        <f>IF(AQ65="1",BI65,0)</f>
        <v>0</v>
      </c>
      <c r="AD65" s="29">
        <f>IF(AQ65="7",BH65,0)</f>
        <v>0</v>
      </c>
      <c r="AE65" s="29">
        <f>IF(AQ65="7",BI65,0)</f>
        <v>0</v>
      </c>
      <c r="AF65" s="29">
        <f>IF(AQ65="2",BH65,0)</f>
        <v>0</v>
      </c>
      <c r="AG65" s="29">
        <f>IF(AQ65="2",BI65,0)</f>
        <v>0</v>
      </c>
      <c r="AH65" s="29">
        <f>IF(AQ65="0",BJ65,0)</f>
        <v>0</v>
      </c>
      <c r="AI65" s="10" t="s">
        <v>394</v>
      </c>
      <c r="AJ65" s="29">
        <f>IF(AN65=0,L65,0)</f>
        <v>0</v>
      </c>
      <c r="AK65" s="29">
        <f>IF(AN65=15,L65,0)</f>
        <v>0</v>
      </c>
      <c r="AL65" s="29">
        <f>IF(AN65=21,L65,0)</f>
        <v>0</v>
      </c>
      <c r="AN65" s="29">
        <v>21</v>
      </c>
      <c r="AO65" s="29">
        <f>I65*0.0794445145814922</f>
        <v>0</v>
      </c>
      <c r="AP65" s="29">
        <f>I65*(1-0.0794445145814922)</f>
        <v>0</v>
      </c>
      <c r="AQ65" s="23" t="s">
        <v>576</v>
      </c>
      <c r="AV65" s="29">
        <f>AW65+AX65</f>
        <v>0</v>
      </c>
      <c r="AW65" s="29">
        <f>H65*AO65</f>
        <v>0</v>
      </c>
      <c r="AX65" s="29">
        <f>H65*AP65</f>
        <v>0</v>
      </c>
      <c r="AY65" s="23" t="s">
        <v>508</v>
      </c>
      <c r="AZ65" s="23" t="s">
        <v>205</v>
      </c>
      <c r="BA65" s="10" t="s">
        <v>439</v>
      </c>
      <c r="BC65" s="29">
        <f>AW65+AX65</f>
        <v>0</v>
      </c>
      <c r="BD65" s="29">
        <f>I65/(100-BE65)*100</f>
        <v>0</v>
      </c>
      <c r="BE65" s="29">
        <v>0</v>
      </c>
      <c r="BF65" s="29">
        <f>65</f>
        <v>65</v>
      </c>
      <c r="BH65" s="29">
        <f>H65*AO65</f>
        <v>0</v>
      </c>
      <c r="BI65" s="29">
        <f>H65*AP65</f>
        <v>0</v>
      </c>
      <c r="BJ65" s="29">
        <f>H65*I65</f>
        <v>0</v>
      </c>
      <c r="BK65" s="29"/>
      <c r="BL65" s="29">
        <v>96</v>
      </c>
    </row>
    <row r="66" spans="1:64" ht="15" customHeight="1">
      <c r="A66" s="4" t="s">
        <v>485</v>
      </c>
      <c r="B66" s="18" t="s">
        <v>316</v>
      </c>
      <c r="C66" s="67" t="s">
        <v>496</v>
      </c>
      <c r="D66" s="67"/>
      <c r="E66" s="67"/>
      <c r="F66" s="67"/>
      <c r="G66" s="18" t="s">
        <v>569</v>
      </c>
      <c r="H66" s="29">
        <v>2.5</v>
      </c>
      <c r="I66" s="46">
        <v>0</v>
      </c>
      <c r="J66" s="29">
        <f>H66*AO66</f>
        <v>0</v>
      </c>
      <c r="K66" s="29">
        <f>H66*AP66</f>
        <v>0</v>
      </c>
      <c r="L66" s="29">
        <f>H66*I66</f>
        <v>0</v>
      </c>
      <c r="M66" s="41" t="s">
        <v>484</v>
      </c>
      <c r="Z66" s="29">
        <f>IF(AQ66="5",BJ66,0)</f>
        <v>0</v>
      </c>
      <c r="AB66" s="29">
        <f>IF(AQ66="1",BH66,0)</f>
        <v>0</v>
      </c>
      <c r="AC66" s="29">
        <f>IF(AQ66="1",BI66,0)</f>
        <v>0</v>
      </c>
      <c r="AD66" s="29">
        <f>IF(AQ66="7",BH66,0)</f>
        <v>0</v>
      </c>
      <c r="AE66" s="29">
        <f>IF(AQ66="7",BI66,0)</f>
        <v>0</v>
      </c>
      <c r="AF66" s="29">
        <f>IF(AQ66="2",BH66,0)</f>
        <v>0</v>
      </c>
      <c r="AG66" s="29">
        <f>IF(AQ66="2",BI66,0)</f>
        <v>0</v>
      </c>
      <c r="AH66" s="29">
        <f>IF(AQ66="0",BJ66,0)</f>
        <v>0</v>
      </c>
      <c r="AI66" s="10" t="s">
        <v>394</v>
      </c>
      <c r="AJ66" s="29">
        <f>IF(AN66=0,L66,0)</f>
        <v>0</v>
      </c>
      <c r="AK66" s="29">
        <f>IF(AN66=15,L66,0)</f>
        <v>0</v>
      </c>
      <c r="AL66" s="29">
        <f>IF(AN66=21,L66,0)</f>
        <v>0</v>
      </c>
      <c r="AN66" s="29">
        <v>21</v>
      </c>
      <c r="AO66" s="29">
        <f>I66*0.0879044869481535</f>
        <v>0</v>
      </c>
      <c r="AP66" s="29">
        <f>I66*(1-0.0879044869481535)</f>
        <v>0</v>
      </c>
      <c r="AQ66" s="23" t="s">
        <v>576</v>
      </c>
      <c r="AV66" s="29">
        <f>AW66+AX66</f>
        <v>0</v>
      </c>
      <c r="AW66" s="29">
        <f>H66*AO66</f>
        <v>0</v>
      </c>
      <c r="AX66" s="29">
        <f>H66*AP66</f>
        <v>0</v>
      </c>
      <c r="AY66" s="23" t="s">
        <v>508</v>
      </c>
      <c r="AZ66" s="23" t="s">
        <v>205</v>
      </c>
      <c r="BA66" s="10" t="s">
        <v>439</v>
      </c>
      <c r="BC66" s="29">
        <f>AW66+AX66</f>
        <v>0</v>
      </c>
      <c r="BD66" s="29">
        <f>I66/(100-BE66)*100</f>
        <v>0</v>
      </c>
      <c r="BE66" s="29">
        <v>0</v>
      </c>
      <c r="BF66" s="29">
        <f>66</f>
        <v>66</v>
      </c>
      <c r="BH66" s="29">
        <f>H66*AO66</f>
        <v>0</v>
      </c>
      <c r="BI66" s="29">
        <f>H66*AP66</f>
        <v>0</v>
      </c>
      <c r="BJ66" s="29">
        <f>H66*I66</f>
        <v>0</v>
      </c>
      <c r="BK66" s="29"/>
      <c r="BL66" s="29">
        <v>96</v>
      </c>
    </row>
    <row r="67" spans="1:64" ht="15" customHeight="1">
      <c r="A67" s="4" t="s">
        <v>130</v>
      </c>
      <c r="B67" s="18" t="s">
        <v>325</v>
      </c>
      <c r="C67" s="67" t="s">
        <v>98</v>
      </c>
      <c r="D67" s="67"/>
      <c r="E67" s="67"/>
      <c r="F67" s="67"/>
      <c r="G67" s="18" t="s">
        <v>557</v>
      </c>
      <c r="H67" s="29">
        <v>2.84</v>
      </c>
      <c r="I67" s="46">
        <v>0</v>
      </c>
      <c r="J67" s="29">
        <f>H67*AO67</f>
        <v>0</v>
      </c>
      <c r="K67" s="29">
        <f>H67*AP67</f>
        <v>0</v>
      </c>
      <c r="L67" s="29">
        <f>H67*I67</f>
        <v>0</v>
      </c>
      <c r="M67" s="41" t="s">
        <v>484</v>
      </c>
      <c r="Z67" s="29">
        <f>IF(AQ67="5",BJ67,0)</f>
        <v>0</v>
      </c>
      <c r="AB67" s="29">
        <f>IF(AQ67="1",BH67,0)</f>
        <v>0</v>
      </c>
      <c r="AC67" s="29">
        <f>IF(AQ67="1",BI67,0)</f>
        <v>0</v>
      </c>
      <c r="AD67" s="29">
        <f>IF(AQ67="7",BH67,0)</f>
        <v>0</v>
      </c>
      <c r="AE67" s="29">
        <f>IF(AQ67="7",BI67,0)</f>
        <v>0</v>
      </c>
      <c r="AF67" s="29">
        <f>IF(AQ67="2",BH67,0)</f>
        <v>0</v>
      </c>
      <c r="AG67" s="29">
        <f>IF(AQ67="2",BI67,0)</f>
        <v>0</v>
      </c>
      <c r="AH67" s="29">
        <f>IF(AQ67="0",BJ67,0)</f>
        <v>0</v>
      </c>
      <c r="AI67" s="10" t="s">
        <v>394</v>
      </c>
      <c r="AJ67" s="29">
        <f>IF(AN67=0,L67,0)</f>
        <v>0</v>
      </c>
      <c r="AK67" s="29">
        <f>IF(AN67=15,L67,0)</f>
        <v>0</v>
      </c>
      <c r="AL67" s="29">
        <f>IF(AN67=21,L67,0)</f>
        <v>0</v>
      </c>
      <c r="AN67" s="29">
        <v>21</v>
      </c>
      <c r="AO67" s="29">
        <f>I67*0</f>
        <v>0</v>
      </c>
      <c r="AP67" s="29">
        <f>I67*(1-0)</f>
        <v>0</v>
      </c>
      <c r="AQ67" s="23" t="s">
        <v>576</v>
      </c>
      <c r="AV67" s="29">
        <f>AW67+AX67</f>
        <v>0</v>
      </c>
      <c r="AW67" s="29">
        <f>H67*AO67</f>
        <v>0</v>
      </c>
      <c r="AX67" s="29">
        <f>H67*AP67</f>
        <v>0</v>
      </c>
      <c r="AY67" s="23" t="s">
        <v>508</v>
      </c>
      <c r="AZ67" s="23" t="s">
        <v>205</v>
      </c>
      <c r="BA67" s="10" t="s">
        <v>439</v>
      </c>
      <c r="BC67" s="29">
        <f>AW67+AX67</f>
        <v>0</v>
      </c>
      <c r="BD67" s="29">
        <f>I67/(100-BE67)*100</f>
        <v>0</v>
      </c>
      <c r="BE67" s="29">
        <v>0</v>
      </c>
      <c r="BF67" s="29">
        <f>67</f>
        <v>67</v>
      </c>
      <c r="BH67" s="29">
        <f>H67*AO67</f>
        <v>0</v>
      </c>
      <c r="BI67" s="29">
        <f>H67*AP67</f>
        <v>0</v>
      </c>
      <c r="BJ67" s="29">
        <f>H67*I67</f>
        <v>0</v>
      </c>
      <c r="BK67" s="29"/>
      <c r="BL67" s="29">
        <v>96</v>
      </c>
    </row>
    <row r="68" spans="1:13" ht="13.5" customHeight="1">
      <c r="A68" s="40"/>
      <c r="B68" s="34" t="s">
        <v>279</v>
      </c>
      <c r="C68" s="88" t="s">
        <v>399</v>
      </c>
      <c r="D68" s="89"/>
      <c r="E68" s="89"/>
      <c r="F68" s="89"/>
      <c r="G68" s="89"/>
      <c r="H68" s="89"/>
      <c r="I68" s="90"/>
      <c r="J68" s="89"/>
      <c r="K68" s="89"/>
      <c r="L68" s="89"/>
      <c r="M68" s="91"/>
    </row>
    <row r="69" spans="1:64" ht="15" customHeight="1">
      <c r="A69" s="4" t="s">
        <v>651</v>
      </c>
      <c r="B69" s="18" t="s">
        <v>75</v>
      </c>
      <c r="C69" s="67" t="s">
        <v>125</v>
      </c>
      <c r="D69" s="67"/>
      <c r="E69" s="67"/>
      <c r="F69" s="67"/>
      <c r="G69" s="18" t="s">
        <v>557</v>
      </c>
      <c r="H69" s="29">
        <v>11.36</v>
      </c>
      <c r="I69" s="46">
        <v>0</v>
      </c>
      <c r="J69" s="29">
        <f>H69*AO69</f>
        <v>0</v>
      </c>
      <c r="K69" s="29">
        <f>H69*AP69</f>
        <v>0</v>
      </c>
      <c r="L69" s="29">
        <f>H69*I69</f>
        <v>0</v>
      </c>
      <c r="M69" s="41" t="s">
        <v>484</v>
      </c>
      <c r="Z69" s="29">
        <f>IF(AQ69="5",BJ69,0)</f>
        <v>0</v>
      </c>
      <c r="AB69" s="29">
        <f>IF(AQ69="1",BH69,0)</f>
        <v>0</v>
      </c>
      <c r="AC69" s="29">
        <f>IF(AQ69="1",BI69,0)</f>
        <v>0</v>
      </c>
      <c r="AD69" s="29">
        <f>IF(AQ69="7",BH69,0)</f>
        <v>0</v>
      </c>
      <c r="AE69" s="29">
        <f>IF(AQ69="7",BI69,0)</f>
        <v>0</v>
      </c>
      <c r="AF69" s="29">
        <f>IF(AQ69="2",BH69,0)</f>
        <v>0</v>
      </c>
      <c r="AG69" s="29">
        <f>IF(AQ69="2",BI69,0)</f>
        <v>0</v>
      </c>
      <c r="AH69" s="29">
        <f>IF(AQ69="0",BJ69,0)</f>
        <v>0</v>
      </c>
      <c r="AI69" s="10" t="s">
        <v>394</v>
      </c>
      <c r="AJ69" s="29">
        <f>IF(AN69=0,L69,0)</f>
        <v>0</v>
      </c>
      <c r="AK69" s="29">
        <f>IF(AN69=15,L69,0)</f>
        <v>0</v>
      </c>
      <c r="AL69" s="29">
        <f>IF(AN69=21,L69,0)</f>
        <v>0</v>
      </c>
      <c r="AN69" s="29">
        <v>21</v>
      </c>
      <c r="AO69" s="29">
        <f>I69*0</f>
        <v>0</v>
      </c>
      <c r="AP69" s="29">
        <f>I69*(1-0)</f>
        <v>0</v>
      </c>
      <c r="AQ69" s="23" t="s">
        <v>576</v>
      </c>
      <c r="AV69" s="29">
        <f>AW69+AX69</f>
        <v>0</v>
      </c>
      <c r="AW69" s="29">
        <f>H69*AO69</f>
        <v>0</v>
      </c>
      <c r="AX69" s="29">
        <f>H69*AP69</f>
        <v>0</v>
      </c>
      <c r="AY69" s="23" t="s">
        <v>508</v>
      </c>
      <c r="AZ69" s="23" t="s">
        <v>205</v>
      </c>
      <c r="BA69" s="10" t="s">
        <v>439</v>
      </c>
      <c r="BC69" s="29">
        <f>AW69+AX69</f>
        <v>0</v>
      </c>
      <c r="BD69" s="29">
        <f>I69/(100-BE69)*100</f>
        <v>0</v>
      </c>
      <c r="BE69" s="29">
        <v>0</v>
      </c>
      <c r="BF69" s="29">
        <f>69</f>
        <v>69</v>
      </c>
      <c r="BH69" s="29">
        <f>H69*AO69</f>
        <v>0</v>
      </c>
      <c r="BI69" s="29">
        <f>H69*AP69</f>
        <v>0</v>
      </c>
      <c r="BJ69" s="29">
        <f>H69*I69</f>
        <v>0</v>
      </c>
      <c r="BK69" s="29"/>
      <c r="BL69" s="29">
        <v>96</v>
      </c>
    </row>
    <row r="70" spans="1:13" ht="13.5" customHeight="1">
      <c r="A70" s="40"/>
      <c r="B70" s="34" t="s">
        <v>279</v>
      </c>
      <c r="C70" s="88" t="s">
        <v>626</v>
      </c>
      <c r="D70" s="89"/>
      <c r="E70" s="89"/>
      <c r="F70" s="89"/>
      <c r="G70" s="89"/>
      <c r="H70" s="89"/>
      <c r="I70" s="90"/>
      <c r="J70" s="89"/>
      <c r="K70" s="89"/>
      <c r="L70" s="89"/>
      <c r="M70" s="91"/>
    </row>
    <row r="71" spans="1:47" ht="15" customHeight="1">
      <c r="A71" s="26" t="s">
        <v>394</v>
      </c>
      <c r="B71" s="8" t="s">
        <v>60</v>
      </c>
      <c r="C71" s="87" t="s">
        <v>648</v>
      </c>
      <c r="D71" s="87"/>
      <c r="E71" s="87"/>
      <c r="F71" s="87"/>
      <c r="G71" s="42" t="s">
        <v>537</v>
      </c>
      <c r="H71" s="42" t="s">
        <v>537</v>
      </c>
      <c r="I71" s="50" t="s">
        <v>537</v>
      </c>
      <c r="J71" s="24">
        <f>SUM(J72:J74)</f>
        <v>0</v>
      </c>
      <c r="K71" s="24">
        <f>SUM(K72:K74)</f>
        <v>0</v>
      </c>
      <c r="L71" s="24">
        <f>SUM(L72:L74)</f>
        <v>0</v>
      </c>
      <c r="M71" s="9" t="s">
        <v>394</v>
      </c>
      <c r="AI71" s="10" t="s">
        <v>394</v>
      </c>
      <c r="AS71" s="24">
        <f>SUM(AJ72:AJ74)</f>
        <v>0</v>
      </c>
      <c r="AT71" s="24">
        <f>SUM(AK72:AK74)</f>
        <v>0</v>
      </c>
      <c r="AU71" s="24">
        <f>SUM(AL72:AL74)</f>
        <v>0</v>
      </c>
    </row>
    <row r="72" spans="1:64" ht="15" customHeight="1">
      <c r="A72" s="4" t="s">
        <v>511</v>
      </c>
      <c r="B72" s="18" t="s">
        <v>56</v>
      </c>
      <c r="C72" s="67" t="s">
        <v>444</v>
      </c>
      <c r="D72" s="67"/>
      <c r="E72" s="67"/>
      <c r="F72" s="67"/>
      <c r="G72" s="18" t="s">
        <v>569</v>
      </c>
      <c r="H72" s="29">
        <v>129.2</v>
      </c>
      <c r="I72" s="46">
        <v>0</v>
      </c>
      <c r="J72" s="29">
        <f>H72*AO72</f>
        <v>0</v>
      </c>
      <c r="K72" s="29">
        <f>H72*AP72</f>
        <v>0</v>
      </c>
      <c r="L72" s="29">
        <f>H72*I72</f>
        <v>0</v>
      </c>
      <c r="M72" s="41" t="s">
        <v>484</v>
      </c>
      <c r="Z72" s="29">
        <f>IF(AQ72="5",BJ72,0)</f>
        <v>0</v>
      </c>
      <c r="AB72" s="29">
        <f>IF(AQ72="1",BH72,0)</f>
        <v>0</v>
      </c>
      <c r="AC72" s="29">
        <f>IF(AQ72="1",BI72,0)</f>
        <v>0</v>
      </c>
      <c r="AD72" s="29">
        <f>IF(AQ72="7",BH72,0)</f>
        <v>0</v>
      </c>
      <c r="AE72" s="29">
        <f>IF(AQ72="7",BI72,0)</f>
        <v>0</v>
      </c>
      <c r="AF72" s="29">
        <f>IF(AQ72="2",BH72,0)</f>
        <v>0</v>
      </c>
      <c r="AG72" s="29">
        <f>IF(AQ72="2",BI72,0)</f>
        <v>0</v>
      </c>
      <c r="AH72" s="29">
        <f>IF(AQ72="0",BJ72,0)</f>
        <v>0</v>
      </c>
      <c r="AI72" s="10" t="s">
        <v>394</v>
      </c>
      <c r="AJ72" s="29">
        <f>IF(AN72=0,L72,0)</f>
        <v>0</v>
      </c>
      <c r="AK72" s="29">
        <f>IF(AN72=15,L72,0)</f>
        <v>0</v>
      </c>
      <c r="AL72" s="29">
        <f>IF(AN72=21,L72,0)</f>
        <v>0</v>
      </c>
      <c r="AN72" s="29">
        <v>21</v>
      </c>
      <c r="AO72" s="29">
        <f>I72*0</f>
        <v>0</v>
      </c>
      <c r="AP72" s="29">
        <f>I72*(1-0)</f>
        <v>0</v>
      </c>
      <c r="AQ72" s="23" t="s">
        <v>576</v>
      </c>
      <c r="AV72" s="29">
        <f>AW72+AX72</f>
        <v>0</v>
      </c>
      <c r="AW72" s="29">
        <f>H72*AO72</f>
        <v>0</v>
      </c>
      <c r="AX72" s="29">
        <f>H72*AP72</f>
        <v>0</v>
      </c>
      <c r="AY72" s="23" t="s">
        <v>176</v>
      </c>
      <c r="AZ72" s="23" t="s">
        <v>205</v>
      </c>
      <c r="BA72" s="10" t="s">
        <v>439</v>
      </c>
      <c r="BC72" s="29">
        <f>AW72+AX72</f>
        <v>0</v>
      </c>
      <c r="BD72" s="29">
        <f>I72/(100-BE72)*100</f>
        <v>0</v>
      </c>
      <c r="BE72" s="29">
        <v>0</v>
      </c>
      <c r="BF72" s="29">
        <f>72</f>
        <v>72</v>
      </c>
      <c r="BH72" s="29">
        <f>H72*AO72</f>
        <v>0</v>
      </c>
      <c r="BI72" s="29">
        <f>H72*AP72</f>
        <v>0</v>
      </c>
      <c r="BJ72" s="29">
        <f>H72*I72</f>
        <v>0</v>
      </c>
      <c r="BK72" s="29"/>
      <c r="BL72" s="29">
        <v>97</v>
      </c>
    </row>
    <row r="73" spans="1:64" ht="15" customHeight="1">
      <c r="A73" s="4" t="s">
        <v>328</v>
      </c>
      <c r="B73" s="18" t="s">
        <v>429</v>
      </c>
      <c r="C73" s="67" t="s">
        <v>403</v>
      </c>
      <c r="D73" s="67"/>
      <c r="E73" s="67"/>
      <c r="F73" s="67"/>
      <c r="G73" s="18" t="s">
        <v>480</v>
      </c>
      <c r="H73" s="29">
        <v>6</v>
      </c>
      <c r="I73" s="46">
        <v>0</v>
      </c>
      <c r="J73" s="29">
        <f>H73*AO73</f>
        <v>0</v>
      </c>
      <c r="K73" s="29">
        <f>H73*AP73</f>
        <v>0</v>
      </c>
      <c r="L73" s="29">
        <f>H73*I73</f>
        <v>0</v>
      </c>
      <c r="M73" s="41" t="s">
        <v>484</v>
      </c>
      <c r="Z73" s="29">
        <f>IF(AQ73="5",BJ73,0)</f>
        <v>0</v>
      </c>
      <c r="AB73" s="29">
        <f>IF(AQ73="1",BH73,0)</f>
        <v>0</v>
      </c>
      <c r="AC73" s="29">
        <f>IF(AQ73="1",BI73,0)</f>
        <v>0</v>
      </c>
      <c r="AD73" s="29">
        <f>IF(AQ73="7",BH73,0)</f>
        <v>0</v>
      </c>
      <c r="AE73" s="29">
        <f>IF(AQ73="7",BI73,0)</f>
        <v>0</v>
      </c>
      <c r="AF73" s="29">
        <f>IF(AQ73="2",BH73,0)</f>
        <v>0</v>
      </c>
      <c r="AG73" s="29">
        <f>IF(AQ73="2",BI73,0)</f>
        <v>0</v>
      </c>
      <c r="AH73" s="29">
        <f>IF(AQ73="0",BJ73,0)</f>
        <v>0</v>
      </c>
      <c r="AI73" s="10" t="s">
        <v>394</v>
      </c>
      <c r="AJ73" s="29">
        <f>IF(AN73=0,L73,0)</f>
        <v>0</v>
      </c>
      <c r="AK73" s="29">
        <f>IF(AN73=15,L73,0)</f>
        <v>0</v>
      </c>
      <c r="AL73" s="29">
        <f>IF(AN73=21,L73,0)</f>
        <v>0</v>
      </c>
      <c r="AN73" s="29">
        <v>21</v>
      </c>
      <c r="AO73" s="29">
        <f>I73*0.0880981595092025</f>
        <v>0</v>
      </c>
      <c r="AP73" s="29">
        <f>I73*(1-0.0880981595092025)</f>
        <v>0</v>
      </c>
      <c r="AQ73" s="23" t="s">
        <v>576</v>
      </c>
      <c r="AV73" s="29">
        <f>AW73+AX73</f>
        <v>0</v>
      </c>
      <c r="AW73" s="29">
        <f>H73*AO73</f>
        <v>0</v>
      </c>
      <c r="AX73" s="29">
        <f>H73*AP73</f>
        <v>0</v>
      </c>
      <c r="AY73" s="23" t="s">
        <v>176</v>
      </c>
      <c r="AZ73" s="23" t="s">
        <v>205</v>
      </c>
      <c r="BA73" s="10" t="s">
        <v>439</v>
      </c>
      <c r="BC73" s="29">
        <f>AW73+AX73</f>
        <v>0</v>
      </c>
      <c r="BD73" s="29">
        <f>I73/(100-BE73)*100</f>
        <v>0</v>
      </c>
      <c r="BE73" s="29">
        <v>0</v>
      </c>
      <c r="BF73" s="29">
        <f>73</f>
        <v>73</v>
      </c>
      <c r="BH73" s="29">
        <f>H73*AO73</f>
        <v>0</v>
      </c>
      <c r="BI73" s="29">
        <f>H73*AP73</f>
        <v>0</v>
      </c>
      <c r="BJ73" s="29">
        <f>H73*I73</f>
        <v>0</v>
      </c>
      <c r="BK73" s="29"/>
      <c r="BL73" s="29">
        <v>97</v>
      </c>
    </row>
    <row r="74" spans="1:64" ht="15" customHeight="1">
      <c r="A74" s="4" t="s">
        <v>566</v>
      </c>
      <c r="B74" s="18" t="s">
        <v>315</v>
      </c>
      <c r="C74" s="67" t="s">
        <v>312</v>
      </c>
      <c r="D74" s="67"/>
      <c r="E74" s="67"/>
      <c r="F74" s="67"/>
      <c r="G74" s="18" t="s">
        <v>557</v>
      </c>
      <c r="H74" s="29">
        <v>0.48</v>
      </c>
      <c r="I74" s="46">
        <v>0</v>
      </c>
      <c r="J74" s="29">
        <f>H74*AO74</f>
        <v>0</v>
      </c>
      <c r="K74" s="29">
        <f>H74*AP74</f>
        <v>0</v>
      </c>
      <c r="L74" s="29">
        <f>H74*I74</f>
        <v>0</v>
      </c>
      <c r="M74" s="41" t="s">
        <v>484</v>
      </c>
      <c r="Z74" s="29">
        <f>IF(AQ74="5",BJ74,0)</f>
        <v>0</v>
      </c>
      <c r="AB74" s="29">
        <f>IF(AQ74="1",BH74,0)</f>
        <v>0</v>
      </c>
      <c r="AC74" s="29">
        <f>IF(AQ74="1",BI74,0)</f>
        <v>0</v>
      </c>
      <c r="AD74" s="29">
        <f>IF(AQ74="7",BH74,0)</f>
        <v>0</v>
      </c>
      <c r="AE74" s="29">
        <f>IF(AQ74="7",BI74,0)</f>
        <v>0</v>
      </c>
      <c r="AF74" s="29">
        <f>IF(AQ74="2",BH74,0)</f>
        <v>0</v>
      </c>
      <c r="AG74" s="29">
        <f>IF(AQ74="2",BI74,0)</f>
        <v>0</v>
      </c>
      <c r="AH74" s="29">
        <f>IF(AQ74="0",BJ74,0)</f>
        <v>0</v>
      </c>
      <c r="AI74" s="10" t="s">
        <v>394</v>
      </c>
      <c r="AJ74" s="29">
        <f>IF(AN74=0,L74,0)</f>
        <v>0</v>
      </c>
      <c r="AK74" s="29">
        <f>IF(AN74=15,L74,0)</f>
        <v>0</v>
      </c>
      <c r="AL74" s="29">
        <f>IF(AN74=21,L74,0)</f>
        <v>0</v>
      </c>
      <c r="AN74" s="29">
        <v>21</v>
      </c>
      <c r="AO74" s="29">
        <f>I74*0.0257869249394673</f>
        <v>0</v>
      </c>
      <c r="AP74" s="29">
        <f>I74*(1-0.0257869249394673)</f>
        <v>0</v>
      </c>
      <c r="AQ74" s="23" t="s">
        <v>576</v>
      </c>
      <c r="AV74" s="29">
        <f>AW74+AX74</f>
        <v>0</v>
      </c>
      <c r="AW74" s="29">
        <f>H74*AO74</f>
        <v>0</v>
      </c>
      <c r="AX74" s="29">
        <f>H74*AP74</f>
        <v>0</v>
      </c>
      <c r="AY74" s="23" t="s">
        <v>176</v>
      </c>
      <c r="AZ74" s="23" t="s">
        <v>205</v>
      </c>
      <c r="BA74" s="10" t="s">
        <v>439</v>
      </c>
      <c r="BC74" s="29">
        <f>AW74+AX74</f>
        <v>0</v>
      </c>
      <c r="BD74" s="29">
        <f>I74/(100-BE74)*100</f>
        <v>0</v>
      </c>
      <c r="BE74" s="29">
        <v>0</v>
      </c>
      <c r="BF74" s="29">
        <f>74</f>
        <v>74</v>
      </c>
      <c r="BH74" s="29">
        <f>H74*AO74</f>
        <v>0</v>
      </c>
      <c r="BI74" s="29">
        <f>H74*AP74</f>
        <v>0</v>
      </c>
      <c r="BJ74" s="29">
        <f>H74*I74</f>
        <v>0</v>
      </c>
      <c r="BK74" s="29"/>
      <c r="BL74" s="29">
        <v>97</v>
      </c>
    </row>
    <row r="75" spans="1:13" ht="13.5" customHeight="1">
      <c r="A75" s="40"/>
      <c r="B75" s="34" t="s">
        <v>279</v>
      </c>
      <c r="C75" s="88" t="s">
        <v>617</v>
      </c>
      <c r="D75" s="89"/>
      <c r="E75" s="89"/>
      <c r="F75" s="89"/>
      <c r="G75" s="89"/>
      <c r="H75" s="89"/>
      <c r="I75" s="90"/>
      <c r="J75" s="89"/>
      <c r="K75" s="89"/>
      <c r="L75" s="89"/>
      <c r="M75" s="91"/>
    </row>
    <row r="76" spans="1:47" ht="15" customHeight="1">
      <c r="A76" s="26" t="s">
        <v>394</v>
      </c>
      <c r="B76" s="8" t="s">
        <v>188</v>
      </c>
      <c r="C76" s="87" t="s">
        <v>236</v>
      </c>
      <c r="D76" s="87"/>
      <c r="E76" s="87"/>
      <c r="F76" s="87"/>
      <c r="G76" s="42" t="s">
        <v>537</v>
      </c>
      <c r="H76" s="42" t="s">
        <v>537</v>
      </c>
      <c r="I76" s="50" t="s">
        <v>537</v>
      </c>
      <c r="J76" s="24">
        <f>SUM(J77:J86)</f>
        <v>0</v>
      </c>
      <c r="K76" s="24">
        <f>SUM(K77:K86)</f>
        <v>0</v>
      </c>
      <c r="L76" s="24">
        <f>SUM(L77:L86)</f>
        <v>0</v>
      </c>
      <c r="M76" s="9" t="s">
        <v>394</v>
      </c>
      <c r="AI76" s="10" t="s">
        <v>394</v>
      </c>
      <c r="AS76" s="24">
        <f>SUM(AJ77:AJ86)</f>
        <v>0</v>
      </c>
      <c r="AT76" s="24">
        <f>SUM(AK77:AK86)</f>
        <v>0</v>
      </c>
      <c r="AU76" s="24">
        <f>SUM(AL77:AL86)</f>
        <v>0</v>
      </c>
    </row>
    <row r="77" spans="1:64" ht="15" customHeight="1">
      <c r="A77" s="4" t="s">
        <v>340</v>
      </c>
      <c r="B77" s="18" t="s">
        <v>453</v>
      </c>
      <c r="C77" s="67" t="s">
        <v>479</v>
      </c>
      <c r="D77" s="67"/>
      <c r="E77" s="67"/>
      <c r="F77" s="67"/>
      <c r="G77" s="18" t="s">
        <v>146</v>
      </c>
      <c r="H77" s="29">
        <v>1</v>
      </c>
      <c r="I77" s="46">
        <v>0</v>
      </c>
      <c r="J77" s="29">
        <f>H77*AO77</f>
        <v>0</v>
      </c>
      <c r="K77" s="29">
        <f>H77*AP77</f>
        <v>0</v>
      </c>
      <c r="L77" s="29">
        <f>H77*I77</f>
        <v>0</v>
      </c>
      <c r="M77" s="41" t="s">
        <v>484</v>
      </c>
      <c r="Z77" s="29">
        <f>IF(AQ77="5",BJ77,0)</f>
        <v>0</v>
      </c>
      <c r="AB77" s="29">
        <f>IF(AQ77="1",BH77,0)</f>
        <v>0</v>
      </c>
      <c r="AC77" s="29">
        <f>IF(AQ77="1",BI77,0)</f>
        <v>0</v>
      </c>
      <c r="AD77" s="29">
        <f>IF(AQ77="7",BH77,0)</f>
        <v>0</v>
      </c>
      <c r="AE77" s="29">
        <f>IF(AQ77="7",BI77,0)</f>
        <v>0</v>
      </c>
      <c r="AF77" s="29">
        <f>IF(AQ77="2",BH77,0)</f>
        <v>0</v>
      </c>
      <c r="AG77" s="29">
        <f>IF(AQ77="2",BI77,0)</f>
        <v>0</v>
      </c>
      <c r="AH77" s="29">
        <f>IF(AQ77="0",BJ77,0)</f>
        <v>0</v>
      </c>
      <c r="AI77" s="10" t="s">
        <v>394</v>
      </c>
      <c r="AJ77" s="29">
        <f>IF(AN77=0,L77,0)</f>
        <v>0</v>
      </c>
      <c r="AK77" s="29">
        <f>IF(AN77=15,L77,0)</f>
        <v>0</v>
      </c>
      <c r="AL77" s="29">
        <f>IF(AN77=21,L77,0)</f>
        <v>0</v>
      </c>
      <c r="AN77" s="29">
        <v>21</v>
      </c>
      <c r="AO77" s="29">
        <f>I77*0</f>
        <v>0</v>
      </c>
      <c r="AP77" s="29">
        <f>I77*(1-0)</f>
        <v>0</v>
      </c>
      <c r="AQ77" s="23" t="s">
        <v>576</v>
      </c>
      <c r="AV77" s="29">
        <f>AW77+AX77</f>
        <v>0</v>
      </c>
      <c r="AW77" s="29">
        <f>H77*AO77</f>
        <v>0</v>
      </c>
      <c r="AX77" s="29">
        <f>H77*AP77</f>
        <v>0</v>
      </c>
      <c r="AY77" s="23" t="s">
        <v>226</v>
      </c>
      <c r="AZ77" s="23" t="s">
        <v>205</v>
      </c>
      <c r="BA77" s="10" t="s">
        <v>439</v>
      </c>
      <c r="BC77" s="29">
        <f>AW77+AX77</f>
        <v>0</v>
      </c>
      <c r="BD77" s="29">
        <f>I77/(100-BE77)*100</f>
        <v>0</v>
      </c>
      <c r="BE77" s="29">
        <v>0</v>
      </c>
      <c r="BF77" s="29">
        <f>77</f>
        <v>77</v>
      </c>
      <c r="BH77" s="29">
        <f>H77*AO77</f>
        <v>0</v>
      </c>
      <c r="BI77" s="29">
        <f>H77*AP77</f>
        <v>0</v>
      </c>
      <c r="BJ77" s="29">
        <f>H77*I77</f>
        <v>0</v>
      </c>
      <c r="BK77" s="29"/>
      <c r="BL77" s="29"/>
    </row>
    <row r="78" spans="1:64" ht="15" customHeight="1">
      <c r="A78" s="4" t="s">
        <v>364</v>
      </c>
      <c r="B78" s="18" t="s">
        <v>534</v>
      </c>
      <c r="C78" s="67" t="s">
        <v>58</v>
      </c>
      <c r="D78" s="67"/>
      <c r="E78" s="67"/>
      <c r="F78" s="67"/>
      <c r="G78" s="18" t="s">
        <v>255</v>
      </c>
      <c r="H78" s="29">
        <v>34.992</v>
      </c>
      <c r="I78" s="46">
        <v>0</v>
      </c>
      <c r="J78" s="29">
        <f>H78*AO78</f>
        <v>0</v>
      </c>
      <c r="K78" s="29">
        <f>H78*AP78</f>
        <v>0</v>
      </c>
      <c r="L78" s="29">
        <f>H78*I78</f>
        <v>0</v>
      </c>
      <c r="M78" s="41" t="s">
        <v>484</v>
      </c>
      <c r="Z78" s="29">
        <f>IF(AQ78="5",BJ78,0)</f>
        <v>0</v>
      </c>
      <c r="AB78" s="29">
        <f>IF(AQ78="1",BH78,0)</f>
        <v>0</v>
      </c>
      <c r="AC78" s="29">
        <f>IF(AQ78="1",BI78,0)</f>
        <v>0</v>
      </c>
      <c r="AD78" s="29">
        <f>IF(AQ78="7",BH78,0)</f>
        <v>0</v>
      </c>
      <c r="AE78" s="29">
        <f>IF(AQ78="7",BI78,0)</f>
        <v>0</v>
      </c>
      <c r="AF78" s="29">
        <f>IF(AQ78="2",BH78,0)</f>
        <v>0</v>
      </c>
      <c r="AG78" s="29">
        <f>IF(AQ78="2",BI78,0)</f>
        <v>0</v>
      </c>
      <c r="AH78" s="29">
        <f>IF(AQ78="0",BJ78,0)</f>
        <v>0</v>
      </c>
      <c r="AI78" s="10" t="s">
        <v>394</v>
      </c>
      <c r="AJ78" s="29">
        <f>IF(AN78=0,L78,0)</f>
        <v>0</v>
      </c>
      <c r="AK78" s="29">
        <f>IF(AN78=15,L78,0)</f>
        <v>0</v>
      </c>
      <c r="AL78" s="29">
        <f>IF(AN78=21,L78,0)</f>
        <v>0</v>
      </c>
      <c r="AN78" s="29">
        <v>21</v>
      </c>
      <c r="AO78" s="29">
        <f>I78*0</f>
        <v>0</v>
      </c>
      <c r="AP78" s="29">
        <f>I78*(1-0)</f>
        <v>0</v>
      </c>
      <c r="AQ78" s="23" t="s">
        <v>296</v>
      </c>
      <c r="AV78" s="29">
        <f>AW78+AX78</f>
        <v>0</v>
      </c>
      <c r="AW78" s="29">
        <f>H78*AO78</f>
        <v>0</v>
      </c>
      <c r="AX78" s="29">
        <f>H78*AP78</f>
        <v>0</v>
      </c>
      <c r="AY78" s="23" t="s">
        <v>226</v>
      </c>
      <c r="AZ78" s="23" t="s">
        <v>205</v>
      </c>
      <c r="BA78" s="10" t="s">
        <v>439</v>
      </c>
      <c r="BC78" s="29">
        <f>AW78+AX78</f>
        <v>0</v>
      </c>
      <c r="BD78" s="29">
        <f>I78/(100-BE78)*100</f>
        <v>0</v>
      </c>
      <c r="BE78" s="29">
        <v>0</v>
      </c>
      <c r="BF78" s="29">
        <f>78</f>
        <v>78</v>
      </c>
      <c r="BH78" s="29">
        <f>H78*AO78</f>
        <v>0</v>
      </c>
      <c r="BI78" s="29">
        <f>H78*AP78</f>
        <v>0</v>
      </c>
      <c r="BJ78" s="29">
        <f>H78*I78</f>
        <v>0</v>
      </c>
      <c r="BK78" s="29"/>
      <c r="BL78" s="29"/>
    </row>
    <row r="79" spans="1:64" ht="15" customHeight="1">
      <c r="A79" s="4" t="s">
        <v>200</v>
      </c>
      <c r="B79" s="18" t="s">
        <v>592</v>
      </c>
      <c r="C79" s="67" t="s">
        <v>150</v>
      </c>
      <c r="D79" s="67"/>
      <c r="E79" s="67"/>
      <c r="F79" s="67"/>
      <c r="G79" s="18" t="s">
        <v>255</v>
      </c>
      <c r="H79" s="29">
        <v>34.992</v>
      </c>
      <c r="I79" s="46">
        <v>0</v>
      </c>
      <c r="J79" s="29">
        <f>H79*AO79</f>
        <v>0</v>
      </c>
      <c r="K79" s="29">
        <f>H79*AP79</f>
        <v>0</v>
      </c>
      <c r="L79" s="29">
        <f>H79*I79</f>
        <v>0</v>
      </c>
      <c r="M79" s="41" t="s">
        <v>484</v>
      </c>
      <c r="Z79" s="29">
        <f>IF(AQ79="5",BJ79,0)</f>
        <v>0</v>
      </c>
      <c r="AB79" s="29">
        <f>IF(AQ79="1",BH79,0)</f>
        <v>0</v>
      </c>
      <c r="AC79" s="29">
        <f>IF(AQ79="1",BI79,0)</f>
        <v>0</v>
      </c>
      <c r="AD79" s="29">
        <f>IF(AQ79="7",BH79,0)</f>
        <v>0</v>
      </c>
      <c r="AE79" s="29">
        <f>IF(AQ79="7",BI79,0)</f>
        <v>0</v>
      </c>
      <c r="AF79" s="29">
        <f>IF(AQ79="2",BH79,0)</f>
        <v>0</v>
      </c>
      <c r="AG79" s="29">
        <f>IF(AQ79="2",BI79,0)</f>
        <v>0</v>
      </c>
      <c r="AH79" s="29">
        <f>IF(AQ79="0",BJ79,0)</f>
        <v>0</v>
      </c>
      <c r="AI79" s="10" t="s">
        <v>394</v>
      </c>
      <c r="AJ79" s="29">
        <f>IF(AN79=0,L79,0)</f>
        <v>0</v>
      </c>
      <c r="AK79" s="29">
        <f>IF(AN79=15,L79,0)</f>
        <v>0</v>
      </c>
      <c r="AL79" s="29">
        <f>IF(AN79=21,L79,0)</f>
        <v>0</v>
      </c>
      <c r="AN79" s="29">
        <v>21</v>
      </c>
      <c r="AO79" s="29">
        <f>I79*0</f>
        <v>0</v>
      </c>
      <c r="AP79" s="29">
        <f>I79*(1-0)</f>
        <v>0</v>
      </c>
      <c r="AQ79" s="23" t="s">
        <v>296</v>
      </c>
      <c r="AV79" s="29">
        <f>AW79+AX79</f>
        <v>0</v>
      </c>
      <c r="AW79" s="29">
        <f>H79*AO79</f>
        <v>0</v>
      </c>
      <c r="AX79" s="29">
        <f>H79*AP79</f>
        <v>0</v>
      </c>
      <c r="AY79" s="23" t="s">
        <v>226</v>
      </c>
      <c r="AZ79" s="23" t="s">
        <v>205</v>
      </c>
      <c r="BA79" s="10" t="s">
        <v>439</v>
      </c>
      <c r="BC79" s="29">
        <f>AW79+AX79</f>
        <v>0</v>
      </c>
      <c r="BD79" s="29">
        <f>I79/(100-BE79)*100</f>
        <v>0</v>
      </c>
      <c r="BE79" s="29">
        <v>0</v>
      </c>
      <c r="BF79" s="29">
        <f>79</f>
        <v>79</v>
      </c>
      <c r="BH79" s="29">
        <f>H79*AO79</f>
        <v>0</v>
      </c>
      <c r="BI79" s="29">
        <f>H79*AP79</f>
        <v>0</v>
      </c>
      <c r="BJ79" s="29">
        <f>H79*I79</f>
        <v>0</v>
      </c>
      <c r="BK79" s="29"/>
      <c r="BL79" s="29"/>
    </row>
    <row r="80" spans="1:64" ht="15" customHeight="1">
      <c r="A80" s="4" t="s">
        <v>570</v>
      </c>
      <c r="B80" s="18" t="s">
        <v>121</v>
      </c>
      <c r="C80" s="67" t="s">
        <v>274</v>
      </c>
      <c r="D80" s="67"/>
      <c r="E80" s="67"/>
      <c r="F80" s="67"/>
      <c r="G80" s="18" t="s">
        <v>255</v>
      </c>
      <c r="H80" s="29">
        <v>34.992</v>
      </c>
      <c r="I80" s="46">
        <v>0</v>
      </c>
      <c r="J80" s="29">
        <f>H80*AO80</f>
        <v>0</v>
      </c>
      <c r="K80" s="29">
        <f>H80*AP80</f>
        <v>0</v>
      </c>
      <c r="L80" s="29">
        <f>H80*I80</f>
        <v>0</v>
      </c>
      <c r="M80" s="41" t="s">
        <v>484</v>
      </c>
      <c r="Z80" s="29">
        <f>IF(AQ80="5",BJ80,0)</f>
        <v>0</v>
      </c>
      <c r="AB80" s="29">
        <f>IF(AQ80="1",BH80,0)</f>
        <v>0</v>
      </c>
      <c r="AC80" s="29">
        <f>IF(AQ80="1",BI80,0)</f>
        <v>0</v>
      </c>
      <c r="AD80" s="29">
        <f>IF(AQ80="7",BH80,0)</f>
        <v>0</v>
      </c>
      <c r="AE80" s="29">
        <f>IF(AQ80="7",BI80,0)</f>
        <v>0</v>
      </c>
      <c r="AF80" s="29">
        <f>IF(AQ80="2",BH80,0)</f>
        <v>0</v>
      </c>
      <c r="AG80" s="29">
        <f>IF(AQ80="2",BI80,0)</f>
        <v>0</v>
      </c>
      <c r="AH80" s="29">
        <f>IF(AQ80="0",BJ80,0)</f>
        <v>0</v>
      </c>
      <c r="AI80" s="10" t="s">
        <v>394</v>
      </c>
      <c r="AJ80" s="29">
        <f>IF(AN80=0,L80,0)</f>
        <v>0</v>
      </c>
      <c r="AK80" s="29">
        <f>IF(AN80=15,L80,0)</f>
        <v>0</v>
      </c>
      <c r="AL80" s="29">
        <f>IF(AN80=21,L80,0)</f>
        <v>0</v>
      </c>
      <c r="AN80" s="29">
        <v>21</v>
      </c>
      <c r="AO80" s="29">
        <f>I80*0</f>
        <v>0</v>
      </c>
      <c r="AP80" s="29">
        <f>I80*(1-0)</f>
        <v>0</v>
      </c>
      <c r="AQ80" s="23" t="s">
        <v>296</v>
      </c>
      <c r="AV80" s="29">
        <f>AW80+AX80</f>
        <v>0</v>
      </c>
      <c r="AW80" s="29">
        <f>H80*AO80</f>
        <v>0</v>
      </c>
      <c r="AX80" s="29">
        <f>H80*AP80</f>
        <v>0</v>
      </c>
      <c r="AY80" s="23" t="s">
        <v>226</v>
      </c>
      <c r="AZ80" s="23" t="s">
        <v>205</v>
      </c>
      <c r="BA80" s="10" t="s">
        <v>439</v>
      </c>
      <c r="BC80" s="29">
        <f>AW80+AX80</f>
        <v>0</v>
      </c>
      <c r="BD80" s="29">
        <f>I80/(100-BE80)*100</f>
        <v>0</v>
      </c>
      <c r="BE80" s="29">
        <v>0</v>
      </c>
      <c r="BF80" s="29">
        <f>80</f>
        <v>80</v>
      </c>
      <c r="BH80" s="29">
        <f>H80*AO80</f>
        <v>0</v>
      </c>
      <c r="BI80" s="29">
        <f>H80*AP80</f>
        <v>0</v>
      </c>
      <c r="BJ80" s="29">
        <f>H80*I80</f>
        <v>0</v>
      </c>
      <c r="BK80" s="29"/>
      <c r="BL80" s="29"/>
    </row>
    <row r="81" spans="1:64" ht="15" customHeight="1">
      <c r="A81" s="4" t="s">
        <v>105</v>
      </c>
      <c r="B81" s="18" t="s">
        <v>458</v>
      </c>
      <c r="C81" s="67" t="s">
        <v>375</v>
      </c>
      <c r="D81" s="67"/>
      <c r="E81" s="67"/>
      <c r="F81" s="67"/>
      <c r="G81" s="18" t="s">
        <v>255</v>
      </c>
      <c r="H81" s="29">
        <v>34.992</v>
      </c>
      <c r="I81" s="46">
        <v>0</v>
      </c>
      <c r="J81" s="29">
        <f>H81*AO81</f>
        <v>0</v>
      </c>
      <c r="K81" s="29">
        <f>H81*AP81</f>
        <v>0</v>
      </c>
      <c r="L81" s="29">
        <f>H81*I81</f>
        <v>0</v>
      </c>
      <c r="M81" s="41" t="s">
        <v>484</v>
      </c>
      <c r="Z81" s="29">
        <f>IF(AQ81="5",BJ81,0)</f>
        <v>0</v>
      </c>
      <c r="AB81" s="29">
        <f>IF(AQ81="1",BH81,0)</f>
        <v>0</v>
      </c>
      <c r="AC81" s="29">
        <f>IF(AQ81="1",BI81,0)</f>
        <v>0</v>
      </c>
      <c r="AD81" s="29">
        <f>IF(AQ81="7",BH81,0)</f>
        <v>0</v>
      </c>
      <c r="AE81" s="29">
        <f>IF(AQ81="7",BI81,0)</f>
        <v>0</v>
      </c>
      <c r="AF81" s="29">
        <f>IF(AQ81="2",BH81,0)</f>
        <v>0</v>
      </c>
      <c r="AG81" s="29">
        <f>IF(AQ81="2",BI81,0)</f>
        <v>0</v>
      </c>
      <c r="AH81" s="29">
        <f>IF(AQ81="0",BJ81,0)</f>
        <v>0</v>
      </c>
      <c r="AI81" s="10" t="s">
        <v>394</v>
      </c>
      <c r="AJ81" s="29">
        <f>IF(AN81=0,L81,0)</f>
        <v>0</v>
      </c>
      <c r="AK81" s="29">
        <f>IF(AN81=15,L81,0)</f>
        <v>0</v>
      </c>
      <c r="AL81" s="29">
        <f>IF(AN81=21,L81,0)</f>
        <v>0</v>
      </c>
      <c r="AN81" s="29">
        <v>21</v>
      </c>
      <c r="AO81" s="29">
        <f>I81*0.0101450591930418</f>
        <v>0</v>
      </c>
      <c r="AP81" s="29">
        <f>I81*(1-0.0101450591930418)</f>
        <v>0</v>
      </c>
      <c r="AQ81" s="23" t="s">
        <v>296</v>
      </c>
      <c r="AV81" s="29">
        <f>AW81+AX81</f>
        <v>0</v>
      </c>
      <c r="AW81" s="29">
        <f>H81*AO81</f>
        <v>0</v>
      </c>
      <c r="AX81" s="29">
        <f>H81*AP81</f>
        <v>0</v>
      </c>
      <c r="AY81" s="23" t="s">
        <v>226</v>
      </c>
      <c r="AZ81" s="23" t="s">
        <v>205</v>
      </c>
      <c r="BA81" s="10" t="s">
        <v>439</v>
      </c>
      <c r="BC81" s="29">
        <f>AW81+AX81</f>
        <v>0</v>
      </c>
      <c r="BD81" s="29">
        <f>I81/(100-BE81)*100</f>
        <v>0</v>
      </c>
      <c r="BE81" s="29">
        <v>0</v>
      </c>
      <c r="BF81" s="29">
        <f>81</f>
        <v>81</v>
      </c>
      <c r="BH81" s="29">
        <f>H81*AO81</f>
        <v>0</v>
      </c>
      <c r="BI81" s="29">
        <f>H81*AP81</f>
        <v>0</v>
      </c>
      <c r="BJ81" s="29">
        <f>H81*I81</f>
        <v>0</v>
      </c>
      <c r="BK81" s="29"/>
      <c r="BL81" s="29"/>
    </row>
    <row r="82" spans="1:13" ht="13.5" customHeight="1">
      <c r="A82" s="40"/>
      <c r="B82" s="34" t="s">
        <v>279</v>
      </c>
      <c r="C82" s="88" t="s">
        <v>385</v>
      </c>
      <c r="D82" s="89"/>
      <c r="E82" s="89"/>
      <c r="F82" s="89"/>
      <c r="G82" s="89"/>
      <c r="H82" s="89"/>
      <c r="I82" s="90"/>
      <c r="J82" s="89"/>
      <c r="K82" s="89"/>
      <c r="L82" s="89"/>
      <c r="M82" s="91"/>
    </row>
    <row r="83" spans="1:64" ht="15" customHeight="1">
      <c r="A83" s="4" t="s">
        <v>190</v>
      </c>
      <c r="B83" s="18" t="s">
        <v>387</v>
      </c>
      <c r="C83" s="67" t="s">
        <v>165</v>
      </c>
      <c r="D83" s="67"/>
      <c r="E83" s="67"/>
      <c r="F83" s="67"/>
      <c r="G83" s="18" t="s">
        <v>255</v>
      </c>
      <c r="H83" s="29">
        <v>34.992</v>
      </c>
      <c r="I83" s="46">
        <v>0</v>
      </c>
      <c r="J83" s="29">
        <f>H83*AO83</f>
        <v>0</v>
      </c>
      <c r="K83" s="29">
        <f>H83*AP83</f>
        <v>0</v>
      </c>
      <c r="L83" s="29">
        <f>H83*I83</f>
        <v>0</v>
      </c>
      <c r="M83" s="41" t="s">
        <v>484</v>
      </c>
      <c r="Z83" s="29">
        <f>IF(AQ83="5",BJ83,0)</f>
        <v>0</v>
      </c>
      <c r="AB83" s="29">
        <f>IF(AQ83="1",BH83,0)</f>
        <v>0</v>
      </c>
      <c r="AC83" s="29">
        <f>IF(AQ83="1",BI83,0)</f>
        <v>0</v>
      </c>
      <c r="AD83" s="29">
        <f>IF(AQ83="7",BH83,0)</f>
        <v>0</v>
      </c>
      <c r="AE83" s="29">
        <f>IF(AQ83="7",BI83,0)</f>
        <v>0</v>
      </c>
      <c r="AF83" s="29">
        <f>IF(AQ83="2",BH83,0)</f>
        <v>0</v>
      </c>
      <c r="AG83" s="29">
        <f>IF(AQ83="2",BI83,0)</f>
        <v>0</v>
      </c>
      <c r="AH83" s="29">
        <f>IF(AQ83="0",BJ83,0)</f>
        <v>0</v>
      </c>
      <c r="AI83" s="10" t="s">
        <v>394</v>
      </c>
      <c r="AJ83" s="29">
        <f>IF(AN83=0,L83,0)</f>
        <v>0</v>
      </c>
      <c r="AK83" s="29">
        <f>IF(AN83=15,L83,0)</f>
        <v>0</v>
      </c>
      <c r="AL83" s="29">
        <f>IF(AN83=21,L83,0)</f>
        <v>0</v>
      </c>
      <c r="AN83" s="29">
        <v>21</v>
      </c>
      <c r="AO83" s="29">
        <f>I83*0</f>
        <v>0</v>
      </c>
      <c r="AP83" s="29">
        <f>I83*(1-0)</f>
        <v>0</v>
      </c>
      <c r="AQ83" s="23" t="s">
        <v>296</v>
      </c>
      <c r="AV83" s="29">
        <f>AW83+AX83</f>
        <v>0</v>
      </c>
      <c r="AW83" s="29">
        <f>H83*AO83</f>
        <v>0</v>
      </c>
      <c r="AX83" s="29">
        <f>H83*AP83</f>
        <v>0</v>
      </c>
      <c r="AY83" s="23" t="s">
        <v>226</v>
      </c>
      <c r="AZ83" s="23" t="s">
        <v>205</v>
      </c>
      <c r="BA83" s="10" t="s">
        <v>439</v>
      </c>
      <c r="BC83" s="29">
        <f>AW83+AX83</f>
        <v>0</v>
      </c>
      <c r="BD83" s="29">
        <f>I83/(100-BE83)*100</f>
        <v>0</v>
      </c>
      <c r="BE83" s="29">
        <v>0</v>
      </c>
      <c r="BF83" s="29">
        <f>83</f>
        <v>83</v>
      </c>
      <c r="BH83" s="29">
        <f>H83*AO83</f>
        <v>0</v>
      </c>
      <c r="BI83" s="29">
        <f>H83*AP83</f>
        <v>0</v>
      </c>
      <c r="BJ83" s="29">
        <f>H83*I83</f>
        <v>0</v>
      </c>
      <c r="BK83" s="29"/>
      <c r="BL83" s="29"/>
    </row>
    <row r="84" spans="1:64" ht="15" customHeight="1">
      <c r="A84" s="4" t="s">
        <v>239</v>
      </c>
      <c r="B84" s="18" t="s">
        <v>345</v>
      </c>
      <c r="C84" s="67" t="s">
        <v>128</v>
      </c>
      <c r="D84" s="67"/>
      <c r="E84" s="67"/>
      <c r="F84" s="67"/>
      <c r="G84" s="18" t="s">
        <v>255</v>
      </c>
      <c r="H84" s="29">
        <v>34.992</v>
      </c>
      <c r="I84" s="46">
        <v>0</v>
      </c>
      <c r="J84" s="29">
        <f>H84*AO84</f>
        <v>0</v>
      </c>
      <c r="K84" s="29">
        <f>H84*AP84</f>
        <v>0</v>
      </c>
      <c r="L84" s="29">
        <f>H84*I84</f>
        <v>0</v>
      </c>
      <c r="M84" s="41" t="s">
        <v>484</v>
      </c>
      <c r="Z84" s="29">
        <f>IF(AQ84="5",BJ84,0)</f>
        <v>0</v>
      </c>
      <c r="AB84" s="29">
        <f>IF(AQ84="1",BH84,0)</f>
        <v>0</v>
      </c>
      <c r="AC84" s="29">
        <f>IF(AQ84="1",BI84,0)</f>
        <v>0</v>
      </c>
      <c r="AD84" s="29">
        <f>IF(AQ84="7",BH84,0)</f>
        <v>0</v>
      </c>
      <c r="AE84" s="29">
        <f>IF(AQ84="7",BI84,0)</f>
        <v>0</v>
      </c>
      <c r="AF84" s="29">
        <f>IF(AQ84="2",BH84,0)</f>
        <v>0</v>
      </c>
      <c r="AG84" s="29">
        <f>IF(AQ84="2",BI84,0)</f>
        <v>0</v>
      </c>
      <c r="AH84" s="29">
        <f>IF(AQ84="0",BJ84,0)</f>
        <v>0</v>
      </c>
      <c r="AI84" s="10" t="s">
        <v>394</v>
      </c>
      <c r="AJ84" s="29">
        <f>IF(AN84=0,L84,0)</f>
        <v>0</v>
      </c>
      <c r="AK84" s="29">
        <f>IF(AN84=15,L84,0)</f>
        <v>0</v>
      </c>
      <c r="AL84" s="29">
        <f>IF(AN84=21,L84,0)</f>
        <v>0</v>
      </c>
      <c r="AN84" s="29">
        <v>21</v>
      </c>
      <c r="AO84" s="29">
        <f>I84*0</f>
        <v>0</v>
      </c>
      <c r="AP84" s="29">
        <f>I84*(1-0)</f>
        <v>0</v>
      </c>
      <c r="AQ84" s="23" t="s">
        <v>296</v>
      </c>
      <c r="AV84" s="29">
        <f>AW84+AX84</f>
        <v>0</v>
      </c>
      <c r="AW84" s="29">
        <f>H84*AO84</f>
        <v>0</v>
      </c>
      <c r="AX84" s="29">
        <f>H84*AP84</f>
        <v>0</v>
      </c>
      <c r="AY84" s="23" t="s">
        <v>226</v>
      </c>
      <c r="AZ84" s="23" t="s">
        <v>205</v>
      </c>
      <c r="BA84" s="10" t="s">
        <v>439</v>
      </c>
      <c r="BC84" s="29">
        <f>AW84+AX84</f>
        <v>0</v>
      </c>
      <c r="BD84" s="29">
        <f>I84/(100-BE84)*100</f>
        <v>0</v>
      </c>
      <c r="BE84" s="29">
        <v>0</v>
      </c>
      <c r="BF84" s="29">
        <f>84</f>
        <v>84</v>
      </c>
      <c r="BH84" s="29">
        <f>H84*AO84</f>
        <v>0</v>
      </c>
      <c r="BI84" s="29">
        <f>H84*AP84</f>
        <v>0</v>
      </c>
      <c r="BJ84" s="29">
        <f>H84*I84</f>
        <v>0</v>
      </c>
      <c r="BK84" s="29"/>
      <c r="BL84" s="29"/>
    </row>
    <row r="85" spans="1:64" ht="15" customHeight="1">
      <c r="A85" s="4" t="s">
        <v>199</v>
      </c>
      <c r="B85" s="18" t="s">
        <v>437</v>
      </c>
      <c r="C85" s="67" t="s">
        <v>522</v>
      </c>
      <c r="D85" s="67"/>
      <c r="E85" s="67"/>
      <c r="F85" s="67"/>
      <c r="G85" s="18" t="s">
        <v>255</v>
      </c>
      <c r="H85" s="29">
        <v>0.146</v>
      </c>
      <c r="I85" s="46">
        <v>0</v>
      </c>
      <c r="J85" s="29">
        <f>H85*AO85</f>
        <v>0</v>
      </c>
      <c r="K85" s="29">
        <f>H85*AP85</f>
        <v>0</v>
      </c>
      <c r="L85" s="29">
        <f>H85*I85</f>
        <v>0</v>
      </c>
      <c r="M85" s="41" t="s">
        <v>484</v>
      </c>
      <c r="Z85" s="29">
        <f>IF(AQ85="5",BJ85,0)</f>
        <v>0</v>
      </c>
      <c r="AB85" s="29">
        <f>IF(AQ85="1",BH85,0)</f>
        <v>0</v>
      </c>
      <c r="AC85" s="29">
        <f>IF(AQ85="1",BI85,0)</f>
        <v>0</v>
      </c>
      <c r="AD85" s="29">
        <f>IF(AQ85="7",BH85,0)</f>
        <v>0</v>
      </c>
      <c r="AE85" s="29">
        <f>IF(AQ85="7",BI85,0)</f>
        <v>0</v>
      </c>
      <c r="AF85" s="29">
        <f>IF(AQ85="2",BH85,0)</f>
        <v>0</v>
      </c>
      <c r="AG85" s="29">
        <f>IF(AQ85="2",BI85,0)</f>
        <v>0</v>
      </c>
      <c r="AH85" s="29">
        <f>IF(AQ85="0",BJ85,0)</f>
        <v>0</v>
      </c>
      <c r="AI85" s="10" t="s">
        <v>394</v>
      </c>
      <c r="AJ85" s="29">
        <f>IF(AN85=0,L85,0)</f>
        <v>0</v>
      </c>
      <c r="AK85" s="29">
        <f>IF(AN85=15,L85,0)</f>
        <v>0</v>
      </c>
      <c r="AL85" s="29">
        <f>IF(AN85=21,L85,0)</f>
        <v>0</v>
      </c>
      <c r="AN85" s="29">
        <v>21</v>
      </c>
      <c r="AO85" s="29">
        <f>I85*0</f>
        <v>0</v>
      </c>
      <c r="AP85" s="29">
        <f>I85*(1-0)</f>
        <v>0</v>
      </c>
      <c r="AQ85" s="23" t="s">
        <v>296</v>
      </c>
      <c r="AV85" s="29">
        <f>AW85+AX85</f>
        <v>0</v>
      </c>
      <c r="AW85" s="29">
        <f>H85*AO85</f>
        <v>0</v>
      </c>
      <c r="AX85" s="29">
        <f>H85*AP85</f>
        <v>0</v>
      </c>
      <c r="AY85" s="23" t="s">
        <v>226</v>
      </c>
      <c r="AZ85" s="23" t="s">
        <v>205</v>
      </c>
      <c r="BA85" s="10" t="s">
        <v>439</v>
      </c>
      <c r="BC85" s="29">
        <f>AW85+AX85</f>
        <v>0</v>
      </c>
      <c r="BD85" s="29">
        <f>I85/(100-BE85)*100</f>
        <v>0</v>
      </c>
      <c r="BE85" s="29">
        <v>0</v>
      </c>
      <c r="BF85" s="29">
        <f>85</f>
        <v>85</v>
      </c>
      <c r="BH85" s="29">
        <f>H85*AO85</f>
        <v>0</v>
      </c>
      <c r="BI85" s="29">
        <f>H85*AP85</f>
        <v>0</v>
      </c>
      <c r="BJ85" s="29">
        <f>H85*I85</f>
        <v>0</v>
      </c>
      <c r="BK85" s="29"/>
      <c r="BL85" s="29"/>
    </row>
    <row r="86" spans="1:64" ht="15" customHeight="1">
      <c r="A86" s="4" t="s">
        <v>466</v>
      </c>
      <c r="B86" s="18" t="s">
        <v>191</v>
      </c>
      <c r="C86" s="67" t="s">
        <v>168</v>
      </c>
      <c r="D86" s="67"/>
      <c r="E86" s="67"/>
      <c r="F86" s="67"/>
      <c r="G86" s="18" t="s">
        <v>255</v>
      </c>
      <c r="H86" s="29">
        <v>0.869</v>
      </c>
      <c r="I86" s="46">
        <v>0</v>
      </c>
      <c r="J86" s="29">
        <f>H86*AO86</f>
        <v>0</v>
      </c>
      <c r="K86" s="29">
        <f>H86*AP86</f>
        <v>0</v>
      </c>
      <c r="L86" s="29">
        <f>H86*I86</f>
        <v>0</v>
      </c>
      <c r="M86" s="41" t="s">
        <v>484</v>
      </c>
      <c r="Z86" s="29">
        <f>IF(AQ86="5",BJ86,0)</f>
        <v>0</v>
      </c>
      <c r="AB86" s="29">
        <f>IF(AQ86="1",BH86,0)</f>
        <v>0</v>
      </c>
      <c r="AC86" s="29">
        <f>IF(AQ86="1",BI86,0)</f>
        <v>0</v>
      </c>
      <c r="AD86" s="29">
        <f>IF(AQ86="7",BH86,0)</f>
        <v>0</v>
      </c>
      <c r="AE86" s="29">
        <f>IF(AQ86="7",BI86,0)</f>
        <v>0</v>
      </c>
      <c r="AF86" s="29">
        <f>IF(AQ86="2",BH86,0)</f>
        <v>0</v>
      </c>
      <c r="AG86" s="29">
        <f>IF(AQ86="2",BI86,0)</f>
        <v>0</v>
      </c>
      <c r="AH86" s="29">
        <f>IF(AQ86="0",BJ86,0)</f>
        <v>0</v>
      </c>
      <c r="AI86" s="10" t="s">
        <v>394</v>
      </c>
      <c r="AJ86" s="29">
        <f>IF(AN86=0,L86,0)</f>
        <v>0</v>
      </c>
      <c r="AK86" s="29">
        <f>IF(AN86=15,L86,0)</f>
        <v>0</v>
      </c>
      <c r="AL86" s="29">
        <f>IF(AN86=21,L86,0)</f>
        <v>0</v>
      </c>
      <c r="AN86" s="29">
        <v>21</v>
      </c>
      <c r="AO86" s="29">
        <f>I86*0</f>
        <v>0</v>
      </c>
      <c r="AP86" s="29">
        <f>I86*(1-0)</f>
        <v>0</v>
      </c>
      <c r="AQ86" s="23" t="s">
        <v>296</v>
      </c>
      <c r="AV86" s="29">
        <f>AW86+AX86</f>
        <v>0</v>
      </c>
      <c r="AW86" s="29">
        <f>H86*AO86</f>
        <v>0</v>
      </c>
      <c r="AX86" s="29">
        <f>H86*AP86</f>
        <v>0</v>
      </c>
      <c r="AY86" s="23" t="s">
        <v>226</v>
      </c>
      <c r="AZ86" s="23" t="s">
        <v>205</v>
      </c>
      <c r="BA86" s="10" t="s">
        <v>439</v>
      </c>
      <c r="BC86" s="29">
        <f>AW86+AX86</f>
        <v>0</v>
      </c>
      <c r="BD86" s="29">
        <f>I86/(100-BE86)*100</f>
        <v>0</v>
      </c>
      <c r="BE86" s="29">
        <v>0</v>
      </c>
      <c r="BF86" s="29">
        <f>86</f>
        <v>86</v>
      </c>
      <c r="BH86" s="29">
        <f>H86*AO86</f>
        <v>0</v>
      </c>
      <c r="BI86" s="29">
        <f>H86*AP86</f>
        <v>0</v>
      </c>
      <c r="BJ86" s="29">
        <f>H86*I86</f>
        <v>0</v>
      </c>
      <c r="BK86" s="29"/>
      <c r="BL86" s="29"/>
    </row>
    <row r="87" spans="1:13" ht="13.5" customHeight="1">
      <c r="A87" s="40"/>
      <c r="B87" s="34" t="s">
        <v>279</v>
      </c>
      <c r="C87" s="88" t="s">
        <v>281</v>
      </c>
      <c r="D87" s="89"/>
      <c r="E87" s="89"/>
      <c r="F87" s="89"/>
      <c r="G87" s="89"/>
      <c r="H87" s="89"/>
      <c r="I87" s="90"/>
      <c r="J87" s="89"/>
      <c r="K87" s="89"/>
      <c r="L87" s="89"/>
      <c r="M87" s="91"/>
    </row>
    <row r="88" spans="1:47" ht="15" customHeight="1">
      <c r="A88" s="26" t="s">
        <v>394</v>
      </c>
      <c r="B88" s="8" t="s">
        <v>469</v>
      </c>
      <c r="C88" s="87" t="s">
        <v>495</v>
      </c>
      <c r="D88" s="87"/>
      <c r="E88" s="87"/>
      <c r="F88" s="87"/>
      <c r="G88" s="42" t="s">
        <v>537</v>
      </c>
      <c r="H88" s="42" t="s">
        <v>537</v>
      </c>
      <c r="I88" s="50" t="s">
        <v>537</v>
      </c>
      <c r="J88" s="24">
        <f>SUM(J89:J96)</f>
        <v>0</v>
      </c>
      <c r="K88" s="24">
        <f>SUM(K89:K96)</f>
        <v>0</v>
      </c>
      <c r="L88" s="24">
        <f>SUM(L89:L96)</f>
        <v>0</v>
      </c>
      <c r="M88" s="9" t="s">
        <v>394</v>
      </c>
      <c r="AI88" s="10" t="s">
        <v>394</v>
      </c>
      <c r="AS88" s="24">
        <f>SUM(AJ89:AJ96)</f>
        <v>0</v>
      </c>
      <c r="AT88" s="24">
        <f>SUM(AK89:AK96)</f>
        <v>0</v>
      </c>
      <c r="AU88" s="24">
        <f>SUM(AL89:AL96)</f>
        <v>0</v>
      </c>
    </row>
    <row r="89" spans="1:64" ht="15" customHeight="1">
      <c r="A89" s="4" t="s">
        <v>605</v>
      </c>
      <c r="B89" s="18" t="s">
        <v>48</v>
      </c>
      <c r="C89" s="67" t="s">
        <v>639</v>
      </c>
      <c r="D89" s="67"/>
      <c r="E89" s="67"/>
      <c r="F89" s="67"/>
      <c r="G89" s="18" t="s">
        <v>569</v>
      </c>
      <c r="H89" s="29">
        <v>70</v>
      </c>
      <c r="I89" s="46">
        <v>0</v>
      </c>
      <c r="J89" s="29">
        <f>H89*AO89</f>
        <v>0</v>
      </c>
      <c r="K89" s="29">
        <f>H89*AP89</f>
        <v>0</v>
      </c>
      <c r="L89" s="29">
        <f>H89*I89</f>
        <v>0</v>
      </c>
      <c r="M89" s="41" t="s">
        <v>484</v>
      </c>
      <c r="Z89" s="29">
        <f>IF(AQ89="5",BJ89,0)</f>
        <v>0</v>
      </c>
      <c r="AB89" s="29">
        <f>IF(AQ89="1",BH89,0)</f>
        <v>0</v>
      </c>
      <c r="AC89" s="29">
        <f>IF(AQ89="1",BI89,0)</f>
        <v>0</v>
      </c>
      <c r="AD89" s="29">
        <f>IF(AQ89="7",BH89,0)</f>
        <v>0</v>
      </c>
      <c r="AE89" s="29">
        <f>IF(AQ89="7",BI89,0)</f>
        <v>0</v>
      </c>
      <c r="AF89" s="29">
        <f>IF(AQ89="2",BH89,0)</f>
        <v>0</v>
      </c>
      <c r="AG89" s="29">
        <f>IF(AQ89="2",BI89,0)</f>
        <v>0</v>
      </c>
      <c r="AH89" s="29">
        <f>IF(AQ89="0",BJ89,0)</f>
        <v>0</v>
      </c>
      <c r="AI89" s="10" t="s">
        <v>394</v>
      </c>
      <c r="AJ89" s="29">
        <f>IF(AN89=0,L89,0)</f>
        <v>0</v>
      </c>
      <c r="AK89" s="29">
        <f>IF(AN89=15,L89,0)</f>
        <v>0</v>
      </c>
      <c r="AL89" s="29">
        <f>IF(AN89=21,L89,0)</f>
        <v>0</v>
      </c>
      <c r="AN89" s="29">
        <v>21</v>
      </c>
      <c r="AO89" s="29">
        <f>I89*0.740397865799795</f>
        <v>0</v>
      </c>
      <c r="AP89" s="29">
        <f>I89*(1-0.740397865799795)</f>
        <v>0</v>
      </c>
      <c r="AQ89" s="23" t="s">
        <v>578</v>
      </c>
      <c r="AV89" s="29">
        <f>AW89+AX89</f>
        <v>0</v>
      </c>
      <c r="AW89" s="29">
        <f>H89*AO89</f>
        <v>0</v>
      </c>
      <c r="AX89" s="29">
        <f>H89*AP89</f>
        <v>0</v>
      </c>
      <c r="AY89" s="23" t="s">
        <v>450</v>
      </c>
      <c r="AZ89" s="23" t="s">
        <v>472</v>
      </c>
      <c r="BA89" s="10" t="s">
        <v>439</v>
      </c>
      <c r="BC89" s="29">
        <f>AW89+AX89</f>
        <v>0</v>
      </c>
      <c r="BD89" s="29">
        <f>I89/(100-BE89)*100</f>
        <v>0</v>
      </c>
      <c r="BE89" s="29">
        <v>0</v>
      </c>
      <c r="BF89" s="29">
        <f>89</f>
        <v>89</v>
      </c>
      <c r="BH89" s="29">
        <f>H89*AO89</f>
        <v>0</v>
      </c>
      <c r="BI89" s="29">
        <f>H89*AP89</f>
        <v>0</v>
      </c>
      <c r="BJ89" s="29">
        <f>H89*I89</f>
        <v>0</v>
      </c>
      <c r="BK89" s="29"/>
      <c r="BL89" s="29">
        <v>713</v>
      </c>
    </row>
    <row r="90" spans="1:13" ht="13.5" customHeight="1">
      <c r="A90" s="40"/>
      <c r="B90" s="34" t="s">
        <v>279</v>
      </c>
      <c r="C90" s="88" t="s">
        <v>37</v>
      </c>
      <c r="D90" s="89"/>
      <c r="E90" s="89"/>
      <c r="F90" s="89"/>
      <c r="G90" s="89"/>
      <c r="H90" s="89"/>
      <c r="I90" s="90"/>
      <c r="J90" s="89"/>
      <c r="K90" s="89"/>
      <c r="L90" s="89"/>
      <c r="M90" s="91"/>
    </row>
    <row r="91" spans="1:64" ht="15" customHeight="1">
      <c r="A91" s="4" t="s">
        <v>34</v>
      </c>
      <c r="B91" s="18" t="s">
        <v>12</v>
      </c>
      <c r="C91" s="67" t="s">
        <v>481</v>
      </c>
      <c r="D91" s="67"/>
      <c r="E91" s="67"/>
      <c r="F91" s="67"/>
      <c r="G91" s="18" t="s">
        <v>569</v>
      </c>
      <c r="H91" s="29">
        <v>140</v>
      </c>
      <c r="I91" s="46">
        <v>0</v>
      </c>
      <c r="J91" s="29">
        <f>H91*AO91</f>
        <v>0</v>
      </c>
      <c r="K91" s="29">
        <f>H91*AP91</f>
        <v>0</v>
      </c>
      <c r="L91" s="29">
        <f>H91*I91</f>
        <v>0</v>
      </c>
      <c r="M91" s="41" t="s">
        <v>484</v>
      </c>
      <c r="Z91" s="29">
        <f>IF(AQ91="5",BJ91,0)</f>
        <v>0</v>
      </c>
      <c r="AB91" s="29">
        <f>IF(AQ91="1",BH91,0)</f>
        <v>0</v>
      </c>
      <c r="AC91" s="29">
        <f>IF(AQ91="1",BI91,0)</f>
        <v>0</v>
      </c>
      <c r="AD91" s="29">
        <f>IF(AQ91="7",BH91,0)</f>
        <v>0</v>
      </c>
      <c r="AE91" s="29">
        <f>IF(AQ91="7",BI91,0)</f>
        <v>0</v>
      </c>
      <c r="AF91" s="29">
        <f>IF(AQ91="2",BH91,0)</f>
        <v>0</v>
      </c>
      <c r="AG91" s="29">
        <f>IF(AQ91="2",BI91,0)</f>
        <v>0</v>
      </c>
      <c r="AH91" s="29">
        <f>IF(AQ91="0",BJ91,0)</f>
        <v>0</v>
      </c>
      <c r="AI91" s="10" t="s">
        <v>394</v>
      </c>
      <c r="AJ91" s="29">
        <f>IF(AN91=0,L91,0)</f>
        <v>0</v>
      </c>
      <c r="AK91" s="29">
        <f>IF(AN91=15,L91,0)</f>
        <v>0</v>
      </c>
      <c r="AL91" s="29">
        <f>IF(AN91=21,L91,0)</f>
        <v>0</v>
      </c>
      <c r="AN91" s="29">
        <v>21</v>
      </c>
      <c r="AO91" s="29">
        <f>I91*0.0656092995763964</f>
        <v>0</v>
      </c>
      <c r="AP91" s="29">
        <f>I91*(1-0.0656092995763964)</f>
        <v>0</v>
      </c>
      <c r="AQ91" s="23" t="s">
        <v>578</v>
      </c>
      <c r="AV91" s="29">
        <f>AW91+AX91</f>
        <v>0</v>
      </c>
      <c r="AW91" s="29">
        <f>H91*AO91</f>
        <v>0</v>
      </c>
      <c r="AX91" s="29">
        <f>H91*AP91</f>
        <v>0</v>
      </c>
      <c r="AY91" s="23" t="s">
        <v>450</v>
      </c>
      <c r="AZ91" s="23" t="s">
        <v>472</v>
      </c>
      <c r="BA91" s="10" t="s">
        <v>439</v>
      </c>
      <c r="BC91" s="29">
        <f>AW91+AX91</f>
        <v>0</v>
      </c>
      <c r="BD91" s="29">
        <f>I91/(100-BE91)*100</f>
        <v>0</v>
      </c>
      <c r="BE91" s="29">
        <v>0</v>
      </c>
      <c r="BF91" s="29">
        <f>91</f>
        <v>91</v>
      </c>
      <c r="BH91" s="29">
        <f>H91*AO91</f>
        <v>0</v>
      </c>
      <c r="BI91" s="29">
        <f>H91*AP91</f>
        <v>0</v>
      </c>
      <c r="BJ91" s="29">
        <f>H91*I91</f>
        <v>0</v>
      </c>
      <c r="BK91" s="29"/>
      <c r="BL91" s="29">
        <v>713</v>
      </c>
    </row>
    <row r="92" spans="1:13" ht="13.5" customHeight="1">
      <c r="A92" s="40"/>
      <c r="B92" s="34" t="s">
        <v>279</v>
      </c>
      <c r="C92" s="88" t="s">
        <v>192</v>
      </c>
      <c r="D92" s="89"/>
      <c r="E92" s="89"/>
      <c r="F92" s="89"/>
      <c r="G92" s="89"/>
      <c r="H92" s="89"/>
      <c r="I92" s="90"/>
      <c r="J92" s="89"/>
      <c r="K92" s="89"/>
      <c r="L92" s="89"/>
      <c r="M92" s="91"/>
    </row>
    <row r="93" spans="1:64" ht="15" customHeight="1">
      <c r="A93" s="4" t="s">
        <v>446</v>
      </c>
      <c r="B93" s="18" t="s">
        <v>562</v>
      </c>
      <c r="C93" s="67" t="s">
        <v>306</v>
      </c>
      <c r="D93" s="67"/>
      <c r="E93" s="67"/>
      <c r="F93" s="67"/>
      <c r="G93" s="18" t="s">
        <v>569</v>
      </c>
      <c r="H93" s="29">
        <v>147</v>
      </c>
      <c r="I93" s="46">
        <v>0</v>
      </c>
      <c r="J93" s="29">
        <f>H93*AO93</f>
        <v>0</v>
      </c>
      <c r="K93" s="29">
        <f>H93*AP93</f>
        <v>0</v>
      </c>
      <c r="L93" s="29">
        <f>H93*I93</f>
        <v>0</v>
      </c>
      <c r="M93" s="41" t="s">
        <v>484</v>
      </c>
      <c r="Z93" s="29">
        <f>IF(AQ93="5",BJ93,0)</f>
        <v>0</v>
      </c>
      <c r="AB93" s="29">
        <f>IF(AQ93="1",BH93,0)</f>
        <v>0</v>
      </c>
      <c r="AC93" s="29">
        <f>IF(AQ93="1",BI93,0)</f>
        <v>0</v>
      </c>
      <c r="AD93" s="29">
        <f>IF(AQ93="7",BH93,0)</f>
        <v>0</v>
      </c>
      <c r="AE93" s="29">
        <f>IF(AQ93="7",BI93,0)</f>
        <v>0</v>
      </c>
      <c r="AF93" s="29">
        <f>IF(AQ93="2",BH93,0)</f>
        <v>0</v>
      </c>
      <c r="AG93" s="29">
        <f>IF(AQ93="2",BI93,0)</f>
        <v>0</v>
      </c>
      <c r="AH93" s="29">
        <f>IF(AQ93="0",BJ93,0)</f>
        <v>0</v>
      </c>
      <c r="AI93" s="10" t="s">
        <v>394</v>
      </c>
      <c r="AJ93" s="29">
        <f>IF(AN93=0,L93,0)</f>
        <v>0</v>
      </c>
      <c r="AK93" s="29">
        <f>IF(AN93=15,L93,0)</f>
        <v>0</v>
      </c>
      <c r="AL93" s="29">
        <f>IF(AN93=21,L93,0)</f>
        <v>0</v>
      </c>
      <c r="AN93" s="29">
        <v>21</v>
      </c>
      <c r="AO93" s="29">
        <f>I93*1</f>
        <v>0</v>
      </c>
      <c r="AP93" s="29">
        <f>I93*(1-1)</f>
        <v>0</v>
      </c>
      <c r="AQ93" s="23" t="s">
        <v>578</v>
      </c>
      <c r="AV93" s="29">
        <f>AW93+AX93</f>
        <v>0</v>
      </c>
      <c r="AW93" s="29">
        <f>H93*AO93</f>
        <v>0</v>
      </c>
      <c r="AX93" s="29">
        <f>H93*AP93</f>
        <v>0</v>
      </c>
      <c r="AY93" s="23" t="s">
        <v>450</v>
      </c>
      <c r="AZ93" s="23" t="s">
        <v>472</v>
      </c>
      <c r="BA93" s="10" t="s">
        <v>439</v>
      </c>
      <c r="BC93" s="29">
        <f>AW93+AX93</f>
        <v>0</v>
      </c>
      <c r="BD93" s="29">
        <f>I93/(100-BE93)*100</f>
        <v>0</v>
      </c>
      <c r="BE93" s="29">
        <v>0</v>
      </c>
      <c r="BF93" s="29">
        <f>93</f>
        <v>93</v>
      </c>
      <c r="BH93" s="29">
        <f>H93*AO93</f>
        <v>0</v>
      </c>
      <c r="BI93" s="29">
        <f>H93*AP93</f>
        <v>0</v>
      </c>
      <c r="BJ93" s="29">
        <f>H93*I93</f>
        <v>0</v>
      </c>
      <c r="BK93" s="29"/>
      <c r="BL93" s="29">
        <v>713</v>
      </c>
    </row>
    <row r="94" spans="1:64" ht="15" customHeight="1">
      <c r="A94" s="4" t="s">
        <v>478</v>
      </c>
      <c r="B94" s="18" t="s">
        <v>412</v>
      </c>
      <c r="C94" s="67" t="s">
        <v>123</v>
      </c>
      <c r="D94" s="67"/>
      <c r="E94" s="67"/>
      <c r="F94" s="67"/>
      <c r="G94" s="18" t="s">
        <v>569</v>
      </c>
      <c r="H94" s="29">
        <v>70</v>
      </c>
      <c r="I94" s="46">
        <v>0</v>
      </c>
      <c r="J94" s="29">
        <f>H94*AO94</f>
        <v>0</v>
      </c>
      <c r="K94" s="29">
        <f>H94*AP94</f>
        <v>0</v>
      </c>
      <c r="L94" s="29">
        <f>H94*I94</f>
        <v>0</v>
      </c>
      <c r="M94" s="41" t="s">
        <v>484</v>
      </c>
      <c r="Z94" s="29">
        <f>IF(AQ94="5",BJ94,0)</f>
        <v>0</v>
      </c>
      <c r="AB94" s="29">
        <f>IF(AQ94="1",BH94,0)</f>
        <v>0</v>
      </c>
      <c r="AC94" s="29">
        <f>IF(AQ94="1",BI94,0)</f>
        <v>0</v>
      </c>
      <c r="AD94" s="29">
        <f>IF(AQ94="7",BH94,0)</f>
        <v>0</v>
      </c>
      <c r="AE94" s="29">
        <f>IF(AQ94="7",BI94,0)</f>
        <v>0</v>
      </c>
      <c r="AF94" s="29">
        <f>IF(AQ94="2",BH94,0)</f>
        <v>0</v>
      </c>
      <c r="AG94" s="29">
        <f>IF(AQ94="2",BI94,0)</f>
        <v>0</v>
      </c>
      <c r="AH94" s="29">
        <f>IF(AQ94="0",BJ94,0)</f>
        <v>0</v>
      </c>
      <c r="AI94" s="10" t="s">
        <v>394</v>
      </c>
      <c r="AJ94" s="29">
        <f>IF(AN94=0,L94,0)</f>
        <v>0</v>
      </c>
      <c r="AK94" s="29">
        <f>IF(AN94=15,L94,0)</f>
        <v>0</v>
      </c>
      <c r="AL94" s="29">
        <f>IF(AN94=21,L94,0)</f>
        <v>0</v>
      </c>
      <c r="AN94" s="29">
        <v>21</v>
      </c>
      <c r="AO94" s="29">
        <f>I94*0.188888888888889</f>
        <v>0</v>
      </c>
      <c r="AP94" s="29">
        <f>I94*(1-0.188888888888889)</f>
        <v>0</v>
      </c>
      <c r="AQ94" s="23" t="s">
        <v>578</v>
      </c>
      <c r="AV94" s="29">
        <f>AW94+AX94</f>
        <v>0</v>
      </c>
      <c r="AW94" s="29">
        <f>H94*AO94</f>
        <v>0</v>
      </c>
      <c r="AX94" s="29">
        <f>H94*AP94</f>
        <v>0</v>
      </c>
      <c r="AY94" s="23" t="s">
        <v>450</v>
      </c>
      <c r="AZ94" s="23" t="s">
        <v>472</v>
      </c>
      <c r="BA94" s="10" t="s">
        <v>439</v>
      </c>
      <c r="BC94" s="29">
        <f>AW94+AX94</f>
        <v>0</v>
      </c>
      <c r="BD94" s="29">
        <f>I94/(100-BE94)*100</f>
        <v>0</v>
      </c>
      <c r="BE94" s="29">
        <v>0</v>
      </c>
      <c r="BF94" s="29">
        <f>94</f>
        <v>94</v>
      </c>
      <c r="BH94" s="29">
        <f>H94*AO94</f>
        <v>0</v>
      </c>
      <c r="BI94" s="29">
        <f>H94*AP94</f>
        <v>0</v>
      </c>
      <c r="BJ94" s="29">
        <f>H94*I94</f>
        <v>0</v>
      </c>
      <c r="BK94" s="29"/>
      <c r="BL94" s="29">
        <v>713</v>
      </c>
    </row>
    <row r="95" spans="1:13" ht="13.5" customHeight="1">
      <c r="A95" s="40"/>
      <c r="B95" s="34" t="s">
        <v>279</v>
      </c>
      <c r="C95" s="88" t="s">
        <v>173</v>
      </c>
      <c r="D95" s="89"/>
      <c r="E95" s="89"/>
      <c r="F95" s="89"/>
      <c r="G95" s="89"/>
      <c r="H95" s="89"/>
      <c r="I95" s="90"/>
      <c r="J95" s="89"/>
      <c r="K95" s="89"/>
      <c r="L95" s="89"/>
      <c r="M95" s="91"/>
    </row>
    <row r="96" spans="1:64" ht="15" customHeight="1">
      <c r="A96" s="4" t="s">
        <v>234</v>
      </c>
      <c r="B96" s="18" t="s">
        <v>70</v>
      </c>
      <c r="C96" s="67" t="s">
        <v>55</v>
      </c>
      <c r="D96" s="67"/>
      <c r="E96" s="67"/>
      <c r="F96" s="67"/>
      <c r="G96" s="18" t="s">
        <v>255</v>
      </c>
      <c r="H96" s="29">
        <v>0.305</v>
      </c>
      <c r="I96" s="46">
        <v>0</v>
      </c>
      <c r="J96" s="29">
        <f>H96*AO96</f>
        <v>0</v>
      </c>
      <c r="K96" s="29">
        <f>H96*AP96</f>
        <v>0</v>
      </c>
      <c r="L96" s="29">
        <f>H96*I96</f>
        <v>0</v>
      </c>
      <c r="M96" s="41" t="s">
        <v>484</v>
      </c>
      <c r="Z96" s="29">
        <f>IF(AQ96="5",BJ96,0)</f>
        <v>0</v>
      </c>
      <c r="AB96" s="29">
        <f>IF(AQ96="1",BH96,0)</f>
        <v>0</v>
      </c>
      <c r="AC96" s="29">
        <f>IF(AQ96="1",BI96,0)</f>
        <v>0</v>
      </c>
      <c r="AD96" s="29">
        <f>IF(AQ96="7",BH96,0)</f>
        <v>0</v>
      </c>
      <c r="AE96" s="29">
        <f>IF(AQ96="7",BI96,0)</f>
        <v>0</v>
      </c>
      <c r="AF96" s="29">
        <f>IF(AQ96="2",BH96,0)</f>
        <v>0</v>
      </c>
      <c r="AG96" s="29">
        <f>IF(AQ96="2",BI96,0)</f>
        <v>0</v>
      </c>
      <c r="AH96" s="29">
        <f>IF(AQ96="0",BJ96,0)</f>
        <v>0</v>
      </c>
      <c r="AI96" s="10" t="s">
        <v>394</v>
      </c>
      <c r="AJ96" s="29">
        <f>IF(AN96=0,L96,0)</f>
        <v>0</v>
      </c>
      <c r="AK96" s="29">
        <f>IF(AN96=15,L96,0)</f>
        <v>0</v>
      </c>
      <c r="AL96" s="29">
        <f>IF(AN96=21,L96,0)</f>
        <v>0</v>
      </c>
      <c r="AN96" s="29">
        <v>21</v>
      </c>
      <c r="AO96" s="29">
        <f>I96*0</f>
        <v>0</v>
      </c>
      <c r="AP96" s="29">
        <f>I96*(1-0)</f>
        <v>0</v>
      </c>
      <c r="AQ96" s="23" t="s">
        <v>296</v>
      </c>
      <c r="AV96" s="29">
        <f>AW96+AX96</f>
        <v>0</v>
      </c>
      <c r="AW96" s="29">
        <f>H96*AO96</f>
        <v>0</v>
      </c>
      <c r="AX96" s="29">
        <f>H96*AP96</f>
        <v>0</v>
      </c>
      <c r="AY96" s="23" t="s">
        <v>450</v>
      </c>
      <c r="AZ96" s="23" t="s">
        <v>472</v>
      </c>
      <c r="BA96" s="10" t="s">
        <v>439</v>
      </c>
      <c r="BC96" s="29">
        <f>AW96+AX96</f>
        <v>0</v>
      </c>
      <c r="BD96" s="29">
        <f>I96/(100-BE96)*100</f>
        <v>0</v>
      </c>
      <c r="BE96" s="29">
        <v>0</v>
      </c>
      <c r="BF96" s="29">
        <f>96</f>
        <v>96</v>
      </c>
      <c r="BH96" s="29">
        <f>H96*AO96</f>
        <v>0</v>
      </c>
      <c r="BI96" s="29">
        <f>H96*AP96</f>
        <v>0</v>
      </c>
      <c r="BJ96" s="29">
        <f>H96*I96</f>
        <v>0</v>
      </c>
      <c r="BK96" s="29"/>
      <c r="BL96" s="29">
        <v>713</v>
      </c>
    </row>
    <row r="97" spans="1:47" ht="15" customHeight="1">
      <c r="A97" s="26" t="s">
        <v>394</v>
      </c>
      <c r="B97" s="8" t="s">
        <v>362</v>
      </c>
      <c r="C97" s="87" t="s">
        <v>659</v>
      </c>
      <c r="D97" s="87"/>
      <c r="E97" s="87"/>
      <c r="F97" s="87"/>
      <c r="G97" s="42" t="s">
        <v>537</v>
      </c>
      <c r="H97" s="42" t="s">
        <v>537</v>
      </c>
      <c r="I97" s="50" t="s">
        <v>537</v>
      </c>
      <c r="J97" s="24">
        <f>SUM(J98:J101)</f>
        <v>0</v>
      </c>
      <c r="K97" s="24">
        <f>SUM(K98:K101)</f>
        <v>0</v>
      </c>
      <c r="L97" s="24">
        <f>SUM(L98:L101)</f>
        <v>0</v>
      </c>
      <c r="M97" s="9" t="s">
        <v>394</v>
      </c>
      <c r="AI97" s="10" t="s">
        <v>394</v>
      </c>
      <c r="AS97" s="24">
        <f>SUM(AJ98:AJ101)</f>
        <v>0</v>
      </c>
      <c r="AT97" s="24">
        <f>SUM(AK98:AK101)</f>
        <v>0</v>
      </c>
      <c r="AU97" s="24">
        <f>SUM(AL98:AL101)</f>
        <v>0</v>
      </c>
    </row>
    <row r="98" spans="1:64" ht="15" customHeight="1">
      <c r="A98" s="4" t="s">
        <v>229</v>
      </c>
      <c r="B98" s="18" t="s">
        <v>237</v>
      </c>
      <c r="C98" s="67" t="s">
        <v>235</v>
      </c>
      <c r="D98" s="67"/>
      <c r="E98" s="67"/>
      <c r="F98" s="67"/>
      <c r="G98" s="18" t="s">
        <v>146</v>
      </c>
      <c r="H98" s="29">
        <v>1</v>
      </c>
      <c r="I98" s="46">
        <v>0</v>
      </c>
      <c r="J98" s="29">
        <f>H98*AO98</f>
        <v>0</v>
      </c>
      <c r="K98" s="29">
        <f>H98*AP98</f>
        <v>0</v>
      </c>
      <c r="L98" s="29">
        <f>H98*I98</f>
        <v>0</v>
      </c>
      <c r="M98" s="41" t="s">
        <v>484</v>
      </c>
      <c r="Z98" s="29">
        <f>IF(AQ98="5",BJ98,0)</f>
        <v>0</v>
      </c>
      <c r="AB98" s="29">
        <f>IF(AQ98="1",BH98,0)</f>
        <v>0</v>
      </c>
      <c r="AC98" s="29">
        <f>IF(AQ98="1",BI98,0)</f>
        <v>0</v>
      </c>
      <c r="AD98" s="29">
        <f>IF(AQ98="7",BH98,0)</f>
        <v>0</v>
      </c>
      <c r="AE98" s="29">
        <f>IF(AQ98="7",BI98,0)</f>
        <v>0</v>
      </c>
      <c r="AF98" s="29">
        <f>IF(AQ98="2",BH98,0)</f>
        <v>0</v>
      </c>
      <c r="AG98" s="29">
        <f>IF(AQ98="2",BI98,0)</f>
        <v>0</v>
      </c>
      <c r="AH98" s="29">
        <f>IF(AQ98="0",BJ98,0)</f>
        <v>0</v>
      </c>
      <c r="AI98" s="10" t="s">
        <v>394</v>
      </c>
      <c r="AJ98" s="29">
        <f>IF(AN98=0,L98,0)</f>
        <v>0</v>
      </c>
      <c r="AK98" s="29">
        <f>IF(AN98=15,L98,0)</f>
        <v>0</v>
      </c>
      <c r="AL98" s="29">
        <f>IF(AN98=21,L98,0)</f>
        <v>0</v>
      </c>
      <c r="AN98" s="29">
        <v>21</v>
      </c>
      <c r="AO98" s="29">
        <f>I98*0.251911111111111</f>
        <v>0</v>
      </c>
      <c r="AP98" s="29">
        <f>I98*(1-0.251911111111111)</f>
        <v>0</v>
      </c>
      <c r="AQ98" s="23" t="s">
        <v>578</v>
      </c>
      <c r="AV98" s="29">
        <f>AW98+AX98</f>
        <v>0</v>
      </c>
      <c r="AW98" s="29">
        <f>H98*AO98</f>
        <v>0</v>
      </c>
      <c r="AX98" s="29">
        <f>H98*AP98</f>
        <v>0</v>
      </c>
      <c r="AY98" s="23" t="s">
        <v>88</v>
      </c>
      <c r="AZ98" s="23" t="s">
        <v>29</v>
      </c>
      <c r="BA98" s="10" t="s">
        <v>439</v>
      </c>
      <c r="BC98" s="29">
        <f>AW98+AX98</f>
        <v>0</v>
      </c>
      <c r="BD98" s="29">
        <f>I98/(100-BE98)*100</f>
        <v>0</v>
      </c>
      <c r="BE98" s="29">
        <v>0</v>
      </c>
      <c r="BF98" s="29">
        <f>98</f>
        <v>98</v>
      </c>
      <c r="BH98" s="29">
        <f>H98*AO98</f>
        <v>0</v>
      </c>
      <c r="BI98" s="29">
        <f>H98*AP98</f>
        <v>0</v>
      </c>
      <c r="BJ98" s="29">
        <f>H98*I98</f>
        <v>0</v>
      </c>
      <c r="BK98" s="29"/>
      <c r="BL98" s="29">
        <v>721</v>
      </c>
    </row>
    <row r="99" spans="1:64" ht="15" customHeight="1">
      <c r="A99" s="4" t="s">
        <v>258</v>
      </c>
      <c r="B99" s="18" t="s">
        <v>227</v>
      </c>
      <c r="C99" s="67" t="s">
        <v>243</v>
      </c>
      <c r="D99" s="67"/>
      <c r="E99" s="67"/>
      <c r="F99" s="67"/>
      <c r="G99" s="18" t="s">
        <v>480</v>
      </c>
      <c r="H99" s="29">
        <v>3</v>
      </c>
      <c r="I99" s="46">
        <v>0</v>
      </c>
      <c r="J99" s="29">
        <f>H99*AO99</f>
        <v>0</v>
      </c>
      <c r="K99" s="29">
        <f>H99*AP99</f>
        <v>0</v>
      </c>
      <c r="L99" s="29">
        <f>H99*I99</f>
        <v>0</v>
      </c>
      <c r="M99" s="41" t="s">
        <v>484</v>
      </c>
      <c r="Z99" s="29">
        <f>IF(AQ99="5",BJ99,0)</f>
        <v>0</v>
      </c>
      <c r="AB99" s="29">
        <f>IF(AQ99="1",BH99,0)</f>
        <v>0</v>
      </c>
      <c r="AC99" s="29">
        <f>IF(AQ99="1",BI99,0)</f>
        <v>0</v>
      </c>
      <c r="AD99" s="29">
        <f>IF(AQ99="7",BH99,0)</f>
        <v>0</v>
      </c>
      <c r="AE99" s="29">
        <f>IF(AQ99="7",BI99,0)</f>
        <v>0</v>
      </c>
      <c r="AF99" s="29">
        <f>IF(AQ99="2",BH99,0)</f>
        <v>0</v>
      </c>
      <c r="AG99" s="29">
        <f>IF(AQ99="2",BI99,0)</f>
        <v>0</v>
      </c>
      <c r="AH99" s="29">
        <f>IF(AQ99="0",BJ99,0)</f>
        <v>0</v>
      </c>
      <c r="AI99" s="10" t="s">
        <v>394</v>
      </c>
      <c r="AJ99" s="29">
        <f>IF(AN99=0,L99,0)</f>
        <v>0</v>
      </c>
      <c r="AK99" s="29">
        <f>IF(AN99=15,L99,0)</f>
        <v>0</v>
      </c>
      <c r="AL99" s="29">
        <f>IF(AN99=21,L99,0)</f>
        <v>0</v>
      </c>
      <c r="AN99" s="29">
        <v>21</v>
      </c>
      <c r="AO99" s="29">
        <f>I99*0.4039375</f>
        <v>0</v>
      </c>
      <c r="AP99" s="29">
        <f>I99*(1-0.4039375)</f>
        <v>0</v>
      </c>
      <c r="AQ99" s="23" t="s">
        <v>578</v>
      </c>
      <c r="AV99" s="29">
        <f>AW99+AX99</f>
        <v>0</v>
      </c>
      <c r="AW99" s="29">
        <f>H99*AO99</f>
        <v>0</v>
      </c>
      <c r="AX99" s="29">
        <f>H99*AP99</f>
        <v>0</v>
      </c>
      <c r="AY99" s="23" t="s">
        <v>88</v>
      </c>
      <c r="AZ99" s="23" t="s">
        <v>29</v>
      </c>
      <c r="BA99" s="10" t="s">
        <v>439</v>
      </c>
      <c r="BC99" s="29">
        <f>AW99+AX99</f>
        <v>0</v>
      </c>
      <c r="BD99" s="29">
        <f>I99/(100-BE99)*100</f>
        <v>0</v>
      </c>
      <c r="BE99" s="29">
        <v>0</v>
      </c>
      <c r="BF99" s="29">
        <f>99</f>
        <v>99</v>
      </c>
      <c r="BH99" s="29">
        <f>H99*AO99</f>
        <v>0</v>
      </c>
      <c r="BI99" s="29">
        <f>H99*AP99</f>
        <v>0</v>
      </c>
      <c r="BJ99" s="29">
        <f>H99*I99</f>
        <v>0</v>
      </c>
      <c r="BK99" s="29"/>
      <c r="BL99" s="29">
        <v>721</v>
      </c>
    </row>
    <row r="100" spans="1:64" ht="15" customHeight="1">
      <c r="A100" s="4" t="s">
        <v>535</v>
      </c>
      <c r="B100" s="18" t="s">
        <v>486</v>
      </c>
      <c r="C100" s="67" t="s">
        <v>28</v>
      </c>
      <c r="D100" s="67"/>
      <c r="E100" s="67"/>
      <c r="F100" s="67"/>
      <c r="G100" s="18" t="s">
        <v>480</v>
      </c>
      <c r="H100" s="29">
        <v>3</v>
      </c>
      <c r="I100" s="46">
        <v>0</v>
      </c>
      <c r="J100" s="29">
        <f>H100*AO100</f>
        <v>0</v>
      </c>
      <c r="K100" s="29">
        <f>H100*AP100</f>
        <v>0</v>
      </c>
      <c r="L100" s="29">
        <f>H100*I100</f>
        <v>0</v>
      </c>
      <c r="M100" s="41" t="s">
        <v>484</v>
      </c>
      <c r="Z100" s="29">
        <f>IF(AQ100="5",BJ100,0)</f>
        <v>0</v>
      </c>
      <c r="AB100" s="29">
        <f>IF(AQ100="1",BH100,0)</f>
        <v>0</v>
      </c>
      <c r="AC100" s="29">
        <f>IF(AQ100="1",BI100,0)</f>
        <v>0</v>
      </c>
      <c r="AD100" s="29">
        <f>IF(AQ100="7",BH100,0)</f>
        <v>0</v>
      </c>
      <c r="AE100" s="29">
        <f>IF(AQ100="7",BI100,0)</f>
        <v>0</v>
      </c>
      <c r="AF100" s="29">
        <f>IF(AQ100="2",BH100,0)</f>
        <v>0</v>
      </c>
      <c r="AG100" s="29">
        <f>IF(AQ100="2",BI100,0)</f>
        <v>0</v>
      </c>
      <c r="AH100" s="29">
        <f>IF(AQ100="0",BJ100,0)</f>
        <v>0</v>
      </c>
      <c r="AI100" s="10" t="s">
        <v>394</v>
      </c>
      <c r="AJ100" s="29">
        <f>IF(AN100=0,L100,0)</f>
        <v>0</v>
      </c>
      <c r="AK100" s="29">
        <f>IF(AN100=15,L100,0)</f>
        <v>0</v>
      </c>
      <c r="AL100" s="29">
        <f>IF(AN100=21,L100,0)</f>
        <v>0</v>
      </c>
      <c r="AN100" s="29">
        <v>21</v>
      </c>
      <c r="AO100" s="29">
        <f>I100*0.0281368821292776</f>
        <v>0</v>
      </c>
      <c r="AP100" s="29">
        <f>I100*(1-0.0281368821292776)</f>
        <v>0</v>
      </c>
      <c r="AQ100" s="23" t="s">
        <v>578</v>
      </c>
      <c r="AV100" s="29">
        <f>AW100+AX100</f>
        <v>0</v>
      </c>
      <c r="AW100" s="29">
        <f>H100*AO100</f>
        <v>0</v>
      </c>
      <c r="AX100" s="29">
        <f>H100*AP100</f>
        <v>0</v>
      </c>
      <c r="AY100" s="23" t="s">
        <v>88</v>
      </c>
      <c r="AZ100" s="23" t="s">
        <v>29</v>
      </c>
      <c r="BA100" s="10" t="s">
        <v>439</v>
      </c>
      <c r="BC100" s="29">
        <f>AW100+AX100</f>
        <v>0</v>
      </c>
      <c r="BD100" s="29">
        <f>I100/(100-BE100)*100</f>
        <v>0</v>
      </c>
      <c r="BE100" s="29">
        <v>0</v>
      </c>
      <c r="BF100" s="29">
        <f>100</f>
        <v>100</v>
      </c>
      <c r="BH100" s="29">
        <f>H100*AO100</f>
        <v>0</v>
      </c>
      <c r="BI100" s="29">
        <f>H100*AP100</f>
        <v>0</v>
      </c>
      <c r="BJ100" s="29">
        <f>H100*I100</f>
        <v>0</v>
      </c>
      <c r="BK100" s="29"/>
      <c r="BL100" s="29">
        <v>721</v>
      </c>
    </row>
    <row r="101" spans="1:64" ht="15" customHeight="1">
      <c r="A101" s="4" t="s">
        <v>372</v>
      </c>
      <c r="B101" s="18" t="s">
        <v>8</v>
      </c>
      <c r="C101" s="67" t="s">
        <v>440</v>
      </c>
      <c r="D101" s="67"/>
      <c r="E101" s="67"/>
      <c r="F101" s="67"/>
      <c r="G101" s="18" t="s">
        <v>255</v>
      </c>
      <c r="H101" s="29">
        <v>0.002</v>
      </c>
      <c r="I101" s="46">
        <v>0</v>
      </c>
      <c r="J101" s="29">
        <f>H101*AO101</f>
        <v>0</v>
      </c>
      <c r="K101" s="29">
        <f>H101*AP101</f>
        <v>0</v>
      </c>
      <c r="L101" s="29">
        <f>H101*I101</f>
        <v>0</v>
      </c>
      <c r="M101" s="41" t="s">
        <v>484</v>
      </c>
      <c r="Z101" s="29">
        <f>IF(AQ101="5",BJ101,0)</f>
        <v>0</v>
      </c>
      <c r="AB101" s="29">
        <f>IF(AQ101="1",BH101,0)</f>
        <v>0</v>
      </c>
      <c r="AC101" s="29">
        <f>IF(AQ101="1",BI101,0)</f>
        <v>0</v>
      </c>
      <c r="AD101" s="29">
        <f>IF(AQ101="7",BH101,0)</f>
        <v>0</v>
      </c>
      <c r="AE101" s="29">
        <f>IF(AQ101="7",BI101,0)</f>
        <v>0</v>
      </c>
      <c r="AF101" s="29">
        <f>IF(AQ101="2",BH101,0)</f>
        <v>0</v>
      </c>
      <c r="AG101" s="29">
        <f>IF(AQ101="2",BI101,0)</f>
        <v>0</v>
      </c>
      <c r="AH101" s="29">
        <f>IF(AQ101="0",BJ101,0)</f>
        <v>0</v>
      </c>
      <c r="AI101" s="10" t="s">
        <v>394</v>
      </c>
      <c r="AJ101" s="29">
        <f>IF(AN101=0,L101,0)</f>
        <v>0</v>
      </c>
      <c r="AK101" s="29">
        <f>IF(AN101=15,L101,0)</f>
        <v>0</v>
      </c>
      <c r="AL101" s="29">
        <f>IF(AN101=21,L101,0)</f>
        <v>0</v>
      </c>
      <c r="AN101" s="29">
        <v>21</v>
      </c>
      <c r="AO101" s="29">
        <f>I101*0</f>
        <v>0</v>
      </c>
      <c r="AP101" s="29">
        <f>I101*(1-0)</f>
        <v>0</v>
      </c>
      <c r="AQ101" s="23" t="s">
        <v>296</v>
      </c>
      <c r="AV101" s="29">
        <f>AW101+AX101</f>
        <v>0</v>
      </c>
      <c r="AW101" s="29">
        <f>H101*AO101</f>
        <v>0</v>
      </c>
      <c r="AX101" s="29">
        <f>H101*AP101</f>
        <v>0</v>
      </c>
      <c r="AY101" s="23" t="s">
        <v>88</v>
      </c>
      <c r="AZ101" s="23" t="s">
        <v>29</v>
      </c>
      <c r="BA101" s="10" t="s">
        <v>439</v>
      </c>
      <c r="BC101" s="29">
        <f>AW101+AX101</f>
        <v>0</v>
      </c>
      <c r="BD101" s="29">
        <f>I101/(100-BE101)*100</f>
        <v>0</v>
      </c>
      <c r="BE101" s="29">
        <v>0</v>
      </c>
      <c r="BF101" s="29">
        <f>101</f>
        <v>101</v>
      </c>
      <c r="BH101" s="29">
        <f>H101*AO101</f>
        <v>0</v>
      </c>
      <c r="BI101" s="29">
        <f>H101*AP101</f>
        <v>0</v>
      </c>
      <c r="BJ101" s="29">
        <f>H101*I101</f>
        <v>0</v>
      </c>
      <c r="BK101" s="29"/>
      <c r="BL101" s="29">
        <v>721</v>
      </c>
    </row>
    <row r="102" spans="1:47" ht="15" customHeight="1">
      <c r="A102" s="26" t="s">
        <v>394</v>
      </c>
      <c r="B102" s="8" t="s">
        <v>521</v>
      </c>
      <c r="C102" s="87" t="s">
        <v>347</v>
      </c>
      <c r="D102" s="87"/>
      <c r="E102" s="87"/>
      <c r="F102" s="87"/>
      <c r="G102" s="42" t="s">
        <v>537</v>
      </c>
      <c r="H102" s="42" t="s">
        <v>537</v>
      </c>
      <c r="I102" s="50" t="s">
        <v>537</v>
      </c>
      <c r="J102" s="24">
        <f>SUM(J103:J111)</f>
        <v>0</v>
      </c>
      <c r="K102" s="24">
        <f>SUM(K103:K111)</f>
        <v>0</v>
      </c>
      <c r="L102" s="24">
        <f>SUM(L103:L111)</f>
        <v>0</v>
      </c>
      <c r="M102" s="9" t="s">
        <v>394</v>
      </c>
      <c r="AI102" s="10" t="s">
        <v>394</v>
      </c>
      <c r="AS102" s="24">
        <f>SUM(AJ103:AJ111)</f>
        <v>0</v>
      </c>
      <c r="AT102" s="24">
        <f>SUM(AK103:AK111)</f>
        <v>0</v>
      </c>
      <c r="AU102" s="24">
        <f>SUM(AL103:AL111)</f>
        <v>0</v>
      </c>
    </row>
    <row r="103" spans="1:64" ht="15" customHeight="1">
      <c r="A103" s="4" t="s">
        <v>355</v>
      </c>
      <c r="B103" s="18" t="s">
        <v>82</v>
      </c>
      <c r="C103" s="67" t="s">
        <v>395</v>
      </c>
      <c r="D103" s="67"/>
      <c r="E103" s="67"/>
      <c r="F103" s="67"/>
      <c r="G103" s="18" t="s">
        <v>146</v>
      </c>
      <c r="H103" s="29">
        <v>1</v>
      </c>
      <c r="I103" s="46">
        <v>0</v>
      </c>
      <c r="J103" s="29">
        <f>H103*AO103</f>
        <v>0</v>
      </c>
      <c r="K103" s="29">
        <f>H103*AP103</f>
        <v>0</v>
      </c>
      <c r="L103" s="29">
        <f>H103*I103</f>
        <v>0</v>
      </c>
      <c r="M103" s="41" t="s">
        <v>484</v>
      </c>
      <c r="Z103" s="29">
        <f>IF(AQ103="5",BJ103,0)</f>
        <v>0</v>
      </c>
      <c r="AB103" s="29">
        <f>IF(AQ103="1",BH103,0)</f>
        <v>0</v>
      </c>
      <c r="AC103" s="29">
        <f>IF(AQ103="1",BI103,0)</f>
        <v>0</v>
      </c>
      <c r="AD103" s="29">
        <f>IF(AQ103="7",BH103,0)</f>
        <v>0</v>
      </c>
      <c r="AE103" s="29">
        <f>IF(AQ103="7",BI103,0)</f>
        <v>0</v>
      </c>
      <c r="AF103" s="29">
        <f>IF(AQ103="2",BH103,0)</f>
        <v>0</v>
      </c>
      <c r="AG103" s="29">
        <f>IF(AQ103="2",BI103,0)</f>
        <v>0</v>
      </c>
      <c r="AH103" s="29">
        <f>IF(AQ103="0",BJ103,0)</f>
        <v>0</v>
      </c>
      <c r="AI103" s="10" t="s">
        <v>394</v>
      </c>
      <c r="AJ103" s="29">
        <f>IF(AN103=0,L103,0)</f>
        <v>0</v>
      </c>
      <c r="AK103" s="29">
        <f>IF(AN103=15,L103,0)</f>
        <v>0</v>
      </c>
      <c r="AL103" s="29">
        <f>IF(AN103=21,L103,0)</f>
        <v>0</v>
      </c>
      <c r="AN103" s="29">
        <v>21</v>
      </c>
      <c r="AO103" s="29">
        <f>I103*0.651476952022578</f>
        <v>0</v>
      </c>
      <c r="AP103" s="29">
        <f>I103*(1-0.651476952022578)</f>
        <v>0</v>
      </c>
      <c r="AQ103" s="23" t="s">
        <v>578</v>
      </c>
      <c r="AV103" s="29">
        <f>AW103+AX103</f>
        <v>0</v>
      </c>
      <c r="AW103" s="29">
        <f>H103*AO103</f>
        <v>0</v>
      </c>
      <c r="AX103" s="29">
        <f>H103*AP103</f>
        <v>0</v>
      </c>
      <c r="AY103" s="23" t="s">
        <v>357</v>
      </c>
      <c r="AZ103" s="23" t="s">
        <v>29</v>
      </c>
      <c r="BA103" s="10" t="s">
        <v>439</v>
      </c>
      <c r="BC103" s="29">
        <f>AW103+AX103</f>
        <v>0</v>
      </c>
      <c r="BD103" s="29">
        <f>I103/(100-BE103)*100</f>
        <v>0</v>
      </c>
      <c r="BE103" s="29">
        <v>0</v>
      </c>
      <c r="BF103" s="29">
        <f>103</f>
        <v>103</v>
      </c>
      <c r="BH103" s="29">
        <f>H103*AO103</f>
        <v>0</v>
      </c>
      <c r="BI103" s="29">
        <f>H103*AP103</f>
        <v>0</v>
      </c>
      <c r="BJ103" s="29">
        <f>H103*I103</f>
        <v>0</v>
      </c>
      <c r="BK103" s="29"/>
      <c r="BL103" s="29">
        <v>722</v>
      </c>
    </row>
    <row r="104" spans="1:64" ht="15" customHeight="1">
      <c r="A104" s="4" t="s">
        <v>548</v>
      </c>
      <c r="B104" s="18" t="s">
        <v>473</v>
      </c>
      <c r="C104" s="67" t="s">
        <v>299</v>
      </c>
      <c r="D104" s="67"/>
      <c r="E104" s="67"/>
      <c r="F104" s="67"/>
      <c r="G104" s="18" t="s">
        <v>480</v>
      </c>
      <c r="H104" s="29">
        <v>6</v>
      </c>
      <c r="I104" s="46">
        <v>0</v>
      </c>
      <c r="J104" s="29">
        <f>H104*AO104</f>
        <v>0</v>
      </c>
      <c r="K104" s="29">
        <f>H104*AP104</f>
        <v>0</v>
      </c>
      <c r="L104" s="29">
        <f>H104*I104</f>
        <v>0</v>
      </c>
      <c r="M104" s="41" t="s">
        <v>484</v>
      </c>
      <c r="Z104" s="29">
        <f>IF(AQ104="5",BJ104,0)</f>
        <v>0</v>
      </c>
      <c r="AB104" s="29">
        <f>IF(AQ104="1",BH104,0)</f>
        <v>0</v>
      </c>
      <c r="AC104" s="29">
        <f>IF(AQ104="1",BI104,0)</f>
        <v>0</v>
      </c>
      <c r="AD104" s="29">
        <f>IF(AQ104="7",BH104,0)</f>
        <v>0</v>
      </c>
      <c r="AE104" s="29">
        <f>IF(AQ104="7",BI104,0)</f>
        <v>0</v>
      </c>
      <c r="AF104" s="29">
        <f>IF(AQ104="2",BH104,0)</f>
        <v>0</v>
      </c>
      <c r="AG104" s="29">
        <f>IF(AQ104="2",BI104,0)</f>
        <v>0</v>
      </c>
      <c r="AH104" s="29">
        <f>IF(AQ104="0",BJ104,0)</f>
        <v>0</v>
      </c>
      <c r="AI104" s="10" t="s">
        <v>394</v>
      </c>
      <c r="AJ104" s="29">
        <f>IF(AN104=0,L104,0)</f>
        <v>0</v>
      </c>
      <c r="AK104" s="29">
        <f>IF(AN104=15,L104,0)</f>
        <v>0</v>
      </c>
      <c r="AL104" s="29">
        <f>IF(AN104=21,L104,0)</f>
        <v>0</v>
      </c>
      <c r="AN104" s="29">
        <v>21</v>
      </c>
      <c r="AO104" s="29">
        <f>I104*0.276816976127321</f>
        <v>0</v>
      </c>
      <c r="AP104" s="29">
        <f>I104*(1-0.276816976127321)</f>
        <v>0</v>
      </c>
      <c r="AQ104" s="23" t="s">
        <v>578</v>
      </c>
      <c r="AV104" s="29">
        <f>AW104+AX104</f>
        <v>0</v>
      </c>
      <c r="AW104" s="29">
        <f>H104*AO104</f>
        <v>0</v>
      </c>
      <c r="AX104" s="29">
        <f>H104*AP104</f>
        <v>0</v>
      </c>
      <c r="AY104" s="23" t="s">
        <v>357</v>
      </c>
      <c r="AZ104" s="23" t="s">
        <v>29</v>
      </c>
      <c r="BA104" s="10" t="s">
        <v>439</v>
      </c>
      <c r="BC104" s="29">
        <f>AW104+AX104</f>
        <v>0</v>
      </c>
      <c r="BD104" s="29">
        <f>I104/(100-BE104)*100</f>
        <v>0</v>
      </c>
      <c r="BE104" s="29">
        <v>0</v>
      </c>
      <c r="BF104" s="29">
        <f>104</f>
        <v>104</v>
      </c>
      <c r="BH104" s="29">
        <f>H104*AO104</f>
        <v>0</v>
      </c>
      <c r="BI104" s="29">
        <f>H104*AP104</f>
        <v>0</v>
      </c>
      <c r="BJ104" s="29">
        <f>H104*I104</f>
        <v>0</v>
      </c>
      <c r="BK104" s="29"/>
      <c r="BL104" s="29">
        <v>722</v>
      </c>
    </row>
    <row r="105" spans="1:64" ht="15" customHeight="1">
      <c r="A105" s="4" t="s">
        <v>326</v>
      </c>
      <c r="B105" s="18" t="s">
        <v>591</v>
      </c>
      <c r="C105" s="67" t="s">
        <v>428</v>
      </c>
      <c r="D105" s="67"/>
      <c r="E105" s="67"/>
      <c r="F105" s="67"/>
      <c r="G105" s="18" t="s">
        <v>480</v>
      </c>
      <c r="H105" s="29">
        <v>3</v>
      </c>
      <c r="I105" s="46">
        <v>0</v>
      </c>
      <c r="J105" s="29">
        <f>H105*AO105</f>
        <v>0</v>
      </c>
      <c r="K105" s="29">
        <f>H105*AP105</f>
        <v>0</v>
      </c>
      <c r="L105" s="29">
        <f>H105*I105</f>
        <v>0</v>
      </c>
      <c r="M105" s="41" t="s">
        <v>484</v>
      </c>
      <c r="Z105" s="29">
        <f>IF(AQ105="5",BJ105,0)</f>
        <v>0</v>
      </c>
      <c r="AB105" s="29">
        <f>IF(AQ105="1",BH105,0)</f>
        <v>0</v>
      </c>
      <c r="AC105" s="29">
        <f>IF(AQ105="1",BI105,0)</f>
        <v>0</v>
      </c>
      <c r="AD105" s="29">
        <f>IF(AQ105="7",BH105,0)</f>
        <v>0</v>
      </c>
      <c r="AE105" s="29">
        <f>IF(AQ105="7",BI105,0)</f>
        <v>0</v>
      </c>
      <c r="AF105" s="29">
        <f>IF(AQ105="2",BH105,0)</f>
        <v>0</v>
      </c>
      <c r="AG105" s="29">
        <f>IF(AQ105="2",BI105,0)</f>
        <v>0</v>
      </c>
      <c r="AH105" s="29">
        <f>IF(AQ105="0",BJ105,0)</f>
        <v>0</v>
      </c>
      <c r="AI105" s="10" t="s">
        <v>394</v>
      </c>
      <c r="AJ105" s="29">
        <f>IF(AN105=0,L105,0)</f>
        <v>0</v>
      </c>
      <c r="AK105" s="29">
        <f>IF(AN105=15,L105,0)</f>
        <v>0</v>
      </c>
      <c r="AL105" s="29">
        <f>IF(AN105=21,L105,0)</f>
        <v>0</v>
      </c>
      <c r="AN105" s="29">
        <v>21</v>
      </c>
      <c r="AO105" s="29">
        <f>I105*0.263934426229508</f>
        <v>0</v>
      </c>
      <c r="AP105" s="29">
        <f>I105*(1-0.263934426229508)</f>
        <v>0</v>
      </c>
      <c r="AQ105" s="23" t="s">
        <v>578</v>
      </c>
      <c r="AV105" s="29">
        <f>AW105+AX105</f>
        <v>0</v>
      </c>
      <c r="AW105" s="29">
        <f>H105*AO105</f>
        <v>0</v>
      </c>
      <c r="AX105" s="29">
        <f>H105*AP105</f>
        <v>0</v>
      </c>
      <c r="AY105" s="23" t="s">
        <v>357</v>
      </c>
      <c r="AZ105" s="23" t="s">
        <v>29</v>
      </c>
      <c r="BA105" s="10" t="s">
        <v>439</v>
      </c>
      <c r="BC105" s="29">
        <f>AW105+AX105</f>
        <v>0</v>
      </c>
      <c r="BD105" s="29">
        <f>I105/(100-BE105)*100</f>
        <v>0</v>
      </c>
      <c r="BE105" s="29">
        <v>0</v>
      </c>
      <c r="BF105" s="29">
        <f>105</f>
        <v>105</v>
      </c>
      <c r="BH105" s="29">
        <f>H105*AO105</f>
        <v>0</v>
      </c>
      <c r="BI105" s="29">
        <f>H105*AP105</f>
        <v>0</v>
      </c>
      <c r="BJ105" s="29">
        <f>H105*I105</f>
        <v>0</v>
      </c>
      <c r="BK105" s="29"/>
      <c r="BL105" s="29">
        <v>722</v>
      </c>
    </row>
    <row r="106" spans="1:13" ht="13.5" customHeight="1">
      <c r="A106" s="40"/>
      <c r="B106" s="34" t="s">
        <v>279</v>
      </c>
      <c r="C106" s="88" t="s">
        <v>245</v>
      </c>
      <c r="D106" s="89"/>
      <c r="E106" s="89"/>
      <c r="F106" s="89"/>
      <c r="G106" s="89"/>
      <c r="H106" s="89"/>
      <c r="I106" s="90"/>
      <c r="J106" s="89"/>
      <c r="K106" s="89"/>
      <c r="L106" s="89"/>
      <c r="M106" s="91"/>
    </row>
    <row r="107" spans="1:64" ht="15" customHeight="1">
      <c r="A107" s="4" t="s">
        <v>251</v>
      </c>
      <c r="B107" s="18" t="s">
        <v>632</v>
      </c>
      <c r="C107" s="67" t="s">
        <v>580</v>
      </c>
      <c r="D107" s="67"/>
      <c r="E107" s="67"/>
      <c r="F107" s="67"/>
      <c r="G107" s="18" t="s">
        <v>480</v>
      </c>
      <c r="H107" s="29">
        <v>3</v>
      </c>
      <c r="I107" s="46">
        <v>0</v>
      </c>
      <c r="J107" s="29">
        <f>H107*AO107</f>
        <v>0</v>
      </c>
      <c r="K107" s="29">
        <f>H107*AP107</f>
        <v>0</v>
      </c>
      <c r="L107" s="29">
        <f>H107*I107</f>
        <v>0</v>
      </c>
      <c r="M107" s="41" t="s">
        <v>484</v>
      </c>
      <c r="Z107" s="29">
        <f>IF(AQ107="5",BJ107,0)</f>
        <v>0</v>
      </c>
      <c r="AB107" s="29">
        <f>IF(AQ107="1",BH107,0)</f>
        <v>0</v>
      </c>
      <c r="AC107" s="29">
        <f>IF(AQ107="1",BI107,0)</f>
        <v>0</v>
      </c>
      <c r="AD107" s="29">
        <f>IF(AQ107="7",BH107,0)</f>
        <v>0</v>
      </c>
      <c r="AE107" s="29">
        <f>IF(AQ107="7",BI107,0)</f>
        <v>0</v>
      </c>
      <c r="AF107" s="29">
        <f>IF(AQ107="2",BH107,0)</f>
        <v>0</v>
      </c>
      <c r="AG107" s="29">
        <f>IF(AQ107="2",BI107,0)</f>
        <v>0</v>
      </c>
      <c r="AH107" s="29">
        <f>IF(AQ107="0",BJ107,0)</f>
        <v>0</v>
      </c>
      <c r="AI107" s="10" t="s">
        <v>394</v>
      </c>
      <c r="AJ107" s="29">
        <f>IF(AN107=0,L107,0)</f>
        <v>0</v>
      </c>
      <c r="AK107" s="29">
        <f>IF(AN107=15,L107,0)</f>
        <v>0</v>
      </c>
      <c r="AL107" s="29">
        <f>IF(AN107=21,L107,0)</f>
        <v>0</v>
      </c>
      <c r="AN107" s="29">
        <v>21</v>
      </c>
      <c r="AO107" s="29">
        <f>I107*0.304203539823009</f>
        <v>0</v>
      </c>
      <c r="AP107" s="29">
        <f>I107*(1-0.304203539823009)</f>
        <v>0</v>
      </c>
      <c r="AQ107" s="23" t="s">
        <v>578</v>
      </c>
      <c r="AV107" s="29">
        <f>AW107+AX107</f>
        <v>0</v>
      </c>
      <c r="AW107" s="29">
        <f>H107*AO107</f>
        <v>0</v>
      </c>
      <c r="AX107" s="29">
        <f>H107*AP107</f>
        <v>0</v>
      </c>
      <c r="AY107" s="23" t="s">
        <v>357</v>
      </c>
      <c r="AZ107" s="23" t="s">
        <v>29</v>
      </c>
      <c r="BA107" s="10" t="s">
        <v>439</v>
      </c>
      <c r="BC107" s="29">
        <f>AW107+AX107</f>
        <v>0</v>
      </c>
      <c r="BD107" s="29">
        <f>I107/(100-BE107)*100</f>
        <v>0</v>
      </c>
      <c r="BE107" s="29">
        <v>0</v>
      </c>
      <c r="BF107" s="29">
        <f>107</f>
        <v>107</v>
      </c>
      <c r="BH107" s="29">
        <f>H107*AO107</f>
        <v>0</v>
      </c>
      <c r="BI107" s="29">
        <f>H107*AP107</f>
        <v>0</v>
      </c>
      <c r="BJ107" s="29">
        <f>H107*I107</f>
        <v>0</v>
      </c>
      <c r="BK107" s="29"/>
      <c r="BL107" s="29">
        <v>722</v>
      </c>
    </row>
    <row r="108" spans="1:13" ht="13.5" customHeight="1">
      <c r="A108" s="40"/>
      <c r="B108" s="34" t="s">
        <v>279</v>
      </c>
      <c r="C108" s="88" t="s">
        <v>245</v>
      </c>
      <c r="D108" s="89"/>
      <c r="E108" s="89"/>
      <c r="F108" s="89"/>
      <c r="G108" s="89"/>
      <c r="H108" s="89"/>
      <c r="I108" s="90"/>
      <c r="J108" s="89"/>
      <c r="K108" s="89"/>
      <c r="L108" s="89"/>
      <c r="M108" s="91"/>
    </row>
    <row r="109" spans="1:64" ht="15" customHeight="1">
      <c r="A109" s="4" t="s">
        <v>67</v>
      </c>
      <c r="B109" s="18" t="s">
        <v>344</v>
      </c>
      <c r="C109" s="67" t="s">
        <v>221</v>
      </c>
      <c r="D109" s="67"/>
      <c r="E109" s="67"/>
      <c r="F109" s="67"/>
      <c r="G109" s="18" t="s">
        <v>480</v>
      </c>
      <c r="H109" s="29">
        <v>6</v>
      </c>
      <c r="I109" s="46">
        <v>0</v>
      </c>
      <c r="J109" s="29">
        <f>H109*AO109</f>
        <v>0</v>
      </c>
      <c r="K109" s="29">
        <f>H109*AP109</f>
        <v>0</v>
      </c>
      <c r="L109" s="29">
        <f>H109*I109</f>
        <v>0</v>
      </c>
      <c r="M109" s="41" t="s">
        <v>484</v>
      </c>
      <c r="Z109" s="29">
        <f>IF(AQ109="5",BJ109,0)</f>
        <v>0</v>
      </c>
      <c r="AB109" s="29">
        <f>IF(AQ109="1",BH109,0)</f>
        <v>0</v>
      </c>
      <c r="AC109" s="29">
        <f>IF(AQ109="1",BI109,0)</f>
        <v>0</v>
      </c>
      <c r="AD109" s="29">
        <f>IF(AQ109="7",BH109,0)</f>
        <v>0</v>
      </c>
      <c r="AE109" s="29">
        <f>IF(AQ109="7",BI109,0)</f>
        <v>0</v>
      </c>
      <c r="AF109" s="29">
        <f>IF(AQ109="2",BH109,0)</f>
        <v>0</v>
      </c>
      <c r="AG109" s="29">
        <f>IF(AQ109="2",BI109,0)</f>
        <v>0</v>
      </c>
      <c r="AH109" s="29">
        <f>IF(AQ109="0",BJ109,0)</f>
        <v>0</v>
      </c>
      <c r="AI109" s="10" t="s">
        <v>394</v>
      </c>
      <c r="AJ109" s="29">
        <f>IF(AN109=0,L109,0)</f>
        <v>0</v>
      </c>
      <c r="AK109" s="29">
        <f>IF(AN109=15,L109,0)</f>
        <v>0</v>
      </c>
      <c r="AL109" s="29">
        <f>IF(AN109=21,L109,0)</f>
        <v>0</v>
      </c>
      <c r="AN109" s="29">
        <v>21</v>
      </c>
      <c r="AO109" s="29">
        <f>I109*0.318894830659537</f>
        <v>0</v>
      </c>
      <c r="AP109" s="29">
        <f>I109*(1-0.318894830659537)</f>
        <v>0</v>
      </c>
      <c r="AQ109" s="23" t="s">
        <v>578</v>
      </c>
      <c r="AV109" s="29">
        <f>AW109+AX109</f>
        <v>0</v>
      </c>
      <c r="AW109" s="29">
        <f>H109*AO109</f>
        <v>0</v>
      </c>
      <c r="AX109" s="29">
        <f>H109*AP109</f>
        <v>0</v>
      </c>
      <c r="AY109" s="23" t="s">
        <v>357</v>
      </c>
      <c r="AZ109" s="23" t="s">
        <v>29</v>
      </c>
      <c r="BA109" s="10" t="s">
        <v>439</v>
      </c>
      <c r="BC109" s="29">
        <f>AW109+AX109</f>
        <v>0</v>
      </c>
      <c r="BD109" s="29">
        <f>I109/(100-BE109)*100</f>
        <v>0</v>
      </c>
      <c r="BE109" s="29">
        <v>0</v>
      </c>
      <c r="BF109" s="29">
        <f>109</f>
        <v>109</v>
      </c>
      <c r="BH109" s="29">
        <f>H109*AO109</f>
        <v>0</v>
      </c>
      <c r="BI109" s="29">
        <f>H109*AP109</f>
        <v>0</v>
      </c>
      <c r="BJ109" s="29">
        <f>H109*I109</f>
        <v>0</v>
      </c>
      <c r="BK109" s="29"/>
      <c r="BL109" s="29">
        <v>722</v>
      </c>
    </row>
    <row r="110" spans="1:64" ht="15" customHeight="1">
      <c r="A110" s="4" t="s">
        <v>415</v>
      </c>
      <c r="B110" s="18" t="s">
        <v>91</v>
      </c>
      <c r="C110" s="67" t="s">
        <v>417</v>
      </c>
      <c r="D110" s="67"/>
      <c r="E110" s="67"/>
      <c r="F110" s="67"/>
      <c r="G110" s="18" t="s">
        <v>480</v>
      </c>
      <c r="H110" s="29">
        <v>6</v>
      </c>
      <c r="I110" s="46">
        <v>0</v>
      </c>
      <c r="J110" s="29">
        <f>H110*AO110</f>
        <v>0</v>
      </c>
      <c r="K110" s="29">
        <f>H110*AP110</f>
        <v>0</v>
      </c>
      <c r="L110" s="29">
        <f>H110*I110</f>
        <v>0</v>
      </c>
      <c r="M110" s="41" t="s">
        <v>484</v>
      </c>
      <c r="Z110" s="29">
        <f>IF(AQ110="5",BJ110,0)</f>
        <v>0</v>
      </c>
      <c r="AB110" s="29">
        <f>IF(AQ110="1",BH110,0)</f>
        <v>0</v>
      </c>
      <c r="AC110" s="29">
        <f>IF(AQ110="1",BI110,0)</f>
        <v>0</v>
      </c>
      <c r="AD110" s="29">
        <f>IF(AQ110="7",BH110,0)</f>
        <v>0</v>
      </c>
      <c r="AE110" s="29">
        <f>IF(AQ110="7",BI110,0)</f>
        <v>0</v>
      </c>
      <c r="AF110" s="29">
        <f>IF(AQ110="2",BH110,0)</f>
        <v>0</v>
      </c>
      <c r="AG110" s="29">
        <f>IF(AQ110="2",BI110,0)</f>
        <v>0</v>
      </c>
      <c r="AH110" s="29">
        <f>IF(AQ110="0",BJ110,0)</f>
        <v>0</v>
      </c>
      <c r="AI110" s="10" t="s">
        <v>394</v>
      </c>
      <c r="AJ110" s="29">
        <f>IF(AN110=0,L110,0)</f>
        <v>0</v>
      </c>
      <c r="AK110" s="29">
        <f>IF(AN110=15,L110,0)</f>
        <v>0</v>
      </c>
      <c r="AL110" s="29">
        <f>IF(AN110=21,L110,0)</f>
        <v>0</v>
      </c>
      <c r="AN110" s="29">
        <v>21</v>
      </c>
      <c r="AO110" s="29">
        <f>I110*0.0535816618911175</f>
        <v>0</v>
      </c>
      <c r="AP110" s="29">
        <f>I110*(1-0.0535816618911175)</f>
        <v>0</v>
      </c>
      <c r="AQ110" s="23" t="s">
        <v>578</v>
      </c>
      <c r="AV110" s="29">
        <f>AW110+AX110</f>
        <v>0</v>
      </c>
      <c r="AW110" s="29">
        <f>H110*AO110</f>
        <v>0</v>
      </c>
      <c r="AX110" s="29">
        <f>H110*AP110</f>
        <v>0</v>
      </c>
      <c r="AY110" s="23" t="s">
        <v>357</v>
      </c>
      <c r="AZ110" s="23" t="s">
        <v>29</v>
      </c>
      <c r="BA110" s="10" t="s">
        <v>439</v>
      </c>
      <c r="BC110" s="29">
        <f>AW110+AX110</f>
        <v>0</v>
      </c>
      <c r="BD110" s="29">
        <f>I110/(100-BE110)*100</f>
        <v>0</v>
      </c>
      <c r="BE110" s="29">
        <v>0</v>
      </c>
      <c r="BF110" s="29">
        <f>110</f>
        <v>110</v>
      </c>
      <c r="BH110" s="29">
        <f>H110*AO110</f>
        <v>0</v>
      </c>
      <c r="BI110" s="29">
        <f>H110*AP110</f>
        <v>0</v>
      </c>
      <c r="BJ110" s="29">
        <f>H110*I110</f>
        <v>0</v>
      </c>
      <c r="BK110" s="29"/>
      <c r="BL110" s="29">
        <v>722</v>
      </c>
    </row>
    <row r="111" spans="1:64" ht="15" customHeight="1">
      <c r="A111" s="4" t="s">
        <v>652</v>
      </c>
      <c r="B111" s="18" t="s">
        <v>490</v>
      </c>
      <c r="C111" s="67" t="s">
        <v>39</v>
      </c>
      <c r="D111" s="67"/>
      <c r="E111" s="67"/>
      <c r="F111" s="67"/>
      <c r="G111" s="18" t="s">
        <v>255</v>
      </c>
      <c r="H111" s="29">
        <v>0.031</v>
      </c>
      <c r="I111" s="46">
        <v>0</v>
      </c>
      <c r="J111" s="29">
        <f>H111*AO111</f>
        <v>0</v>
      </c>
      <c r="K111" s="29">
        <f>H111*AP111</f>
        <v>0</v>
      </c>
      <c r="L111" s="29">
        <f>H111*I111</f>
        <v>0</v>
      </c>
      <c r="M111" s="41" t="s">
        <v>484</v>
      </c>
      <c r="Z111" s="29">
        <f>IF(AQ111="5",BJ111,0)</f>
        <v>0</v>
      </c>
      <c r="AB111" s="29">
        <f>IF(AQ111="1",BH111,0)</f>
        <v>0</v>
      </c>
      <c r="AC111" s="29">
        <f>IF(AQ111="1",BI111,0)</f>
        <v>0</v>
      </c>
      <c r="AD111" s="29">
        <f>IF(AQ111="7",BH111,0)</f>
        <v>0</v>
      </c>
      <c r="AE111" s="29">
        <f>IF(AQ111="7",BI111,0)</f>
        <v>0</v>
      </c>
      <c r="AF111" s="29">
        <f>IF(AQ111="2",BH111,0)</f>
        <v>0</v>
      </c>
      <c r="AG111" s="29">
        <f>IF(AQ111="2",BI111,0)</f>
        <v>0</v>
      </c>
      <c r="AH111" s="29">
        <f>IF(AQ111="0",BJ111,0)</f>
        <v>0</v>
      </c>
      <c r="AI111" s="10" t="s">
        <v>394</v>
      </c>
      <c r="AJ111" s="29">
        <f>IF(AN111=0,L111,0)</f>
        <v>0</v>
      </c>
      <c r="AK111" s="29">
        <f>IF(AN111=15,L111,0)</f>
        <v>0</v>
      </c>
      <c r="AL111" s="29">
        <f>IF(AN111=21,L111,0)</f>
        <v>0</v>
      </c>
      <c r="AN111" s="29">
        <v>21</v>
      </c>
      <c r="AO111" s="29">
        <f>I111*0</f>
        <v>0</v>
      </c>
      <c r="AP111" s="29">
        <f>I111*(1-0)</f>
        <v>0</v>
      </c>
      <c r="AQ111" s="23" t="s">
        <v>296</v>
      </c>
      <c r="AV111" s="29">
        <f>AW111+AX111</f>
        <v>0</v>
      </c>
      <c r="AW111" s="29">
        <f>H111*AO111</f>
        <v>0</v>
      </c>
      <c r="AX111" s="29">
        <f>H111*AP111</f>
        <v>0</v>
      </c>
      <c r="AY111" s="23" t="s">
        <v>357</v>
      </c>
      <c r="AZ111" s="23" t="s">
        <v>29</v>
      </c>
      <c r="BA111" s="10" t="s">
        <v>439</v>
      </c>
      <c r="BC111" s="29">
        <f>AW111+AX111</f>
        <v>0</v>
      </c>
      <c r="BD111" s="29">
        <f>I111/(100-BE111)*100</f>
        <v>0</v>
      </c>
      <c r="BE111" s="29">
        <v>0</v>
      </c>
      <c r="BF111" s="29">
        <f>111</f>
        <v>111</v>
      </c>
      <c r="BH111" s="29">
        <f>H111*AO111</f>
        <v>0</v>
      </c>
      <c r="BI111" s="29">
        <f>H111*AP111</f>
        <v>0</v>
      </c>
      <c r="BJ111" s="29">
        <f>H111*I111</f>
        <v>0</v>
      </c>
      <c r="BK111" s="29"/>
      <c r="BL111" s="29">
        <v>722</v>
      </c>
    </row>
    <row r="112" spans="1:47" ht="15" customHeight="1">
      <c r="A112" s="26" t="s">
        <v>394</v>
      </c>
      <c r="B112" s="8" t="s">
        <v>558</v>
      </c>
      <c r="C112" s="87" t="s">
        <v>333</v>
      </c>
      <c r="D112" s="87"/>
      <c r="E112" s="87"/>
      <c r="F112" s="87"/>
      <c r="G112" s="42" t="s">
        <v>537</v>
      </c>
      <c r="H112" s="42" t="s">
        <v>537</v>
      </c>
      <c r="I112" s="50" t="s">
        <v>537</v>
      </c>
      <c r="J112" s="24">
        <f>SUM(J113:J118)</f>
        <v>0</v>
      </c>
      <c r="K112" s="24">
        <f>SUM(K113:K118)</f>
        <v>0</v>
      </c>
      <c r="L112" s="24">
        <f>SUM(L113:L118)</f>
        <v>0</v>
      </c>
      <c r="M112" s="9" t="s">
        <v>394</v>
      </c>
      <c r="AI112" s="10" t="s">
        <v>394</v>
      </c>
      <c r="AS112" s="24">
        <f>SUM(AJ113:AJ118)</f>
        <v>0</v>
      </c>
      <c r="AT112" s="24">
        <f>SUM(AK113:AK118)</f>
        <v>0</v>
      </c>
      <c r="AU112" s="24">
        <f>SUM(AL113:AL118)</f>
        <v>0</v>
      </c>
    </row>
    <row r="113" spans="1:64" ht="15" customHeight="1">
      <c r="A113" s="4" t="s">
        <v>137</v>
      </c>
      <c r="B113" s="18" t="s">
        <v>161</v>
      </c>
      <c r="C113" s="67" t="s">
        <v>638</v>
      </c>
      <c r="D113" s="67"/>
      <c r="E113" s="67"/>
      <c r="F113" s="67"/>
      <c r="G113" s="18" t="s">
        <v>197</v>
      </c>
      <c r="H113" s="29">
        <v>1</v>
      </c>
      <c r="I113" s="46">
        <v>0</v>
      </c>
      <c r="J113" s="29">
        <f aca="true" t="shared" si="22" ref="J113:J118">H113*AO113</f>
        <v>0</v>
      </c>
      <c r="K113" s="29">
        <f aca="true" t="shared" si="23" ref="K113:K118">H113*AP113</f>
        <v>0</v>
      </c>
      <c r="L113" s="29">
        <f aca="true" t="shared" si="24" ref="L113:L118">H113*I113</f>
        <v>0</v>
      </c>
      <c r="M113" s="41" t="s">
        <v>484</v>
      </c>
      <c r="Z113" s="29">
        <f aca="true" t="shared" si="25" ref="Z113:Z118">IF(AQ113="5",BJ113,0)</f>
        <v>0</v>
      </c>
      <c r="AB113" s="29">
        <f aca="true" t="shared" si="26" ref="AB113:AB118">IF(AQ113="1",BH113,0)</f>
        <v>0</v>
      </c>
      <c r="AC113" s="29">
        <f aca="true" t="shared" si="27" ref="AC113:AC118">IF(AQ113="1",BI113,0)</f>
        <v>0</v>
      </c>
      <c r="AD113" s="29">
        <f aca="true" t="shared" si="28" ref="AD113:AD118">IF(AQ113="7",BH113,0)</f>
        <v>0</v>
      </c>
      <c r="AE113" s="29">
        <f aca="true" t="shared" si="29" ref="AE113:AE118">IF(AQ113="7",BI113,0)</f>
        <v>0</v>
      </c>
      <c r="AF113" s="29">
        <f aca="true" t="shared" si="30" ref="AF113:AF118">IF(AQ113="2",BH113,0)</f>
        <v>0</v>
      </c>
      <c r="AG113" s="29">
        <f aca="true" t="shared" si="31" ref="AG113:AG118">IF(AQ113="2",BI113,0)</f>
        <v>0</v>
      </c>
      <c r="AH113" s="29">
        <f aca="true" t="shared" si="32" ref="AH113:AH118">IF(AQ113="0",BJ113,0)</f>
        <v>0</v>
      </c>
      <c r="AI113" s="10" t="s">
        <v>394</v>
      </c>
      <c r="AJ113" s="29">
        <f aca="true" t="shared" si="33" ref="AJ113:AJ118">IF(AN113=0,L113,0)</f>
        <v>0</v>
      </c>
      <c r="AK113" s="29">
        <f aca="true" t="shared" si="34" ref="AK113:AK118">IF(AN113=15,L113,0)</f>
        <v>0</v>
      </c>
      <c r="AL113" s="29">
        <f aca="true" t="shared" si="35" ref="AL113:AL118">IF(AN113=21,L113,0)</f>
        <v>0</v>
      </c>
      <c r="AN113" s="29">
        <v>21</v>
      </c>
      <c r="AO113" s="29">
        <f>I113*0.877148671096346</f>
        <v>0</v>
      </c>
      <c r="AP113" s="29">
        <f>I113*(1-0.877148671096346)</f>
        <v>0</v>
      </c>
      <c r="AQ113" s="23" t="s">
        <v>578</v>
      </c>
      <c r="AV113" s="29">
        <f aca="true" t="shared" si="36" ref="AV113:AV118">AW113+AX113</f>
        <v>0</v>
      </c>
      <c r="AW113" s="29">
        <f aca="true" t="shared" si="37" ref="AW113:AW118">H113*AO113</f>
        <v>0</v>
      </c>
      <c r="AX113" s="29">
        <f aca="true" t="shared" si="38" ref="AX113:AX118">H113*AP113</f>
        <v>0</v>
      </c>
      <c r="AY113" s="23" t="s">
        <v>248</v>
      </c>
      <c r="AZ113" s="23" t="s">
        <v>29</v>
      </c>
      <c r="BA113" s="10" t="s">
        <v>439</v>
      </c>
      <c r="BC113" s="29">
        <f aca="true" t="shared" si="39" ref="BC113:BC118">AW113+AX113</f>
        <v>0</v>
      </c>
      <c r="BD113" s="29">
        <f aca="true" t="shared" si="40" ref="BD113:BD118">I113/(100-BE113)*100</f>
        <v>0</v>
      </c>
      <c r="BE113" s="29">
        <v>0</v>
      </c>
      <c r="BF113" s="29">
        <f>113</f>
        <v>113</v>
      </c>
      <c r="BH113" s="29">
        <f aca="true" t="shared" si="41" ref="BH113:BH118">H113*AO113</f>
        <v>0</v>
      </c>
      <c r="BI113" s="29">
        <f aca="true" t="shared" si="42" ref="BI113:BI118">H113*AP113</f>
        <v>0</v>
      </c>
      <c r="BJ113" s="29">
        <f aca="true" t="shared" si="43" ref="BJ113:BJ118">H113*I113</f>
        <v>0</v>
      </c>
      <c r="BK113" s="29"/>
      <c r="BL113" s="29">
        <v>725</v>
      </c>
    </row>
    <row r="114" spans="1:64" ht="15" customHeight="1">
      <c r="A114" s="4" t="s">
        <v>272</v>
      </c>
      <c r="B114" s="18" t="s">
        <v>608</v>
      </c>
      <c r="C114" s="67" t="s">
        <v>376</v>
      </c>
      <c r="D114" s="67"/>
      <c r="E114" s="67"/>
      <c r="F114" s="67"/>
      <c r="G114" s="18" t="s">
        <v>197</v>
      </c>
      <c r="H114" s="29">
        <v>1</v>
      </c>
      <c r="I114" s="46">
        <v>0</v>
      </c>
      <c r="J114" s="29">
        <f t="shared" si="22"/>
        <v>0</v>
      </c>
      <c r="K114" s="29">
        <f t="shared" si="23"/>
        <v>0</v>
      </c>
      <c r="L114" s="29">
        <f t="shared" si="24"/>
        <v>0</v>
      </c>
      <c r="M114" s="41" t="s">
        <v>484</v>
      </c>
      <c r="Z114" s="29">
        <f t="shared" si="25"/>
        <v>0</v>
      </c>
      <c r="AB114" s="29">
        <f t="shared" si="26"/>
        <v>0</v>
      </c>
      <c r="AC114" s="29">
        <f t="shared" si="27"/>
        <v>0</v>
      </c>
      <c r="AD114" s="29">
        <f t="shared" si="28"/>
        <v>0</v>
      </c>
      <c r="AE114" s="29">
        <f t="shared" si="29"/>
        <v>0</v>
      </c>
      <c r="AF114" s="29">
        <f t="shared" si="30"/>
        <v>0</v>
      </c>
      <c r="AG114" s="29">
        <f t="shared" si="31"/>
        <v>0</v>
      </c>
      <c r="AH114" s="29">
        <f t="shared" si="32"/>
        <v>0</v>
      </c>
      <c r="AI114" s="10" t="s">
        <v>394</v>
      </c>
      <c r="AJ114" s="29">
        <f t="shared" si="33"/>
        <v>0</v>
      </c>
      <c r="AK114" s="29">
        <f t="shared" si="34"/>
        <v>0</v>
      </c>
      <c r="AL114" s="29">
        <f t="shared" si="35"/>
        <v>0</v>
      </c>
      <c r="AN114" s="29">
        <v>21</v>
      </c>
      <c r="AO114" s="29">
        <f>I114*0.881703947368421</f>
        <v>0</v>
      </c>
      <c r="AP114" s="29">
        <f>I114*(1-0.881703947368421)</f>
        <v>0</v>
      </c>
      <c r="AQ114" s="23" t="s">
        <v>578</v>
      </c>
      <c r="AV114" s="29">
        <f t="shared" si="36"/>
        <v>0</v>
      </c>
      <c r="AW114" s="29">
        <f t="shared" si="37"/>
        <v>0</v>
      </c>
      <c r="AX114" s="29">
        <f t="shared" si="38"/>
        <v>0</v>
      </c>
      <c r="AY114" s="23" t="s">
        <v>248</v>
      </c>
      <c r="AZ114" s="23" t="s">
        <v>29</v>
      </c>
      <c r="BA114" s="10" t="s">
        <v>439</v>
      </c>
      <c r="BC114" s="29">
        <f t="shared" si="39"/>
        <v>0</v>
      </c>
      <c r="BD114" s="29">
        <f t="shared" si="40"/>
        <v>0</v>
      </c>
      <c r="BE114" s="29">
        <v>0</v>
      </c>
      <c r="BF114" s="29">
        <f>114</f>
        <v>114</v>
      </c>
      <c r="BH114" s="29">
        <f t="shared" si="41"/>
        <v>0</v>
      </c>
      <c r="BI114" s="29">
        <f t="shared" si="42"/>
        <v>0</v>
      </c>
      <c r="BJ114" s="29">
        <f t="shared" si="43"/>
        <v>0</v>
      </c>
      <c r="BK114" s="29"/>
      <c r="BL114" s="29">
        <v>725</v>
      </c>
    </row>
    <row r="115" spans="1:64" ht="15" customHeight="1">
      <c r="A115" s="4" t="s">
        <v>647</v>
      </c>
      <c r="B115" s="18" t="s">
        <v>604</v>
      </c>
      <c r="C115" s="67" t="s">
        <v>379</v>
      </c>
      <c r="D115" s="67"/>
      <c r="E115" s="67"/>
      <c r="F115" s="67"/>
      <c r="G115" s="18" t="s">
        <v>146</v>
      </c>
      <c r="H115" s="29">
        <v>1</v>
      </c>
      <c r="I115" s="46">
        <v>0</v>
      </c>
      <c r="J115" s="29">
        <f t="shared" si="22"/>
        <v>0</v>
      </c>
      <c r="K115" s="29">
        <f t="shared" si="23"/>
        <v>0</v>
      </c>
      <c r="L115" s="29">
        <f t="shared" si="24"/>
        <v>0</v>
      </c>
      <c r="M115" s="41" t="s">
        <v>484</v>
      </c>
      <c r="Z115" s="29">
        <f t="shared" si="25"/>
        <v>0</v>
      </c>
      <c r="AB115" s="29">
        <f t="shared" si="26"/>
        <v>0</v>
      </c>
      <c r="AC115" s="29">
        <f t="shared" si="27"/>
        <v>0</v>
      </c>
      <c r="AD115" s="29">
        <f t="shared" si="28"/>
        <v>0</v>
      </c>
      <c r="AE115" s="29">
        <f t="shared" si="29"/>
        <v>0</v>
      </c>
      <c r="AF115" s="29">
        <f t="shared" si="30"/>
        <v>0</v>
      </c>
      <c r="AG115" s="29">
        <f t="shared" si="31"/>
        <v>0</v>
      </c>
      <c r="AH115" s="29">
        <f t="shared" si="32"/>
        <v>0</v>
      </c>
      <c r="AI115" s="10" t="s">
        <v>394</v>
      </c>
      <c r="AJ115" s="29">
        <f t="shared" si="33"/>
        <v>0</v>
      </c>
      <c r="AK115" s="29">
        <f t="shared" si="34"/>
        <v>0</v>
      </c>
      <c r="AL115" s="29">
        <f t="shared" si="35"/>
        <v>0</v>
      </c>
      <c r="AN115" s="29">
        <v>21</v>
      </c>
      <c r="AO115" s="29">
        <f>I115*0.791344129554656</f>
        <v>0</v>
      </c>
      <c r="AP115" s="29">
        <f>I115*(1-0.791344129554656)</f>
        <v>0</v>
      </c>
      <c r="AQ115" s="23" t="s">
        <v>578</v>
      </c>
      <c r="AV115" s="29">
        <f t="shared" si="36"/>
        <v>0</v>
      </c>
      <c r="AW115" s="29">
        <f t="shared" si="37"/>
        <v>0</v>
      </c>
      <c r="AX115" s="29">
        <f t="shared" si="38"/>
        <v>0</v>
      </c>
      <c r="AY115" s="23" t="s">
        <v>248</v>
      </c>
      <c r="AZ115" s="23" t="s">
        <v>29</v>
      </c>
      <c r="BA115" s="10" t="s">
        <v>439</v>
      </c>
      <c r="BC115" s="29">
        <f t="shared" si="39"/>
        <v>0</v>
      </c>
      <c r="BD115" s="29">
        <f t="shared" si="40"/>
        <v>0</v>
      </c>
      <c r="BE115" s="29">
        <v>0</v>
      </c>
      <c r="BF115" s="29">
        <f>115</f>
        <v>115</v>
      </c>
      <c r="BH115" s="29">
        <f t="shared" si="41"/>
        <v>0</v>
      </c>
      <c r="BI115" s="29">
        <f t="shared" si="42"/>
        <v>0</v>
      </c>
      <c r="BJ115" s="29">
        <f t="shared" si="43"/>
        <v>0</v>
      </c>
      <c r="BK115" s="29"/>
      <c r="BL115" s="29">
        <v>725</v>
      </c>
    </row>
    <row r="116" spans="1:64" ht="15" customHeight="1">
      <c r="A116" s="4" t="s">
        <v>613</v>
      </c>
      <c r="B116" s="18" t="s">
        <v>117</v>
      </c>
      <c r="C116" s="67" t="s">
        <v>462</v>
      </c>
      <c r="D116" s="67"/>
      <c r="E116" s="67"/>
      <c r="F116" s="67"/>
      <c r="G116" s="18" t="s">
        <v>146</v>
      </c>
      <c r="H116" s="29">
        <v>1</v>
      </c>
      <c r="I116" s="46">
        <v>0</v>
      </c>
      <c r="J116" s="29">
        <f t="shared" si="22"/>
        <v>0</v>
      </c>
      <c r="K116" s="29">
        <f t="shared" si="23"/>
        <v>0</v>
      </c>
      <c r="L116" s="29">
        <f t="shared" si="24"/>
        <v>0</v>
      </c>
      <c r="M116" s="41" t="s">
        <v>484</v>
      </c>
      <c r="Z116" s="29">
        <f t="shared" si="25"/>
        <v>0</v>
      </c>
      <c r="AB116" s="29">
        <f t="shared" si="26"/>
        <v>0</v>
      </c>
      <c r="AC116" s="29">
        <f t="shared" si="27"/>
        <v>0</v>
      </c>
      <c r="AD116" s="29">
        <f t="shared" si="28"/>
        <v>0</v>
      </c>
      <c r="AE116" s="29">
        <f t="shared" si="29"/>
        <v>0</v>
      </c>
      <c r="AF116" s="29">
        <f t="shared" si="30"/>
        <v>0</v>
      </c>
      <c r="AG116" s="29">
        <f t="shared" si="31"/>
        <v>0</v>
      </c>
      <c r="AH116" s="29">
        <f t="shared" si="32"/>
        <v>0</v>
      </c>
      <c r="AI116" s="10" t="s">
        <v>394</v>
      </c>
      <c r="AJ116" s="29">
        <f t="shared" si="33"/>
        <v>0</v>
      </c>
      <c r="AK116" s="29">
        <f t="shared" si="34"/>
        <v>0</v>
      </c>
      <c r="AL116" s="29">
        <f t="shared" si="35"/>
        <v>0</v>
      </c>
      <c r="AN116" s="29">
        <v>21</v>
      </c>
      <c r="AO116" s="29">
        <f>I116*0.526449275362319</f>
        <v>0</v>
      </c>
      <c r="AP116" s="29">
        <f>I116*(1-0.526449275362319)</f>
        <v>0</v>
      </c>
      <c r="AQ116" s="23" t="s">
        <v>578</v>
      </c>
      <c r="AV116" s="29">
        <f t="shared" si="36"/>
        <v>0</v>
      </c>
      <c r="AW116" s="29">
        <f t="shared" si="37"/>
        <v>0</v>
      </c>
      <c r="AX116" s="29">
        <f t="shared" si="38"/>
        <v>0</v>
      </c>
      <c r="AY116" s="23" t="s">
        <v>248</v>
      </c>
      <c r="AZ116" s="23" t="s">
        <v>29</v>
      </c>
      <c r="BA116" s="10" t="s">
        <v>439</v>
      </c>
      <c r="BC116" s="29">
        <f t="shared" si="39"/>
        <v>0</v>
      </c>
      <c r="BD116" s="29">
        <f t="shared" si="40"/>
        <v>0</v>
      </c>
      <c r="BE116" s="29">
        <v>0</v>
      </c>
      <c r="BF116" s="29">
        <f>116</f>
        <v>116</v>
      </c>
      <c r="BH116" s="29">
        <f t="shared" si="41"/>
        <v>0</v>
      </c>
      <c r="BI116" s="29">
        <f t="shared" si="42"/>
        <v>0</v>
      </c>
      <c r="BJ116" s="29">
        <f t="shared" si="43"/>
        <v>0</v>
      </c>
      <c r="BK116" s="29"/>
      <c r="BL116" s="29">
        <v>725</v>
      </c>
    </row>
    <row r="117" spans="1:64" ht="15" customHeight="1">
      <c r="A117" s="4" t="s">
        <v>6</v>
      </c>
      <c r="B117" s="18" t="s">
        <v>90</v>
      </c>
      <c r="C117" s="67" t="s">
        <v>95</v>
      </c>
      <c r="D117" s="67"/>
      <c r="E117" s="67"/>
      <c r="F117" s="67"/>
      <c r="G117" s="18" t="s">
        <v>146</v>
      </c>
      <c r="H117" s="29">
        <v>1</v>
      </c>
      <c r="I117" s="46">
        <v>0</v>
      </c>
      <c r="J117" s="29">
        <f t="shared" si="22"/>
        <v>0</v>
      </c>
      <c r="K117" s="29">
        <f t="shared" si="23"/>
        <v>0</v>
      </c>
      <c r="L117" s="29">
        <f t="shared" si="24"/>
        <v>0</v>
      </c>
      <c r="M117" s="41" t="s">
        <v>484</v>
      </c>
      <c r="Z117" s="29">
        <f t="shared" si="25"/>
        <v>0</v>
      </c>
      <c r="AB117" s="29">
        <f t="shared" si="26"/>
        <v>0</v>
      </c>
      <c r="AC117" s="29">
        <f t="shared" si="27"/>
        <v>0</v>
      </c>
      <c r="AD117" s="29">
        <f t="shared" si="28"/>
        <v>0</v>
      </c>
      <c r="AE117" s="29">
        <f t="shared" si="29"/>
        <v>0</v>
      </c>
      <c r="AF117" s="29">
        <f t="shared" si="30"/>
        <v>0</v>
      </c>
      <c r="AG117" s="29">
        <f t="shared" si="31"/>
        <v>0</v>
      </c>
      <c r="AH117" s="29">
        <f t="shared" si="32"/>
        <v>0</v>
      </c>
      <c r="AI117" s="10" t="s">
        <v>394</v>
      </c>
      <c r="AJ117" s="29">
        <f t="shared" si="33"/>
        <v>0</v>
      </c>
      <c r="AK117" s="29">
        <f t="shared" si="34"/>
        <v>0</v>
      </c>
      <c r="AL117" s="29">
        <f t="shared" si="35"/>
        <v>0</v>
      </c>
      <c r="AN117" s="29">
        <v>21</v>
      </c>
      <c r="AO117" s="29">
        <f>I117*0.744591859185919</f>
        <v>0</v>
      </c>
      <c r="AP117" s="29">
        <f>I117*(1-0.744591859185919)</f>
        <v>0</v>
      </c>
      <c r="AQ117" s="23" t="s">
        <v>578</v>
      </c>
      <c r="AV117" s="29">
        <f t="shared" si="36"/>
        <v>0</v>
      </c>
      <c r="AW117" s="29">
        <f t="shared" si="37"/>
        <v>0</v>
      </c>
      <c r="AX117" s="29">
        <f t="shared" si="38"/>
        <v>0</v>
      </c>
      <c r="AY117" s="23" t="s">
        <v>248</v>
      </c>
      <c r="AZ117" s="23" t="s">
        <v>29</v>
      </c>
      <c r="BA117" s="10" t="s">
        <v>439</v>
      </c>
      <c r="BC117" s="29">
        <f t="shared" si="39"/>
        <v>0</v>
      </c>
      <c r="BD117" s="29">
        <f t="shared" si="40"/>
        <v>0</v>
      </c>
      <c r="BE117" s="29">
        <v>0</v>
      </c>
      <c r="BF117" s="29">
        <f>117</f>
        <v>117</v>
      </c>
      <c r="BH117" s="29">
        <f t="shared" si="41"/>
        <v>0</v>
      </c>
      <c r="BI117" s="29">
        <f t="shared" si="42"/>
        <v>0</v>
      </c>
      <c r="BJ117" s="29">
        <f t="shared" si="43"/>
        <v>0</v>
      </c>
      <c r="BK117" s="29"/>
      <c r="BL117" s="29">
        <v>725</v>
      </c>
    </row>
    <row r="118" spans="1:64" ht="15" customHeight="1">
      <c r="A118" s="4" t="s">
        <v>94</v>
      </c>
      <c r="B118" s="18" t="s">
        <v>454</v>
      </c>
      <c r="C118" s="67" t="s">
        <v>540</v>
      </c>
      <c r="D118" s="67"/>
      <c r="E118" s="67"/>
      <c r="F118" s="67"/>
      <c r="G118" s="18" t="s">
        <v>255</v>
      </c>
      <c r="H118" s="29">
        <v>0.084</v>
      </c>
      <c r="I118" s="46">
        <v>0</v>
      </c>
      <c r="J118" s="29">
        <f t="shared" si="22"/>
        <v>0</v>
      </c>
      <c r="K118" s="29">
        <f t="shared" si="23"/>
        <v>0</v>
      </c>
      <c r="L118" s="29">
        <f t="shared" si="24"/>
        <v>0</v>
      </c>
      <c r="M118" s="41" t="s">
        <v>484</v>
      </c>
      <c r="Z118" s="29">
        <f t="shared" si="25"/>
        <v>0</v>
      </c>
      <c r="AB118" s="29">
        <f t="shared" si="26"/>
        <v>0</v>
      </c>
      <c r="AC118" s="29">
        <f t="shared" si="27"/>
        <v>0</v>
      </c>
      <c r="AD118" s="29">
        <f t="shared" si="28"/>
        <v>0</v>
      </c>
      <c r="AE118" s="29">
        <f t="shared" si="29"/>
        <v>0</v>
      </c>
      <c r="AF118" s="29">
        <f t="shared" si="30"/>
        <v>0</v>
      </c>
      <c r="AG118" s="29">
        <f t="shared" si="31"/>
        <v>0</v>
      </c>
      <c r="AH118" s="29">
        <f t="shared" si="32"/>
        <v>0</v>
      </c>
      <c r="AI118" s="10" t="s">
        <v>394</v>
      </c>
      <c r="AJ118" s="29">
        <f t="shared" si="33"/>
        <v>0</v>
      </c>
      <c r="AK118" s="29">
        <f t="shared" si="34"/>
        <v>0</v>
      </c>
      <c r="AL118" s="29">
        <f t="shared" si="35"/>
        <v>0</v>
      </c>
      <c r="AN118" s="29">
        <v>21</v>
      </c>
      <c r="AO118" s="29">
        <f>I118*0</f>
        <v>0</v>
      </c>
      <c r="AP118" s="29">
        <f>I118*(1-0)</f>
        <v>0</v>
      </c>
      <c r="AQ118" s="23" t="s">
        <v>296</v>
      </c>
      <c r="AV118" s="29">
        <f t="shared" si="36"/>
        <v>0</v>
      </c>
      <c r="AW118" s="29">
        <f t="shared" si="37"/>
        <v>0</v>
      </c>
      <c r="AX118" s="29">
        <f t="shared" si="38"/>
        <v>0</v>
      </c>
      <c r="AY118" s="23" t="s">
        <v>248</v>
      </c>
      <c r="AZ118" s="23" t="s">
        <v>29</v>
      </c>
      <c r="BA118" s="10" t="s">
        <v>439</v>
      </c>
      <c r="BC118" s="29">
        <f t="shared" si="39"/>
        <v>0</v>
      </c>
      <c r="BD118" s="29">
        <f t="shared" si="40"/>
        <v>0</v>
      </c>
      <c r="BE118" s="29">
        <v>0</v>
      </c>
      <c r="BF118" s="29">
        <f>118</f>
        <v>118</v>
      </c>
      <c r="BH118" s="29">
        <f t="shared" si="41"/>
        <v>0</v>
      </c>
      <c r="BI118" s="29">
        <f t="shared" si="42"/>
        <v>0</v>
      </c>
      <c r="BJ118" s="29">
        <f t="shared" si="43"/>
        <v>0</v>
      </c>
      <c r="BK118" s="29"/>
      <c r="BL118" s="29">
        <v>725</v>
      </c>
    </row>
    <row r="119" spans="1:47" ht="15" customHeight="1">
      <c r="A119" s="26" t="s">
        <v>394</v>
      </c>
      <c r="B119" s="8" t="s">
        <v>350</v>
      </c>
      <c r="C119" s="87" t="s">
        <v>618</v>
      </c>
      <c r="D119" s="87"/>
      <c r="E119" s="87"/>
      <c r="F119" s="87"/>
      <c r="G119" s="42" t="s">
        <v>537</v>
      </c>
      <c r="H119" s="42" t="s">
        <v>537</v>
      </c>
      <c r="I119" s="50" t="s">
        <v>537</v>
      </c>
      <c r="J119" s="24">
        <f>SUM(J120:J133)</f>
        <v>0</v>
      </c>
      <c r="K119" s="24">
        <f>SUM(K120:K133)</f>
        <v>0</v>
      </c>
      <c r="L119" s="24">
        <f>SUM(L120:L133)</f>
        <v>0</v>
      </c>
      <c r="M119" s="9" t="s">
        <v>394</v>
      </c>
      <c r="AI119" s="10" t="s">
        <v>394</v>
      </c>
      <c r="AS119" s="24">
        <f>SUM(AJ120:AJ133)</f>
        <v>0</v>
      </c>
      <c r="AT119" s="24">
        <f>SUM(AK120:AK133)</f>
        <v>0</v>
      </c>
      <c r="AU119" s="24">
        <f>SUM(AL120:AL133)</f>
        <v>0</v>
      </c>
    </row>
    <row r="120" spans="1:64" ht="15" customHeight="1">
      <c r="A120" s="4" t="s">
        <v>126</v>
      </c>
      <c r="B120" s="18" t="s">
        <v>515</v>
      </c>
      <c r="C120" s="67" t="s">
        <v>2</v>
      </c>
      <c r="D120" s="67"/>
      <c r="E120" s="67"/>
      <c r="F120" s="67"/>
      <c r="G120" s="18" t="s">
        <v>569</v>
      </c>
      <c r="H120" s="29">
        <v>130</v>
      </c>
      <c r="I120" s="46">
        <v>0</v>
      </c>
      <c r="J120" s="29">
        <f>H120*AO120</f>
        <v>0</v>
      </c>
      <c r="K120" s="29">
        <f>H120*AP120</f>
        <v>0</v>
      </c>
      <c r="L120" s="29">
        <f>H120*I120</f>
        <v>0</v>
      </c>
      <c r="M120" s="41" t="s">
        <v>484</v>
      </c>
      <c r="Z120" s="29">
        <f>IF(AQ120="5",BJ120,0)</f>
        <v>0</v>
      </c>
      <c r="AB120" s="29">
        <f>IF(AQ120="1",BH120,0)</f>
        <v>0</v>
      </c>
      <c r="AC120" s="29">
        <f>IF(AQ120="1",BI120,0)</f>
        <v>0</v>
      </c>
      <c r="AD120" s="29">
        <f>IF(AQ120="7",BH120,0)</f>
        <v>0</v>
      </c>
      <c r="AE120" s="29">
        <f>IF(AQ120="7",BI120,0)</f>
        <v>0</v>
      </c>
      <c r="AF120" s="29">
        <f>IF(AQ120="2",BH120,0)</f>
        <v>0</v>
      </c>
      <c r="AG120" s="29">
        <f>IF(AQ120="2",BI120,0)</f>
        <v>0</v>
      </c>
      <c r="AH120" s="29">
        <f>IF(AQ120="0",BJ120,0)</f>
        <v>0</v>
      </c>
      <c r="AI120" s="10" t="s">
        <v>394</v>
      </c>
      <c r="AJ120" s="29">
        <f>IF(AN120=0,L120,0)</f>
        <v>0</v>
      </c>
      <c r="AK120" s="29">
        <f>IF(AN120=15,L120,0)</f>
        <v>0</v>
      </c>
      <c r="AL120" s="29">
        <f>IF(AN120=21,L120,0)</f>
        <v>0</v>
      </c>
      <c r="AN120" s="29">
        <v>21</v>
      </c>
      <c r="AO120" s="29">
        <f>I120*0</f>
        <v>0</v>
      </c>
      <c r="AP120" s="29">
        <f>I120*(1-0)</f>
        <v>0</v>
      </c>
      <c r="AQ120" s="23" t="s">
        <v>578</v>
      </c>
      <c r="AV120" s="29">
        <f>AW120+AX120</f>
        <v>0</v>
      </c>
      <c r="AW120" s="29">
        <f>H120*AO120</f>
        <v>0</v>
      </c>
      <c r="AX120" s="29">
        <f>H120*AP120</f>
        <v>0</v>
      </c>
      <c r="AY120" s="23" t="s">
        <v>353</v>
      </c>
      <c r="AZ120" s="23" t="s">
        <v>297</v>
      </c>
      <c r="BA120" s="10" t="s">
        <v>439</v>
      </c>
      <c r="BC120" s="29">
        <f>AW120+AX120</f>
        <v>0</v>
      </c>
      <c r="BD120" s="29">
        <f>I120/(100-BE120)*100</f>
        <v>0</v>
      </c>
      <c r="BE120" s="29">
        <v>0</v>
      </c>
      <c r="BF120" s="29">
        <f>120</f>
        <v>120</v>
      </c>
      <c r="BH120" s="29">
        <f>H120*AO120</f>
        <v>0</v>
      </c>
      <c r="BI120" s="29">
        <f>H120*AP120</f>
        <v>0</v>
      </c>
      <c r="BJ120" s="29">
        <f>H120*I120</f>
        <v>0</v>
      </c>
      <c r="BK120" s="29"/>
      <c r="BL120" s="29">
        <v>762</v>
      </c>
    </row>
    <row r="121" spans="1:13" ht="13.5" customHeight="1">
      <c r="A121" s="40"/>
      <c r="B121" s="34" t="s">
        <v>279</v>
      </c>
      <c r="C121" s="88" t="s">
        <v>169</v>
      </c>
      <c r="D121" s="89"/>
      <c r="E121" s="89"/>
      <c r="F121" s="89"/>
      <c r="G121" s="89"/>
      <c r="H121" s="89"/>
      <c r="I121" s="90"/>
      <c r="J121" s="89"/>
      <c r="K121" s="89"/>
      <c r="L121" s="89"/>
      <c r="M121" s="91"/>
    </row>
    <row r="122" spans="1:64" ht="15" customHeight="1">
      <c r="A122" s="4" t="s">
        <v>455</v>
      </c>
      <c r="B122" s="18" t="s">
        <v>653</v>
      </c>
      <c r="C122" s="67" t="s">
        <v>549</v>
      </c>
      <c r="D122" s="67"/>
      <c r="E122" s="67"/>
      <c r="F122" s="67"/>
      <c r="G122" s="18" t="s">
        <v>569</v>
      </c>
      <c r="H122" s="29">
        <v>70</v>
      </c>
      <c r="I122" s="46">
        <v>0</v>
      </c>
      <c r="J122" s="29">
        <f>H122*AO122</f>
        <v>0</v>
      </c>
      <c r="K122" s="29">
        <f>H122*AP122</f>
        <v>0</v>
      </c>
      <c r="L122" s="29">
        <f>H122*I122</f>
        <v>0</v>
      </c>
      <c r="M122" s="41" t="s">
        <v>484</v>
      </c>
      <c r="Z122" s="29">
        <f>IF(AQ122="5",BJ122,0)</f>
        <v>0</v>
      </c>
      <c r="AB122" s="29">
        <f>IF(AQ122="1",BH122,0)</f>
        <v>0</v>
      </c>
      <c r="AC122" s="29">
        <f>IF(AQ122="1",BI122,0)</f>
        <v>0</v>
      </c>
      <c r="AD122" s="29">
        <f>IF(AQ122="7",BH122,0)</f>
        <v>0</v>
      </c>
      <c r="AE122" s="29">
        <f>IF(AQ122="7",BI122,0)</f>
        <v>0</v>
      </c>
      <c r="AF122" s="29">
        <f>IF(AQ122="2",BH122,0)</f>
        <v>0</v>
      </c>
      <c r="AG122" s="29">
        <f>IF(AQ122="2",BI122,0)</f>
        <v>0</v>
      </c>
      <c r="AH122" s="29">
        <f>IF(AQ122="0",BJ122,0)</f>
        <v>0</v>
      </c>
      <c r="AI122" s="10" t="s">
        <v>394</v>
      </c>
      <c r="AJ122" s="29">
        <f>IF(AN122=0,L122,0)</f>
        <v>0</v>
      </c>
      <c r="AK122" s="29">
        <f>IF(AN122=15,L122,0)</f>
        <v>0</v>
      </c>
      <c r="AL122" s="29">
        <f>IF(AN122=21,L122,0)</f>
        <v>0</v>
      </c>
      <c r="AN122" s="29">
        <v>21</v>
      </c>
      <c r="AO122" s="29">
        <f>I122*0</f>
        <v>0</v>
      </c>
      <c r="AP122" s="29">
        <f>I122*(1-0)</f>
        <v>0</v>
      </c>
      <c r="AQ122" s="23" t="s">
        <v>578</v>
      </c>
      <c r="AV122" s="29">
        <f>AW122+AX122</f>
        <v>0</v>
      </c>
      <c r="AW122" s="29">
        <f>H122*AO122</f>
        <v>0</v>
      </c>
      <c r="AX122" s="29">
        <f>H122*AP122</f>
        <v>0</v>
      </c>
      <c r="AY122" s="23" t="s">
        <v>353</v>
      </c>
      <c r="AZ122" s="23" t="s">
        <v>297</v>
      </c>
      <c r="BA122" s="10" t="s">
        <v>439</v>
      </c>
      <c r="BC122" s="29">
        <f>AW122+AX122</f>
        <v>0</v>
      </c>
      <c r="BD122" s="29">
        <f>I122/(100-BE122)*100</f>
        <v>0</v>
      </c>
      <c r="BE122" s="29">
        <v>0</v>
      </c>
      <c r="BF122" s="29">
        <f>122</f>
        <v>122</v>
      </c>
      <c r="BH122" s="29">
        <f>H122*AO122</f>
        <v>0</v>
      </c>
      <c r="BI122" s="29">
        <f>H122*AP122</f>
        <v>0</v>
      </c>
      <c r="BJ122" s="29">
        <f>H122*I122</f>
        <v>0</v>
      </c>
      <c r="BK122" s="29"/>
      <c r="BL122" s="29">
        <v>762</v>
      </c>
    </row>
    <row r="123" spans="1:13" ht="13.5" customHeight="1">
      <c r="A123" s="40"/>
      <c r="B123" s="34" t="s">
        <v>279</v>
      </c>
      <c r="C123" s="88" t="s">
        <v>594</v>
      </c>
      <c r="D123" s="89"/>
      <c r="E123" s="89"/>
      <c r="F123" s="89"/>
      <c r="G123" s="89"/>
      <c r="H123" s="89"/>
      <c r="I123" s="90"/>
      <c r="J123" s="89"/>
      <c r="K123" s="89"/>
      <c r="L123" s="89"/>
      <c r="M123" s="91"/>
    </row>
    <row r="124" spans="1:64" ht="15" customHeight="1">
      <c r="A124" s="4" t="s">
        <v>44</v>
      </c>
      <c r="B124" s="18" t="s">
        <v>571</v>
      </c>
      <c r="C124" s="67" t="s">
        <v>141</v>
      </c>
      <c r="D124" s="67"/>
      <c r="E124" s="67"/>
      <c r="F124" s="67"/>
      <c r="G124" s="18" t="s">
        <v>569</v>
      </c>
      <c r="H124" s="29">
        <v>70</v>
      </c>
      <c r="I124" s="46">
        <v>0</v>
      </c>
      <c r="J124" s="29">
        <f>H124*AO124</f>
        <v>0</v>
      </c>
      <c r="K124" s="29">
        <f>H124*AP124</f>
        <v>0</v>
      </c>
      <c r="L124" s="29">
        <f>H124*I124</f>
        <v>0</v>
      </c>
      <c r="M124" s="41" t="s">
        <v>484</v>
      </c>
      <c r="Z124" s="29">
        <f>IF(AQ124="5",BJ124,0)</f>
        <v>0</v>
      </c>
      <c r="AB124" s="29">
        <f>IF(AQ124="1",BH124,0)</f>
        <v>0</v>
      </c>
      <c r="AC124" s="29">
        <f>IF(AQ124="1",BI124,0)</f>
        <v>0</v>
      </c>
      <c r="AD124" s="29">
        <f>IF(AQ124="7",BH124,0)</f>
        <v>0</v>
      </c>
      <c r="AE124" s="29">
        <f>IF(AQ124="7",BI124,0)</f>
        <v>0</v>
      </c>
      <c r="AF124" s="29">
        <f>IF(AQ124="2",BH124,0)</f>
        <v>0</v>
      </c>
      <c r="AG124" s="29">
        <f>IF(AQ124="2",BI124,0)</f>
        <v>0</v>
      </c>
      <c r="AH124" s="29">
        <f>IF(AQ124="0",BJ124,0)</f>
        <v>0</v>
      </c>
      <c r="AI124" s="10" t="s">
        <v>394</v>
      </c>
      <c r="AJ124" s="29">
        <f>IF(AN124=0,L124,0)</f>
        <v>0</v>
      </c>
      <c r="AK124" s="29">
        <f>IF(AN124=15,L124,0)</f>
        <v>0</v>
      </c>
      <c r="AL124" s="29">
        <f>IF(AN124=21,L124,0)</f>
        <v>0</v>
      </c>
      <c r="AN124" s="29">
        <v>21</v>
      </c>
      <c r="AO124" s="29">
        <f>I124*0.0957</f>
        <v>0</v>
      </c>
      <c r="AP124" s="29">
        <f>I124*(1-0.0957)</f>
        <v>0</v>
      </c>
      <c r="AQ124" s="23" t="s">
        <v>578</v>
      </c>
      <c r="AV124" s="29">
        <f>AW124+AX124</f>
        <v>0</v>
      </c>
      <c r="AW124" s="29">
        <f>H124*AO124</f>
        <v>0</v>
      </c>
      <c r="AX124" s="29">
        <f>H124*AP124</f>
        <v>0</v>
      </c>
      <c r="AY124" s="23" t="s">
        <v>353</v>
      </c>
      <c r="AZ124" s="23" t="s">
        <v>297</v>
      </c>
      <c r="BA124" s="10" t="s">
        <v>439</v>
      </c>
      <c r="BC124" s="29">
        <f>AW124+AX124</f>
        <v>0</v>
      </c>
      <c r="BD124" s="29">
        <f>I124/(100-BE124)*100</f>
        <v>0</v>
      </c>
      <c r="BE124" s="29">
        <v>0</v>
      </c>
      <c r="BF124" s="29">
        <f>124</f>
        <v>124</v>
      </c>
      <c r="BH124" s="29">
        <f>H124*AO124</f>
        <v>0</v>
      </c>
      <c r="BI124" s="29">
        <f>H124*AP124</f>
        <v>0</v>
      </c>
      <c r="BJ124" s="29">
        <f>H124*I124</f>
        <v>0</v>
      </c>
      <c r="BK124" s="29"/>
      <c r="BL124" s="29">
        <v>762</v>
      </c>
    </row>
    <row r="125" spans="1:13" ht="13.5" customHeight="1">
      <c r="A125" s="40"/>
      <c r="B125" s="34" t="s">
        <v>279</v>
      </c>
      <c r="C125" s="88" t="s">
        <v>594</v>
      </c>
      <c r="D125" s="89"/>
      <c r="E125" s="89"/>
      <c r="F125" s="89"/>
      <c r="G125" s="89"/>
      <c r="H125" s="89"/>
      <c r="I125" s="90"/>
      <c r="J125" s="89"/>
      <c r="K125" s="89"/>
      <c r="L125" s="89"/>
      <c r="M125" s="91"/>
    </row>
    <row r="126" spans="1:64" ht="15" customHeight="1">
      <c r="A126" s="4" t="s">
        <v>447</v>
      </c>
      <c r="B126" s="18" t="s">
        <v>163</v>
      </c>
      <c r="C126" s="67" t="s">
        <v>622</v>
      </c>
      <c r="D126" s="67"/>
      <c r="E126" s="67"/>
      <c r="F126" s="67"/>
      <c r="G126" s="18" t="s">
        <v>569</v>
      </c>
      <c r="H126" s="29">
        <v>140</v>
      </c>
      <c r="I126" s="46">
        <v>0</v>
      </c>
      <c r="J126" s="29">
        <f>H126*AO126</f>
        <v>0</v>
      </c>
      <c r="K126" s="29">
        <f>H126*AP126</f>
        <v>0</v>
      </c>
      <c r="L126" s="29">
        <f>H126*I126</f>
        <v>0</v>
      </c>
      <c r="M126" s="41" t="s">
        <v>484</v>
      </c>
      <c r="Z126" s="29">
        <f>IF(AQ126="5",BJ126,0)</f>
        <v>0</v>
      </c>
      <c r="AB126" s="29">
        <f>IF(AQ126="1",BH126,0)</f>
        <v>0</v>
      </c>
      <c r="AC126" s="29">
        <f>IF(AQ126="1",BI126,0)</f>
        <v>0</v>
      </c>
      <c r="AD126" s="29">
        <f>IF(AQ126="7",BH126,0)</f>
        <v>0</v>
      </c>
      <c r="AE126" s="29">
        <f>IF(AQ126="7",BI126,0)</f>
        <v>0</v>
      </c>
      <c r="AF126" s="29">
        <f>IF(AQ126="2",BH126,0)</f>
        <v>0</v>
      </c>
      <c r="AG126" s="29">
        <f>IF(AQ126="2",BI126,0)</f>
        <v>0</v>
      </c>
      <c r="AH126" s="29">
        <f>IF(AQ126="0",BJ126,0)</f>
        <v>0</v>
      </c>
      <c r="AI126" s="10" t="s">
        <v>394</v>
      </c>
      <c r="AJ126" s="29">
        <f>IF(AN126=0,L126,0)</f>
        <v>0</v>
      </c>
      <c r="AK126" s="29">
        <f>IF(AN126=15,L126,0)</f>
        <v>0</v>
      </c>
      <c r="AL126" s="29">
        <f>IF(AN126=21,L126,0)</f>
        <v>0</v>
      </c>
      <c r="AN126" s="29">
        <v>21</v>
      </c>
      <c r="AO126" s="29">
        <f>I126*1</f>
        <v>0</v>
      </c>
      <c r="AP126" s="29">
        <f>I126*(1-1)</f>
        <v>0</v>
      </c>
      <c r="AQ126" s="23" t="s">
        <v>578</v>
      </c>
      <c r="AV126" s="29">
        <f>AW126+AX126</f>
        <v>0</v>
      </c>
      <c r="AW126" s="29">
        <f>H126*AO126</f>
        <v>0</v>
      </c>
      <c r="AX126" s="29">
        <f>H126*AP126</f>
        <v>0</v>
      </c>
      <c r="AY126" s="23" t="s">
        <v>353</v>
      </c>
      <c r="AZ126" s="23" t="s">
        <v>297</v>
      </c>
      <c r="BA126" s="10" t="s">
        <v>439</v>
      </c>
      <c r="BC126" s="29">
        <f>AW126+AX126</f>
        <v>0</v>
      </c>
      <c r="BD126" s="29">
        <f>I126/(100-BE126)*100</f>
        <v>0</v>
      </c>
      <c r="BE126" s="29">
        <v>0</v>
      </c>
      <c r="BF126" s="29">
        <f>126</f>
        <v>126</v>
      </c>
      <c r="BH126" s="29">
        <f>H126*AO126</f>
        <v>0</v>
      </c>
      <c r="BI126" s="29">
        <f>H126*AP126</f>
        <v>0</v>
      </c>
      <c r="BJ126" s="29">
        <f>H126*I126</f>
        <v>0</v>
      </c>
      <c r="BK126" s="29"/>
      <c r="BL126" s="29">
        <v>762</v>
      </c>
    </row>
    <row r="127" spans="1:64" ht="15" customHeight="1">
      <c r="A127" s="4" t="s">
        <v>349</v>
      </c>
      <c r="B127" s="18" t="s">
        <v>386</v>
      </c>
      <c r="C127" s="67" t="s">
        <v>625</v>
      </c>
      <c r="D127" s="67"/>
      <c r="E127" s="67"/>
      <c r="F127" s="67"/>
      <c r="G127" s="18" t="s">
        <v>557</v>
      </c>
      <c r="H127" s="29">
        <v>2.1</v>
      </c>
      <c r="I127" s="46">
        <v>0</v>
      </c>
      <c r="J127" s="29">
        <f>H127*AO127</f>
        <v>0</v>
      </c>
      <c r="K127" s="29">
        <f>H127*AP127</f>
        <v>0</v>
      </c>
      <c r="L127" s="29">
        <f>H127*I127</f>
        <v>0</v>
      </c>
      <c r="M127" s="41" t="s">
        <v>484</v>
      </c>
      <c r="Z127" s="29">
        <f>IF(AQ127="5",BJ127,0)</f>
        <v>0</v>
      </c>
      <c r="AB127" s="29">
        <f>IF(AQ127="1",BH127,0)</f>
        <v>0</v>
      </c>
      <c r="AC127" s="29">
        <f>IF(AQ127="1",BI127,0)</f>
        <v>0</v>
      </c>
      <c r="AD127" s="29">
        <f>IF(AQ127="7",BH127,0)</f>
        <v>0</v>
      </c>
      <c r="AE127" s="29">
        <f>IF(AQ127="7",BI127,0)</f>
        <v>0</v>
      </c>
      <c r="AF127" s="29">
        <f>IF(AQ127="2",BH127,0)</f>
        <v>0</v>
      </c>
      <c r="AG127" s="29">
        <f>IF(AQ127="2",BI127,0)</f>
        <v>0</v>
      </c>
      <c r="AH127" s="29">
        <f>IF(AQ127="0",BJ127,0)</f>
        <v>0</v>
      </c>
      <c r="AI127" s="10" t="s">
        <v>394</v>
      </c>
      <c r="AJ127" s="29">
        <f>IF(AN127=0,L127,0)</f>
        <v>0</v>
      </c>
      <c r="AK127" s="29">
        <f>IF(AN127=15,L127,0)</f>
        <v>0</v>
      </c>
      <c r="AL127" s="29">
        <f>IF(AN127=21,L127,0)</f>
        <v>0</v>
      </c>
      <c r="AN127" s="29">
        <v>21</v>
      </c>
      <c r="AO127" s="29">
        <f>I127*0.999918046221931</f>
        <v>0</v>
      </c>
      <c r="AP127" s="29">
        <f>I127*(1-0.999918046221931)</f>
        <v>0</v>
      </c>
      <c r="AQ127" s="23" t="s">
        <v>578</v>
      </c>
      <c r="AV127" s="29">
        <f>AW127+AX127</f>
        <v>0</v>
      </c>
      <c r="AW127" s="29">
        <f>H127*AO127</f>
        <v>0</v>
      </c>
      <c r="AX127" s="29">
        <f>H127*AP127</f>
        <v>0</v>
      </c>
      <c r="AY127" s="23" t="s">
        <v>353</v>
      </c>
      <c r="AZ127" s="23" t="s">
        <v>297</v>
      </c>
      <c r="BA127" s="10" t="s">
        <v>439</v>
      </c>
      <c r="BC127" s="29">
        <f>AW127+AX127</f>
        <v>0</v>
      </c>
      <c r="BD127" s="29">
        <f>I127/(100-BE127)*100</f>
        <v>0</v>
      </c>
      <c r="BE127" s="29">
        <v>0</v>
      </c>
      <c r="BF127" s="29">
        <f>127</f>
        <v>127</v>
      </c>
      <c r="BH127" s="29">
        <f>H127*AO127</f>
        <v>0</v>
      </c>
      <c r="BI127" s="29">
        <f>H127*AP127</f>
        <v>0</v>
      </c>
      <c r="BJ127" s="29">
        <f>H127*I127</f>
        <v>0</v>
      </c>
      <c r="BK127" s="29"/>
      <c r="BL127" s="29">
        <v>762</v>
      </c>
    </row>
    <row r="128" spans="1:64" ht="15" customHeight="1">
      <c r="A128" s="4" t="s">
        <v>584</v>
      </c>
      <c r="B128" s="18" t="s">
        <v>40</v>
      </c>
      <c r="C128" s="67" t="s">
        <v>546</v>
      </c>
      <c r="D128" s="67"/>
      <c r="E128" s="67"/>
      <c r="F128" s="67"/>
      <c r="G128" s="18" t="s">
        <v>569</v>
      </c>
      <c r="H128" s="29">
        <v>70</v>
      </c>
      <c r="I128" s="46">
        <v>0</v>
      </c>
      <c r="J128" s="29">
        <f>H128*AO128</f>
        <v>0</v>
      </c>
      <c r="K128" s="29">
        <f>H128*AP128</f>
        <v>0</v>
      </c>
      <c r="L128" s="29">
        <f>H128*I128</f>
        <v>0</v>
      </c>
      <c r="M128" s="41" t="s">
        <v>484</v>
      </c>
      <c r="Z128" s="29">
        <f>IF(AQ128="5",BJ128,0)</f>
        <v>0</v>
      </c>
      <c r="AB128" s="29">
        <f>IF(AQ128="1",BH128,0)</f>
        <v>0</v>
      </c>
      <c r="AC128" s="29">
        <f>IF(AQ128="1",BI128,0)</f>
        <v>0</v>
      </c>
      <c r="AD128" s="29">
        <f>IF(AQ128="7",BH128,0)</f>
        <v>0</v>
      </c>
      <c r="AE128" s="29">
        <f>IF(AQ128="7",BI128,0)</f>
        <v>0</v>
      </c>
      <c r="AF128" s="29">
        <f>IF(AQ128="2",BH128,0)</f>
        <v>0</v>
      </c>
      <c r="AG128" s="29">
        <f>IF(AQ128="2",BI128,0)</f>
        <v>0</v>
      </c>
      <c r="AH128" s="29">
        <f>IF(AQ128="0",BJ128,0)</f>
        <v>0</v>
      </c>
      <c r="AI128" s="10" t="s">
        <v>394</v>
      </c>
      <c r="AJ128" s="29">
        <f>IF(AN128=0,L128,0)</f>
        <v>0</v>
      </c>
      <c r="AK128" s="29">
        <f>IF(AN128=15,L128,0)</f>
        <v>0</v>
      </c>
      <c r="AL128" s="29">
        <f>IF(AN128=21,L128,0)</f>
        <v>0</v>
      </c>
      <c r="AN128" s="29">
        <v>21</v>
      </c>
      <c r="AO128" s="29">
        <f>I128*0.76803536345776</f>
        <v>0</v>
      </c>
      <c r="AP128" s="29">
        <f>I128*(1-0.76803536345776)</f>
        <v>0</v>
      </c>
      <c r="AQ128" s="23" t="s">
        <v>578</v>
      </c>
      <c r="AV128" s="29">
        <f>AW128+AX128</f>
        <v>0</v>
      </c>
      <c r="AW128" s="29">
        <f>H128*AO128</f>
        <v>0</v>
      </c>
      <c r="AX128" s="29">
        <f>H128*AP128</f>
        <v>0</v>
      </c>
      <c r="AY128" s="23" t="s">
        <v>353</v>
      </c>
      <c r="AZ128" s="23" t="s">
        <v>297</v>
      </c>
      <c r="BA128" s="10" t="s">
        <v>439</v>
      </c>
      <c r="BC128" s="29">
        <f>AW128+AX128</f>
        <v>0</v>
      </c>
      <c r="BD128" s="29">
        <f>I128/(100-BE128)*100</f>
        <v>0</v>
      </c>
      <c r="BE128" s="29">
        <v>0</v>
      </c>
      <c r="BF128" s="29">
        <f>128</f>
        <v>128</v>
      </c>
      <c r="BH128" s="29">
        <f>H128*AO128</f>
        <v>0</v>
      </c>
      <c r="BI128" s="29">
        <f>H128*AP128</f>
        <v>0</v>
      </c>
      <c r="BJ128" s="29">
        <f>H128*I128</f>
        <v>0</v>
      </c>
      <c r="BK128" s="29"/>
      <c r="BL128" s="29">
        <v>762</v>
      </c>
    </row>
    <row r="129" spans="1:13" ht="13.5" customHeight="1">
      <c r="A129" s="40"/>
      <c r="B129" s="34" t="s">
        <v>279</v>
      </c>
      <c r="C129" s="88" t="s">
        <v>211</v>
      </c>
      <c r="D129" s="89"/>
      <c r="E129" s="89"/>
      <c r="F129" s="89"/>
      <c r="G129" s="89"/>
      <c r="H129" s="89"/>
      <c r="I129" s="90"/>
      <c r="J129" s="89"/>
      <c r="K129" s="89"/>
      <c r="L129" s="89"/>
      <c r="M129" s="91"/>
    </row>
    <row r="130" spans="1:64" ht="15" customHeight="1">
      <c r="A130" s="4" t="s">
        <v>532</v>
      </c>
      <c r="B130" s="18" t="s">
        <v>40</v>
      </c>
      <c r="C130" s="67" t="s">
        <v>546</v>
      </c>
      <c r="D130" s="67"/>
      <c r="E130" s="67"/>
      <c r="F130" s="67"/>
      <c r="G130" s="18" t="s">
        <v>569</v>
      </c>
      <c r="H130" s="29">
        <v>130</v>
      </c>
      <c r="I130" s="46">
        <v>0</v>
      </c>
      <c r="J130" s="29">
        <f>H130*AO130</f>
        <v>0</v>
      </c>
      <c r="K130" s="29">
        <f>H130*AP130</f>
        <v>0</v>
      </c>
      <c r="L130" s="29">
        <f>H130*I130</f>
        <v>0</v>
      </c>
      <c r="M130" s="41" t="s">
        <v>484</v>
      </c>
      <c r="Z130" s="29">
        <f>IF(AQ130="5",BJ130,0)</f>
        <v>0</v>
      </c>
      <c r="AB130" s="29">
        <f>IF(AQ130="1",BH130,0)</f>
        <v>0</v>
      </c>
      <c r="AC130" s="29">
        <f>IF(AQ130="1",BI130,0)</f>
        <v>0</v>
      </c>
      <c r="AD130" s="29">
        <f>IF(AQ130="7",BH130,0)</f>
        <v>0</v>
      </c>
      <c r="AE130" s="29">
        <f>IF(AQ130="7",BI130,0)</f>
        <v>0</v>
      </c>
      <c r="AF130" s="29">
        <f>IF(AQ130="2",BH130,0)</f>
        <v>0</v>
      </c>
      <c r="AG130" s="29">
        <f>IF(AQ130="2",BI130,0)</f>
        <v>0</v>
      </c>
      <c r="AH130" s="29">
        <f>IF(AQ130="0",BJ130,0)</f>
        <v>0</v>
      </c>
      <c r="AI130" s="10" t="s">
        <v>394</v>
      </c>
      <c r="AJ130" s="29">
        <f>IF(AN130=0,L130,0)</f>
        <v>0</v>
      </c>
      <c r="AK130" s="29">
        <f>IF(AN130=15,L130,0)</f>
        <v>0</v>
      </c>
      <c r="AL130" s="29">
        <f>IF(AN130=21,L130,0)</f>
        <v>0</v>
      </c>
      <c r="AN130" s="29">
        <v>21</v>
      </c>
      <c r="AO130" s="29">
        <f>I130*0.76803536345776</f>
        <v>0</v>
      </c>
      <c r="AP130" s="29">
        <f>I130*(1-0.76803536345776)</f>
        <v>0</v>
      </c>
      <c r="AQ130" s="23" t="s">
        <v>578</v>
      </c>
      <c r="AV130" s="29">
        <f>AW130+AX130</f>
        <v>0</v>
      </c>
      <c r="AW130" s="29">
        <f>H130*AO130</f>
        <v>0</v>
      </c>
      <c r="AX130" s="29">
        <f>H130*AP130</f>
        <v>0</v>
      </c>
      <c r="AY130" s="23" t="s">
        <v>353</v>
      </c>
      <c r="AZ130" s="23" t="s">
        <v>297</v>
      </c>
      <c r="BA130" s="10" t="s">
        <v>439</v>
      </c>
      <c r="BC130" s="29">
        <f>AW130+AX130</f>
        <v>0</v>
      </c>
      <c r="BD130" s="29">
        <f>I130/(100-BE130)*100</f>
        <v>0</v>
      </c>
      <c r="BE130" s="29">
        <v>0</v>
      </c>
      <c r="BF130" s="29">
        <f>130</f>
        <v>130</v>
      </c>
      <c r="BH130" s="29">
        <f>H130*AO130</f>
        <v>0</v>
      </c>
      <c r="BI130" s="29">
        <f>H130*AP130</f>
        <v>0</v>
      </c>
      <c r="BJ130" s="29">
        <f>H130*I130</f>
        <v>0</v>
      </c>
      <c r="BK130" s="29"/>
      <c r="BL130" s="29">
        <v>762</v>
      </c>
    </row>
    <row r="131" spans="1:13" ht="13.5" customHeight="1">
      <c r="A131" s="40"/>
      <c r="B131" s="34" t="s">
        <v>279</v>
      </c>
      <c r="C131" s="88" t="s">
        <v>154</v>
      </c>
      <c r="D131" s="89"/>
      <c r="E131" s="89"/>
      <c r="F131" s="89"/>
      <c r="G131" s="89"/>
      <c r="H131" s="89"/>
      <c r="I131" s="90"/>
      <c r="J131" s="89"/>
      <c r="K131" s="89"/>
      <c r="L131" s="89"/>
      <c r="M131" s="91"/>
    </row>
    <row r="132" spans="1:64" ht="15" customHeight="1">
      <c r="A132" s="4" t="s">
        <v>377</v>
      </c>
      <c r="B132" s="18" t="s">
        <v>263</v>
      </c>
      <c r="C132" s="67" t="s">
        <v>112</v>
      </c>
      <c r="D132" s="67"/>
      <c r="E132" s="67"/>
      <c r="F132" s="67"/>
      <c r="G132" s="18" t="s">
        <v>557</v>
      </c>
      <c r="H132" s="29">
        <v>6</v>
      </c>
      <c r="I132" s="46">
        <v>0</v>
      </c>
      <c r="J132" s="29">
        <f>H132*AO132</f>
        <v>0</v>
      </c>
      <c r="K132" s="29">
        <f>H132*AP132</f>
        <v>0</v>
      </c>
      <c r="L132" s="29">
        <f>H132*I132</f>
        <v>0</v>
      </c>
      <c r="M132" s="41" t="s">
        <v>484</v>
      </c>
      <c r="Z132" s="29">
        <f>IF(AQ132="5",BJ132,0)</f>
        <v>0</v>
      </c>
      <c r="AB132" s="29">
        <f>IF(AQ132="1",BH132,0)</f>
        <v>0</v>
      </c>
      <c r="AC132" s="29">
        <f>IF(AQ132="1",BI132,0)</f>
        <v>0</v>
      </c>
      <c r="AD132" s="29">
        <f>IF(AQ132="7",BH132,0)</f>
        <v>0</v>
      </c>
      <c r="AE132" s="29">
        <f>IF(AQ132="7",BI132,0)</f>
        <v>0</v>
      </c>
      <c r="AF132" s="29">
        <f>IF(AQ132="2",BH132,0)</f>
        <v>0</v>
      </c>
      <c r="AG132" s="29">
        <f>IF(AQ132="2",BI132,0)</f>
        <v>0</v>
      </c>
      <c r="AH132" s="29">
        <f>IF(AQ132="0",BJ132,0)</f>
        <v>0</v>
      </c>
      <c r="AI132" s="10" t="s">
        <v>394</v>
      </c>
      <c r="AJ132" s="29">
        <f>IF(AN132=0,L132,0)</f>
        <v>0</v>
      </c>
      <c r="AK132" s="29">
        <f>IF(AN132=15,L132,0)</f>
        <v>0</v>
      </c>
      <c r="AL132" s="29">
        <f>IF(AN132=21,L132,0)</f>
        <v>0</v>
      </c>
      <c r="AN132" s="29">
        <v>21</v>
      </c>
      <c r="AO132" s="29">
        <f>I132*1</f>
        <v>0</v>
      </c>
      <c r="AP132" s="29">
        <f>I132*(1-1)</f>
        <v>0</v>
      </c>
      <c r="AQ132" s="23" t="s">
        <v>578</v>
      </c>
      <c r="AV132" s="29">
        <f>AW132+AX132</f>
        <v>0</v>
      </c>
      <c r="AW132" s="29">
        <f>H132*AO132</f>
        <v>0</v>
      </c>
      <c r="AX132" s="29">
        <f>H132*AP132</f>
        <v>0</v>
      </c>
      <c r="AY132" s="23" t="s">
        <v>353</v>
      </c>
      <c r="AZ132" s="23" t="s">
        <v>297</v>
      </c>
      <c r="BA132" s="10" t="s">
        <v>439</v>
      </c>
      <c r="BC132" s="29">
        <f>AW132+AX132</f>
        <v>0</v>
      </c>
      <c r="BD132" s="29">
        <f>I132/(100-BE132)*100</f>
        <v>0</v>
      </c>
      <c r="BE132" s="29">
        <v>0</v>
      </c>
      <c r="BF132" s="29">
        <f>132</f>
        <v>132</v>
      </c>
      <c r="BH132" s="29">
        <f>H132*AO132</f>
        <v>0</v>
      </c>
      <c r="BI132" s="29">
        <f>H132*AP132</f>
        <v>0</v>
      </c>
      <c r="BJ132" s="29">
        <f>H132*I132</f>
        <v>0</v>
      </c>
      <c r="BK132" s="29"/>
      <c r="BL132" s="29">
        <v>762</v>
      </c>
    </row>
    <row r="133" spans="1:64" ht="15" customHeight="1">
      <c r="A133" s="4" t="s">
        <v>278</v>
      </c>
      <c r="B133" s="18" t="s">
        <v>438</v>
      </c>
      <c r="C133" s="67" t="s">
        <v>630</v>
      </c>
      <c r="D133" s="67"/>
      <c r="E133" s="67"/>
      <c r="F133" s="67"/>
      <c r="G133" s="18" t="s">
        <v>255</v>
      </c>
      <c r="H133" s="29">
        <v>5.112</v>
      </c>
      <c r="I133" s="46">
        <v>0</v>
      </c>
      <c r="J133" s="29">
        <f>H133*AO133</f>
        <v>0</v>
      </c>
      <c r="K133" s="29">
        <f>H133*AP133</f>
        <v>0</v>
      </c>
      <c r="L133" s="29">
        <f>H133*I133</f>
        <v>0</v>
      </c>
      <c r="M133" s="41" t="s">
        <v>484</v>
      </c>
      <c r="Z133" s="29">
        <f>IF(AQ133="5",BJ133,0)</f>
        <v>0</v>
      </c>
      <c r="AB133" s="29">
        <f>IF(AQ133="1",BH133,0)</f>
        <v>0</v>
      </c>
      <c r="AC133" s="29">
        <f>IF(AQ133="1",BI133,0)</f>
        <v>0</v>
      </c>
      <c r="AD133" s="29">
        <f>IF(AQ133="7",BH133,0)</f>
        <v>0</v>
      </c>
      <c r="AE133" s="29">
        <f>IF(AQ133="7",BI133,0)</f>
        <v>0</v>
      </c>
      <c r="AF133" s="29">
        <f>IF(AQ133="2",BH133,0)</f>
        <v>0</v>
      </c>
      <c r="AG133" s="29">
        <f>IF(AQ133="2",BI133,0)</f>
        <v>0</v>
      </c>
      <c r="AH133" s="29">
        <f>IF(AQ133="0",BJ133,0)</f>
        <v>0</v>
      </c>
      <c r="AI133" s="10" t="s">
        <v>394</v>
      </c>
      <c r="AJ133" s="29">
        <f>IF(AN133=0,L133,0)</f>
        <v>0</v>
      </c>
      <c r="AK133" s="29">
        <f>IF(AN133=15,L133,0)</f>
        <v>0</v>
      </c>
      <c r="AL133" s="29">
        <f>IF(AN133=21,L133,0)</f>
        <v>0</v>
      </c>
      <c r="AN133" s="29">
        <v>21</v>
      </c>
      <c r="AO133" s="29">
        <f>I133*0</f>
        <v>0</v>
      </c>
      <c r="AP133" s="29">
        <f>I133*(1-0)</f>
        <v>0</v>
      </c>
      <c r="AQ133" s="23" t="s">
        <v>296</v>
      </c>
      <c r="AV133" s="29">
        <f>AW133+AX133</f>
        <v>0</v>
      </c>
      <c r="AW133" s="29">
        <f>H133*AO133</f>
        <v>0</v>
      </c>
      <c r="AX133" s="29">
        <f>H133*AP133</f>
        <v>0</v>
      </c>
      <c r="AY133" s="23" t="s">
        <v>353</v>
      </c>
      <c r="AZ133" s="23" t="s">
        <v>297</v>
      </c>
      <c r="BA133" s="10" t="s">
        <v>439</v>
      </c>
      <c r="BC133" s="29">
        <f>AW133+AX133</f>
        <v>0</v>
      </c>
      <c r="BD133" s="29">
        <f>I133/(100-BE133)*100</f>
        <v>0</v>
      </c>
      <c r="BE133" s="29">
        <v>0</v>
      </c>
      <c r="BF133" s="29">
        <f>133</f>
        <v>133</v>
      </c>
      <c r="BH133" s="29">
        <f>H133*AO133</f>
        <v>0</v>
      </c>
      <c r="BI133" s="29">
        <f>H133*AP133</f>
        <v>0</v>
      </c>
      <c r="BJ133" s="29">
        <f>H133*I133</f>
        <v>0</v>
      </c>
      <c r="BK133" s="29"/>
      <c r="BL133" s="29">
        <v>762</v>
      </c>
    </row>
    <row r="134" spans="1:47" ht="15" customHeight="1">
      <c r="A134" s="26" t="s">
        <v>394</v>
      </c>
      <c r="B134" s="8" t="s">
        <v>228</v>
      </c>
      <c r="C134" s="87" t="s">
        <v>260</v>
      </c>
      <c r="D134" s="87"/>
      <c r="E134" s="87"/>
      <c r="F134" s="87"/>
      <c r="G134" s="42" t="s">
        <v>537</v>
      </c>
      <c r="H134" s="42" t="s">
        <v>537</v>
      </c>
      <c r="I134" s="50" t="s">
        <v>537</v>
      </c>
      <c r="J134" s="24">
        <f>SUM(J135:J158)</f>
        <v>0</v>
      </c>
      <c r="K134" s="24">
        <f>SUM(K135:K158)</f>
        <v>0</v>
      </c>
      <c r="L134" s="24">
        <f>SUM(L135:L158)</f>
        <v>0</v>
      </c>
      <c r="M134" s="9" t="s">
        <v>394</v>
      </c>
      <c r="AI134" s="10" t="s">
        <v>394</v>
      </c>
      <c r="AS134" s="24">
        <f>SUM(AJ135:AJ158)</f>
        <v>0</v>
      </c>
      <c r="AT134" s="24">
        <f>SUM(AK135:AK158)</f>
        <v>0</v>
      </c>
      <c r="AU134" s="24">
        <f>SUM(AL135:AL158)</f>
        <v>0</v>
      </c>
    </row>
    <row r="135" spans="1:64" ht="15" customHeight="1">
      <c r="A135" s="4" t="s">
        <v>133</v>
      </c>
      <c r="B135" s="18" t="s">
        <v>388</v>
      </c>
      <c r="C135" s="67" t="s">
        <v>413</v>
      </c>
      <c r="D135" s="67"/>
      <c r="E135" s="67"/>
      <c r="F135" s="67"/>
      <c r="G135" s="18" t="s">
        <v>146</v>
      </c>
      <c r="H135" s="29">
        <v>1</v>
      </c>
      <c r="I135" s="46">
        <v>0</v>
      </c>
      <c r="J135" s="29">
        <f>H135*AO135</f>
        <v>0</v>
      </c>
      <c r="K135" s="29">
        <f>H135*AP135</f>
        <v>0</v>
      </c>
      <c r="L135" s="29">
        <f>H135*I135</f>
        <v>0</v>
      </c>
      <c r="M135" s="41" t="s">
        <v>484</v>
      </c>
      <c r="Z135" s="29">
        <f>IF(AQ135="5",BJ135,0)</f>
        <v>0</v>
      </c>
      <c r="AB135" s="29">
        <f>IF(AQ135="1",BH135,0)</f>
        <v>0</v>
      </c>
      <c r="AC135" s="29">
        <f>IF(AQ135="1",BI135,0)</f>
        <v>0</v>
      </c>
      <c r="AD135" s="29">
        <f>IF(AQ135="7",BH135,0)</f>
        <v>0</v>
      </c>
      <c r="AE135" s="29">
        <f>IF(AQ135="7",BI135,0)</f>
        <v>0</v>
      </c>
      <c r="AF135" s="29">
        <f>IF(AQ135="2",BH135,0)</f>
        <v>0</v>
      </c>
      <c r="AG135" s="29">
        <f>IF(AQ135="2",BI135,0)</f>
        <v>0</v>
      </c>
      <c r="AH135" s="29">
        <f>IF(AQ135="0",BJ135,0)</f>
        <v>0</v>
      </c>
      <c r="AI135" s="10" t="s">
        <v>394</v>
      </c>
      <c r="AJ135" s="29">
        <f>IF(AN135=0,L135,0)</f>
        <v>0</v>
      </c>
      <c r="AK135" s="29">
        <f>IF(AN135=15,L135,0)</f>
        <v>0</v>
      </c>
      <c r="AL135" s="29">
        <f>IF(AN135=21,L135,0)</f>
        <v>0</v>
      </c>
      <c r="AN135" s="29">
        <v>21</v>
      </c>
      <c r="AO135" s="29">
        <f>I135*0.173612261806131</f>
        <v>0</v>
      </c>
      <c r="AP135" s="29">
        <f>I135*(1-0.173612261806131)</f>
        <v>0</v>
      </c>
      <c r="AQ135" s="23" t="s">
        <v>578</v>
      </c>
      <c r="AV135" s="29">
        <f>AW135+AX135</f>
        <v>0</v>
      </c>
      <c r="AW135" s="29">
        <f>H135*AO135</f>
        <v>0</v>
      </c>
      <c r="AX135" s="29">
        <f>H135*AP135</f>
        <v>0</v>
      </c>
      <c r="AY135" s="23" t="s">
        <v>54</v>
      </c>
      <c r="AZ135" s="23" t="s">
        <v>297</v>
      </c>
      <c r="BA135" s="10" t="s">
        <v>439</v>
      </c>
      <c r="BC135" s="29">
        <f>AW135+AX135</f>
        <v>0</v>
      </c>
      <c r="BD135" s="29">
        <f>I135/(100-BE135)*100</f>
        <v>0</v>
      </c>
      <c r="BE135" s="29">
        <v>0</v>
      </c>
      <c r="BF135" s="29">
        <f>135</f>
        <v>135</v>
      </c>
      <c r="BH135" s="29">
        <f>H135*AO135</f>
        <v>0</v>
      </c>
      <c r="BI135" s="29">
        <f>H135*AP135</f>
        <v>0</v>
      </c>
      <c r="BJ135" s="29">
        <f>H135*I135</f>
        <v>0</v>
      </c>
      <c r="BK135" s="29"/>
      <c r="BL135" s="29">
        <v>766</v>
      </c>
    </row>
    <row r="136" spans="1:13" ht="13.5" customHeight="1">
      <c r="A136" s="40"/>
      <c r="B136" s="34" t="s">
        <v>279</v>
      </c>
      <c r="C136" s="88" t="s">
        <v>505</v>
      </c>
      <c r="D136" s="89"/>
      <c r="E136" s="89"/>
      <c r="F136" s="89"/>
      <c r="G136" s="89"/>
      <c r="H136" s="89"/>
      <c r="I136" s="90"/>
      <c r="J136" s="89"/>
      <c r="K136" s="89"/>
      <c r="L136" s="89"/>
      <c r="M136" s="91"/>
    </row>
    <row r="137" spans="1:64" ht="15" customHeight="1">
      <c r="A137" s="4" t="s">
        <v>42</v>
      </c>
      <c r="B137" s="18" t="s">
        <v>649</v>
      </c>
      <c r="C137" s="67" t="s">
        <v>140</v>
      </c>
      <c r="D137" s="67"/>
      <c r="E137" s="67"/>
      <c r="F137" s="67"/>
      <c r="G137" s="18" t="s">
        <v>146</v>
      </c>
      <c r="H137" s="29">
        <v>1</v>
      </c>
      <c r="I137" s="46">
        <v>0</v>
      </c>
      <c r="J137" s="29">
        <f>H137*AO137</f>
        <v>0</v>
      </c>
      <c r="K137" s="29">
        <f>H137*AP137</f>
        <v>0</v>
      </c>
      <c r="L137" s="29">
        <f>H137*I137</f>
        <v>0</v>
      </c>
      <c r="M137" s="41" t="s">
        <v>484</v>
      </c>
      <c r="Z137" s="29">
        <f>IF(AQ137="5",BJ137,0)</f>
        <v>0</v>
      </c>
      <c r="AB137" s="29">
        <f>IF(AQ137="1",BH137,0)</f>
        <v>0</v>
      </c>
      <c r="AC137" s="29">
        <f>IF(AQ137="1",BI137,0)</f>
        <v>0</v>
      </c>
      <c r="AD137" s="29">
        <f>IF(AQ137="7",BH137,0)</f>
        <v>0</v>
      </c>
      <c r="AE137" s="29">
        <f>IF(AQ137="7",BI137,0)</f>
        <v>0</v>
      </c>
      <c r="AF137" s="29">
        <f>IF(AQ137="2",BH137,0)</f>
        <v>0</v>
      </c>
      <c r="AG137" s="29">
        <f>IF(AQ137="2",BI137,0)</f>
        <v>0</v>
      </c>
      <c r="AH137" s="29">
        <f>IF(AQ137="0",BJ137,0)</f>
        <v>0</v>
      </c>
      <c r="AI137" s="10" t="s">
        <v>394</v>
      </c>
      <c r="AJ137" s="29">
        <f>IF(AN137=0,L137,0)</f>
        <v>0</v>
      </c>
      <c r="AK137" s="29">
        <f>IF(AN137=15,L137,0)</f>
        <v>0</v>
      </c>
      <c r="AL137" s="29">
        <f>IF(AN137=21,L137,0)</f>
        <v>0</v>
      </c>
      <c r="AN137" s="29">
        <v>21</v>
      </c>
      <c r="AO137" s="29">
        <f>I137*1</f>
        <v>0</v>
      </c>
      <c r="AP137" s="29">
        <f>I137*(1-1)</f>
        <v>0</v>
      </c>
      <c r="AQ137" s="23" t="s">
        <v>578</v>
      </c>
      <c r="AV137" s="29">
        <f>AW137+AX137</f>
        <v>0</v>
      </c>
      <c r="AW137" s="29">
        <f>H137*AO137</f>
        <v>0</v>
      </c>
      <c r="AX137" s="29">
        <f>H137*AP137</f>
        <v>0</v>
      </c>
      <c r="AY137" s="23" t="s">
        <v>54</v>
      </c>
      <c r="AZ137" s="23" t="s">
        <v>297</v>
      </c>
      <c r="BA137" s="10" t="s">
        <v>439</v>
      </c>
      <c r="BC137" s="29">
        <f>AW137+AX137</f>
        <v>0</v>
      </c>
      <c r="BD137" s="29">
        <f>I137/(100-BE137)*100</f>
        <v>0</v>
      </c>
      <c r="BE137" s="29">
        <v>0</v>
      </c>
      <c r="BF137" s="29">
        <f>137</f>
        <v>137</v>
      </c>
      <c r="BH137" s="29">
        <f>H137*AO137</f>
        <v>0</v>
      </c>
      <c r="BI137" s="29">
        <f>H137*AP137</f>
        <v>0</v>
      </c>
      <c r="BJ137" s="29">
        <f>H137*I137</f>
        <v>0</v>
      </c>
      <c r="BK137" s="29"/>
      <c r="BL137" s="29">
        <v>766</v>
      </c>
    </row>
    <row r="138" spans="1:64" ht="15" customHeight="1">
      <c r="A138" s="4" t="s">
        <v>567</v>
      </c>
      <c r="B138" s="18" t="s">
        <v>285</v>
      </c>
      <c r="C138" s="67" t="s">
        <v>371</v>
      </c>
      <c r="D138" s="67"/>
      <c r="E138" s="67"/>
      <c r="F138" s="67"/>
      <c r="G138" s="18" t="s">
        <v>146</v>
      </c>
      <c r="H138" s="29">
        <v>5</v>
      </c>
      <c r="I138" s="46">
        <v>0</v>
      </c>
      <c r="J138" s="29">
        <f>H138*AO138</f>
        <v>0</v>
      </c>
      <c r="K138" s="29">
        <f>H138*AP138</f>
        <v>0</v>
      </c>
      <c r="L138" s="29">
        <f>H138*I138</f>
        <v>0</v>
      </c>
      <c r="M138" s="41" t="s">
        <v>484</v>
      </c>
      <c r="Z138" s="29">
        <f>IF(AQ138="5",BJ138,0)</f>
        <v>0</v>
      </c>
      <c r="AB138" s="29">
        <f>IF(AQ138="1",BH138,0)</f>
        <v>0</v>
      </c>
      <c r="AC138" s="29">
        <f>IF(AQ138="1",BI138,0)</f>
        <v>0</v>
      </c>
      <c r="AD138" s="29">
        <f>IF(AQ138="7",BH138,0)</f>
        <v>0</v>
      </c>
      <c r="AE138" s="29">
        <f>IF(AQ138="7",BI138,0)</f>
        <v>0</v>
      </c>
      <c r="AF138" s="29">
        <f>IF(AQ138="2",BH138,0)</f>
        <v>0</v>
      </c>
      <c r="AG138" s="29">
        <f>IF(AQ138="2",BI138,0)</f>
        <v>0</v>
      </c>
      <c r="AH138" s="29">
        <f>IF(AQ138="0",BJ138,0)</f>
        <v>0</v>
      </c>
      <c r="AI138" s="10" t="s">
        <v>394</v>
      </c>
      <c r="AJ138" s="29">
        <f>IF(AN138=0,L138,0)</f>
        <v>0</v>
      </c>
      <c r="AK138" s="29">
        <f>IF(AN138=15,L138,0)</f>
        <v>0</v>
      </c>
      <c r="AL138" s="29">
        <f>IF(AN138=21,L138,0)</f>
        <v>0</v>
      </c>
      <c r="AN138" s="29">
        <v>21</v>
      </c>
      <c r="AO138" s="29">
        <f>I138*0.217408354378755</f>
        <v>0</v>
      </c>
      <c r="AP138" s="29">
        <f>I138*(1-0.217408354378755)</f>
        <v>0</v>
      </c>
      <c r="AQ138" s="23" t="s">
        <v>578</v>
      </c>
      <c r="AV138" s="29">
        <f>AW138+AX138</f>
        <v>0</v>
      </c>
      <c r="AW138" s="29">
        <f>H138*AO138</f>
        <v>0</v>
      </c>
      <c r="AX138" s="29">
        <f>H138*AP138</f>
        <v>0</v>
      </c>
      <c r="AY138" s="23" t="s">
        <v>54</v>
      </c>
      <c r="AZ138" s="23" t="s">
        <v>297</v>
      </c>
      <c r="BA138" s="10" t="s">
        <v>439</v>
      </c>
      <c r="BC138" s="29">
        <f>AW138+AX138</f>
        <v>0</v>
      </c>
      <c r="BD138" s="29">
        <f>I138/(100-BE138)*100</f>
        <v>0</v>
      </c>
      <c r="BE138" s="29">
        <v>0</v>
      </c>
      <c r="BF138" s="29">
        <f>138</f>
        <v>138</v>
      </c>
      <c r="BH138" s="29">
        <f>H138*AO138</f>
        <v>0</v>
      </c>
      <c r="BI138" s="29">
        <f>H138*AP138</f>
        <v>0</v>
      </c>
      <c r="BJ138" s="29">
        <f>H138*I138</f>
        <v>0</v>
      </c>
      <c r="BK138" s="29"/>
      <c r="BL138" s="29">
        <v>766</v>
      </c>
    </row>
    <row r="139" spans="1:13" ht="13.5" customHeight="1">
      <c r="A139" s="40"/>
      <c r="B139" s="34" t="s">
        <v>279</v>
      </c>
      <c r="C139" s="88" t="s">
        <v>505</v>
      </c>
      <c r="D139" s="89"/>
      <c r="E139" s="89"/>
      <c r="F139" s="89"/>
      <c r="G139" s="89"/>
      <c r="H139" s="89"/>
      <c r="I139" s="90"/>
      <c r="J139" s="89"/>
      <c r="K139" s="89"/>
      <c r="L139" s="89"/>
      <c r="M139" s="91"/>
    </row>
    <row r="140" spans="1:64" ht="15" customHeight="1">
      <c r="A140" s="4" t="s">
        <v>96</v>
      </c>
      <c r="B140" s="18" t="s">
        <v>318</v>
      </c>
      <c r="C140" s="67" t="s">
        <v>68</v>
      </c>
      <c r="D140" s="67"/>
      <c r="E140" s="67"/>
      <c r="F140" s="67"/>
      <c r="G140" s="18" t="s">
        <v>146</v>
      </c>
      <c r="H140" s="29">
        <v>5</v>
      </c>
      <c r="I140" s="46">
        <v>0</v>
      </c>
      <c r="J140" s="29">
        <f>H140*AO140</f>
        <v>0</v>
      </c>
      <c r="K140" s="29">
        <f>H140*AP140</f>
        <v>0</v>
      </c>
      <c r="L140" s="29">
        <f>H140*I140</f>
        <v>0</v>
      </c>
      <c r="M140" s="41" t="s">
        <v>484</v>
      </c>
      <c r="Z140" s="29">
        <f>IF(AQ140="5",BJ140,0)</f>
        <v>0</v>
      </c>
      <c r="AB140" s="29">
        <f>IF(AQ140="1",BH140,0)</f>
        <v>0</v>
      </c>
      <c r="AC140" s="29">
        <f>IF(AQ140="1",BI140,0)</f>
        <v>0</v>
      </c>
      <c r="AD140" s="29">
        <f>IF(AQ140="7",BH140,0)</f>
        <v>0</v>
      </c>
      <c r="AE140" s="29">
        <f>IF(AQ140="7",BI140,0)</f>
        <v>0</v>
      </c>
      <c r="AF140" s="29">
        <f>IF(AQ140="2",BH140,0)</f>
        <v>0</v>
      </c>
      <c r="AG140" s="29">
        <f>IF(AQ140="2",BI140,0)</f>
        <v>0</v>
      </c>
      <c r="AH140" s="29">
        <f>IF(AQ140="0",BJ140,0)</f>
        <v>0</v>
      </c>
      <c r="AI140" s="10" t="s">
        <v>394</v>
      </c>
      <c r="AJ140" s="29">
        <f>IF(AN140=0,L140,0)</f>
        <v>0</v>
      </c>
      <c r="AK140" s="29">
        <f>IF(AN140=15,L140,0)</f>
        <v>0</v>
      </c>
      <c r="AL140" s="29">
        <f>IF(AN140=21,L140,0)</f>
        <v>0</v>
      </c>
      <c r="AN140" s="29">
        <v>21</v>
      </c>
      <c r="AO140" s="29">
        <f>I140*1</f>
        <v>0</v>
      </c>
      <c r="AP140" s="29">
        <f>I140*(1-1)</f>
        <v>0</v>
      </c>
      <c r="AQ140" s="23" t="s">
        <v>578</v>
      </c>
      <c r="AV140" s="29">
        <f>AW140+AX140</f>
        <v>0</v>
      </c>
      <c r="AW140" s="29">
        <f>H140*AO140</f>
        <v>0</v>
      </c>
      <c r="AX140" s="29">
        <f>H140*AP140</f>
        <v>0</v>
      </c>
      <c r="AY140" s="23" t="s">
        <v>54</v>
      </c>
      <c r="AZ140" s="23" t="s">
        <v>297</v>
      </c>
      <c r="BA140" s="10" t="s">
        <v>439</v>
      </c>
      <c r="BC140" s="29">
        <f>AW140+AX140</f>
        <v>0</v>
      </c>
      <c r="BD140" s="29">
        <f>I140/(100-BE140)*100</f>
        <v>0</v>
      </c>
      <c r="BE140" s="29">
        <v>0</v>
      </c>
      <c r="BF140" s="29">
        <f>140</f>
        <v>140</v>
      </c>
      <c r="BH140" s="29">
        <f>H140*AO140</f>
        <v>0</v>
      </c>
      <c r="BI140" s="29">
        <f>H140*AP140</f>
        <v>0</v>
      </c>
      <c r="BJ140" s="29">
        <f>H140*I140</f>
        <v>0</v>
      </c>
      <c r="BK140" s="29"/>
      <c r="BL140" s="29">
        <v>766</v>
      </c>
    </row>
    <row r="141" spans="1:64" ht="15" customHeight="1">
      <c r="A141" s="4" t="s">
        <v>106</v>
      </c>
      <c r="B141" s="18" t="s">
        <v>414</v>
      </c>
      <c r="C141" s="67" t="s">
        <v>233</v>
      </c>
      <c r="D141" s="67"/>
      <c r="E141" s="67"/>
      <c r="F141" s="67"/>
      <c r="G141" s="18" t="s">
        <v>146</v>
      </c>
      <c r="H141" s="29">
        <v>1</v>
      </c>
      <c r="I141" s="46">
        <v>0</v>
      </c>
      <c r="J141" s="29">
        <f>H141*AO141</f>
        <v>0</v>
      </c>
      <c r="K141" s="29">
        <f>H141*AP141</f>
        <v>0</v>
      </c>
      <c r="L141" s="29">
        <f>H141*I141</f>
        <v>0</v>
      </c>
      <c r="M141" s="41" t="s">
        <v>484</v>
      </c>
      <c r="Z141" s="29">
        <f>IF(AQ141="5",BJ141,0)</f>
        <v>0</v>
      </c>
      <c r="AB141" s="29">
        <f>IF(AQ141="1",BH141,0)</f>
        <v>0</v>
      </c>
      <c r="AC141" s="29">
        <f>IF(AQ141="1",BI141,0)</f>
        <v>0</v>
      </c>
      <c r="AD141" s="29">
        <f>IF(AQ141="7",BH141,0)</f>
        <v>0</v>
      </c>
      <c r="AE141" s="29">
        <f>IF(AQ141="7",BI141,0)</f>
        <v>0</v>
      </c>
      <c r="AF141" s="29">
        <f>IF(AQ141="2",BH141,0)</f>
        <v>0</v>
      </c>
      <c r="AG141" s="29">
        <f>IF(AQ141="2",BI141,0)</f>
        <v>0</v>
      </c>
      <c r="AH141" s="29">
        <f>IF(AQ141="0",BJ141,0)</f>
        <v>0</v>
      </c>
      <c r="AI141" s="10" t="s">
        <v>394</v>
      </c>
      <c r="AJ141" s="29">
        <f>IF(AN141=0,L141,0)</f>
        <v>0</v>
      </c>
      <c r="AK141" s="29">
        <f>IF(AN141=15,L141,0)</f>
        <v>0</v>
      </c>
      <c r="AL141" s="29">
        <f>IF(AN141=21,L141,0)</f>
        <v>0</v>
      </c>
      <c r="AN141" s="29">
        <v>21</v>
      </c>
      <c r="AO141" s="29">
        <f>I141*0.110831589958159</f>
        <v>0</v>
      </c>
      <c r="AP141" s="29">
        <f>I141*(1-0.110831589958159)</f>
        <v>0</v>
      </c>
      <c r="AQ141" s="23" t="s">
        <v>578</v>
      </c>
      <c r="AV141" s="29">
        <f>AW141+AX141</f>
        <v>0</v>
      </c>
      <c r="AW141" s="29">
        <f>H141*AO141</f>
        <v>0</v>
      </c>
      <c r="AX141" s="29">
        <f>H141*AP141</f>
        <v>0</v>
      </c>
      <c r="AY141" s="23" t="s">
        <v>54</v>
      </c>
      <c r="AZ141" s="23" t="s">
        <v>297</v>
      </c>
      <c r="BA141" s="10" t="s">
        <v>439</v>
      </c>
      <c r="BC141" s="29">
        <f>AW141+AX141</f>
        <v>0</v>
      </c>
      <c r="BD141" s="29">
        <f>I141/(100-BE141)*100</f>
        <v>0</v>
      </c>
      <c r="BE141" s="29">
        <v>0</v>
      </c>
      <c r="BF141" s="29">
        <f>141</f>
        <v>141</v>
      </c>
      <c r="BH141" s="29">
        <f>H141*AO141</f>
        <v>0</v>
      </c>
      <c r="BI141" s="29">
        <f>H141*AP141</f>
        <v>0</v>
      </c>
      <c r="BJ141" s="29">
        <f>H141*I141</f>
        <v>0</v>
      </c>
      <c r="BK141" s="29"/>
      <c r="BL141" s="29">
        <v>766</v>
      </c>
    </row>
    <row r="142" spans="1:13" ht="13.5" customHeight="1">
      <c r="A142" s="40"/>
      <c r="B142" s="34" t="s">
        <v>279</v>
      </c>
      <c r="C142" s="88" t="s">
        <v>505</v>
      </c>
      <c r="D142" s="89"/>
      <c r="E142" s="89"/>
      <c r="F142" s="89"/>
      <c r="G142" s="89"/>
      <c r="H142" s="89"/>
      <c r="I142" s="90"/>
      <c r="J142" s="89"/>
      <c r="K142" s="89"/>
      <c r="L142" s="89"/>
      <c r="M142" s="91"/>
    </row>
    <row r="143" spans="1:64" ht="15" customHeight="1">
      <c r="A143" s="4" t="s">
        <v>595</v>
      </c>
      <c r="B143" s="18" t="s">
        <v>225</v>
      </c>
      <c r="C143" s="67" t="s">
        <v>268</v>
      </c>
      <c r="D143" s="67"/>
      <c r="E143" s="67"/>
      <c r="F143" s="67"/>
      <c r="G143" s="18" t="s">
        <v>146</v>
      </c>
      <c r="H143" s="29">
        <v>1</v>
      </c>
      <c r="I143" s="46">
        <v>0</v>
      </c>
      <c r="J143" s="29">
        <f aca="true" t="shared" si="44" ref="J143:J154">H143*AO143</f>
        <v>0</v>
      </c>
      <c r="K143" s="29">
        <f aca="true" t="shared" si="45" ref="K143:K154">H143*AP143</f>
        <v>0</v>
      </c>
      <c r="L143" s="29">
        <f aca="true" t="shared" si="46" ref="L143:L154">H143*I143</f>
        <v>0</v>
      </c>
      <c r="M143" s="41" t="s">
        <v>484</v>
      </c>
      <c r="Z143" s="29">
        <f aca="true" t="shared" si="47" ref="Z143:Z154">IF(AQ143="5",BJ143,0)</f>
        <v>0</v>
      </c>
      <c r="AB143" s="29">
        <f aca="true" t="shared" si="48" ref="AB143:AB154">IF(AQ143="1",BH143,0)</f>
        <v>0</v>
      </c>
      <c r="AC143" s="29">
        <f aca="true" t="shared" si="49" ref="AC143:AC154">IF(AQ143="1",BI143,0)</f>
        <v>0</v>
      </c>
      <c r="AD143" s="29">
        <f aca="true" t="shared" si="50" ref="AD143:AD154">IF(AQ143="7",BH143,0)</f>
        <v>0</v>
      </c>
      <c r="AE143" s="29">
        <f aca="true" t="shared" si="51" ref="AE143:AE154">IF(AQ143="7",BI143,0)</f>
        <v>0</v>
      </c>
      <c r="AF143" s="29">
        <f aca="true" t="shared" si="52" ref="AF143:AF154">IF(AQ143="2",BH143,0)</f>
        <v>0</v>
      </c>
      <c r="AG143" s="29">
        <f aca="true" t="shared" si="53" ref="AG143:AG154">IF(AQ143="2",BI143,0)</f>
        <v>0</v>
      </c>
      <c r="AH143" s="29">
        <f aca="true" t="shared" si="54" ref="AH143:AH154">IF(AQ143="0",BJ143,0)</f>
        <v>0</v>
      </c>
      <c r="AI143" s="10" t="s">
        <v>394</v>
      </c>
      <c r="AJ143" s="29">
        <f aca="true" t="shared" si="55" ref="AJ143:AJ154">IF(AN143=0,L143,0)</f>
        <v>0</v>
      </c>
      <c r="AK143" s="29">
        <f aca="true" t="shared" si="56" ref="AK143:AK154">IF(AN143=15,L143,0)</f>
        <v>0</v>
      </c>
      <c r="AL143" s="29">
        <f aca="true" t="shared" si="57" ref="AL143:AL154">IF(AN143=21,L143,0)</f>
        <v>0</v>
      </c>
      <c r="AN143" s="29">
        <v>21</v>
      </c>
      <c r="AO143" s="29">
        <f>I143*1</f>
        <v>0</v>
      </c>
      <c r="AP143" s="29">
        <f>I143*(1-1)</f>
        <v>0</v>
      </c>
      <c r="AQ143" s="23" t="s">
        <v>578</v>
      </c>
      <c r="AV143" s="29">
        <f aca="true" t="shared" si="58" ref="AV143:AV154">AW143+AX143</f>
        <v>0</v>
      </c>
      <c r="AW143" s="29">
        <f aca="true" t="shared" si="59" ref="AW143:AW154">H143*AO143</f>
        <v>0</v>
      </c>
      <c r="AX143" s="29">
        <f aca="true" t="shared" si="60" ref="AX143:AX154">H143*AP143</f>
        <v>0</v>
      </c>
      <c r="AY143" s="23" t="s">
        <v>54</v>
      </c>
      <c r="AZ143" s="23" t="s">
        <v>297</v>
      </c>
      <c r="BA143" s="10" t="s">
        <v>439</v>
      </c>
      <c r="BC143" s="29">
        <f aca="true" t="shared" si="61" ref="BC143:BC154">AW143+AX143</f>
        <v>0</v>
      </c>
      <c r="BD143" s="29">
        <f aca="true" t="shared" si="62" ref="BD143:BD154">I143/(100-BE143)*100</f>
        <v>0</v>
      </c>
      <c r="BE143" s="29">
        <v>0</v>
      </c>
      <c r="BF143" s="29">
        <f>143</f>
        <v>143</v>
      </c>
      <c r="BH143" s="29">
        <f aca="true" t="shared" si="63" ref="BH143:BH154">H143*AO143</f>
        <v>0</v>
      </c>
      <c r="BI143" s="29">
        <f aca="true" t="shared" si="64" ref="BI143:BI154">H143*AP143</f>
        <v>0</v>
      </c>
      <c r="BJ143" s="29">
        <f aca="true" t="shared" si="65" ref="BJ143:BJ154">H143*I143</f>
        <v>0</v>
      </c>
      <c r="BK143" s="29"/>
      <c r="BL143" s="29">
        <v>766</v>
      </c>
    </row>
    <row r="144" spans="1:64" ht="15" customHeight="1">
      <c r="A144" s="4" t="s">
        <v>334</v>
      </c>
      <c r="B144" s="18" t="s">
        <v>97</v>
      </c>
      <c r="C144" s="67" t="s">
        <v>305</v>
      </c>
      <c r="D144" s="67"/>
      <c r="E144" s="67"/>
      <c r="F144" s="67"/>
      <c r="G144" s="18" t="s">
        <v>146</v>
      </c>
      <c r="H144" s="29">
        <v>1</v>
      </c>
      <c r="I144" s="46">
        <v>0</v>
      </c>
      <c r="J144" s="29">
        <f t="shared" si="44"/>
        <v>0</v>
      </c>
      <c r="K144" s="29">
        <f t="shared" si="45"/>
        <v>0</v>
      </c>
      <c r="L144" s="29">
        <f t="shared" si="46"/>
        <v>0</v>
      </c>
      <c r="M144" s="41" t="s">
        <v>484</v>
      </c>
      <c r="Z144" s="29">
        <f t="shared" si="47"/>
        <v>0</v>
      </c>
      <c r="AB144" s="29">
        <f t="shared" si="48"/>
        <v>0</v>
      </c>
      <c r="AC144" s="29">
        <f t="shared" si="49"/>
        <v>0</v>
      </c>
      <c r="AD144" s="29">
        <f t="shared" si="50"/>
        <v>0</v>
      </c>
      <c r="AE144" s="29">
        <f t="shared" si="51"/>
        <v>0</v>
      </c>
      <c r="AF144" s="29">
        <f t="shared" si="52"/>
        <v>0</v>
      </c>
      <c r="AG144" s="29">
        <f t="shared" si="53"/>
        <v>0</v>
      </c>
      <c r="AH144" s="29">
        <f t="shared" si="54"/>
        <v>0</v>
      </c>
      <c r="AI144" s="10" t="s">
        <v>394</v>
      </c>
      <c r="AJ144" s="29">
        <f t="shared" si="55"/>
        <v>0</v>
      </c>
      <c r="AK144" s="29">
        <f t="shared" si="56"/>
        <v>0</v>
      </c>
      <c r="AL144" s="29">
        <f t="shared" si="57"/>
        <v>0</v>
      </c>
      <c r="AN144" s="29">
        <v>21</v>
      </c>
      <c r="AO144" s="29">
        <f>I144*0</f>
        <v>0</v>
      </c>
      <c r="AP144" s="29">
        <f>I144*(1-0)</f>
        <v>0</v>
      </c>
      <c r="AQ144" s="23" t="s">
        <v>578</v>
      </c>
      <c r="AV144" s="29">
        <f t="shared" si="58"/>
        <v>0</v>
      </c>
      <c r="AW144" s="29">
        <f t="shared" si="59"/>
        <v>0</v>
      </c>
      <c r="AX144" s="29">
        <f t="shared" si="60"/>
        <v>0</v>
      </c>
      <c r="AY144" s="23" t="s">
        <v>54</v>
      </c>
      <c r="AZ144" s="23" t="s">
        <v>297</v>
      </c>
      <c r="BA144" s="10" t="s">
        <v>439</v>
      </c>
      <c r="BC144" s="29">
        <f t="shared" si="61"/>
        <v>0</v>
      </c>
      <c r="BD144" s="29">
        <f t="shared" si="62"/>
        <v>0</v>
      </c>
      <c r="BE144" s="29">
        <v>0</v>
      </c>
      <c r="BF144" s="29">
        <f>144</f>
        <v>144</v>
      </c>
      <c r="BH144" s="29">
        <f t="shared" si="63"/>
        <v>0</v>
      </c>
      <c r="BI144" s="29">
        <f t="shared" si="64"/>
        <v>0</v>
      </c>
      <c r="BJ144" s="29">
        <f t="shared" si="65"/>
        <v>0</v>
      </c>
      <c r="BK144" s="29"/>
      <c r="BL144" s="29">
        <v>766</v>
      </c>
    </row>
    <row r="145" spans="1:64" ht="15" customHeight="1">
      <c r="A145" s="4" t="s">
        <v>271</v>
      </c>
      <c r="B145" s="18" t="s">
        <v>492</v>
      </c>
      <c r="C145" s="67" t="s">
        <v>633</v>
      </c>
      <c r="D145" s="67"/>
      <c r="E145" s="67"/>
      <c r="F145" s="67"/>
      <c r="G145" s="18" t="s">
        <v>146</v>
      </c>
      <c r="H145" s="29">
        <v>1</v>
      </c>
      <c r="I145" s="46">
        <v>0</v>
      </c>
      <c r="J145" s="29">
        <f t="shared" si="44"/>
        <v>0</v>
      </c>
      <c r="K145" s="29">
        <f t="shared" si="45"/>
        <v>0</v>
      </c>
      <c r="L145" s="29">
        <f t="shared" si="46"/>
        <v>0</v>
      </c>
      <c r="M145" s="41" t="s">
        <v>484</v>
      </c>
      <c r="Z145" s="29">
        <f t="shared" si="47"/>
        <v>0</v>
      </c>
      <c r="AB145" s="29">
        <f t="shared" si="48"/>
        <v>0</v>
      </c>
      <c r="AC145" s="29">
        <f t="shared" si="49"/>
        <v>0</v>
      </c>
      <c r="AD145" s="29">
        <f t="shared" si="50"/>
        <v>0</v>
      </c>
      <c r="AE145" s="29">
        <f t="shared" si="51"/>
        <v>0</v>
      </c>
      <c r="AF145" s="29">
        <f t="shared" si="52"/>
        <v>0</v>
      </c>
      <c r="AG145" s="29">
        <f t="shared" si="53"/>
        <v>0</v>
      </c>
      <c r="AH145" s="29">
        <f t="shared" si="54"/>
        <v>0</v>
      </c>
      <c r="AI145" s="10" t="s">
        <v>394</v>
      </c>
      <c r="AJ145" s="29">
        <f t="shared" si="55"/>
        <v>0</v>
      </c>
      <c r="AK145" s="29">
        <f t="shared" si="56"/>
        <v>0</v>
      </c>
      <c r="AL145" s="29">
        <f t="shared" si="57"/>
        <v>0</v>
      </c>
      <c r="AN145" s="29">
        <v>21</v>
      </c>
      <c r="AO145" s="29">
        <f>I145*1</f>
        <v>0</v>
      </c>
      <c r="AP145" s="29">
        <f>I145*(1-1)</f>
        <v>0</v>
      </c>
      <c r="AQ145" s="23" t="s">
        <v>578</v>
      </c>
      <c r="AV145" s="29">
        <f t="shared" si="58"/>
        <v>0</v>
      </c>
      <c r="AW145" s="29">
        <f t="shared" si="59"/>
        <v>0</v>
      </c>
      <c r="AX145" s="29">
        <f t="shared" si="60"/>
        <v>0</v>
      </c>
      <c r="AY145" s="23" t="s">
        <v>54</v>
      </c>
      <c r="AZ145" s="23" t="s">
        <v>297</v>
      </c>
      <c r="BA145" s="10" t="s">
        <v>439</v>
      </c>
      <c r="BC145" s="29">
        <f t="shared" si="61"/>
        <v>0</v>
      </c>
      <c r="BD145" s="29">
        <f t="shared" si="62"/>
        <v>0</v>
      </c>
      <c r="BE145" s="29">
        <v>0</v>
      </c>
      <c r="BF145" s="29">
        <f>145</f>
        <v>145</v>
      </c>
      <c r="BH145" s="29">
        <f t="shared" si="63"/>
        <v>0</v>
      </c>
      <c r="BI145" s="29">
        <f t="shared" si="64"/>
        <v>0</v>
      </c>
      <c r="BJ145" s="29">
        <f t="shared" si="65"/>
        <v>0</v>
      </c>
      <c r="BK145" s="29"/>
      <c r="BL145" s="29">
        <v>766</v>
      </c>
    </row>
    <row r="146" spans="1:64" ht="15" customHeight="1">
      <c r="A146" s="4" t="s">
        <v>370</v>
      </c>
      <c r="B146" s="18" t="s">
        <v>57</v>
      </c>
      <c r="C146" s="67" t="s">
        <v>301</v>
      </c>
      <c r="D146" s="67"/>
      <c r="E146" s="67"/>
      <c r="F146" s="67"/>
      <c r="G146" s="18" t="s">
        <v>146</v>
      </c>
      <c r="H146" s="29">
        <v>1</v>
      </c>
      <c r="I146" s="46">
        <v>0</v>
      </c>
      <c r="J146" s="29">
        <f t="shared" si="44"/>
        <v>0</v>
      </c>
      <c r="K146" s="29">
        <f t="shared" si="45"/>
        <v>0</v>
      </c>
      <c r="L146" s="29">
        <f t="shared" si="46"/>
        <v>0</v>
      </c>
      <c r="M146" s="41" t="s">
        <v>484</v>
      </c>
      <c r="Z146" s="29">
        <f t="shared" si="47"/>
        <v>0</v>
      </c>
      <c r="AB146" s="29">
        <f t="shared" si="48"/>
        <v>0</v>
      </c>
      <c r="AC146" s="29">
        <f t="shared" si="49"/>
        <v>0</v>
      </c>
      <c r="AD146" s="29">
        <f t="shared" si="50"/>
        <v>0</v>
      </c>
      <c r="AE146" s="29">
        <f t="shared" si="51"/>
        <v>0</v>
      </c>
      <c r="AF146" s="29">
        <f t="shared" si="52"/>
        <v>0</v>
      </c>
      <c r="AG146" s="29">
        <f t="shared" si="53"/>
        <v>0</v>
      </c>
      <c r="AH146" s="29">
        <f t="shared" si="54"/>
        <v>0</v>
      </c>
      <c r="AI146" s="10" t="s">
        <v>394</v>
      </c>
      <c r="AJ146" s="29">
        <f t="shared" si="55"/>
        <v>0</v>
      </c>
      <c r="AK146" s="29">
        <f t="shared" si="56"/>
        <v>0</v>
      </c>
      <c r="AL146" s="29">
        <f t="shared" si="57"/>
        <v>0</v>
      </c>
      <c r="AN146" s="29">
        <v>21</v>
      </c>
      <c r="AO146" s="29">
        <f>I146*0</f>
        <v>0</v>
      </c>
      <c r="AP146" s="29">
        <f>I146*(1-0)</f>
        <v>0</v>
      </c>
      <c r="AQ146" s="23" t="s">
        <v>578</v>
      </c>
      <c r="AV146" s="29">
        <f t="shared" si="58"/>
        <v>0</v>
      </c>
      <c r="AW146" s="29">
        <f t="shared" si="59"/>
        <v>0</v>
      </c>
      <c r="AX146" s="29">
        <f t="shared" si="60"/>
        <v>0</v>
      </c>
      <c r="AY146" s="23" t="s">
        <v>54</v>
      </c>
      <c r="AZ146" s="23" t="s">
        <v>297</v>
      </c>
      <c r="BA146" s="10" t="s">
        <v>439</v>
      </c>
      <c r="BC146" s="29">
        <f t="shared" si="61"/>
        <v>0</v>
      </c>
      <c r="BD146" s="29">
        <f t="shared" si="62"/>
        <v>0</v>
      </c>
      <c r="BE146" s="29">
        <v>0</v>
      </c>
      <c r="BF146" s="29">
        <f>146</f>
        <v>146</v>
      </c>
      <c r="BH146" s="29">
        <f t="shared" si="63"/>
        <v>0</v>
      </c>
      <c r="BI146" s="29">
        <f t="shared" si="64"/>
        <v>0</v>
      </c>
      <c r="BJ146" s="29">
        <f t="shared" si="65"/>
        <v>0</v>
      </c>
      <c r="BK146" s="29"/>
      <c r="BL146" s="29">
        <v>766</v>
      </c>
    </row>
    <row r="147" spans="1:64" ht="15" customHeight="1">
      <c r="A147" s="4" t="s">
        <v>19</v>
      </c>
      <c r="B147" s="18" t="s">
        <v>193</v>
      </c>
      <c r="C147" s="67" t="s">
        <v>204</v>
      </c>
      <c r="D147" s="67"/>
      <c r="E147" s="67"/>
      <c r="F147" s="67"/>
      <c r="G147" s="18" t="s">
        <v>146</v>
      </c>
      <c r="H147" s="29">
        <v>1</v>
      </c>
      <c r="I147" s="46">
        <v>0</v>
      </c>
      <c r="J147" s="29">
        <f t="shared" si="44"/>
        <v>0</v>
      </c>
      <c r="K147" s="29">
        <f t="shared" si="45"/>
        <v>0</v>
      </c>
      <c r="L147" s="29">
        <f t="shared" si="46"/>
        <v>0</v>
      </c>
      <c r="M147" s="41" t="s">
        <v>484</v>
      </c>
      <c r="Z147" s="29">
        <f t="shared" si="47"/>
        <v>0</v>
      </c>
      <c r="AB147" s="29">
        <f t="shared" si="48"/>
        <v>0</v>
      </c>
      <c r="AC147" s="29">
        <f t="shared" si="49"/>
        <v>0</v>
      </c>
      <c r="AD147" s="29">
        <f t="shared" si="50"/>
        <v>0</v>
      </c>
      <c r="AE147" s="29">
        <f t="shared" si="51"/>
        <v>0</v>
      </c>
      <c r="AF147" s="29">
        <f t="shared" si="52"/>
        <v>0</v>
      </c>
      <c r="AG147" s="29">
        <f t="shared" si="53"/>
        <v>0</v>
      </c>
      <c r="AH147" s="29">
        <f t="shared" si="54"/>
        <v>0</v>
      </c>
      <c r="AI147" s="10" t="s">
        <v>394</v>
      </c>
      <c r="AJ147" s="29">
        <f t="shared" si="55"/>
        <v>0</v>
      </c>
      <c r="AK147" s="29">
        <f t="shared" si="56"/>
        <v>0</v>
      </c>
      <c r="AL147" s="29">
        <f t="shared" si="57"/>
        <v>0</v>
      </c>
      <c r="AN147" s="29">
        <v>21</v>
      </c>
      <c r="AO147" s="29">
        <f>I147*1</f>
        <v>0</v>
      </c>
      <c r="AP147" s="29">
        <f>I147*(1-1)</f>
        <v>0</v>
      </c>
      <c r="AQ147" s="23" t="s">
        <v>578</v>
      </c>
      <c r="AV147" s="29">
        <f t="shared" si="58"/>
        <v>0</v>
      </c>
      <c r="AW147" s="29">
        <f t="shared" si="59"/>
        <v>0</v>
      </c>
      <c r="AX147" s="29">
        <f t="shared" si="60"/>
        <v>0</v>
      </c>
      <c r="AY147" s="23" t="s">
        <v>54</v>
      </c>
      <c r="AZ147" s="23" t="s">
        <v>297</v>
      </c>
      <c r="BA147" s="10" t="s">
        <v>439</v>
      </c>
      <c r="BC147" s="29">
        <f t="shared" si="61"/>
        <v>0</v>
      </c>
      <c r="BD147" s="29">
        <f t="shared" si="62"/>
        <v>0</v>
      </c>
      <c r="BE147" s="29">
        <v>0</v>
      </c>
      <c r="BF147" s="29">
        <f>147</f>
        <v>147</v>
      </c>
      <c r="BH147" s="29">
        <f t="shared" si="63"/>
        <v>0</v>
      </c>
      <c r="BI147" s="29">
        <f t="shared" si="64"/>
        <v>0</v>
      </c>
      <c r="BJ147" s="29">
        <f t="shared" si="65"/>
        <v>0</v>
      </c>
      <c r="BK147" s="29"/>
      <c r="BL147" s="29">
        <v>766</v>
      </c>
    </row>
    <row r="148" spans="1:64" ht="15" customHeight="1">
      <c r="A148" s="4" t="s">
        <v>631</v>
      </c>
      <c r="B148" s="18" t="s">
        <v>563</v>
      </c>
      <c r="C148" s="67" t="s">
        <v>516</v>
      </c>
      <c r="D148" s="67"/>
      <c r="E148" s="67"/>
      <c r="F148" s="67"/>
      <c r="G148" s="18" t="s">
        <v>146</v>
      </c>
      <c r="H148" s="29">
        <v>7</v>
      </c>
      <c r="I148" s="46">
        <v>0</v>
      </c>
      <c r="J148" s="29">
        <f t="shared" si="44"/>
        <v>0</v>
      </c>
      <c r="K148" s="29">
        <f t="shared" si="45"/>
        <v>0</v>
      </c>
      <c r="L148" s="29">
        <f t="shared" si="46"/>
        <v>0</v>
      </c>
      <c r="M148" s="41" t="s">
        <v>484</v>
      </c>
      <c r="Z148" s="29">
        <f t="shared" si="47"/>
        <v>0</v>
      </c>
      <c r="AB148" s="29">
        <f t="shared" si="48"/>
        <v>0</v>
      </c>
      <c r="AC148" s="29">
        <f t="shared" si="49"/>
        <v>0</v>
      </c>
      <c r="AD148" s="29">
        <f t="shared" si="50"/>
        <v>0</v>
      </c>
      <c r="AE148" s="29">
        <f t="shared" si="51"/>
        <v>0</v>
      </c>
      <c r="AF148" s="29">
        <f t="shared" si="52"/>
        <v>0</v>
      </c>
      <c r="AG148" s="29">
        <f t="shared" si="53"/>
        <v>0</v>
      </c>
      <c r="AH148" s="29">
        <f t="shared" si="54"/>
        <v>0</v>
      </c>
      <c r="AI148" s="10" t="s">
        <v>394</v>
      </c>
      <c r="AJ148" s="29">
        <f t="shared" si="55"/>
        <v>0</v>
      </c>
      <c r="AK148" s="29">
        <f t="shared" si="56"/>
        <v>0</v>
      </c>
      <c r="AL148" s="29">
        <f t="shared" si="57"/>
        <v>0</v>
      </c>
      <c r="AN148" s="29">
        <v>21</v>
      </c>
      <c r="AO148" s="29">
        <f>I148*0</f>
        <v>0</v>
      </c>
      <c r="AP148" s="29">
        <f>I148*(1-0)</f>
        <v>0</v>
      </c>
      <c r="AQ148" s="23" t="s">
        <v>578</v>
      </c>
      <c r="AV148" s="29">
        <f t="shared" si="58"/>
        <v>0</v>
      </c>
      <c r="AW148" s="29">
        <f t="shared" si="59"/>
        <v>0</v>
      </c>
      <c r="AX148" s="29">
        <f t="shared" si="60"/>
        <v>0</v>
      </c>
      <c r="AY148" s="23" t="s">
        <v>54</v>
      </c>
      <c r="AZ148" s="23" t="s">
        <v>297</v>
      </c>
      <c r="BA148" s="10" t="s">
        <v>439</v>
      </c>
      <c r="BC148" s="29">
        <f t="shared" si="61"/>
        <v>0</v>
      </c>
      <c r="BD148" s="29">
        <f t="shared" si="62"/>
        <v>0</v>
      </c>
      <c r="BE148" s="29">
        <v>0</v>
      </c>
      <c r="BF148" s="29">
        <f>148</f>
        <v>148</v>
      </c>
      <c r="BH148" s="29">
        <f t="shared" si="63"/>
        <v>0</v>
      </c>
      <c r="BI148" s="29">
        <f t="shared" si="64"/>
        <v>0</v>
      </c>
      <c r="BJ148" s="29">
        <f t="shared" si="65"/>
        <v>0</v>
      </c>
      <c r="BK148" s="29"/>
      <c r="BL148" s="29">
        <v>766</v>
      </c>
    </row>
    <row r="149" spans="1:64" ht="15" customHeight="1">
      <c r="A149" s="4" t="s">
        <v>623</v>
      </c>
      <c r="B149" s="18" t="s">
        <v>596</v>
      </c>
      <c r="C149" s="67" t="s">
        <v>85</v>
      </c>
      <c r="D149" s="67"/>
      <c r="E149" s="67"/>
      <c r="F149" s="67"/>
      <c r="G149" s="18" t="s">
        <v>146</v>
      </c>
      <c r="H149" s="29">
        <v>1</v>
      </c>
      <c r="I149" s="46">
        <v>0</v>
      </c>
      <c r="J149" s="29">
        <f t="shared" si="44"/>
        <v>0</v>
      </c>
      <c r="K149" s="29">
        <f t="shared" si="45"/>
        <v>0</v>
      </c>
      <c r="L149" s="29">
        <f t="shared" si="46"/>
        <v>0</v>
      </c>
      <c r="M149" s="41" t="s">
        <v>484</v>
      </c>
      <c r="Z149" s="29">
        <f t="shared" si="47"/>
        <v>0</v>
      </c>
      <c r="AB149" s="29">
        <f t="shared" si="48"/>
        <v>0</v>
      </c>
      <c r="AC149" s="29">
        <f t="shared" si="49"/>
        <v>0</v>
      </c>
      <c r="AD149" s="29">
        <f t="shared" si="50"/>
        <v>0</v>
      </c>
      <c r="AE149" s="29">
        <f t="shared" si="51"/>
        <v>0</v>
      </c>
      <c r="AF149" s="29">
        <f t="shared" si="52"/>
        <v>0</v>
      </c>
      <c r="AG149" s="29">
        <f t="shared" si="53"/>
        <v>0</v>
      </c>
      <c r="AH149" s="29">
        <f t="shared" si="54"/>
        <v>0</v>
      </c>
      <c r="AI149" s="10" t="s">
        <v>394</v>
      </c>
      <c r="AJ149" s="29">
        <f t="shared" si="55"/>
        <v>0</v>
      </c>
      <c r="AK149" s="29">
        <f t="shared" si="56"/>
        <v>0</v>
      </c>
      <c r="AL149" s="29">
        <f t="shared" si="57"/>
        <v>0</v>
      </c>
      <c r="AN149" s="29">
        <v>21</v>
      </c>
      <c r="AO149" s="29">
        <f>I149*0</f>
        <v>0</v>
      </c>
      <c r="AP149" s="29">
        <f>I149*(1-0)</f>
        <v>0</v>
      </c>
      <c r="AQ149" s="23" t="s">
        <v>578</v>
      </c>
      <c r="AV149" s="29">
        <f t="shared" si="58"/>
        <v>0</v>
      </c>
      <c r="AW149" s="29">
        <f t="shared" si="59"/>
        <v>0</v>
      </c>
      <c r="AX149" s="29">
        <f t="shared" si="60"/>
        <v>0</v>
      </c>
      <c r="AY149" s="23" t="s">
        <v>54</v>
      </c>
      <c r="AZ149" s="23" t="s">
        <v>297</v>
      </c>
      <c r="BA149" s="10" t="s">
        <v>439</v>
      </c>
      <c r="BC149" s="29">
        <f t="shared" si="61"/>
        <v>0</v>
      </c>
      <c r="BD149" s="29">
        <f t="shared" si="62"/>
        <v>0</v>
      </c>
      <c r="BE149" s="29">
        <v>0</v>
      </c>
      <c r="BF149" s="29">
        <f>149</f>
        <v>149</v>
      </c>
      <c r="BH149" s="29">
        <f t="shared" si="63"/>
        <v>0</v>
      </c>
      <c r="BI149" s="29">
        <f t="shared" si="64"/>
        <v>0</v>
      </c>
      <c r="BJ149" s="29">
        <f t="shared" si="65"/>
        <v>0</v>
      </c>
      <c r="BK149" s="29"/>
      <c r="BL149" s="29">
        <v>766</v>
      </c>
    </row>
    <row r="150" spans="1:64" ht="15" customHeight="1">
      <c r="A150" s="4" t="s">
        <v>621</v>
      </c>
      <c r="B150" s="18" t="s">
        <v>420</v>
      </c>
      <c r="C150" s="67" t="s">
        <v>124</v>
      </c>
      <c r="D150" s="67"/>
      <c r="E150" s="67"/>
      <c r="F150" s="67"/>
      <c r="G150" s="18" t="s">
        <v>146</v>
      </c>
      <c r="H150" s="29">
        <v>1</v>
      </c>
      <c r="I150" s="46">
        <v>0</v>
      </c>
      <c r="J150" s="29">
        <f t="shared" si="44"/>
        <v>0</v>
      </c>
      <c r="K150" s="29">
        <f t="shared" si="45"/>
        <v>0</v>
      </c>
      <c r="L150" s="29">
        <f t="shared" si="46"/>
        <v>0</v>
      </c>
      <c r="M150" s="41" t="s">
        <v>484</v>
      </c>
      <c r="Z150" s="29">
        <f t="shared" si="47"/>
        <v>0</v>
      </c>
      <c r="AB150" s="29">
        <f t="shared" si="48"/>
        <v>0</v>
      </c>
      <c r="AC150" s="29">
        <f t="shared" si="49"/>
        <v>0</v>
      </c>
      <c r="AD150" s="29">
        <f t="shared" si="50"/>
        <v>0</v>
      </c>
      <c r="AE150" s="29">
        <f t="shared" si="51"/>
        <v>0</v>
      </c>
      <c r="AF150" s="29">
        <f t="shared" si="52"/>
        <v>0</v>
      </c>
      <c r="AG150" s="29">
        <f t="shared" si="53"/>
        <v>0</v>
      </c>
      <c r="AH150" s="29">
        <f t="shared" si="54"/>
        <v>0</v>
      </c>
      <c r="AI150" s="10" t="s">
        <v>394</v>
      </c>
      <c r="AJ150" s="29">
        <f t="shared" si="55"/>
        <v>0</v>
      </c>
      <c r="AK150" s="29">
        <f t="shared" si="56"/>
        <v>0</v>
      </c>
      <c r="AL150" s="29">
        <f t="shared" si="57"/>
        <v>0</v>
      </c>
      <c r="AN150" s="29">
        <v>21</v>
      </c>
      <c r="AO150" s="29">
        <f>I150*0</f>
        <v>0</v>
      </c>
      <c r="AP150" s="29">
        <f>I150*(1-0)</f>
        <v>0</v>
      </c>
      <c r="AQ150" s="23" t="s">
        <v>578</v>
      </c>
      <c r="AV150" s="29">
        <f t="shared" si="58"/>
        <v>0</v>
      </c>
      <c r="AW150" s="29">
        <f t="shared" si="59"/>
        <v>0</v>
      </c>
      <c r="AX150" s="29">
        <f t="shared" si="60"/>
        <v>0</v>
      </c>
      <c r="AY150" s="23" t="s">
        <v>54</v>
      </c>
      <c r="AZ150" s="23" t="s">
        <v>297</v>
      </c>
      <c r="BA150" s="10" t="s">
        <v>439</v>
      </c>
      <c r="BC150" s="29">
        <f t="shared" si="61"/>
        <v>0</v>
      </c>
      <c r="BD150" s="29">
        <f t="shared" si="62"/>
        <v>0</v>
      </c>
      <c r="BE150" s="29">
        <v>0</v>
      </c>
      <c r="BF150" s="29">
        <f>150</f>
        <v>150</v>
      </c>
      <c r="BH150" s="29">
        <f t="shared" si="63"/>
        <v>0</v>
      </c>
      <c r="BI150" s="29">
        <f t="shared" si="64"/>
        <v>0</v>
      </c>
      <c r="BJ150" s="29">
        <f t="shared" si="65"/>
        <v>0</v>
      </c>
      <c r="BK150" s="29"/>
      <c r="BL150" s="29">
        <v>766</v>
      </c>
    </row>
    <row r="151" spans="1:64" ht="15" customHeight="1">
      <c r="A151" s="4" t="s">
        <v>17</v>
      </c>
      <c r="B151" s="18" t="s">
        <v>456</v>
      </c>
      <c r="C151" s="67" t="s">
        <v>157</v>
      </c>
      <c r="D151" s="67"/>
      <c r="E151" s="67"/>
      <c r="F151" s="67"/>
      <c r="G151" s="18" t="s">
        <v>146</v>
      </c>
      <c r="H151" s="29">
        <v>9</v>
      </c>
      <c r="I151" s="46">
        <v>0</v>
      </c>
      <c r="J151" s="29">
        <f t="shared" si="44"/>
        <v>0</v>
      </c>
      <c r="K151" s="29">
        <f t="shared" si="45"/>
        <v>0</v>
      </c>
      <c r="L151" s="29">
        <f t="shared" si="46"/>
        <v>0</v>
      </c>
      <c r="M151" s="41" t="s">
        <v>484</v>
      </c>
      <c r="Z151" s="29">
        <f t="shared" si="47"/>
        <v>0</v>
      </c>
      <c r="AB151" s="29">
        <f t="shared" si="48"/>
        <v>0</v>
      </c>
      <c r="AC151" s="29">
        <f t="shared" si="49"/>
        <v>0</v>
      </c>
      <c r="AD151" s="29">
        <f t="shared" si="50"/>
        <v>0</v>
      </c>
      <c r="AE151" s="29">
        <f t="shared" si="51"/>
        <v>0</v>
      </c>
      <c r="AF151" s="29">
        <f t="shared" si="52"/>
        <v>0</v>
      </c>
      <c r="AG151" s="29">
        <f t="shared" si="53"/>
        <v>0</v>
      </c>
      <c r="AH151" s="29">
        <f t="shared" si="54"/>
        <v>0</v>
      </c>
      <c r="AI151" s="10" t="s">
        <v>394</v>
      </c>
      <c r="AJ151" s="29">
        <f t="shared" si="55"/>
        <v>0</v>
      </c>
      <c r="AK151" s="29">
        <f t="shared" si="56"/>
        <v>0</v>
      </c>
      <c r="AL151" s="29">
        <f t="shared" si="57"/>
        <v>0</v>
      </c>
      <c r="AN151" s="29">
        <v>21</v>
      </c>
      <c r="AO151" s="29">
        <f>I151*0</f>
        <v>0</v>
      </c>
      <c r="AP151" s="29">
        <f>I151*(1-0)</f>
        <v>0</v>
      </c>
      <c r="AQ151" s="23" t="s">
        <v>578</v>
      </c>
      <c r="AV151" s="29">
        <f t="shared" si="58"/>
        <v>0</v>
      </c>
      <c r="AW151" s="29">
        <f t="shared" si="59"/>
        <v>0</v>
      </c>
      <c r="AX151" s="29">
        <f t="shared" si="60"/>
        <v>0</v>
      </c>
      <c r="AY151" s="23" t="s">
        <v>54</v>
      </c>
      <c r="AZ151" s="23" t="s">
        <v>297</v>
      </c>
      <c r="BA151" s="10" t="s">
        <v>439</v>
      </c>
      <c r="BC151" s="29">
        <f t="shared" si="61"/>
        <v>0</v>
      </c>
      <c r="BD151" s="29">
        <f t="shared" si="62"/>
        <v>0</v>
      </c>
      <c r="BE151" s="29">
        <v>0</v>
      </c>
      <c r="BF151" s="29">
        <f>151</f>
        <v>151</v>
      </c>
      <c r="BH151" s="29">
        <f t="shared" si="63"/>
        <v>0</v>
      </c>
      <c r="BI151" s="29">
        <f t="shared" si="64"/>
        <v>0</v>
      </c>
      <c r="BJ151" s="29">
        <f t="shared" si="65"/>
        <v>0</v>
      </c>
      <c r="BK151" s="29"/>
      <c r="BL151" s="29">
        <v>766</v>
      </c>
    </row>
    <row r="152" spans="1:64" ht="15" customHeight="1">
      <c r="A152" s="4" t="s">
        <v>0</v>
      </c>
      <c r="B152" s="18" t="s">
        <v>366</v>
      </c>
      <c r="C152" s="67" t="s">
        <v>593</v>
      </c>
      <c r="D152" s="67"/>
      <c r="E152" s="67"/>
      <c r="F152" s="67"/>
      <c r="G152" s="18" t="s">
        <v>146</v>
      </c>
      <c r="H152" s="29">
        <v>1</v>
      </c>
      <c r="I152" s="46">
        <v>0</v>
      </c>
      <c r="J152" s="29">
        <f t="shared" si="44"/>
        <v>0</v>
      </c>
      <c r="K152" s="29">
        <f t="shared" si="45"/>
        <v>0</v>
      </c>
      <c r="L152" s="29">
        <f t="shared" si="46"/>
        <v>0</v>
      </c>
      <c r="M152" s="41" t="s">
        <v>484</v>
      </c>
      <c r="Z152" s="29">
        <f t="shared" si="47"/>
        <v>0</v>
      </c>
      <c r="AB152" s="29">
        <f t="shared" si="48"/>
        <v>0</v>
      </c>
      <c r="AC152" s="29">
        <f t="shared" si="49"/>
        <v>0</v>
      </c>
      <c r="AD152" s="29">
        <f t="shared" si="50"/>
        <v>0</v>
      </c>
      <c r="AE152" s="29">
        <f t="shared" si="51"/>
        <v>0</v>
      </c>
      <c r="AF152" s="29">
        <f t="shared" si="52"/>
        <v>0</v>
      </c>
      <c r="AG152" s="29">
        <f t="shared" si="53"/>
        <v>0</v>
      </c>
      <c r="AH152" s="29">
        <f t="shared" si="54"/>
        <v>0</v>
      </c>
      <c r="AI152" s="10" t="s">
        <v>394</v>
      </c>
      <c r="AJ152" s="29">
        <f t="shared" si="55"/>
        <v>0</v>
      </c>
      <c r="AK152" s="29">
        <f t="shared" si="56"/>
        <v>0</v>
      </c>
      <c r="AL152" s="29">
        <f t="shared" si="57"/>
        <v>0</v>
      </c>
      <c r="AN152" s="29">
        <v>21</v>
      </c>
      <c r="AO152" s="29">
        <f>I152*1</f>
        <v>0</v>
      </c>
      <c r="AP152" s="29">
        <f>I152*(1-1)</f>
        <v>0</v>
      </c>
      <c r="AQ152" s="23" t="s">
        <v>578</v>
      </c>
      <c r="AV152" s="29">
        <f t="shared" si="58"/>
        <v>0</v>
      </c>
      <c r="AW152" s="29">
        <f t="shared" si="59"/>
        <v>0</v>
      </c>
      <c r="AX152" s="29">
        <f t="shared" si="60"/>
        <v>0</v>
      </c>
      <c r="AY152" s="23" t="s">
        <v>54</v>
      </c>
      <c r="AZ152" s="23" t="s">
        <v>297</v>
      </c>
      <c r="BA152" s="10" t="s">
        <v>439</v>
      </c>
      <c r="BC152" s="29">
        <f t="shared" si="61"/>
        <v>0</v>
      </c>
      <c r="BD152" s="29">
        <f t="shared" si="62"/>
        <v>0</v>
      </c>
      <c r="BE152" s="29">
        <v>0</v>
      </c>
      <c r="BF152" s="29">
        <f>152</f>
        <v>152</v>
      </c>
      <c r="BH152" s="29">
        <f t="shared" si="63"/>
        <v>0</v>
      </c>
      <c r="BI152" s="29">
        <f t="shared" si="64"/>
        <v>0</v>
      </c>
      <c r="BJ152" s="29">
        <f t="shared" si="65"/>
        <v>0</v>
      </c>
      <c r="BK152" s="29"/>
      <c r="BL152" s="29">
        <v>766</v>
      </c>
    </row>
    <row r="153" spans="1:64" ht="15" customHeight="1">
      <c r="A153" s="4" t="s">
        <v>524</v>
      </c>
      <c r="B153" s="18" t="s">
        <v>536</v>
      </c>
      <c r="C153" s="67" t="s">
        <v>129</v>
      </c>
      <c r="D153" s="67"/>
      <c r="E153" s="67"/>
      <c r="F153" s="67"/>
      <c r="G153" s="18" t="s">
        <v>146</v>
      </c>
      <c r="H153" s="29">
        <v>8</v>
      </c>
      <c r="I153" s="46">
        <v>0</v>
      </c>
      <c r="J153" s="29">
        <f t="shared" si="44"/>
        <v>0</v>
      </c>
      <c r="K153" s="29">
        <f t="shared" si="45"/>
        <v>0</v>
      </c>
      <c r="L153" s="29">
        <f t="shared" si="46"/>
        <v>0</v>
      </c>
      <c r="M153" s="41" t="s">
        <v>484</v>
      </c>
      <c r="Z153" s="29">
        <f t="shared" si="47"/>
        <v>0</v>
      </c>
      <c r="AB153" s="29">
        <f t="shared" si="48"/>
        <v>0</v>
      </c>
      <c r="AC153" s="29">
        <f t="shared" si="49"/>
        <v>0</v>
      </c>
      <c r="AD153" s="29">
        <f t="shared" si="50"/>
        <v>0</v>
      </c>
      <c r="AE153" s="29">
        <f t="shared" si="51"/>
        <v>0</v>
      </c>
      <c r="AF153" s="29">
        <f t="shared" si="52"/>
        <v>0</v>
      </c>
      <c r="AG153" s="29">
        <f t="shared" si="53"/>
        <v>0</v>
      </c>
      <c r="AH153" s="29">
        <f t="shared" si="54"/>
        <v>0</v>
      </c>
      <c r="AI153" s="10" t="s">
        <v>394</v>
      </c>
      <c r="AJ153" s="29">
        <f t="shared" si="55"/>
        <v>0</v>
      </c>
      <c r="AK153" s="29">
        <f t="shared" si="56"/>
        <v>0</v>
      </c>
      <c r="AL153" s="29">
        <f t="shared" si="57"/>
        <v>0</v>
      </c>
      <c r="AN153" s="29">
        <v>21</v>
      </c>
      <c r="AO153" s="29">
        <f>I153*1</f>
        <v>0</v>
      </c>
      <c r="AP153" s="29">
        <f>I153*(1-1)</f>
        <v>0</v>
      </c>
      <c r="AQ153" s="23" t="s">
        <v>578</v>
      </c>
      <c r="AV153" s="29">
        <f t="shared" si="58"/>
        <v>0</v>
      </c>
      <c r="AW153" s="29">
        <f t="shared" si="59"/>
        <v>0</v>
      </c>
      <c r="AX153" s="29">
        <f t="shared" si="60"/>
        <v>0</v>
      </c>
      <c r="AY153" s="23" t="s">
        <v>54</v>
      </c>
      <c r="AZ153" s="23" t="s">
        <v>297</v>
      </c>
      <c r="BA153" s="10" t="s">
        <v>439</v>
      </c>
      <c r="BC153" s="29">
        <f t="shared" si="61"/>
        <v>0</v>
      </c>
      <c r="BD153" s="29">
        <f t="shared" si="62"/>
        <v>0</v>
      </c>
      <c r="BE153" s="29">
        <v>0</v>
      </c>
      <c r="BF153" s="29">
        <f>153</f>
        <v>153</v>
      </c>
      <c r="BH153" s="29">
        <f t="shared" si="63"/>
        <v>0</v>
      </c>
      <c r="BI153" s="29">
        <f t="shared" si="64"/>
        <v>0</v>
      </c>
      <c r="BJ153" s="29">
        <f t="shared" si="65"/>
        <v>0</v>
      </c>
      <c r="BK153" s="29"/>
      <c r="BL153" s="29">
        <v>766</v>
      </c>
    </row>
    <row r="154" spans="1:64" ht="15" customHeight="1">
      <c r="A154" s="4" t="s">
        <v>62</v>
      </c>
      <c r="B154" s="18" t="s">
        <v>358</v>
      </c>
      <c r="C154" s="67" t="s">
        <v>182</v>
      </c>
      <c r="D154" s="67"/>
      <c r="E154" s="67"/>
      <c r="F154" s="67"/>
      <c r="G154" s="18" t="s">
        <v>441</v>
      </c>
      <c r="H154" s="29">
        <v>1</v>
      </c>
      <c r="I154" s="46">
        <v>0</v>
      </c>
      <c r="J154" s="29">
        <f t="shared" si="44"/>
        <v>0</v>
      </c>
      <c r="K154" s="29">
        <f t="shared" si="45"/>
        <v>0</v>
      </c>
      <c r="L154" s="29">
        <f t="shared" si="46"/>
        <v>0</v>
      </c>
      <c r="M154" s="41" t="s">
        <v>394</v>
      </c>
      <c r="Z154" s="29">
        <f t="shared" si="47"/>
        <v>0</v>
      </c>
      <c r="AB154" s="29">
        <f t="shared" si="48"/>
        <v>0</v>
      </c>
      <c r="AC154" s="29">
        <f t="shared" si="49"/>
        <v>0</v>
      </c>
      <c r="AD154" s="29">
        <f t="shared" si="50"/>
        <v>0</v>
      </c>
      <c r="AE154" s="29">
        <f t="shared" si="51"/>
        <v>0</v>
      </c>
      <c r="AF154" s="29">
        <f t="shared" si="52"/>
        <v>0</v>
      </c>
      <c r="AG154" s="29">
        <f t="shared" si="53"/>
        <v>0</v>
      </c>
      <c r="AH154" s="29">
        <f t="shared" si="54"/>
        <v>0</v>
      </c>
      <c r="AI154" s="10" t="s">
        <v>394</v>
      </c>
      <c r="AJ154" s="29">
        <f t="shared" si="55"/>
        <v>0</v>
      </c>
      <c r="AK154" s="29">
        <f t="shared" si="56"/>
        <v>0</v>
      </c>
      <c r="AL154" s="29">
        <f t="shared" si="57"/>
        <v>0</v>
      </c>
      <c r="AN154" s="29">
        <v>21</v>
      </c>
      <c r="AO154" s="29">
        <f>I154*0.75</f>
        <v>0</v>
      </c>
      <c r="AP154" s="29">
        <f>I154*(1-0.75)</f>
        <v>0</v>
      </c>
      <c r="AQ154" s="23" t="s">
        <v>578</v>
      </c>
      <c r="AV154" s="29">
        <f t="shared" si="58"/>
        <v>0</v>
      </c>
      <c r="AW154" s="29">
        <f t="shared" si="59"/>
        <v>0</v>
      </c>
      <c r="AX154" s="29">
        <f t="shared" si="60"/>
        <v>0</v>
      </c>
      <c r="AY154" s="23" t="s">
        <v>54</v>
      </c>
      <c r="AZ154" s="23" t="s">
        <v>297</v>
      </c>
      <c r="BA154" s="10" t="s">
        <v>439</v>
      </c>
      <c r="BC154" s="29">
        <f t="shared" si="61"/>
        <v>0</v>
      </c>
      <c r="BD154" s="29">
        <f t="shared" si="62"/>
        <v>0</v>
      </c>
      <c r="BE154" s="29">
        <v>0</v>
      </c>
      <c r="BF154" s="29">
        <f>154</f>
        <v>154</v>
      </c>
      <c r="BH154" s="29">
        <f t="shared" si="63"/>
        <v>0</v>
      </c>
      <c r="BI154" s="29">
        <f t="shared" si="64"/>
        <v>0</v>
      </c>
      <c r="BJ154" s="29">
        <f t="shared" si="65"/>
        <v>0</v>
      </c>
      <c r="BK154" s="29"/>
      <c r="BL154" s="29">
        <v>766</v>
      </c>
    </row>
    <row r="155" spans="1:13" ht="13.5" customHeight="1">
      <c r="A155" s="40"/>
      <c r="B155" s="34" t="s">
        <v>279</v>
      </c>
      <c r="C155" s="88" t="s">
        <v>599</v>
      </c>
      <c r="D155" s="89"/>
      <c r="E155" s="89"/>
      <c r="F155" s="89"/>
      <c r="G155" s="89"/>
      <c r="H155" s="89"/>
      <c r="I155" s="90"/>
      <c r="J155" s="89"/>
      <c r="K155" s="89"/>
      <c r="L155" s="89"/>
      <c r="M155" s="91"/>
    </row>
    <row r="156" spans="1:64" ht="15" customHeight="1">
      <c r="A156" s="4" t="s">
        <v>218</v>
      </c>
      <c r="B156" s="18" t="s">
        <v>270</v>
      </c>
      <c r="C156" s="67" t="s">
        <v>467</v>
      </c>
      <c r="D156" s="67"/>
      <c r="E156" s="67"/>
      <c r="F156" s="67"/>
      <c r="G156" s="18" t="s">
        <v>441</v>
      </c>
      <c r="H156" s="29">
        <v>1</v>
      </c>
      <c r="I156" s="46">
        <v>0</v>
      </c>
      <c r="J156" s="29">
        <f>H156*AO156</f>
        <v>0</v>
      </c>
      <c r="K156" s="29">
        <f>H156*AP156</f>
        <v>0</v>
      </c>
      <c r="L156" s="29">
        <f>H156*I156</f>
        <v>0</v>
      </c>
      <c r="M156" s="41" t="s">
        <v>394</v>
      </c>
      <c r="Z156" s="29">
        <f>IF(AQ156="5",BJ156,0)</f>
        <v>0</v>
      </c>
      <c r="AB156" s="29">
        <f>IF(AQ156="1",BH156,0)</f>
        <v>0</v>
      </c>
      <c r="AC156" s="29">
        <f>IF(AQ156="1",BI156,0)</f>
        <v>0</v>
      </c>
      <c r="AD156" s="29">
        <f>IF(AQ156="7",BH156,0)</f>
        <v>0</v>
      </c>
      <c r="AE156" s="29">
        <f>IF(AQ156="7",BI156,0)</f>
        <v>0</v>
      </c>
      <c r="AF156" s="29">
        <f>IF(AQ156="2",BH156,0)</f>
        <v>0</v>
      </c>
      <c r="AG156" s="29">
        <f>IF(AQ156="2",BI156,0)</f>
        <v>0</v>
      </c>
      <c r="AH156" s="29">
        <f>IF(AQ156="0",BJ156,0)</f>
        <v>0</v>
      </c>
      <c r="AI156" s="10" t="s">
        <v>394</v>
      </c>
      <c r="AJ156" s="29">
        <f>IF(AN156=0,L156,0)</f>
        <v>0</v>
      </c>
      <c r="AK156" s="29">
        <f>IF(AN156=15,L156,0)</f>
        <v>0</v>
      </c>
      <c r="AL156" s="29">
        <f>IF(AN156=21,L156,0)</f>
        <v>0</v>
      </c>
      <c r="AN156" s="29">
        <v>21</v>
      </c>
      <c r="AO156" s="29">
        <f>I156*0.8</f>
        <v>0</v>
      </c>
      <c r="AP156" s="29">
        <f>I156*(1-0.8)</f>
        <v>0</v>
      </c>
      <c r="AQ156" s="23" t="s">
        <v>578</v>
      </c>
      <c r="AV156" s="29">
        <f>AW156+AX156</f>
        <v>0</v>
      </c>
      <c r="AW156" s="29">
        <f>H156*AO156</f>
        <v>0</v>
      </c>
      <c r="AX156" s="29">
        <f>H156*AP156</f>
        <v>0</v>
      </c>
      <c r="AY156" s="23" t="s">
        <v>54</v>
      </c>
      <c r="AZ156" s="23" t="s">
        <v>297</v>
      </c>
      <c r="BA156" s="10" t="s">
        <v>439</v>
      </c>
      <c r="BC156" s="29">
        <f>AW156+AX156</f>
        <v>0</v>
      </c>
      <c r="BD156" s="29">
        <f>I156/(100-BE156)*100</f>
        <v>0</v>
      </c>
      <c r="BE156" s="29">
        <v>0</v>
      </c>
      <c r="BF156" s="29">
        <f>156</f>
        <v>156</v>
      </c>
      <c r="BH156" s="29">
        <f>H156*AO156</f>
        <v>0</v>
      </c>
      <c r="BI156" s="29">
        <f>H156*AP156</f>
        <v>0</v>
      </c>
      <c r="BJ156" s="29">
        <f>H156*I156</f>
        <v>0</v>
      </c>
      <c r="BK156" s="29"/>
      <c r="BL156" s="29">
        <v>766</v>
      </c>
    </row>
    <row r="157" spans="1:13" ht="13.5" customHeight="1">
      <c r="A157" s="40"/>
      <c r="B157" s="34" t="s">
        <v>279</v>
      </c>
      <c r="C157" s="88" t="s">
        <v>300</v>
      </c>
      <c r="D157" s="89"/>
      <c r="E157" s="89"/>
      <c r="F157" s="89"/>
      <c r="G157" s="89"/>
      <c r="H157" s="89"/>
      <c r="I157" s="90"/>
      <c r="J157" s="89"/>
      <c r="K157" s="89"/>
      <c r="L157" s="89"/>
      <c r="M157" s="91"/>
    </row>
    <row r="158" spans="1:64" ht="15" customHeight="1">
      <c r="A158" s="4" t="s">
        <v>308</v>
      </c>
      <c r="B158" s="18" t="s">
        <v>185</v>
      </c>
      <c r="C158" s="67" t="s">
        <v>64</v>
      </c>
      <c r="D158" s="67"/>
      <c r="E158" s="67"/>
      <c r="F158" s="67"/>
      <c r="G158" s="18" t="s">
        <v>255</v>
      </c>
      <c r="H158" s="29">
        <v>0.492</v>
      </c>
      <c r="I158" s="46">
        <v>0</v>
      </c>
      <c r="J158" s="29">
        <f>H158*AO158</f>
        <v>0</v>
      </c>
      <c r="K158" s="29">
        <f>H158*AP158</f>
        <v>0</v>
      </c>
      <c r="L158" s="29">
        <f>H158*I158</f>
        <v>0</v>
      </c>
      <c r="M158" s="41" t="s">
        <v>484</v>
      </c>
      <c r="Z158" s="29">
        <f>IF(AQ158="5",BJ158,0)</f>
        <v>0</v>
      </c>
      <c r="AB158" s="29">
        <f>IF(AQ158="1",BH158,0)</f>
        <v>0</v>
      </c>
      <c r="AC158" s="29">
        <f>IF(AQ158="1",BI158,0)</f>
        <v>0</v>
      </c>
      <c r="AD158" s="29">
        <f>IF(AQ158="7",BH158,0)</f>
        <v>0</v>
      </c>
      <c r="AE158" s="29">
        <f>IF(AQ158="7",BI158,0)</f>
        <v>0</v>
      </c>
      <c r="AF158" s="29">
        <f>IF(AQ158="2",BH158,0)</f>
        <v>0</v>
      </c>
      <c r="AG158" s="29">
        <f>IF(AQ158="2",BI158,0)</f>
        <v>0</v>
      </c>
      <c r="AH158" s="29">
        <f>IF(AQ158="0",BJ158,0)</f>
        <v>0</v>
      </c>
      <c r="AI158" s="10" t="s">
        <v>394</v>
      </c>
      <c r="AJ158" s="29">
        <f>IF(AN158=0,L158,0)</f>
        <v>0</v>
      </c>
      <c r="AK158" s="29">
        <f>IF(AN158=15,L158,0)</f>
        <v>0</v>
      </c>
      <c r="AL158" s="29">
        <f>IF(AN158=21,L158,0)</f>
        <v>0</v>
      </c>
      <c r="AN158" s="29">
        <v>21</v>
      </c>
      <c r="AO158" s="29">
        <f>I158*0</f>
        <v>0</v>
      </c>
      <c r="AP158" s="29">
        <f>I158*(1-0)</f>
        <v>0</v>
      </c>
      <c r="AQ158" s="23" t="s">
        <v>296</v>
      </c>
      <c r="AV158" s="29">
        <f>AW158+AX158</f>
        <v>0</v>
      </c>
      <c r="AW158" s="29">
        <f>H158*AO158</f>
        <v>0</v>
      </c>
      <c r="AX158" s="29">
        <f>H158*AP158</f>
        <v>0</v>
      </c>
      <c r="AY158" s="23" t="s">
        <v>54</v>
      </c>
      <c r="AZ158" s="23" t="s">
        <v>297</v>
      </c>
      <c r="BA158" s="10" t="s">
        <v>439</v>
      </c>
      <c r="BC158" s="29">
        <f>AW158+AX158</f>
        <v>0</v>
      </c>
      <c r="BD158" s="29">
        <f>I158/(100-BE158)*100</f>
        <v>0</v>
      </c>
      <c r="BE158" s="29">
        <v>0</v>
      </c>
      <c r="BF158" s="29">
        <f>158</f>
        <v>158</v>
      </c>
      <c r="BH158" s="29">
        <f>H158*AO158</f>
        <v>0</v>
      </c>
      <c r="BI158" s="29">
        <f>H158*AP158</f>
        <v>0</v>
      </c>
      <c r="BJ158" s="29">
        <f>H158*I158</f>
        <v>0</v>
      </c>
      <c r="BK158" s="29"/>
      <c r="BL158" s="29">
        <v>766</v>
      </c>
    </row>
    <row r="159" spans="1:47" ht="15" customHeight="1">
      <c r="A159" s="26" t="s">
        <v>394</v>
      </c>
      <c r="B159" s="8" t="s">
        <v>457</v>
      </c>
      <c r="C159" s="87" t="s">
        <v>373</v>
      </c>
      <c r="D159" s="87"/>
      <c r="E159" s="87"/>
      <c r="F159" s="87"/>
      <c r="G159" s="42" t="s">
        <v>537</v>
      </c>
      <c r="H159" s="42" t="s">
        <v>537</v>
      </c>
      <c r="I159" s="50" t="s">
        <v>537</v>
      </c>
      <c r="J159" s="24">
        <f>SUM(J160:J174)</f>
        <v>0</v>
      </c>
      <c r="K159" s="24">
        <f>SUM(K160:K174)</f>
        <v>0</v>
      </c>
      <c r="L159" s="24">
        <f>SUM(L160:L174)</f>
        <v>0</v>
      </c>
      <c r="M159" s="9" t="s">
        <v>394</v>
      </c>
      <c r="AI159" s="10" t="s">
        <v>394</v>
      </c>
      <c r="AS159" s="24">
        <f>SUM(AJ160:AJ174)</f>
        <v>0</v>
      </c>
      <c r="AT159" s="24">
        <f>SUM(AK160:AK174)</f>
        <v>0</v>
      </c>
      <c r="AU159" s="24">
        <f>SUM(AL160:AL174)</f>
        <v>0</v>
      </c>
    </row>
    <row r="160" spans="1:64" ht="15" customHeight="1">
      <c r="A160" s="4" t="s">
        <v>60</v>
      </c>
      <c r="B160" s="18" t="s">
        <v>616</v>
      </c>
      <c r="C160" s="67" t="s">
        <v>603</v>
      </c>
      <c r="D160" s="67"/>
      <c r="E160" s="67"/>
      <c r="F160" s="67"/>
      <c r="G160" s="18" t="s">
        <v>569</v>
      </c>
      <c r="H160" s="29">
        <v>113.7</v>
      </c>
      <c r="I160" s="46">
        <v>0</v>
      </c>
      <c r="J160" s="29">
        <f>H160*AO160</f>
        <v>0</v>
      </c>
      <c r="K160" s="29">
        <f>H160*AP160</f>
        <v>0</v>
      </c>
      <c r="L160" s="29">
        <f>H160*I160</f>
        <v>0</v>
      </c>
      <c r="M160" s="41" t="s">
        <v>484</v>
      </c>
      <c r="Z160" s="29">
        <f>IF(AQ160="5",BJ160,0)</f>
        <v>0</v>
      </c>
      <c r="AB160" s="29">
        <f>IF(AQ160="1",BH160,0)</f>
        <v>0</v>
      </c>
      <c r="AC160" s="29">
        <f>IF(AQ160="1",BI160,0)</f>
        <v>0</v>
      </c>
      <c r="AD160" s="29">
        <f>IF(AQ160="7",BH160,0)</f>
        <v>0</v>
      </c>
      <c r="AE160" s="29">
        <f>IF(AQ160="7",BI160,0)</f>
        <v>0</v>
      </c>
      <c r="AF160" s="29">
        <f>IF(AQ160="2",BH160,0)</f>
        <v>0</v>
      </c>
      <c r="AG160" s="29">
        <f>IF(AQ160="2",BI160,0)</f>
        <v>0</v>
      </c>
      <c r="AH160" s="29">
        <f>IF(AQ160="0",BJ160,0)</f>
        <v>0</v>
      </c>
      <c r="AI160" s="10" t="s">
        <v>394</v>
      </c>
      <c r="AJ160" s="29">
        <f>IF(AN160=0,L160,0)</f>
        <v>0</v>
      </c>
      <c r="AK160" s="29">
        <f>IF(AN160=15,L160,0)</f>
        <v>0</v>
      </c>
      <c r="AL160" s="29">
        <f>IF(AN160=21,L160,0)</f>
        <v>0</v>
      </c>
      <c r="AN160" s="29">
        <v>21</v>
      </c>
      <c r="AO160" s="29">
        <f>I160*0</f>
        <v>0</v>
      </c>
      <c r="AP160" s="29">
        <f>I160*(1-0)</f>
        <v>0</v>
      </c>
      <c r="AQ160" s="23" t="s">
        <v>578</v>
      </c>
      <c r="AV160" s="29">
        <f>AW160+AX160</f>
        <v>0</v>
      </c>
      <c r="AW160" s="29">
        <f>H160*AO160</f>
        <v>0</v>
      </c>
      <c r="AX160" s="29">
        <f>H160*AP160</f>
        <v>0</v>
      </c>
      <c r="AY160" s="23" t="s">
        <v>113</v>
      </c>
      <c r="AZ160" s="23" t="s">
        <v>142</v>
      </c>
      <c r="BA160" s="10" t="s">
        <v>439</v>
      </c>
      <c r="BC160" s="29">
        <f>AW160+AX160</f>
        <v>0</v>
      </c>
      <c r="BD160" s="29">
        <f>I160/(100-BE160)*100</f>
        <v>0</v>
      </c>
      <c r="BE160" s="29">
        <v>0</v>
      </c>
      <c r="BF160" s="29">
        <f>160</f>
        <v>160</v>
      </c>
      <c r="BH160" s="29">
        <f>H160*AO160</f>
        <v>0</v>
      </c>
      <c r="BI160" s="29">
        <f>H160*AP160</f>
        <v>0</v>
      </c>
      <c r="BJ160" s="29">
        <f>H160*I160</f>
        <v>0</v>
      </c>
      <c r="BK160" s="29"/>
      <c r="BL160" s="29">
        <v>776</v>
      </c>
    </row>
    <row r="161" spans="1:13" ht="13.5" customHeight="1">
      <c r="A161" s="40"/>
      <c r="B161" s="34" t="s">
        <v>279</v>
      </c>
      <c r="C161" s="88" t="s">
        <v>512</v>
      </c>
      <c r="D161" s="89"/>
      <c r="E161" s="89"/>
      <c r="F161" s="89"/>
      <c r="G161" s="89"/>
      <c r="H161" s="89"/>
      <c r="I161" s="90"/>
      <c r="J161" s="89"/>
      <c r="K161" s="89"/>
      <c r="L161" s="89"/>
      <c r="M161" s="91"/>
    </row>
    <row r="162" spans="1:64" ht="15" customHeight="1">
      <c r="A162" s="4" t="s">
        <v>400</v>
      </c>
      <c r="B162" s="18" t="s">
        <v>246</v>
      </c>
      <c r="C162" s="67" t="s">
        <v>603</v>
      </c>
      <c r="D162" s="67"/>
      <c r="E162" s="67"/>
      <c r="F162" s="67"/>
      <c r="G162" s="18" t="s">
        <v>569</v>
      </c>
      <c r="H162" s="29">
        <v>15.5</v>
      </c>
      <c r="I162" s="46">
        <v>0</v>
      </c>
      <c r="J162" s="29">
        <f>H162*AO162</f>
        <v>0</v>
      </c>
      <c r="K162" s="29">
        <f>H162*AP162</f>
        <v>0</v>
      </c>
      <c r="L162" s="29">
        <f>H162*I162</f>
        <v>0</v>
      </c>
      <c r="M162" s="41" t="s">
        <v>484</v>
      </c>
      <c r="Z162" s="29">
        <f>IF(AQ162="5",BJ162,0)</f>
        <v>0</v>
      </c>
      <c r="AB162" s="29">
        <f>IF(AQ162="1",BH162,0)</f>
        <v>0</v>
      </c>
      <c r="AC162" s="29">
        <f>IF(AQ162="1",BI162,0)</f>
        <v>0</v>
      </c>
      <c r="AD162" s="29">
        <f>IF(AQ162="7",BH162,0)</f>
        <v>0</v>
      </c>
      <c r="AE162" s="29">
        <f>IF(AQ162="7",BI162,0)</f>
        <v>0</v>
      </c>
      <c r="AF162" s="29">
        <f>IF(AQ162="2",BH162,0)</f>
        <v>0</v>
      </c>
      <c r="AG162" s="29">
        <f>IF(AQ162="2",BI162,0)</f>
        <v>0</v>
      </c>
      <c r="AH162" s="29">
        <f>IF(AQ162="0",BJ162,0)</f>
        <v>0</v>
      </c>
      <c r="AI162" s="10" t="s">
        <v>394</v>
      </c>
      <c r="AJ162" s="29">
        <f>IF(AN162=0,L162,0)</f>
        <v>0</v>
      </c>
      <c r="AK162" s="29">
        <f>IF(AN162=15,L162,0)</f>
        <v>0</v>
      </c>
      <c r="AL162" s="29">
        <f>IF(AN162=21,L162,0)</f>
        <v>0</v>
      </c>
      <c r="AN162" s="29">
        <v>21</v>
      </c>
      <c r="AO162" s="29">
        <f>I162*0</f>
        <v>0</v>
      </c>
      <c r="AP162" s="29">
        <f>I162*(1-0)</f>
        <v>0</v>
      </c>
      <c r="AQ162" s="23" t="s">
        <v>578</v>
      </c>
      <c r="AV162" s="29">
        <f>AW162+AX162</f>
        <v>0</v>
      </c>
      <c r="AW162" s="29">
        <f>H162*AO162</f>
        <v>0</v>
      </c>
      <c r="AX162" s="29">
        <f>H162*AP162</f>
        <v>0</v>
      </c>
      <c r="AY162" s="23" t="s">
        <v>113</v>
      </c>
      <c r="AZ162" s="23" t="s">
        <v>142</v>
      </c>
      <c r="BA162" s="10" t="s">
        <v>439</v>
      </c>
      <c r="BC162" s="29">
        <f>AW162+AX162</f>
        <v>0</v>
      </c>
      <c r="BD162" s="29">
        <f>I162/(100-BE162)*100</f>
        <v>0</v>
      </c>
      <c r="BE162" s="29">
        <v>0</v>
      </c>
      <c r="BF162" s="29">
        <f>162</f>
        <v>162</v>
      </c>
      <c r="BH162" s="29">
        <f>H162*AO162</f>
        <v>0</v>
      </c>
      <c r="BI162" s="29">
        <f>H162*AP162</f>
        <v>0</v>
      </c>
      <c r="BJ162" s="29">
        <f>H162*I162</f>
        <v>0</v>
      </c>
      <c r="BK162" s="29"/>
      <c r="BL162" s="29">
        <v>776</v>
      </c>
    </row>
    <row r="163" spans="1:13" ht="13.5" customHeight="1">
      <c r="A163" s="40"/>
      <c r="B163" s="34" t="s">
        <v>279</v>
      </c>
      <c r="C163" s="88" t="s">
        <v>568</v>
      </c>
      <c r="D163" s="89"/>
      <c r="E163" s="89"/>
      <c r="F163" s="89"/>
      <c r="G163" s="89"/>
      <c r="H163" s="89"/>
      <c r="I163" s="90"/>
      <c r="J163" s="89"/>
      <c r="K163" s="89"/>
      <c r="L163" s="89"/>
      <c r="M163" s="91"/>
    </row>
    <row r="164" spans="1:64" ht="15" customHeight="1">
      <c r="A164" s="4" t="s">
        <v>261</v>
      </c>
      <c r="B164" s="18" t="s">
        <v>470</v>
      </c>
      <c r="C164" s="67" t="s">
        <v>435</v>
      </c>
      <c r="D164" s="67"/>
      <c r="E164" s="67"/>
      <c r="F164" s="67"/>
      <c r="G164" s="18" t="s">
        <v>569</v>
      </c>
      <c r="H164" s="29">
        <v>129.2</v>
      </c>
      <c r="I164" s="46">
        <v>0</v>
      </c>
      <c r="J164" s="29">
        <f>H164*AO164</f>
        <v>0</v>
      </c>
      <c r="K164" s="29">
        <f>H164*AP164</f>
        <v>0</v>
      </c>
      <c r="L164" s="29">
        <f>H164*I164</f>
        <v>0</v>
      </c>
      <c r="M164" s="41" t="s">
        <v>484</v>
      </c>
      <c r="Z164" s="29">
        <f>IF(AQ164="5",BJ164,0)</f>
        <v>0</v>
      </c>
      <c r="AB164" s="29">
        <f>IF(AQ164="1",BH164,0)</f>
        <v>0</v>
      </c>
      <c r="AC164" s="29">
        <f>IF(AQ164="1",BI164,0)</f>
        <v>0</v>
      </c>
      <c r="AD164" s="29">
        <f>IF(AQ164="7",BH164,0)</f>
        <v>0</v>
      </c>
      <c r="AE164" s="29">
        <f>IF(AQ164="7",BI164,0)</f>
        <v>0</v>
      </c>
      <c r="AF164" s="29">
        <f>IF(AQ164="2",BH164,0)</f>
        <v>0</v>
      </c>
      <c r="AG164" s="29">
        <f>IF(AQ164="2",BI164,0)</f>
        <v>0</v>
      </c>
      <c r="AH164" s="29">
        <f>IF(AQ164="0",BJ164,0)</f>
        <v>0</v>
      </c>
      <c r="AI164" s="10" t="s">
        <v>394</v>
      </c>
      <c r="AJ164" s="29">
        <f>IF(AN164=0,L164,0)</f>
        <v>0</v>
      </c>
      <c r="AK164" s="29">
        <f>IF(AN164=15,L164,0)</f>
        <v>0</v>
      </c>
      <c r="AL164" s="29">
        <f>IF(AN164=21,L164,0)</f>
        <v>0</v>
      </c>
      <c r="AN164" s="29">
        <v>21</v>
      </c>
      <c r="AO164" s="29">
        <f>I164*0</f>
        <v>0</v>
      </c>
      <c r="AP164" s="29">
        <f>I164*(1-0)</f>
        <v>0</v>
      </c>
      <c r="AQ164" s="23" t="s">
        <v>578</v>
      </c>
      <c r="AV164" s="29">
        <f>AW164+AX164</f>
        <v>0</v>
      </c>
      <c r="AW164" s="29">
        <f>H164*AO164</f>
        <v>0</v>
      </c>
      <c r="AX164" s="29">
        <f>H164*AP164</f>
        <v>0</v>
      </c>
      <c r="AY164" s="23" t="s">
        <v>113</v>
      </c>
      <c r="AZ164" s="23" t="s">
        <v>142</v>
      </c>
      <c r="BA164" s="10" t="s">
        <v>439</v>
      </c>
      <c r="BC164" s="29">
        <f>AW164+AX164</f>
        <v>0</v>
      </c>
      <c r="BD164" s="29">
        <f>I164/(100-BE164)*100</f>
        <v>0</v>
      </c>
      <c r="BE164" s="29">
        <v>0</v>
      </c>
      <c r="BF164" s="29">
        <f>164</f>
        <v>164</v>
      </c>
      <c r="BH164" s="29">
        <f>H164*AO164</f>
        <v>0</v>
      </c>
      <c r="BI164" s="29">
        <f>H164*AP164</f>
        <v>0</v>
      </c>
      <c r="BJ164" s="29">
        <f>H164*I164</f>
        <v>0</v>
      </c>
      <c r="BK164" s="29"/>
      <c r="BL164" s="29">
        <v>776</v>
      </c>
    </row>
    <row r="165" spans="1:64" ht="15" customHeight="1">
      <c r="A165" s="4" t="s">
        <v>476</v>
      </c>
      <c r="B165" s="18" t="s">
        <v>391</v>
      </c>
      <c r="C165" s="67" t="s">
        <v>657</v>
      </c>
      <c r="D165" s="67"/>
      <c r="E165" s="67"/>
      <c r="F165" s="67"/>
      <c r="G165" s="18" t="s">
        <v>569</v>
      </c>
      <c r="H165" s="29">
        <v>129.2</v>
      </c>
      <c r="I165" s="46">
        <v>0</v>
      </c>
      <c r="J165" s="29">
        <f>H165*AO165</f>
        <v>0</v>
      </c>
      <c r="K165" s="29">
        <f>H165*AP165</f>
        <v>0</v>
      </c>
      <c r="L165" s="29">
        <f>H165*I165</f>
        <v>0</v>
      </c>
      <c r="M165" s="41" t="s">
        <v>484</v>
      </c>
      <c r="Z165" s="29">
        <f>IF(AQ165="5",BJ165,0)</f>
        <v>0</v>
      </c>
      <c r="AB165" s="29">
        <f>IF(AQ165="1",BH165,0)</f>
        <v>0</v>
      </c>
      <c r="AC165" s="29">
        <f>IF(AQ165="1",BI165,0)</f>
        <v>0</v>
      </c>
      <c r="AD165" s="29">
        <f>IF(AQ165="7",BH165,0)</f>
        <v>0</v>
      </c>
      <c r="AE165" s="29">
        <f>IF(AQ165="7",BI165,0)</f>
        <v>0</v>
      </c>
      <c r="AF165" s="29">
        <f>IF(AQ165="2",BH165,0)</f>
        <v>0</v>
      </c>
      <c r="AG165" s="29">
        <f>IF(AQ165="2",BI165,0)</f>
        <v>0</v>
      </c>
      <c r="AH165" s="29">
        <f>IF(AQ165="0",BJ165,0)</f>
        <v>0</v>
      </c>
      <c r="AI165" s="10" t="s">
        <v>394</v>
      </c>
      <c r="AJ165" s="29">
        <f>IF(AN165=0,L165,0)</f>
        <v>0</v>
      </c>
      <c r="AK165" s="29">
        <f>IF(AN165=15,L165,0)</f>
        <v>0</v>
      </c>
      <c r="AL165" s="29">
        <f>IF(AN165=21,L165,0)</f>
        <v>0</v>
      </c>
      <c r="AN165" s="29">
        <v>21</v>
      </c>
      <c r="AO165" s="29">
        <f>I165*0</f>
        <v>0</v>
      </c>
      <c r="AP165" s="29">
        <f>I165*(1-0)</f>
        <v>0</v>
      </c>
      <c r="AQ165" s="23" t="s">
        <v>578</v>
      </c>
      <c r="AV165" s="29">
        <f>AW165+AX165</f>
        <v>0</v>
      </c>
      <c r="AW165" s="29">
        <f>H165*AO165</f>
        <v>0</v>
      </c>
      <c r="AX165" s="29">
        <f>H165*AP165</f>
        <v>0</v>
      </c>
      <c r="AY165" s="23" t="s">
        <v>113</v>
      </c>
      <c r="AZ165" s="23" t="s">
        <v>142</v>
      </c>
      <c r="BA165" s="10" t="s">
        <v>439</v>
      </c>
      <c r="BC165" s="29">
        <f>AW165+AX165</f>
        <v>0</v>
      </c>
      <c r="BD165" s="29">
        <f>I165/(100-BE165)*100</f>
        <v>0</v>
      </c>
      <c r="BE165" s="29">
        <v>0</v>
      </c>
      <c r="BF165" s="29">
        <f>165</f>
        <v>165</v>
      </c>
      <c r="BH165" s="29">
        <f>H165*AO165</f>
        <v>0</v>
      </c>
      <c r="BI165" s="29">
        <f>H165*AP165</f>
        <v>0</v>
      </c>
      <c r="BJ165" s="29">
        <f>H165*I165</f>
        <v>0</v>
      </c>
      <c r="BK165" s="29"/>
      <c r="BL165" s="29">
        <v>776</v>
      </c>
    </row>
    <row r="166" spans="1:13" ht="13.5" customHeight="1">
      <c r="A166" s="40"/>
      <c r="B166" s="34" t="s">
        <v>279</v>
      </c>
      <c r="C166" s="88" t="s">
        <v>320</v>
      </c>
      <c r="D166" s="89"/>
      <c r="E166" s="89"/>
      <c r="F166" s="89"/>
      <c r="G166" s="89"/>
      <c r="H166" s="89"/>
      <c r="I166" s="90"/>
      <c r="J166" s="89"/>
      <c r="K166" s="89"/>
      <c r="L166" s="89"/>
      <c r="M166" s="91"/>
    </row>
    <row r="167" spans="1:64" ht="15" customHeight="1">
      <c r="A167" s="4" t="s">
        <v>531</v>
      </c>
      <c r="B167" s="18" t="s">
        <v>215</v>
      </c>
      <c r="C167" s="67" t="s">
        <v>538</v>
      </c>
      <c r="D167" s="67"/>
      <c r="E167" s="67"/>
      <c r="F167" s="67"/>
      <c r="G167" s="18" t="s">
        <v>569</v>
      </c>
      <c r="H167" s="29">
        <v>135</v>
      </c>
      <c r="I167" s="46">
        <v>0</v>
      </c>
      <c r="J167" s="29">
        <f>H167*AO167</f>
        <v>0</v>
      </c>
      <c r="K167" s="29">
        <f>H167*AP167</f>
        <v>0</v>
      </c>
      <c r="L167" s="29">
        <f>H167*I167</f>
        <v>0</v>
      </c>
      <c r="M167" s="41" t="s">
        <v>484</v>
      </c>
      <c r="Z167" s="29">
        <f>IF(AQ167="5",BJ167,0)</f>
        <v>0</v>
      </c>
      <c r="AB167" s="29">
        <f>IF(AQ167="1",BH167,0)</f>
        <v>0</v>
      </c>
      <c r="AC167" s="29">
        <f>IF(AQ167="1",BI167,0)</f>
        <v>0</v>
      </c>
      <c r="AD167" s="29">
        <f>IF(AQ167="7",BH167,0)</f>
        <v>0</v>
      </c>
      <c r="AE167" s="29">
        <f>IF(AQ167="7",BI167,0)</f>
        <v>0</v>
      </c>
      <c r="AF167" s="29">
        <f>IF(AQ167="2",BH167,0)</f>
        <v>0</v>
      </c>
      <c r="AG167" s="29">
        <f>IF(AQ167="2",BI167,0)</f>
        <v>0</v>
      </c>
      <c r="AH167" s="29">
        <f>IF(AQ167="0",BJ167,0)</f>
        <v>0</v>
      </c>
      <c r="AI167" s="10" t="s">
        <v>394</v>
      </c>
      <c r="AJ167" s="29">
        <f>IF(AN167=0,L167,0)</f>
        <v>0</v>
      </c>
      <c r="AK167" s="29">
        <f>IF(AN167=15,L167,0)</f>
        <v>0</v>
      </c>
      <c r="AL167" s="29">
        <f>IF(AN167=21,L167,0)</f>
        <v>0</v>
      </c>
      <c r="AN167" s="29">
        <v>21</v>
      </c>
      <c r="AO167" s="29">
        <f>I167*1</f>
        <v>0</v>
      </c>
      <c r="AP167" s="29">
        <f>I167*(1-1)</f>
        <v>0</v>
      </c>
      <c r="AQ167" s="23" t="s">
        <v>578</v>
      </c>
      <c r="AV167" s="29">
        <f>AW167+AX167</f>
        <v>0</v>
      </c>
      <c r="AW167" s="29">
        <f>H167*AO167</f>
        <v>0</v>
      </c>
      <c r="AX167" s="29">
        <f>H167*AP167</f>
        <v>0</v>
      </c>
      <c r="AY167" s="23" t="s">
        <v>113</v>
      </c>
      <c r="AZ167" s="23" t="s">
        <v>142</v>
      </c>
      <c r="BA167" s="10" t="s">
        <v>439</v>
      </c>
      <c r="BC167" s="29">
        <f>AW167+AX167</f>
        <v>0</v>
      </c>
      <c r="BD167" s="29">
        <f>I167/(100-BE167)*100</f>
        <v>0</v>
      </c>
      <c r="BE167" s="29">
        <v>0</v>
      </c>
      <c r="BF167" s="29">
        <f>167</f>
        <v>167</v>
      </c>
      <c r="BH167" s="29">
        <f>H167*AO167</f>
        <v>0</v>
      </c>
      <c r="BI167" s="29">
        <f>H167*AP167</f>
        <v>0</v>
      </c>
      <c r="BJ167" s="29">
        <f>H167*I167</f>
        <v>0</v>
      </c>
      <c r="BK167" s="29"/>
      <c r="BL167" s="29">
        <v>776</v>
      </c>
    </row>
    <row r="168" spans="1:64" ht="15" customHeight="1">
      <c r="A168" s="4" t="s">
        <v>501</v>
      </c>
      <c r="B168" s="18" t="s">
        <v>313</v>
      </c>
      <c r="C168" s="67" t="s">
        <v>530</v>
      </c>
      <c r="D168" s="67"/>
      <c r="E168" s="67"/>
      <c r="F168" s="67"/>
      <c r="G168" s="18" t="s">
        <v>480</v>
      </c>
      <c r="H168" s="29">
        <v>21.6</v>
      </c>
      <c r="I168" s="46">
        <v>0</v>
      </c>
      <c r="J168" s="29">
        <f>H168*AO168</f>
        <v>0</v>
      </c>
      <c r="K168" s="29">
        <f>H168*AP168</f>
        <v>0</v>
      </c>
      <c r="L168" s="29">
        <f>H168*I168</f>
        <v>0</v>
      </c>
      <c r="M168" s="41" t="s">
        <v>484</v>
      </c>
      <c r="Z168" s="29">
        <f>IF(AQ168="5",BJ168,0)</f>
        <v>0</v>
      </c>
      <c r="AB168" s="29">
        <f>IF(AQ168="1",BH168,0)</f>
        <v>0</v>
      </c>
      <c r="AC168" s="29">
        <f>IF(AQ168="1",BI168,0)</f>
        <v>0</v>
      </c>
      <c r="AD168" s="29">
        <f>IF(AQ168="7",BH168,0)</f>
        <v>0</v>
      </c>
      <c r="AE168" s="29">
        <f>IF(AQ168="7",BI168,0)</f>
        <v>0</v>
      </c>
      <c r="AF168" s="29">
        <f>IF(AQ168="2",BH168,0)</f>
        <v>0</v>
      </c>
      <c r="AG168" s="29">
        <f>IF(AQ168="2",BI168,0)</f>
        <v>0</v>
      </c>
      <c r="AH168" s="29">
        <f>IF(AQ168="0",BJ168,0)</f>
        <v>0</v>
      </c>
      <c r="AI168" s="10" t="s">
        <v>394</v>
      </c>
      <c r="AJ168" s="29">
        <f>IF(AN168=0,L168,0)</f>
        <v>0</v>
      </c>
      <c r="AK168" s="29">
        <f>IF(AN168=15,L168,0)</f>
        <v>0</v>
      </c>
      <c r="AL168" s="29">
        <f>IF(AN168=21,L168,0)</f>
        <v>0</v>
      </c>
      <c r="AN168" s="29">
        <v>21</v>
      </c>
      <c r="AO168" s="29">
        <f>I168*0.262761650565699</f>
        <v>0</v>
      </c>
      <c r="AP168" s="29">
        <f>I168*(1-0.262761650565699)</f>
        <v>0</v>
      </c>
      <c r="AQ168" s="23" t="s">
        <v>578</v>
      </c>
      <c r="AV168" s="29">
        <f>AW168+AX168</f>
        <v>0</v>
      </c>
      <c r="AW168" s="29">
        <f>H168*AO168</f>
        <v>0</v>
      </c>
      <c r="AX168" s="29">
        <f>H168*AP168</f>
        <v>0</v>
      </c>
      <c r="AY168" s="23" t="s">
        <v>113</v>
      </c>
      <c r="AZ168" s="23" t="s">
        <v>142</v>
      </c>
      <c r="BA168" s="10" t="s">
        <v>439</v>
      </c>
      <c r="BC168" s="29">
        <f>AW168+AX168</f>
        <v>0</v>
      </c>
      <c r="BD168" s="29">
        <f>I168/(100-BE168)*100</f>
        <v>0</v>
      </c>
      <c r="BE168" s="29">
        <v>0</v>
      </c>
      <c r="BF168" s="29">
        <f>168</f>
        <v>168</v>
      </c>
      <c r="BH168" s="29">
        <f>H168*AO168</f>
        <v>0</v>
      </c>
      <c r="BI168" s="29">
        <f>H168*AP168</f>
        <v>0</v>
      </c>
      <c r="BJ168" s="29">
        <f>H168*I168</f>
        <v>0</v>
      </c>
      <c r="BK168" s="29"/>
      <c r="BL168" s="29">
        <v>776</v>
      </c>
    </row>
    <row r="169" spans="1:13" ht="13.5" customHeight="1">
      <c r="A169" s="40"/>
      <c r="B169" s="34" t="s">
        <v>279</v>
      </c>
      <c r="C169" s="88" t="s">
        <v>317</v>
      </c>
      <c r="D169" s="89"/>
      <c r="E169" s="89"/>
      <c r="F169" s="89"/>
      <c r="G169" s="89"/>
      <c r="H169" s="89"/>
      <c r="I169" s="90"/>
      <c r="J169" s="89"/>
      <c r="K169" s="89"/>
      <c r="L169" s="89"/>
      <c r="M169" s="91"/>
    </row>
    <row r="170" spans="1:64" ht="15" customHeight="1">
      <c r="A170" s="4" t="s">
        <v>14</v>
      </c>
      <c r="B170" s="18" t="s">
        <v>52</v>
      </c>
      <c r="C170" s="67" t="s">
        <v>341</v>
      </c>
      <c r="D170" s="67"/>
      <c r="E170" s="67"/>
      <c r="F170" s="67"/>
      <c r="G170" s="18" t="s">
        <v>569</v>
      </c>
      <c r="H170" s="29">
        <v>10</v>
      </c>
      <c r="I170" s="46">
        <v>0</v>
      </c>
      <c r="J170" s="29">
        <f>H170*AO170</f>
        <v>0</v>
      </c>
      <c r="K170" s="29">
        <f>H170*AP170</f>
        <v>0</v>
      </c>
      <c r="L170" s="29">
        <f>H170*I170</f>
        <v>0</v>
      </c>
      <c r="M170" s="41" t="s">
        <v>484</v>
      </c>
      <c r="Z170" s="29">
        <f>IF(AQ170="5",BJ170,0)</f>
        <v>0</v>
      </c>
      <c r="AB170" s="29">
        <f>IF(AQ170="1",BH170,0)</f>
        <v>0</v>
      </c>
      <c r="AC170" s="29">
        <f>IF(AQ170="1",BI170,0)</f>
        <v>0</v>
      </c>
      <c r="AD170" s="29">
        <f>IF(AQ170="7",BH170,0)</f>
        <v>0</v>
      </c>
      <c r="AE170" s="29">
        <f>IF(AQ170="7",BI170,0)</f>
        <v>0</v>
      </c>
      <c r="AF170" s="29">
        <f>IF(AQ170="2",BH170,0)</f>
        <v>0</v>
      </c>
      <c r="AG170" s="29">
        <f>IF(AQ170="2",BI170,0)</f>
        <v>0</v>
      </c>
      <c r="AH170" s="29">
        <f>IF(AQ170="0",BJ170,0)</f>
        <v>0</v>
      </c>
      <c r="AI170" s="10" t="s">
        <v>394</v>
      </c>
      <c r="AJ170" s="29">
        <f>IF(AN170=0,L170,0)</f>
        <v>0</v>
      </c>
      <c r="AK170" s="29">
        <f>IF(AN170=15,L170,0)</f>
        <v>0</v>
      </c>
      <c r="AL170" s="29">
        <f>IF(AN170=21,L170,0)</f>
        <v>0</v>
      </c>
      <c r="AN170" s="29">
        <v>21</v>
      </c>
      <c r="AO170" s="29">
        <f>I170*1</f>
        <v>0</v>
      </c>
      <c r="AP170" s="29">
        <f>I170*(1-1)</f>
        <v>0</v>
      </c>
      <c r="AQ170" s="23" t="s">
        <v>578</v>
      </c>
      <c r="AV170" s="29">
        <f>AW170+AX170</f>
        <v>0</v>
      </c>
      <c r="AW170" s="29">
        <f>H170*AO170</f>
        <v>0</v>
      </c>
      <c r="AX170" s="29">
        <f>H170*AP170</f>
        <v>0</v>
      </c>
      <c r="AY170" s="23" t="s">
        <v>113</v>
      </c>
      <c r="AZ170" s="23" t="s">
        <v>142</v>
      </c>
      <c r="BA170" s="10" t="s">
        <v>439</v>
      </c>
      <c r="BC170" s="29">
        <f>AW170+AX170</f>
        <v>0</v>
      </c>
      <c r="BD170" s="29">
        <f>I170/(100-BE170)*100</f>
        <v>0</v>
      </c>
      <c r="BE170" s="29">
        <v>0</v>
      </c>
      <c r="BF170" s="29">
        <f>170</f>
        <v>170</v>
      </c>
      <c r="BH170" s="29">
        <f>H170*AO170</f>
        <v>0</v>
      </c>
      <c r="BI170" s="29">
        <f>H170*AP170</f>
        <v>0</v>
      </c>
      <c r="BJ170" s="29">
        <f>H170*I170</f>
        <v>0</v>
      </c>
      <c r="BK170" s="29"/>
      <c r="BL170" s="29">
        <v>776</v>
      </c>
    </row>
    <row r="171" spans="1:64" ht="15" customHeight="1">
      <c r="A171" s="4" t="s">
        <v>214</v>
      </c>
      <c r="B171" s="18" t="s">
        <v>264</v>
      </c>
      <c r="C171" s="67" t="s">
        <v>89</v>
      </c>
      <c r="D171" s="67"/>
      <c r="E171" s="67"/>
      <c r="F171" s="67"/>
      <c r="G171" s="18" t="s">
        <v>569</v>
      </c>
      <c r="H171" s="29">
        <v>129.2</v>
      </c>
      <c r="I171" s="46">
        <v>0</v>
      </c>
      <c r="J171" s="29">
        <f>H171*AO171</f>
        <v>0</v>
      </c>
      <c r="K171" s="29">
        <f>H171*AP171</f>
        <v>0</v>
      </c>
      <c r="L171" s="29">
        <f>H171*I171</f>
        <v>0</v>
      </c>
      <c r="M171" s="41" t="s">
        <v>484</v>
      </c>
      <c r="Z171" s="29">
        <f>IF(AQ171="5",BJ171,0)</f>
        <v>0</v>
      </c>
      <c r="AB171" s="29">
        <f>IF(AQ171="1",BH171,0)</f>
        <v>0</v>
      </c>
      <c r="AC171" s="29">
        <f>IF(AQ171="1",BI171,0)</f>
        <v>0</v>
      </c>
      <c r="AD171" s="29">
        <f>IF(AQ171="7",BH171,0)</f>
        <v>0</v>
      </c>
      <c r="AE171" s="29">
        <f>IF(AQ171="7",BI171,0)</f>
        <v>0</v>
      </c>
      <c r="AF171" s="29">
        <f>IF(AQ171="2",BH171,0)</f>
        <v>0</v>
      </c>
      <c r="AG171" s="29">
        <f>IF(AQ171="2",BI171,0)</f>
        <v>0</v>
      </c>
      <c r="AH171" s="29">
        <f>IF(AQ171="0",BJ171,0)</f>
        <v>0</v>
      </c>
      <c r="AI171" s="10" t="s">
        <v>394</v>
      </c>
      <c r="AJ171" s="29">
        <f>IF(AN171=0,L171,0)</f>
        <v>0</v>
      </c>
      <c r="AK171" s="29">
        <f>IF(AN171=15,L171,0)</f>
        <v>0</v>
      </c>
      <c r="AL171" s="29">
        <f>IF(AN171=21,L171,0)</f>
        <v>0</v>
      </c>
      <c r="AN171" s="29">
        <v>21</v>
      </c>
      <c r="AO171" s="29">
        <f>I171*0.278371146401296</f>
        <v>0</v>
      </c>
      <c r="AP171" s="29">
        <f>I171*(1-0.278371146401296)</f>
        <v>0</v>
      </c>
      <c r="AQ171" s="23" t="s">
        <v>578</v>
      </c>
      <c r="AV171" s="29">
        <f>AW171+AX171</f>
        <v>0</v>
      </c>
      <c r="AW171" s="29">
        <f>H171*AO171</f>
        <v>0</v>
      </c>
      <c r="AX171" s="29">
        <f>H171*AP171</f>
        <v>0</v>
      </c>
      <c r="AY171" s="23" t="s">
        <v>113</v>
      </c>
      <c r="AZ171" s="23" t="s">
        <v>142</v>
      </c>
      <c r="BA171" s="10" t="s">
        <v>439</v>
      </c>
      <c r="BC171" s="29">
        <f>AW171+AX171</f>
        <v>0</v>
      </c>
      <c r="BD171" s="29">
        <f>I171/(100-BE171)*100</f>
        <v>0</v>
      </c>
      <c r="BE171" s="29">
        <v>0</v>
      </c>
      <c r="BF171" s="29">
        <f>171</f>
        <v>171</v>
      </c>
      <c r="BH171" s="29">
        <f>H171*AO171</f>
        <v>0</v>
      </c>
      <c r="BI171" s="29">
        <f>H171*AP171</f>
        <v>0</v>
      </c>
      <c r="BJ171" s="29">
        <f>H171*I171</f>
        <v>0</v>
      </c>
      <c r="BK171" s="29"/>
      <c r="BL171" s="29">
        <v>776</v>
      </c>
    </row>
    <row r="172" spans="1:13" ht="13.5" customHeight="1">
      <c r="A172" s="40"/>
      <c r="B172" s="34" t="s">
        <v>279</v>
      </c>
      <c r="C172" s="88" t="s">
        <v>615</v>
      </c>
      <c r="D172" s="89"/>
      <c r="E172" s="89"/>
      <c r="F172" s="89"/>
      <c r="G172" s="89"/>
      <c r="H172" s="89"/>
      <c r="I172" s="90"/>
      <c r="J172" s="89"/>
      <c r="K172" s="89"/>
      <c r="L172" s="89"/>
      <c r="M172" s="91"/>
    </row>
    <row r="173" spans="1:64" ht="15" customHeight="1">
      <c r="A173" s="4" t="s">
        <v>74</v>
      </c>
      <c r="B173" s="18" t="s">
        <v>356</v>
      </c>
      <c r="C173" s="67" t="s">
        <v>533</v>
      </c>
      <c r="D173" s="67"/>
      <c r="E173" s="67"/>
      <c r="F173" s="67"/>
      <c r="G173" s="18" t="s">
        <v>569</v>
      </c>
      <c r="H173" s="29">
        <v>135.66</v>
      </c>
      <c r="I173" s="46">
        <v>0</v>
      </c>
      <c r="J173" s="29">
        <f>H173*AO173</f>
        <v>0</v>
      </c>
      <c r="K173" s="29">
        <f>H173*AP173</f>
        <v>0</v>
      </c>
      <c r="L173" s="29">
        <f>H173*I173</f>
        <v>0</v>
      </c>
      <c r="M173" s="41" t="s">
        <v>484</v>
      </c>
      <c r="Z173" s="29">
        <f>IF(AQ173="5",BJ173,0)</f>
        <v>0</v>
      </c>
      <c r="AB173" s="29">
        <f>IF(AQ173="1",BH173,0)</f>
        <v>0</v>
      </c>
      <c r="AC173" s="29">
        <f>IF(AQ173="1",BI173,0)</f>
        <v>0</v>
      </c>
      <c r="AD173" s="29">
        <f>IF(AQ173="7",BH173,0)</f>
        <v>0</v>
      </c>
      <c r="AE173" s="29">
        <f>IF(AQ173="7",BI173,0)</f>
        <v>0</v>
      </c>
      <c r="AF173" s="29">
        <f>IF(AQ173="2",BH173,0)</f>
        <v>0</v>
      </c>
      <c r="AG173" s="29">
        <f>IF(AQ173="2",BI173,0)</f>
        <v>0</v>
      </c>
      <c r="AH173" s="29">
        <f>IF(AQ173="0",BJ173,0)</f>
        <v>0</v>
      </c>
      <c r="AI173" s="10" t="s">
        <v>394</v>
      </c>
      <c r="AJ173" s="29">
        <f>IF(AN173=0,L173,0)</f>
        <v>0</v>
      </c>
      <c r="AK173" s="29">
        <f>IF(AN173=15,L173,0)</f>
        <v>0</v>
      </c>
      <c r="AL173" s="29">
        <f>IF(AN173=21,L173,0)</f>
        <v>0</v>
      </c>
      <c r="AN173" s="29">
        <v>21</v>
      </c>
      <c r="AO173" s="29">
        <f>I173*1</f>
        <v>0</v>
      </c>
      <c r="AP173" s="29">
        <f>I173*(1-1)</f>
        <v>0</v>
      </c>
      <c r="AQ173" s="23" t="s">
        <v>578</v>
      </c>
      <c r="AV173" s="29">
        <f>AW173+AX173</f>
        <v>0</v>
      </c>
      <c r="AW173" s="29">
        <f>H173*AO173</f>
        <v>0</v>
      </c>
      <c r="AX173" s="29">
        <f>H173*AP173</f>
        <v>0</v>
      </c>
      <c r="AY173" s="23" t="s">
        <v>113</v>
      </c>
      <c r="AZ173" s="23" t="s">
        <v>142</v>
      </c>
      <c r="BA173" s="10" t="s">
        <v>439</v>
      </c>
      <c r="BC173" s="29">
        <f>AW173+AX173</f>
        <v>0</v>
      </c>
      <c r="BD173" s="29">
        <f>I173/(100-BE173)*100</f>
        <v>0</v>
      </c>
      <c r="BE173" s="29">
        <v>0</v>
      </c>
      <c r="BF173" s="29">
        <f>173</f>
        <v>173</v>
      </c>
      <c r="BH173" s="29">
        <f>H173*AO173</f>
        <v>0</v>
      </c>
      <c r="BI173" s="29">
        <f>H173*AP173</f>
        <v>0</v>
      </c>
      <c r="BJ173" s="29">
        <f>H173*I173</f>
        <v>0</v>
      </c>
      <c r="BK173" s="29"/>
      <c r="BL173" s="29">
        <v>776</v>
      </c>
    </row>
    <row r="174" spans="1:64" ht="15" customHeight="1">
      <c r="A174" s="4" t="s">
        <v>643</v>
      </c>
      <c r="B174" s="18" t="s">
        <v>330</v>
      </c>
      <c r="C174" s="67" t="s">
        <v>343</v>
      </c>
      <c r="D174" s="67"/>
      <c r="E174" s="67"/>
      <c r="F174" s="67"/>
      <c r="G174" s="18" t="s">
        <v>255</v>
      </c>
      <c r="H174" s="29">
        <v>0.755</v>
      </c>
      <c r="I174" s="46">
        <v>0</v>
      </c>
      <c r="J174" s="29">
        <f>H174*AO174</f>
        <v>0</v>
      </c>
      <c r="K174" s="29">
        <f>H174*AP174</f>
        <v>0</v>
      </c>
      <c r="L174" s="29">
        <f>H174*I174</f>
        <v>0</v>
      </c>
      <c r="M174" s="41" t="s">
        <v>484</v>
      </c>
      <c r="Z174" s="29">
        <f>IF(AQ174="5",BJ174,0)</f>
        <v>0</v>
      </c>
      <c r="AB174" s="29">
        <f>IF(AQ174="1",BH174,0)</f>
        <v>0</v>
      </c>
      <c r="AC174" s="29">
        <f>IF(AQ174="1",BI174,0)</f>
        <v>0</v>
      </c>
      <c r="AD174" s="29">
        <f>IF(AQ174="7",BH174,0)</f>
        <v>0</v>
      </c>
      <c r="AE174" s="29">
        <f>IF(AQ174="7",BI174,0)</f>
        <v>0</v>
      </c>
      <c r="AF174" s="29">
        <f>IF(AQ174="2",BH174,0)</f>
        <v>0</v>
      </c>
      <c r="AG174" s="29">
        <f>IF(AQ174="2",BI174,0)</f>
        <v>0</v>
      </c>
      <c r="AH174" s="29">
        <f>IF(AQ174="0",BJ174,0)</f>
        <v>0</v>
      </c>
      <c r="AI174" s="10" t="s">
        <v>394</v>
      </c>
      <c r="AJ174" s="29">
        <f>IF(AN174=0,L174,0)</f>
        <v>0</v>
      </c>
      <c r="AK174" s="29">
        <f>IF(AN174=15,L174,0)</f>
        <v>0</v>
      </c>
      <c r="AL174" s="29">
        <f>IF(AN174=21,L174,0)</f>
        <v>0</v>
      </c>
      <c r="AN174" s="29">
        <v>21</v>
      </c>
      <c r="AO174" s="29">
        <f>I174*0</f>
        <v>0</v>
      </c>
      <c r="AP174" s="29">
        <f>I174*(1-0)</f>
        <v>0</v>
      </c>
      <c r="AQ174" s="23" t="s">
        <v>296</v>
      </c>
      <c r="AV174" s="29">
        <f>AW174+AX174</f>
        <v>0</v>
      </c>
      <c r="AW174" s="29">
        <f>H174*AO174</f>
        <v>0</v>
      </c>
      <c r="AX174" s="29">
        <f>H174*AP174</f>
        <v>0</v>
      </c>
      <c r="AY174" s="23" t="s">
        <v>113</v>
      </c>
      <c r="AZ174" s="23" t="s">
        <v>142</v>
      </c>
      <c r="BA174" s="10" t="s">
        <v>439</v>
      </c>
      <c r="BC174" s="29">
        <f>AW174+AX174</f>
        <v>0</v>
      </c>
      <c r="BD174" s="29">
        <f>I174/(100-BE174)*100</f>
        <v>0</v>
      </c>
      <c r="BE174" s="29">
        <v>0</v>
      </c>
      <c r="BF174" s="29">
        <f>174</f>
        <v>174</v>
      </c>
      <c r="BH174" s="29">
        <f>H174*AO174</f>
        <v>0</v>
      </c>
      <c r="BI174" s="29">
        <f>H174*AP174</f>
        <v>0</v>
      </c>
      <c r="BJ174" s="29">
        <f>H174*I174</f>
        <v>0</v>
      </c>
      <c r="BK174" s="29"/>
      <c r="BL174" s="29">
        <v>776</v>
      </c>
    </row>
    <row r="175" spans="1:47" ht="15" customHeight="1">
      <c r="A175" s="26" t="s">
        <v>394</v>
      </c>
      <c r="B175" s="8" t="s">
        <v>307</v>
      </c>
      <c r="C175" s="87" t="s">
        <v>11</v>
      </c>
      <c r="D175" s="87"/>
      <c r="E175" s="87"/>
      <c r="F175" s="87"/>
      <c r="G175" s="42" t="s">
        <v>537</v>
      </c>
      <c r="H175" s="42" t="s">
        <v>537</v>
      </c>
      <c r="I175" s="50" t="s">
        <v>537</v>
      </c>
      <c r="J175" s="24">
        <f>SUM(J176:J178)</f>
        <v>0</v>
      </c>
      <c r="K175" s="24">
        <f>SUM(K176:K178)</f>
        <v>0</v>
      </c>
      <c r="L175" s="24">
        <f>SUM(L176:L178)</f>
        <v>0</v>
      </c>
      <c r="M175" s="9" t="s">
        <v>394</v>
      </c>
      <c r="AI175" s="10" t="s">
        <v>394</v>
      </c>
      <c r="AS175" s="24">
        <f>SUM(AJ176:AJ178)</f>
        <v>0</v>
      </c>
      <c r="AT175" s="24">
        <f>SUM(AK176:AK178)</f>
        <v>0</v>
      </c>
      <c r="AU175" s="24">
        <f>SUM(AL176:AL178)</f>
        <v>0</v>
      </c>
    </row>
    <row r="176" spans="1:64" ht="15" customHeight="1">
      <c r="A176" s="4" t="s">
        <v>262</v>
      </c>
      <c r="B176" s="18" t="s">
        <v>186</v>
      </c>
      <c r="C176" s="67" t="s">
        <v>574</v>
      </c>
      <c r="D176" s="67"/>
      <c r="E176" s="67"/>
      <c r="F176" s="67"/>
      <c r="G176" s="18" t="s">
        <v>569</v>
      </c>
      <c r="H176" s="29">
        <v>449.72</v>
      </c>
      <c r="I176" s="46">
        <v>0</v>
      </c>
      <c r="J176" s="29">
        <f>H176*AO176</f>
        <v>0</v>
      </c>
      <c r="K176" s="29">
        <f>H176*AP176</f>
        <v>0</v>
      </c>
      <c r="L176" s="29">
        <f>H176*I176</f>
        <v>0</v>
      </c>
      <c r="M176" s="41" t="s">
        <v>484</v>
      </c>
      <c r="Z176" s="29">
        <f>IF(AQ176="5",BJ176,0)</f>
        <v>0</v>
      </c>
      <c r="AB176" s="29">
        <f>IF(AQ176="1",BH176,0)</f>
        <v>0</v>
      </c>
      <c r="AC176" s="29">
        <f>IF(AQ176="1",BI176,0)</f>
        <v>0</v>
      </c>
      <c r="AD176" s="29">
        <f>IF(AQ176="7",BH176,0)</f>
        <v>0</v>
      </c>
      <c r="AE176" s="29">
        <f>IF(AQ176="7",BI176,0)</f>
        <v>0</v>
      </c>
      <c r="AF176" s="29">
        <f>IF(AQ176="2",BH176,0)</f>
        <v>0</v>
      </c>
      <c r="AG176" s="29">
        <f>IF(AQ176="2",BI176,0)</f>
        <v>0</v>
      </c>
      <c r="AH176" s="29">
        <f>IF(AQ176="0",BJ176,0)</f>
        <v>0</v>
      </c>
      <c r="AI176" s="10" t="s">
        <v>394</v>
      </c>
      <c r="AJ176" s="29">
        <f>IF(AN176=0,L176,0)</f>
        <v>0</v>
      </c>
      <c r="AK176" s="29">
        <f>IF(AN176=15,L176,0)</f>
        <v>0</v>
      </c>
      <c r="AL176" s="29">
        <f>IF(AN176=21,L176,0)</f>
        <v>0</v>
      </c>
      <c r="AN176" s="29">
        <v>21</v>
      </c>
      <c r="AO176" s="29">
        <f>I176*0.244104519060843</f>
        <v>0</v>
      </c>
      <c r="AP176" s="29">
        <f>I176*(1-0.244104519060843)</f>
        <v>0</v>
      </c>
      <c r="AQ176" s="23" t="s">
        <v>578</v>
      </c>
      <c r="AV176" s="29">
        <f>AW176+AX176</f>
        <v>0</v>
      </c>
      <c r="AW176" s="29">
        <f>H176*AO176</f>
        <v>0</v>
      </c>
      <c r="AX176" s="29">
        <f>H176*AP176</f>
        <v>0</v>
      </c>
      <c r="AY176" s="23" t="s">
        <v>510</v>
      </c>
      <c r="AZ176" s="23" t="s">
        <v>241</v>
      </c>
      <c r="BA176" s="10" t="s">
        <v>439</v>
      </c>
      <c r="BC176" s="29">
        <f>AW176+AX176</f>
        <v>0</v>
      </c>
      <c r="BD176" s="29">
        <f>I176/(100-BE176)*100</f>
        <v>0</v>
      </c>
      <c r="BE176" s="29">
        <v>0</v>
      </c>
      <c r="BF176" s="29">
        <f>176</f>
        <v>176</v>
      </c>
      <c r="BH176" s="29">
        <f>H176*AO176</f>
        <v>0</v>
      </c>
      <c r="BI176" s="29">
        <f>H176*AP176</f>
        <v>0</v>
      </c>
      <c r="BJ176" s="29">
        <f>H176*I176</f>
        <v>0</v>
      </c>
      <c r="BK176" s="29"/>
      <c r="BL176" s="29">
        <v>784</v>
      </c>
    </row>
    <row r="177" spans="1:64" ht="15" customHeight="1">
      <c r="A177" s="4" t="s">
        <v>477</v>
      </c>
      <c r="B177" s="18" t="s">
        <v>186</v>
      </c>
      <c r="C177" s="67" t="s">
        <v>574</v>
      </c>
      <c r="D177" s="67"/>
      <c r="E177" s="67"/>
      <c r="F177" s="67"/>
      <c r="G177" s="18" t="s">
        <v>569</v>
      </c>
      <c r="H177" s="29">
        <v>300.28</v>
      </c>
      <c r="I177" s="46">
        <v>0</v>
      </c>
      <c r="J177" s="29">
        <f>H177*AO177</f>
        <v>0</v>
      </c>
      <c r="K177" s="29">
        <f>H177*AP177</f>
        <v>0</v>
      </c>
      <c r="L177" s="29">
        <f>H177*I177</f>
        <v>0</v>
      </c>
      <c r="M177" s="41" t="s">
        <v>484</v>
      </c>
      <c r="Z177" s="29">
        <f>IF(AQ177="5",BJ177,0)</f>
        <v>0</v>
      </c>
      <c r="AB177" s="29">
        <f>IF(AQ177="1",BH177,0)</f>
        <v>0</v>
      </c>
      <c r="AC177" s="29">
        <f>IF(AQ177="1",BI177,0)</f>
        <v>0</v>
      </c>
      <c r="AD177" s="29">
        <f>IF(AQ177="7",BH177,0)</f>
        <v>0</v>
      </c>
      <c r="AE177" s="29">
        <f>IF(AQ177="7",BI177,0)</f>
        <v>0</v>
      </c>
      <c r="AF177" s="29">
        <f>IF(AQ177="2",BH177,0)</f>
        <v>0</v>
      </c>
      <c r="AG177" s="29">
        <f>IF(AQ177="2",BI177,0)</f>
        <v>0</v>
      </c>
      <c r="AH177" s="29">
        <f>IF(AQ177="0",BJ177,0)</f>
        <v>0</v>
      </c>
      <c r="AI177" s="10" t="s">
        <v>394</v>
      </c>
      <c r="AJ177" s="29">
        <f>IF(AN177=0,L177,0)</f>
        <v>0</v>
      </c>
      <c r="AK177" s="29">
        <f>IF(AN177=15,L177,0)</f>
        <v>0</v>
      </c>
      <c r="AL177" s="29">
        <f>IF(AN177=21,L177,0)</f>
        <v>0</v>
      </c>
      <c r="AN177" s="29">
        <v>21</v>
      </c>
      <c r="AO177" s="29">
        <f>I177*0.244105229480542</f>
        <v>0</v>
      </c>
      <c r="AP177" s="29">
        <f>I177*(1-0.244105229480542)</f>
        <v>0</v>
      </c>
      <c r="AQ177" s="23" t="s">
        <v>578</v>
      </c>
      <c r="AV177" s="29">
        <f>AW177+AX177</f>
        <v>0</v>
      </c>
      <c r="AW177" s="29">
        <f>H177*AO177</f>
        <v>0</v>
      </c>
      <c r="AX177" s="29">
        <f>H177*AP177</f>
        <v>0</v>
      </c>
      <c r="AY177" s="23" t="s">
        <v>510</v>
      </c>
      <c r="AZ177" s="23" t="s">
        <v>241</v>
      </c>
      <c r="BA177" s="10" t="s">
        <v>439</v>
      </c>
      <c r="BC177" s="29">
        <f>AW177+AX177</f>
        <v>0</v>
      </c>
      <c r="BD177" s="29">
        <f>I177/(100-BE177)*100</f>
        <v>0</v>
      </c>
      <c r="BE177" s="29">
        <v>0</v>
      </c>
      <c r="BF177" s="29">
        <f>177</f>
        <v>177</v>
      </c>
      <c r="BH177" s="29">
        <f>H177*AO177</f>
        <v>0</v>
      </c>
      <c r="BI177" s="29">
        <f>H177*AP177</f>
        <v>0</v>
      </c>
      <c r="BJ177" s="29">
        <f>H177*I177</f>
        <v>0</v>
      </c>
      <c r="BK177" s="29"/>
      <c r="BL177" s="29">
        <v>784</v>
      </c>
    </row>
    <row r="178" spans="1:64" ht="15" customHeight="1">
      <c r="A178" s="4" t="s">
        <v>253</v>
      </c>
      <c r="B178" s="18" t="s">
        <v>646</v>
      </c>
      <c r="C178" s="67" t="s">
        <v>336</v>
      </c>
      <c r="D178" s="67"/>
      <c r="E178" s="67"/>
      <c r="F178" s="67"/>
      <c r="G178" s="18" t="s">
        <v>569</v>
      </c>
      <c r="H178" s="29">
        <v>149.72</v>
      </c>
      <c r="I178" s="46">
        <v>0</v>
      </c>
      <c r="J178" s="29">
        <f>H178*AO178</f>
        <v>0</v>
      </c>
      <c r="K178" s="29">
        <f>H178*AP178</f>
        <v>0</v>
      </c>
      <c r="L178" s="29">
        <f>H178*I178</f>
        <v>0</v>
      </c>
      <c r="M178" s="41" t="s">
        <v>484</v>
      </c>
      <c r="Z178" s="29">
        <f>IF(AQ178="5",BJ178,0)</f>
        <v>0</v>
      </c>
      <c r="AB178" s="29">
        <f>IF(AQ178="1",BH178,0)</f>
        <v>0</v>
      </c>
      <c r="AC178" s="29">
        <f>IF(AQ178="1",BI178,0)</f>
        <v>0</v>
      </c>
      <c r="AD178" s="29">
        <f>IF(AQ178="7",BH178,0)</f>
        <v>0</v>
      </c>
      <c r="AE178" s="29">
        <f>IF(AQ178="7",BI178,0)</f>
        <v>0</v>
      </c>
      <c r="AF178" s="29">
        <f>IF(AQ178="2",BH178,0)</f>
        <v>0</v>
      </c>
      <c r="AG178" s="29">
        <f>IF(AQ178="2",BI178,0)</f>
        <v>0</v>
      </c>
      <c r="AH178" s="29">
        <f>IF(AQ178="0",BJ178,0)</f>
        <v>0</v>
      </c>
      <c r="AI178" s="10" t="s">
        <v>394</v>
      </c>
      <c r="AJ178" s="29">
        <f>IF(AN178=0,L178,0)</f>
        <v>0</v>
      </c>
      <c r="AK178" s="29">
        <f>IF(AN178=15,L178,0)</f>
        <v>0</v>
      </c>
      <c r="AL178" s="29">
        <f>IF(AN178=21,L178,0)</f>
        <v>0</v>
      </c>
      <c r="AN178" s="29">
        <v>21</v>
      </c>
      <c r="AO178" s="29">
        <f>I178*0.107101744346008</f>
        <v>0</v>
      </c>
      <c r="AP178" s="29">
        <f>I178*(1-0.107101744346008)</f>
        <v>0</v>
      </c>
      <c r="AQ178" s="23" t="s">
        <v>578</v>
      </c>
      <c r="AV178" s="29">
        <f>AW178+AX178</f>
        <v>0</v>
      </c>
      <c r="AW178" s="29">
        <f>H178*AO178</f>
        <v>0</v>
      </c>
      <c r="AX178" s="29">
        <f>H178*AP178</f>
        <v>0</v>
      </c>
      <c r="AY178" s="23" t="s">
        <v>510</v>
      </c>
      <c r="AZ178" s="23" t="s">
        <v>241</v>
      </c>
      <c r="BA178" s="10" t="s">
        <v>439</v>
      </c>
      <c r="BC178" s="29">
        <f>AW178+AX178</f>
        <v>0</v>
      </c>
      <c r="BD178" s="29">
        <f>I178/(100-BE178)*100</f>
        <v>0</v>
      </c>
      <c r="BE178" s="29">
        <v>0</v>
      </c>
      <c r="BF178" s="29">
        <f>178</f>
        <v>178</v>
      </c>
      <c r="BH178" s="29">
        <f>H178*AO178</f>
        <v>0</v>
      </c>
      <c r="BI178" s="29">
        <f>H178*AP178</f>
        <v>0</v>
      </c>
      <c r="BJ178" s="29">
        <f>H178*I178</f>
        <v>0</v>
      </c>
      <c r="BK178" s="29"/>
      <c r="BL178" s="29">
        <v>784</v>
      </c>
    </row>
    <row r="179" spans="1:47" ht="15" customHeight="1">
      <c r="A179" s="26" t="s">
        <v>394</v>
      </c>
      <c r="B179" s="8" t="s">
        <v>87</v>
      </c>
      <c r="C179" s="87" t="s">
        <v>434</v>
      </c>
      <c r="D179" s="87"/>
      <c r="E179" s="87"/>
      <c r="F179" s="87"/>
      <c r="G179" s="42" t="s">
        <v>537</v>
      </c>
      <c r="H179" s="42" t="s">
        <v>537</v>
      </c>
      <c r="I179" s="50" t="s">
        <v>537</v>
      </c>
      <c r="J179" s="24">
        <f>SUM(J180:J213)</f>
        <v>0</v>
      </c>
      <c r="K179" s="24">
        <f>SUM(K180:K213)</f>
        <v>0</v>
      </c>
      <c r="L179" s="24">
        <f>SUM(L180:L213)</f>
        <v>0</v>
      </c>
      <c r="M179" s="9" t="s">
        <v>394</v>
      </c>
      <c r="AI179" s="10" t="s">
        <v>394</v>
      </c>
      <c r="AS179" s="24">
        <f>SUM(AJ180:AJ213)</f>
        <v>0</v>
      </c>
      <c r="AT179" s="24">
        <f>SUM(AK180:AK213)</f>
        <v>0</v>
      </c>
      <c r="AU179" s="24">
        <f>SUM(AL180:AL213)</f>
        <v>0</v>
      </c>
    </row>
    <row r="180" spans="1:64" ht="15" customHeight="1">
      <c r="A180" s="4" t="s">
        <v>363</v>
      </c>
      <c r="B180" s="18" t="s">
        <v>99</v>
      </c>
      <c r="C180" s="67" t="s">
        <v>487</v>
      </c>
      <c r="D180" s="67"/>
      <c r="E180" s="67"/>
      <c r="F180" s="67"/>
      <c r="G180" s="18" t="s">
        <v>480</v>
      </c>
      <c r="H180" s="29">
        <v>70</v>
      </c>
      <c r="I180" s="46">
        <v>0</v>
      </c>
      <c r="J180" s="29">
        <f>H180*AO180</f>
        <v>0</v>
      </c>
      <c r="K180" s="29">
        <f>H180*AP180</f>
        <v>0</v>
      </c>
      <c r="L180" s="29">
        <f>H180*I180</f>
        <v>0</v>
      </c>
      <c r="M180" s="41" t="s">
        <v>484</v>
      </c>
      <c r="Z180" s="29">
        <f>IF(AQ180="5",BJ180,0)</f>
        <v>0</v>
      </c>
      <c r="AB180" s="29">
        <f>IF(AQ180="1",BH180,0)</f>
        <v>0</v>
      </c>
      <c r="AC180" s="29">
        <f>IF(AQ180="1",BI180,0)</f>
        <v>0</v>
      </c>
      <c r="AD180" s="29">
        <f>IF(AQ180="7",BH180,0)</f>
        <v>0</v>
      </c>
      <c r="AE180" s="29">
        <f>IF(AQ180="7",BI180,0)</f>
        <v>0</v>
      </c>
      <c r="AF180" s="29">
        <f>IF(AQ180="2",BH180,0)</f>
        <v>0</v>
      </c>
      <c r="AG180" s="29">
        <f>IF(AQ180="2",BI180,0)</f>
        <v>0</v>
      </c>
      <c r="AH180" s="29">
        <f>IF(AQ180="0",BJ180,0)</f>
        <v>0</v>
      </c>
      <c r="AI180" s="10" t="s">
        <v>394</v>
      </c>
      <c r="AJ180" s="29">
        <f>IF(AN180=0,L180,0)</f>
        <v>0</v>
      </c>
      <c r="AK180" s="29">
        <f>IF(AN180=15,L180,0)</f>
        <v>0</v>
      </c>
      <c r="AL180" s="29">
        <f>IF(AN180=21,L180,0)</f>
        <v>0</v>
      </c>
      <c r="AN180" s="29">
        <v>21</v>
      </c>
      <c r="AO180" s="29">
        <f>I180*0.3578125</f>
        <v>0</v>
      </c>
      <c r="AP180" s="29">
        <f>I180*(1-0.3578125)</f>
        <v>0</v>
      </c>
      <c r="AQ180" s="23" t="s">
        <v>389</v>
      </c>
      <c r="AV180" s="29">
        <f>AW180+AX180</f>
        <v>0</v>
      </c>
      <c r="AW180" s="29">
        <f>H180*AO180</f>
        <v>0</v>
      </c>
      <c r="AX180" s="29">
        <f>H180*AP180</f>
        <v>0</v>
      </c>
      <c r="AY180" s="23" t="s">
        <v>611</v>
      </c>
      <c r="AZ180" s="23" t="s">
        <v>205</v>
      </c>
      <c r="BA180" s="10" t="s">
        <v>439</v>
      </c>
      <c r="BC180" s="29">
        <f>AW180+AX180</f>
        <v>0</v>
      </c>
      <c r="BD180" s="29">
        <f>I180/(100-BE180)*100</f>
        <v>0</v>
      </c>
      <c r="BE180" s="29">
        <v>0</v>
      </c>
      <c r="BF180" s="29">
        <f>180</f>
        <v>180</v>
      </c>
      <c r="BH180" s="29">
        <f>H180*AO180</f>
        <v>0</v>
      </c>
      <c r="BI180" s="29">
        <f>H180*AP180</f>
        <v>0</v>
      </c>
      <c r="BJ180" s="29">
        <f>H180*I180</f>
        <v>0</v>
      </c>
      <c r="BK180" s="29"/>
      <c r="BL180" s="29"/>
    </row>
    <row r="181" spans="1:13" ht="13.5" customHeight="1">
      <c r="A181" s="40"/>
      <c r="B181" s="34" t="s">
        <v>279</v>
      </c>
      <c r="C181" s="88" t="s">
        <v>83</v>
      </c>
      <c r="D181" s="89"/>
      <c r="E181" s="89"/>
      <c r="F181" s="89"/>
      <c r="G181" s="89"/>
      <c r="H181" s="89"/>
      <c r="I181" s="90"/>
      <c r="J181" s="89"/>
      <c r="K181" s="89"/>
      <c r="L181" s="89"/>
      <c r="M181" s="91"/>
    </row>
    <row r="182" spans="1:64" ht="15" customHeight="1">
      <c r="A182" s="4" t="s">
        <v>636</v>
      </c>
      <c r="B182" s="18" t="s">
        <v>99</v>
      </c>
      <c r="C182" s="67" t="s">
        <v>407</v>
      </c>
      <c r="D182" s="67"/>
      <c r="E182" s="67"/>
      <c r="F182" s="67"/>
      <c r="G182" s="18" t="s">
        <v>480</v>
      </c>
      <c r="H182" s="29">
        <v>350</v>
      </c>
      <c r="I182" s="46">
        <v>0</v>
      </c>
      <c r="J182" s="29">
        <f>H182*AO182</f>
        <v>0</v>
      </c>
      <c r="K182" s="29">
        <f>H182*AP182</f>
        <v>0</v>
      </c>
      <c r="L182" s="29">
        <f>H182*I182</f>
        <v>0</v>
      </c>
      <c r="M182" s="41" t="s">
        <v>484</v>
      </c>
      <c r="Z182" s="29">
        <f>IF(AQ182="5",BJ182,0)</f>
        <v>0</v>
      </c>
      <c r="AB182" s="29">
        <f>IF(AQ182="1",BH182,0)</f>
        <v>0</v>
      </c>
      <c r="AC182" s="29">
        <f>IF(AQ182="1",BI182,0)</f>
        <v>0</v>
      </c>
      <c r="AD182" s="29">
        <f>IF(AQ182="7",BH182,0)</f>
        <v>0</v>
      </c>
      <c r="AE182" s="29">
        <f>IF(AQ182="7",BI182,0)</f>
        <v>0</v>
      </c>
      <c r="AF182" s="29">
        <f>IF(AQ182="2",BH182,0)</f>
        <v>0</v>
      </c>
      <c r="AG182" s="29">
        <f>IF(AQ182="2",BI182,0)</f>
        <v>0</v>
      </c>
      <c r="AH182" s="29">
        <f>IF(AQ182="0",BJ182,0)</f>
        <v>0</v>
      </c>
      <c r="AI182" s="10" t="s">
        <v>394</v>
      </c>
      <c r="AJ182" s="29">
        <f>IF(AN182=0,L182,0)</f>
        <v>0</v>
      </c>
      <c r="AK182" s="29">
        <f>IF(AN182=15,L182,0)</f>
        <v>0</v>
      </c>
      <c r="AL182" s="29">
        <f>IF(AN182=21,L182,0)</f>
        <v>0</v>
      </c>
      <c r="AN182" s="29">
        <v>21</v>
      </c>
      <c r="AO182" s="29">
        <f>I182*0.3578125</f>
        <v>0</v>
      </c>
      <c r="AP182" s="29">
        <f>I182*(1-0.3578125)</f>
        <v>0</v>
      </c>
      <c r="AQ182" s="23" t="s">
        <v>389</v>
      </c>
      <c r="AV182" s="29">
        <f>AW182+AX182</f>
        <v>0</v>
      </c>
      <c r="AW182" s="29">
        <f>H182*AO182</f>
        <v>0</v>
      </c>
      <c r="AX182" s="29">
        <f>H182*AP182</f>
        <v>0</v>
      </c>
      <c r="AY182" s="23" t="s">
        <v>611</v>
      </c>
      <c r="AZ182" s="23" t="s">
        <v>205</v>
      </c>
      <c r="BA182" s="10" t="s">
        <v>439</v>
      </c>
      <c r="BC182" s="29">
        <f>AW182+AX182</f>
        <v>0</v>
      </c>
      <c r="BD182" s="29">
        <f>I182/(100-BE182)*100</f>
        <v>0</v>
      </c>
      <c r="BE182" s="29">
        <v>0</v>
      </c>
      <c r="BF182" s="29">
        <f>182</f>
        <v>182</v>
      </c>
      <c r="BH182" s="29">
        <f>H182*AO182</f>
        <v>0</v>
      </c>
      <c r="BI182" s="29">
        <f>H182*AP182</f>
        <v>0</v>
      </c>
      <c r="BJ182" s="29">
        <f>H182*I182</f>
        <v>0</v>
      </c>
      <c r="BK182" s="29"/>
      <c r="BL182" s="29"/>
    </row>
    <row r="183" spans="1:13" ht="13.5" customHeight="1">
      <c r="A183" s="40"/>
      <c r="B183" s="34" t="s">
        <v>279</v>
      </c>
      <c r="C183" s="88" t="s">
        <v>83</v>
      </c>
      <c r="D183" s="89"/>
      <c r="E183" s="89"/>
      <c r="F183" s="89"/>
      <c r="G183" s="89"/>
      <c r="H183" s="89"/>
      <c r="I183" s="90"/>
      <c r="J183" s="89"/>
      <c r="K183" s="89"/>
      <c r="L183" s="89"/>
      <c r="M183" s="91"/>
    </row>
    <row r="184" spans="1:64" ht="15" customHeight="1">
      <c r="A184" s="4" t="s">
        <v>401</v>
      </c>
      <c r="B184" s="18" t="s">
        <v>398</v>
      </c>
      <c r="C184" s="67" t="s">
        <v>294</v>
      </c>
      <c r="D184" s="67"/>
      <c r="E184" s="67"/>
      <c r="F184" s="67"/>
      <c r="G184" s="18" t="s">
        <v>480</v>
      </c>
      <c r="H184" s="29">
        <v>580</v>
      </c>
      <c r="I184" s="46">
        <v>0</v>
      </c>
      <c r="J184" s="29">
        <f>H184*AO184</f>
        <v>0</v>
      </c>
      <c r="K184" s="29">
        <f>H184*AP184</f>
        <v>0</v>
      </c>
      <c r="L184" s="29">
        <f>H184*I184</f>
        <v>0</v>
      </c>
      <c r="M184" s="41" t="s">
        <v>484</v>
      </c>
      <c r="Z184" s="29">
        <f>IF(AQ184="5",BJ184,0)</f>
        <v>0</v>
      </c>
      <c r="AB184" s="29">
        <f>IF(AQ184="1",BH184,0)</f>
        <v>0</v>
      </c>
      <c r="AC184" s="29">
        <f>IF(AQ184="1",BI184,0)</f>
        <v>0</v>
      </c>
      <c r="AD184" s="29">
        <f>IF(AQ184="7",BH184,0)</f>
        <v>0</v>
      </c>
      <c r="AE184" s="29">
        <f>IF(AQ184="7",BI184,0)</f>
        <v>0</v>
      </c>
      <c r="AF184" s="29">
        <f>IF(AQ184="2",BH184,0)</f>
        <v>0</v>
      </c>
      <c r="AG184" s="29">
        <f>IF(AQ184="2",BI184,0)</f>
        <v>0</v>
      </c>
      <c r="AH184" s="29">
        <f>IF(AQ184="0",BJ184,0)</f>
        <v>0</v>
      </c>
      <c r="AI184" s="10" t="s">
        <v>394</v>
      </c>
      <c r="AJ184" s="29">
        <f>IF(AN184=0,L184,0)</f>
        <v>0</v>
      </c>
      <c r="AK184" s="29">
        <f>IF(AN184=15,L184,0)</f>
        <v>0</v>
      </c>
      <c r="AL184" s="29">
        <f>IF(AN184=21,L184,0)</f>
        <v>0</v>
      </c>
      <c r="AN184" s="29">
        <v>21</v>
      </c>
      <c r="AO184" s="29">
        <f>I184*0.476803394625177</f>
        <v>0</v>
      </c>
      <c r="AP184" s="29">
        <f>I184*(1-0.476803394625177)</f>
        <v>0</v>
      </c>
      <c r="AQ184" s="23" t="s">
        <v>389</v>
      </c>
      <c r="AV184" s="29">
        <f>AW184+AX184</f>
        <v>0</v>
      </c>
      <c r="AW184" s="29">
        <f>H184*AO184</f>
        <v>0</v>
      </c>
      <c r="AX184" s="29">
        <f>H184*AP184</f>
        <v>0</v>
      </c>
      <c r="AY184" s="23" t="s">
        <v>611</v>
      </c>
      <c r="AZ184" s="23" t="s">
        <v>205</v>
      </c>
      <c r="BA184" s="10" t="s">
        <v>439</v>
      </c>
      <c r="BC184" s="29">
        <f>AW184+AX184</f>
        <v>0</v>
      </c>
      <c r="BD184" s="29">
        <f>I184/(100-BE184)*100</f>
        <v>0</v>
      </c>
      <c r="BE184" s="29">
        <v>0</v>
      </c>
      <c r="BF184" s="29">
        <f>184</f>
        <v>184</v>
      </c>
      <c r="BH184" s="29">
        <f>H184*AO184</f>
        <v>0</v>
      </c>
      <c r="BI184" s="29">
        <f>H184*AP184</f>
        <v>0</v>
      </c>
      <c r="BJ184" s="29">
        <f>H184*I184</f>
        <v>0</v>
      </c>
      <c r="BK184" s="29"/>
      <c r="BL184" s="29"/>
    </row>
    <row r="185" spans="1:13" ht="13.5" customHeight="1">
      <c r="A185" s="40"/>
      <c r="B185" s="34" t="s">
        <v>279</v>
      </c>
      <c r="C185" s="88" t="s">
        <v>83</v>
      </c>
      <c r="D185" s="89"/>
      <c r="E185" s="89"/>
      <c r="F185" s="89"/>
      <c r="G185" s="89"/>
      <c r="H185" s="89"/>
      <c r="I185" s="90"/>
      <c r="J185" s="89"/>
      <c r="K185" s="89"/>
      <c r="L185" s="89"/>
      <c r="M185" s="91"/>
    </row>
    <row r="186" spans="1:64" ht="15" customHeight="1">
      <c r="A186" s="4" t="s">
        <v>642</v>
      </c>
      <c r="B186" s="18" t="s">
        <v>71</v>
      </c>
      <c r="C186" s="67" t="s">
        <v>368</v>
      </c>
      <c r="D186" s="67"/>
      <c r="E186" s="67"/>
      <c r="F186" s="67"/>
      <c r="G186" s="18" t="s">
        <v>480</v>
      </c>
      <c r="H186" s="29">
        <v>35</v>
      </c>
      <c r="I186" s="46">
        <v>0</v>
      </c>
      <c r="J186" s="29">
        <f>H186*AO186</f>
        <v>0</v>
      </c>
      <c r="K186" s="29">
        <f>H186*AP186</f>
        <v>0</v>
      </c>
      <c r="L186" s="29">
        <f>H186*I186</f>
        <v>0</v>
      </c>
      <c r="M186" s="41" t="s">
        <v>484</v>
      </c>
      <c r="Z186" s="29">
        <f>IF(AQ186="5",BJ186,0)</f>
        <v>0</v>
      </c>
      <c r="AB186" s="29">
        <f>IF(AQ186="1",BH186,0)</f>
        <v>0</v>
      </c>
      <c r="AC186" s="29">
        <f>IF(AQ186="1",BI186,0)</f>
        <v>0</v>
      </c>
      <c r="AD186" s="29">
        <f>IF(AQ186="7",BH186,0)</f>
        <v>0</v>
      </c>
      <c r="AE186" s="29">
        <f>IF(AQ186="7",BI186,0)</f>
        <v>0</v>
      </c>
      <c r="AF186" s="29">
        <f>IF(AQ186="2",BH186,0)</f>
        <v>0</v>
      </c>
      <c r="AG186" s="29">
        <f>IF(AQ186="2",BI186,0)</f>
        <v>0</v>
      </c>
      <c r="AH186" s="29">
        <f>IF(AQ186="0",BJ186,0)</f>
        <v>0</v>
      </c>
      <c r="AI186" s="10" t="s">
        <v>394</v>
      </c>
      <c r="AJ186" s="29">
        <f>IF(AN186=0,L186,0)</f>
        <v>0</v>
      </c>
      <c r="AK186" s="29">
        <f>IF(AN186=15,L186,0)</f>
        <v>0</v>
      </c>
      <c r="AL186" s="29">
        <f>IF(AN186=21,L186,0)</f>
        <v>0</v>
      </c>
      <c r="AN186" s="29">
        <v>21</v>
      </c>
      <c r="AO186" s="29">
        <f>I186*0.514651162790698</f>
        <v>0</v>
      </c>
      <c r="AP186" s="29">
        <f>I186*(1-0.514651162790698)</f>
        <v>0</v>
      </c>
      <c r="AQ186" s="23" t="s">
        <v>389</v>
      </c>
      <c r="AV186" s="29">
        <f>AW186+AX186</f>
        <v>0</v>
      </c>
      <c r="AW186" s="29">
        <f>H186*AO186</f>
        <v>0</v>
      </c>
      <c r="AX186" s="29">
        <f>H186*AP186</f>
        <v>0</v>
      </c>
      <c r="AY186" s="23" t="s">
        <v>611</v>
      </c>
      <c r="AZ186" s="23" t="s">
        <v>205</v>
      </c>
      <c r="BA186" s="10" t="s">
        <v>439</v>
      </c>
      <c r="BC186" s="29">
        <f>AW186+AX186</f>
        <v>0</v>
      </c>
      <c r="BD186" s="29">
        <f>I186/(100-BE186)*100</f>
        <v>0</v>
      </c>
      <c r="BE186" s="29">
        <v>0</v>
      </c>
      <c r="BF186" s="29">
        <f>186</f>
        <v>186</v>
      </c>
      <c r="BH186" s="29">
        <f>H186*AO186</f>
        <v>0</v>
      </c>
      <c r="BI186" s="29">
        <f>H186*AP186</f>
        <v>0</v>
      </c>
      <c r="BJ186" s="29">
        <f>H186*I186</f>
        <v>0</v>
      </c>
      <c r="BK186" s="29"/>
      <c r="BL186" s="29"/>
    </row>
    <row r="187" spans="1:13" ht="13.5" customHeight="1">
      <c r="A187" s="40"/>
      <c r="B187" s="34" t="s">
        <v>279</v>
      </c>
      <c r="C187" s="88" t="s">
        <v>122</v>
      </c>
      <c r="D187" s="89"/>
      <c r="E187" s="89"/>
      <c r="F187" s="89"/>
      <c r="G187" s="89"/>
      <c r="H187" s="89"/>
      <c r="I187" s="90"/>
      <c r="J187" s="89"/>
      <c r="K187" s="89"/>
      <c r="L187" s="89"/>
      <c r="M187" s="91"/>
    </row>
    <row r="188" spans="1:64" ht="15" customHeight="1">
      <c r="A188" s="4" t="s">
        <v>602</v>
      </c>
      <c r="B188" s="18" t="s">
        <v>7</v>
      </c>
      <c r="C188" s="67" t="s">
        <v>519</v>
      </c>
      <c r="D188" s="67"/>
      <c r="E188" s="67"/>
      <c r="F188" s="67"/>
      <c r="G188" s="18" t="s">
        <v>146</v>
      </c>
      <c r="H188" s="29">
        <v>1</v>
      </c>
      <c r="I188" s="46">
        <v>0</v>
      </c>
      <c r="J188" s="29">
        <f>H188*AO188</f>
        <v>0</v>
      </c>
      <c r="K188" s="29">
        <f>H188*AP188</f>
        <v>0</v>
      </c>
      <c r="L188" s="29">
        <f>H188*I188</f>
        <v>0</v>
      </c>
      <c r="M188" s="41" t="s">
        <v>484</v>
      </c>
      <c r="Z188" s="29">
        <f>IF(AQ188="5",BJ188,0)</f>
        <v>0</v>
      </c>
      <c r="AB188" s="29">
        <f>IF(AQ188="1",BH188,0)</f>
        <v>0</v>
      </c>
      <c r="AC188" s="29">
        <f>IF(AQ188="1",BI188,0)</f>
        <v>0</v>
      </c>
      <c r="AD188" s="29">
        <f>IF(AQ188="7",BH188,0)</f>
        <v>0</v>
      </c>
      <c r="AE188" s="29">
        <f>IF(AQ188="7",BI188,0)</f>
        <v>0</v>
      </c>
      <c r="AF188" s="29">
        <f>IF(AQ188="2",BH188,0)</f>
        <v>0</v>
      </c>
      <c r="AG188" s="29">
        <f>IF(AQ188="2",BI188,0)</f>
        <v>0</v>
      </c>
      <c r="AH188" s="29">
        <f>IF(AQ188="0",BJ188,0)</f>
        <v>0</v>
      </c>
      <c r="AI188" s="10" t="s">
        <v>394</v>
      </c>
      <c r="AJ188" s="29">
        <f>IF(AN188=0,L188,0)</f>
        <v>0</v>
      </c>
      <c r="AK188" s="29">
        <f>IF(AN188=15,L188,0)</f>
        <v>0</v>
      </c>
      <c r="AL188" s="29">
        <f>IF(AN188=21,L188,0)</f>
        <v>0</v>
      </c>
      <c r="AN188" s="29">
        <v>21</v>
      </c>
      <c r="AO188" s="29">
        <f>I188*0.766723259762309</f>
        <v>0</v>
      </c>
      <c r="AP188" s="29">
        <f>I188*(1-0.766723259762309)</f>
        <v>0</v>
      </c>
      <c r="AQ188" s="23" t="s">
        <v>389</v>
      </c>
      <c r="AV188" s="29">
        <f>AW188+AX188</f>
        <v>0</v>
      </c>
      <c r="AW188" s="29">
        <f>H188*AO188</f>
        <v>0</v>
      </c>
      <c r="AX188" s="29">
        <f>H188*AP188</f>
        <v>0</v>
      </c>
      <c r="AY188" s="23" t="s">
        <v>611</v>
      </c>
      <c r="AZ188" s="23" t="s">
        <v>205</v>
      </c>
      <c r="BA188" s="10" t="s">
        <v>439</v>
      </c>
      <c r="BC188" s="29">
        <f>AW188+AX188</f>
        <v>0</v>
      </c>
      <c r="BD188" s="29">
        <f>I188/(100-BE188)*100</f>
        <v>0</v>
      </c>
      <c r="BE188" s="29">
        <v>0</v>
      </c>
      <c r="BF188" s="29">
        <f>188</f>
        <v>188</v>
      </c>
      <c r="BH188" s="29">
        <f>H188*AO188</f>
        <v>0</v>
      </c>
      <c r="BI188" s="29">
        <f>H188*AP188</f>
        <v>0</v>
      </c>
      <c r="BJ188" s="29">
        <f>H188*I188</f>
        <v>0</v>
      </c>
      <c r="BK188" s="29"/>
      <c r="BL188" s="29"/>
    </row>
    <row r="189" spans="1:13" ht="13.5" customHeight="1">
      <c r="A189" s="40"/>
      <c r="B189" s="34" t="s">
        <v>279</v>
      </c>
      <c r="C189" s="88" t="s">
        <v>293</v>
      </c>
      <c r="D189" s="89"/>
      <c r="E189" s="89"/>
      <c r="F189" s="89"/>
      <c r="G189" s="89"/>
      <c r="H189" s="89"/>
      <c r="I189" s="90"/>
      <c r="J189" s="89"/>
      <c r="K189" s="89"/>
      <c r="L189" s="89"/>
      <c r="M189" s="91"/>
    </row>
    <row r="190" spans="1:64" ht="15" customHeight="1">
      <c r="A190" s="4" t="s">
        <v>553</v>
      </c>
      <c r="B190" s="18" t="s">
        <v>445</v>
      </c>
      <c r="C190" s="67" t="s">
        <v>195</v>
      </c>
      <c r="D190" s="67"/>
      <c r="E190" s="67"/>
      <c r="F190" s="67"/>
      <c r="G190" s="18" t="s">
        <v>146</v>
      </c>
      <c r="H190" s="29">
        <v>4</v>
      </c>
      <c r="I190" s="46">
        <v>0</v>
      </c>
      <c r="J190" s="29">
        <f>H190*AO190</f>
        <v>0</v>
      </c>
      <c r="K190" s="29">
        <f>H190*AP190</f>
        <v>0</v>
      </c>
      <c r="L190" s="29">
        <f>H190*I190</f>
        <v>0</v>
      </c>
      <c r="M190" s="41" t="s">
        <v>484</v>
      </c>
      <c r="Z190" s="29">
        <f>IF(AQ190="5",BJ190,0)</f>
        <v>0</v>
      </c>
      <c r="AB190" s="29">
        <f>IF(AQ190="1",BH190,0)</f>
        <v>0</v>
      </c>
      <c r="AC190" s="29">
        <f>IF(AQ190="1",BI190,0)</f>
        <v>0</v>
      </c>
      <c r="AD190" s="29">
        <f>IF(AQ190="7",BH190,0)</f>
        <v>0</v>
      </c>
      <c r="AE190" s="29">
        <f>IF(AQ190="7",BI190,0)</f>
        <v>0</v>
      </c>
      <c r="AF190" s="29">
        <f>IF(AQ190="2",BH190,0)</f>
        <v>0</v>
      </c>
      <c r="AG190" s="29">
        <f>IF(AQ190="2",BI190,0)</f>
        <v>0</v>
      </c>
      <c r="AH190" s="29">
        <f>IF(AQ190="0",BJ190,0)</f>
        <v>0</v>
      </c>
      <c r="AI190" s="10" t="s">
        <v>394</v>
      </c>
      <c r="AJ190" s="29">
        <f>IF(AN190=0,L190,0)</f>
        <v>0</v>
      </c>
      <c r="AK190" s="29">
        <f>IF(AN190=15,L190,0)</f>
        <v>0</v>
      </c>
      <c r="AL190" s="29">
        <f>IF(AN190=21,L190,0)</f>
        <v>0</v>
      </c>
      <c r="AN190" s="29">
        <v>21</v>
      </c>
      <c r="AO190" s="29">
        <f>I190*0.7765899864682</f>
        <v>0</v>
      </c>
      <c r="AP190" s="29">
        <f>I190*(1-0.7765899864682)</f>
        <v>0</v>
      </c>
      <c r="AQ190" s="23" t="s">
        <v>389</v>
      </c>
      <c r="AV190" s="29">
        <f>AW190+AX190</f>
        <v>0</v>
      </c>
      <c r="AW190" s="29">
        <f>H190*AO190</f>
        <v>0</v>
      </c>
      <c r="AX190" s="29">
        <f>H190*AP190</f>
        <v>0</v>
      </c>
      <c r="AY190" s="23" t="s">
        <v>611</v>
      </c>
      <c r="AZ190" s="23" t="s">
        <v>205</v>
      </c>
      <c r="BA190" s="10" t="s">
        <v>439</v>
      </c>
      <c r="BC190" s="29">
        <f>AW190+AX190</f>
        <v>0</v>
      </c>
      <c r="BD190" s="29">
        <f>I190/(100-BE190)*100</f>
        <v>0</v>
      </c>
      <c r="BE190" s="29">
        <v>0</v>
      </c>
      <c r="BF190" s="29">
        <f>190</f>
        <v>190</v>
      </c>
      <c r="BH190" s="29">
        <f>H190*AO190</f>
        <v>0</v>
      </c>
      <c r="BI190" s="29">
        <f>H190*AP190</f>
        <v>0</v>
      </c>
      <c r="BJ190" s="29">
        <f>H190*I190</f>
        <v>0</v>
      </c>
      <c r="BK190" s="29"/>
      <c r="BL190" s="29"/>
    </row>
    <row r="191" spans="1:13" ht="13.5" customHeight="1">
      <c r="A191" s="40"/>
      <c r="B191" s="34" t="s">
        <v>279</v>
      </c>
      <c r="C191" s="88" t="s">
        <v>293</v>
      </c>
      <c r="D191" s="89"/>
      <c r="E191" s="89"/>
      <c r="F191" s="89"/>
      <c r="G191" s="89"/>
      <c r="H191" s="89"/>
      <c r="I191" s="90"/>
      <c r="J191" s="89"/>
      <c r="K191" s="89"/>
      <c r="L191" s="89"/>
      <c r="M191" s="91"/>
    </row>
    <row r="192" spans="1:64" ht="15" customHeight="1">
      <c r="A192" s="4" t="s">
        <v>288</v>
      </c>
      <c r="B192" s="18" t="s">
        <v>232</v>
      </c>
      <c r="C192" s="67" t="s">
        <v>339</v>
      </c>
      <c r="D192" s="67"/>
      <c r="E192" s="67"/>
      <c r="F192" s="67"/>
      <c r="G192" s="18" t="s">
        <v>146</v>
      </c>
      <c r="H192" s="29">
        <v>4</v>
      </c>
      <c r="I192" s="46">
        <v>0</v>
      </c>
      <c r="J192" s="29">
        <f>H192*AO192</f>
        <v>0</v>
      </c>
      <c r="K192" s="29">
        <f>H192*AP192</f>
        <v>0</v>
      </c>
      <c r="L192" s="29">
        <f>H192*I192</f>
        <v>0</v>
      </c>
      <c r="M192" s="41" t="s">
        <v>484</v>
      </c>
      <c r="Z192" s="29">
        <f>IF(AQ192="5",BJ192,0)</f>
        <v>0</v>
      </c>
      <c r="AB192" s="29">
        <f>IF(AQ192="1",BH192,0)</f>
        <v>0</v>
      </c>
      <c r="AC192" s="29">
        <f>IF(AQ192="1",BI192,0)</f>
        <v>0</v>
      </c>
      <c r="AD192" s="29">
        <f>IF(AQ192="7",BH192,0)</f>
        <v>0</v>
      </c>
      <c r="AE192" s="29">
        <f>IF(AQ192="7",BI192,0)</f>
        <v>0</v>
      </c>
      <c r="AF192" s="29">
        <f>IF(AQ192="2",BH192,0)</f>
        <v>0</v>
      </c>
      <c r="AG192" s="29">
        <f>IF(AQ192="2",BI192,0)</f>
        <v>0</v>
      </c>
      <c r="AH192" s="29">
        <f>IF(AQ192="0",BJ192,0)</f>
        <v>0</v>
      </c>
      <c r="AI192" s="10" t="s">
        <v>394</v>
      </c>
      <c r="AJ192" s="29">
        <f>IF(AN192=0,L192,0)</f>
        <v>0</v>
      </c>
      <c r="AK192" s="29">
        <f>IF(AN192=15,L192,0)</f>
        <v>0</v>
      </c>
      <c r="AL192" s="29">
        <f>IF(AN192=21,L192,0)</f>
        <v>0</v>
      </c>
      <c r="AN192" s="29">
        <v>21</v>
      </c>
      <c r="AO192" s="29">
        <f>I192*0.739589905362776</f>
        <v>0</v>
      </c>
      <c r="AP192" s="29">
        <f>I192*(1-0.739589905362776)</f>
        <v>0</v>
      </c>
      <c r="AQ192" s="23" t="s">
        <v>389</v>
      </c>
      <c r="AV192" s="29">
        <f>AW192+AX192</f>
        <v>0</v>
      </c>
      <c r="AW192" s="29">
        <f>H192*AO192</f>
        <v>0</v>
      </c>
      <c r="AX192" s="29">
        <f>H192*AP192</f>
        <v>0</v>
      </c>
      <c r="AY192" s="23" t="s">
        <v>611</v>
      </c>
      <c r="AZ192" s="23" t="s">
        <v>205</v>
      </c>
      <c r="BA192" s="10" t="s">
        <v>439</v>
      </c>
      <c r="BC192" s="29">
        <f>AW192+AX192</f>
        <v>0</v>
      </c>
      <c r="BD192" s="29">
        <f>I192/(100-BE192)*100</f>
        <v>0</v>
      </c>
      <c r="BE192" s="29">
        <v>0</v>
      </c>
      <c r="BF192" s="29">
        <f>192</f>
        <v>192</v>
      </c>
      <c r="BH192" s="29">
        <f>H192*AO192</f>
        <v>0</v>
      </c>
      <c r="BI192" s="29">
        <f>H192*AP192</f>
        <v>0</v>
      </c>
      <c r="BJ192" s="29">
        <f>H192*I192</f>
        <v>0</v>
      </c>
      <c r="BK192" s="29"/>
      <c r="BL192" s="29"/>
    </row>
    <row r="193" spans="1:13" ht="13.5" customHeight="1">
      <c r="A193" s="40"/>
      <c r="B193" s="34" t="s">
        <v>279</v>
      </c>
      <c r="C193" s="88" t="s">
        <v>293</v>
      </c>
      <c r="D193" s="89"/>
      <c r="E193" s="89"/>
      <c r="F193" s="89"/>
      <c r="G193" s="89"/>
      <c r="H193" s="89"/>
      <c r="I193" s="90"/>
      <c r="J193" s="89"/>
      <c r="K193" s="89"/>
      <c r="L193" s="89"/>
      <c r="M193" s="91"/>
    </row>
    <row r="194" spans="1:64" ht="15" customHeight="1">
      <c r="A194" s="4" t="s">
        <v>256</v>
      </c>
      <c r="B194" s="18" t="s">
        <v>527</v>
      </c>
      <c r="C194" s="67" t="s">
        <v>378</v>
      </c>
      <c r="D194" s="67"/>
      <c r="E194" s="67"/>
      <c r="F194" s="67"/>
      <c r="G194" s="18" t="s">
        <v>146</v>
      </c>
      <c r="H194" s="29">
        <v>2</v>
      </c>
      <c r="I194" s="46">
        <v>0</v>
      </c>
      <c r="J194" s="29">
        <f>H194*AO194</f>
        <v>0</v>
      </c>
      <c r="K194" s="29">
        <f>H194*AP194</f>
        <v>0</v>
      </c>
      <c r="L194" s="29">
        <f>H194*I194</f>
        <v>0</v>
      </c>
      <c r="M194" s="41" t="s">
        <v>484</v>
      </c>
      <c r="Z194" s="29">
        <f>IF(AQ194="5",BJ194,0)</f>
        <v>0</v>
      </c>
      <c r="AB194" s="29">
        <f>IF(AQ194="1",BH194,0)</f>
        <v>0</v>
      </c>
      <c r="AC194" s="29">
        <f>IF(AQ194="1",BI194,0)</f>
        <v>0</v>
      </c>
      <c r="AD194" s="29">
        <f>IF(AQ194="7",BH194,0)</f>
        <v>0</v>
      </c>
      <c r="AE194" s="29">
        <f>IF(AQ194="7",BI194,0)</f>
        <v>0</v>
      </c>
      <c r="AF194" s="29">
        <f>IF(AQ194="2",BH194,0)</f>
        <v>0</v>
      </c>
      <c r="AG194" s="29">
        <f>IF(AQ194="2",BI194,0)</f>
        <v>0</v>
      </c>
      <c r="AH194" s="29">
        <f>IF(AQ194="0",BJ194,0)</f>
        <v>0</v>
      </c>
      <c r="AI194" s="10" t="s">
        <v>394</v>
      </c>
      <c r="AJ194" s="29">
        <f>IF(AN194=0,L194,0)</f>
        <v>0</v>
      </c>
      <c r="AK194" s="29">
        <f>IF(AN194=15,L194,0)</f>
        <v>0</v>
      </c>
      <c r="AL194" s="29">
        <f>IF(AN194=21,L194,0)</f>
        <v>0</v>
      </c>
      <c r="AN194" s="29">
        <v>21</v>
      </c>
      <c r="AO194" s="29">
        <f>I194*0</f>
        <v>0</v>
      </c>
      <c r="AP194" s="29">
        <f>I194*(1-0)</f>
        <v>0</v>
      </c>
      <c r="AQ194" s="23" t="s">
        <v>389</v>
      </c>
      <c r="AV194" s="29">
        <f>AW194+AX194</f>
        <v>0</v>
      </c>
      <c r="AW194" s="29">
        <f>H194*AO194</f>
        <v>0</v>
      </c>
      <c r="AX194" s="29">
        <f>H194*AP194</f>
        <v>0</v>
      </c>
      <c r="AY194" s="23" t="s">
        <v>611</v>
      </c>
      <c r="AZ194" s="23" t="s">
        <v>205</v>
      </c>
      <c r="BA194" s="10" t="s">
        <v>439</v>
      </c>
      <c r="BC194" s="29">
        <f>AW194+AX194</f>
        <v>0</v>
      </c>
      <c r="BD194" s="29">
        <f>I194/(100-BE194)*100</f>
        <v>0</v>
      </c>
      <c r="BE194" s="29">
        <v>0</v>
      </c>
      <c r="BF194" s="29">
        <f>194</f>
        <v>194</v>
      </c>
      <c r="BH194" s="29">
        <f>H194*AO194</f>
        <v>0</v>
      </c>
      <c r="BI194" s="29">
        <f>H194*AP194</f>
        <v>0</v>
      </c>
      <c r="BJ194" s="29">
        <f>H194*I194</f>
        <v>0</v>
      </c>
      <c r="BK194" s="29"/>
      <c r="BL194" s="29"/>
    </row>
    <row r="195" spans="1:64" ht="15" customHeight="1">
      <c r="A195" s="4" t="s">
        <v>230</v>
      </c>
      <c r="B195" s="18" t="s">
        <v>249</v>
      </c>
      <c r="C195" s="67" t="s">
        <v>637</v>
      </c>
      <c r="D195" s="67"/>
      <c r="E195" s="67"/>
      <c r="F195" s="67"/>
      <c r="G195" s="18" t="s">
        <v>146</v>
      </c>
      <c r="H195" s="29">
        <v>1</v>
      </c>
      <c r="I195" s="46">
        <v>0</v>
      </c>
      <c r="J195" s="29">
        <f>H195*AO195</f>
        <v>0</v>
      </c>
      <c r="K195" s="29">
        <f>H195*AP195</f>
        <v>0</v>
      </c>
      <c r="L195" s="29">
        <f>H195*I195</f>
        <v>0</v>
      </c>
      <c r="M195" s="41" t="s">
        <v>484</v>
      </c>
      <c r="Z195" s="29">
        <f>IF(AQ195="5",BJ195,0)</f>
        <v>0</v>
      </c>
      <c r="AB195" s="29">
        <f>IF(AQ195="1",BH195,0)</f>
        <v>0</v>
      </c>
      <c r="AC195" s="29">
        <f>IF(AQ195="1",BI195,0)</f>
        <v>0</v>
      </c>
      <c r="AD195" s="29">
        <f>IF(AQ195="7",BH195,0)</f>
        <v>0</v>
      </c>
      <c r="AE195" s="29">
        <f>IF(AQ195="7",BI195,0)</f>
        <v>0</v>
      </c>
      <c r="AF195" s="29">
        <f>IF(AQ195="2",BH195,0)</f>
        <v>0</v>
      </c>
      <c r="AG195" s="29">
        <f>IF(AQ195="2",BI195,0)</f>
        <v>0</v>
      </c>
      <c r="AH195" s="29">
        <f>IF(AQ195="0",BJ195,0)</f>
        <v>0</v>
      </c>
      <c r="AI195" s="10" t="s">
        <v>394</v>
      </c>
      <c r="AJ195" s="29">
        <f>IF(AN195=0,L195,0)</f>
        <v>0</v>
      </c>
      <c r="AK195" s="29">
        <f>IF(AN195=15,L195,0)</f>
        <v>0</v>
      </c>
      <c r="AL195" s="29">
        <f>IF(AN195=21,L195,0)</f>
        <v>0</v>
      </c>
      <c r="AN195" s="29">
        <v>21</v>
      </c>
      <c r="AO195" s="29">
        <f>I195*1</f>
        <v>0</v>
      </c>
      <c r="AP195" s="29">
        <f>I195*(1-1)</f>
        <v>0</v>
      </c>
      <c r="AQ195" s="23" t="s">
        <v>576</v>
      </c>
      <c r="AV195" s="29">
        <f>AW195+AX195</f>
        <v>0</v>
      </c>
      <c r="AW195" s="29">
        <f>H195*AO195</f>
        <v>0</v>
      </c>
      <c r="AX195" s="29">
        <f>H195*AP195</f>
        <v>0</v>
      </c>
      <c r="AY195" s="23" t="s">
        <v>611</v>
      </c>
      <c r="AZ195" s="23" t="s">
        <v>205</v>
      </c>
      <c r="BA195" s="10" t="s">
        <v>439</v>
      </c>
      <c r="BC195" s="29">
        <f>AW195+AX195</f>
        <v>0</v>
      </c>
      <c r="BD195" s="29">
        <f>I195/(100-BE195)*100</f>
        <v>0</v>
      </c>
      <c r="BE195" s="29">
        <v>0</v>
      </c>
      <c r="BF195" s="29">
        <f>195</f>
        <v>195</v>
      </c>
      <c r="BH195" s="29">
        <f>H195*AO195</f>
        <v>0</v>
      </c>
      <c r="BI195" s="29">
        <f>H195*AP195</f>
        <v>0</v>
      </c>
      <c r="BJ195" s="29">
        <f>H195*I195</f>
        <v>0</v>
      </c>
      <c r="BK195" s="29"/>
      <c r="BL195" s="29"/>
    </row>
    <row r="196" spans="1:64" ht="15" customHeight="1">
      <c r="A196" s="4" t="s">
        <v>101</v>
      </c>
      <c r="B196" s="18" t="s">
        <v>16</v>
      </c>
      <c r="C196" s="67" t="s">
        <v>656</v>
      </c>
      <c r="D196" s="67"/>
      <c r="E196" s="67"/>
      <c r="F196" s="67"/>
      <c r="G196" s="18" t="s">
        <v>146</v>
      </c>
      <c r="H196" s="29">
        <v>1</v>
      </c>
      <c r="I196" s="46">
        <v>0</v>
      </c>
      <c r="J196" s="29">
        <f>H196*AO196</f>
        <v>0</v>
      </c>
      <c r="K196" s="29">
        <f>H196*AP196</f>
        <v>0</v>
      </c>
      <c r="L196" s="29">
        <f>H196*I196</f>
        <v>0</v>
      </c>
      <c r="M196" s="41" t="s">
        <v>484</v>
      </c>
      <c r="Z196" s="29">
        <f>IF(AQ196="5",BJ196,0)</f>
        <v>0</v>
      </c>
      <c r="AB196" s="29">
        <f>IF(AQ196="1",BH196,0)</f>
        <v>0</v>
      </c>
      <c r="AC196" s="29">
        <f>IF(AQ196="1",BI196,0)</f>
        <v>0</v>
      </c>
      <c r="AD196" s="29">
        <f>IF(AQ196="7",BH196,0)</f>
        <v>0</v>
      </c>
      <c r="AE196" s="29">
        <f>IF(AQ196="7",BI196,0)</f>
        <v>0</v>
      </c>
      <c r="AF196" s="29">
        <f>IF(AQ196="2",BH196,0)</f>
        <v>0</v>
      </c>
      <c r="AG196" s="29">
        <f>IF(AQ196="2",BI196,0)</f>
        <v>0</v>
      </c>
      <c r="AH196" s="29">
        <f>IF(AQ196="0",BJ196,0)</f>
        <v>0</v>
      </c>
      <c r="AI196" s="10" t="s">
        <v>394</v>
      </c>
      <c r="AJ196" s="29">
        <f>IF(AN196=0,L196,0)</f>
        <v>0</v>
      </c>
      <c r="AK196" s="29">
        <f>IF(AN196=15,L196,0)</f>
        <v>0</v>
      </c>
      <c r="AL196" s="29">
        <f>IF(AN196=21,L196,0)</f>
        <v>0</v>
      </c>
      <c r="AN196" s="29">
        <v>21</v>
      </c>
      <c r="AO196" s="29">
        <f>I196*1</f>
        <v>0</v>
      </c>
      <c r="AP196" s="29">
        <f>I196*(1-1)</f>
        <v>0</v>
      </c>
      <c r="AQ196" s="23" t="s">
        <v>576</v>
      </c>
      <c r="AV196" s="29">
        <f>AW196+AX196</f>
        <v>0</v>
      </c>
      <c r="AW196" s="29">
        <f>H196*AO196</f>
        <v>0</v>
      </c>
      <c r="AX196" s="29">
        <f>H196*AP196</f>
        <v>0</v>
      </c>
      <c r="AY196" s="23" t="s">
        <v>611</v>
      </c>
      <c r="AZ196" s="23" t="s">
        <v>205</v>
      </c>
      <c r="BA196" s="10" t="s">
        <v>439</v>
      </c>
      <c r="BC196" s="29">
        <f>AW196+AX196</f>
        <v>0</v>
      </c>
      <c r="BD196" s="29">
        <f>I196/(100-BE196)*100</f>
        <v>0</v>
      </c>
      <c r="BE196" s="29">
        <v>0</v>
      </c>
      <c r="BF196" s="29">
        <f>196</f>
        <v>196</v>
      </c>
      <c r="BH196" s="29">
        <f>H196*AO196</f>
        <v>0</v>
      </c>
      <c r="BI196" s="29">
        <f>H196*AP196</f>
        <v>0</v>
      </c>
      <c r="BJ196" s="29">
        <f>H196*I196</f>
        <v>0</v>
      </c>
      <c r="BK196" s="29"/>
      <c r="BL196" s="29"/>
    </row>
    <row r="197" spans="1:64" ht="15" customHeight="1">
      <c r="A197" s="4" t="s">
        <v>136</v>
      </c>
      <c r="B197" s="18" t="s">
        <v>269</v>
      </c>
      <c r="C197" s="67" t="s">
        <v>346</v>
      </c>
      <c r="D197" s="67"/>
      <c r="E197" s="67"/>
      <c r="F197" s="67"/>
      <c r="G197" s="18" t="s">
        <v>146</v>
      </c>
      <c r="H197" s="29">
        <v>40</v>
      </c>
      <c r="I197" s="46">
        <v>0</v>
      </c>
      <c r="J197" s="29">
        <f>H197*AO197</f>
        <v>0</v>
      </c>
      <c r="K197" s="29">
        <f>H197*AP197</f>
        <v>0</v>
      </c>
      <c r="L197" s="29">
        <f>H197*I197</f>
        <v>0</v>
      </c>
      <c r="M197" s="41" t="s">
        <v>484</v>
      </c>
      <c r="Z197" s="29">
        <f>IF(AQ197="5",BJ197,0)</f>
        <v>0</v>
      </c>
      <c r="AB197" s="29">
        <f>IF(AQ197="1",BH197,0)</f>
        <v>0</v>
      </c>
      <c r="AC197" s="29">
        <f>IF(AQ197="1",BI197,0)</f>
        <v>0</v>
      </c>
      <c r="AD197" s="29">
        <f>IF(AQ197="7",BH197,0)</f>
        <v>0</v>
      </c>
      <c r="AE197" s="29">
        <f>IF(AQ197="7",BI197,0)</f>
        <v>0</v>
      </c>
      <c r="AF197" s="29">
        <f>IF(AQ197="2",BH197,0)</f>
        <v>0</v>
      </c>
      <c r="AG197" s="29">
        <f>IF(AQ197="2",BI197,0)</f>
        <v>0</v>
      </c>
      <c r="AH197" s="29">
        <f>IF(AQ197="0",BJ197,0)</f>
        <v>0</v>
      </c>
      <c r="AI197" s="10" t="s">
        <v>394</v>
      </c>
      <c r="AJ197" s="29">
        <f>IF(AN197=0,L197,0)</f>
        <v>0</v>
      </c>
      <c r="AK197" s="29">
        <f>IF(AN197=15,L197,0)</f>
        <v>0</v>
      </c>
      <c r="AL197" s="29">
        <f>IF(AN197=21,L197,0)</f>
        <v>0</v>
      </c>
      <c r="AN197" s="29">
        <v>21</v>
      </c>
      <c r="AO197" s="29">
        <f>I197*0.610714285714286</f>
        <v>0</v>
      </c>
      <c r="AP197" s="29">
        <f>I197*(1-0.610714285714286)</f>
        <v>0</v>
      </c>
      <c r="AQ197" s="23" t="s">
        <v>389</v>
      </c>
      <c r="AV197" s="29">
        <f>AW197+AX197</f>
        <v>0</v>
      </c>
      <c r="AW197" s="29">
        <f>H197*AO197</f>
        <v>0</v>
      </c>
      <c r="AX197" s="29">
        <f>H197*AP197</f>
        <v>0</v>
      </c>
      <c r="AY197" s="23" t="s">
        <v>611</v>
      </c>
      <c r="AZ197" s="23" t="s">
        <v>205</v>
      </c>
      <c r="BA197" s="10" t="s">
        <v>439</v>
      </c>
      <c r="BC197" s="29">
        <f>AW197+AX197</f>
        <v>0</v>
      </c>
      <c r="BD197" s="29">
        <f>I197/(100-BE197)*100</f>
        <v>0</v>
      </c>
      <c r="BE197" s="29">
        <v>0</v>
      </c>
      <c r="BF197" s="29">
        <f>197</f>
        <v>197</v>
      </c>
      <c r="BH197" s="29">
        <f>H197*AO197</f>
        <v>0</v>
      </c>
      <c r="BI197" s="29">
        <f>H197*AP197</f>
        <v>0</v>
      </c>
      <c r="BJ197" s="29">
        <f>H197*I197</f>
        <v>0</v>
      </c>
      <c r="BK197" s="29"/>
      <c r="BL197" s="29"/>
    </row>
    <row r="198" spans="1:13" ht="13.5" customHeight="1">
      <c r="A198" s="40"/>
      <c r="B198" s="34" t="s">
        <v>279</v>
      </c>
      <c r="C198" s="88" t="s">
        <v>3</v>
      </c>
      <c r="D198" s="89"/>
      <c r="E198" s="89"/>
      <c r="F198" s="89"/>
      <c r="G198" s="89"/>
      <c r="H198" s="89"/>
      <c r="I198" s="90"/>
      <c r="J198" s="89"/>
      <c r="K198" s="89"/>
      <c r="L198" s="89"/>
      <c r="M198" s="91"/>
    </row>
    <row r="199" spans="1:64" ht="15" customHeight="1">
      <c r="A199" s="4" t="s">
        <v>61</v>
      </c>
      <c r="B199" s="18" t="s">
        <v>269</v>
      </c>
      <c r="C199" s="67" t="s">
        <v>396</v>
      </c>
      <c r="D199" s="67"/>
      <c r="E199" s="67"/>
      <c r="F199" s="67"/>
      <c r="G199" s="18" t="s">
        <v>146</v>
      </c>
      <c r="H199" s="29">
        <v>3</v>
      </c>
      <c r="I199" s="46">
        <v>0</v>
      </c>
      <c r="J199" s="29">
        <f>H199*AO199</f>
        <v>0</v>
      </c>
      <c r="K199" s="29">
        <f>H199*AP199</f>
        <v>0</v>
      </c>
      <c r="L199" s="29">
        <f>H199*I199</f>
        <v>0</v>
      </c>
      <c r="M199" s="41" t="s">
        <v>484</v>
      </c>
      <c r="Z199" s="29">
        <f>IF(AQ199="5",BJ199,0)</f>
        <v>0</v>
      </c>
      <c r="AB199" s="29">
        <f>IF(AQ199="1",BH199,0)</f>
        <v>0</v>
      </c>
      <c r="AC199" s="29">
        <f>IF(AQ199="1",BI199,0)</f>
        <v>0</v>
      </c>
      <c r="AD199" s="29">
        <f>IF(AQ199="7",BH199,0)</f>
        <v>0</v>
      </c>
      <c r="AE199" s="29">
        <f>IF(AQ199="7",BI199,0)</f>
        <v>0</v>
      </c>
      <c r="AF199" s="29">
        <f>IF(AQ199="2",BH199,0)</f>
        <v>0</v>
      </c>
      <c r="AG199" s="29">
        <f>IF(AQ199="2",BI199,0)</f>
        <v>0</v>
      </c>
      <c r="AH199" s="29">
        <f>IF(AQ199="0",BJ199,0)</f>
        <v>0</v>
      </c>
      <c r="AI199" s="10" t="s">
        <v>394</v>
      </c>
      <c r="AJ199" s="29">
        <f>IF(AN199=0,L199,0)</f>
        <v>0</v>
      </c>
      <c r="AK199" s="29">
        <f>IF(AN199=15,L199,0)</f>
        <v>0</v>
      </c>
      <c r="AL199" s="29">
        <f>IF(AN199=21,L199,0)</f>
        <v>0</v>
      </c>
      <c r="AN199" s="29">
        <v>21</v>
      </c>
      <c r="AO199" s="29">
        <f>I199*0.665301944728761</f>
        <v>0</v>
      </c>
      <c r="AP199" s="29">
        <f>I199*(1-0.665301944728761)</f>
        <v>0</v>
      </c>
      <c r="AQ199" s="23" t="s">
        <v>389</v>
      </c>
      <c r="AV199" s="29">
        <f>AW199+AX199</f>
        <v>0</v>
      </c>
      <c r="AW199" s="29">
        <f>H199*AO199</f>
        <v>0</v>
      </c>
      <c r="AX199" s="29">
        <f>H199*AP199</f>
        <v>0</v>
      </c>
      <c r="AY199" s="23" t="s">
        <v>611</v>
      </c>
      <c r="AZ199" s="23" t="s">
        <v>205</v>
      </c>
      <c r="BA199" s="10" t="s">
        <v>439</v>
      </c>
      <c r="BC199" s="29">
        <f>AW199+AX199</f>
        <v>0</v>
      </c>
      <c r="BD199" s="29">
        <f>I199/(100-BE199)*100</f>
        <v>0</v>
      </c>
      <c r="BE199" s="29">
        <v>0</v>
      </c>
      <c r="BF199" s="29">
        <f>199</f>
        <v>199</v>
      </c>
      <c r="BH199" s="29">
        <f>H199*AO199</f>
        <v>0</v>
      </c>
      <c r="BI199" s="29">
        <f>H199*AP199</f>
        <v>0</v>
      </c>
      <c r="BJ199" s="29">
        <f>H199*I199</f>
        <v>0</v>
      </c>
      <c r="BK199" s="29"/>
      <c r="BL199" s="29"/>
    </row>
    <row r="200" spans="1:13" ht="13.5" customHeight="1">
      <c r="A200" s="40"/>
      <c r="B200" s="34" t="s">
        <v>279</v>
      </c>
      <c r="C200" s="88" t="s">
        <v>3</v>
      </c>
      <c r="D200" s="89"/>
      <c r="E200" s="89"/>
      <c r="F200" s="89"/>
      <c r="G200" s="89"/>
      <c r="H200" s="89"/>
      <c r="I200" s="90"/>
      <c r="J200" s="89"/>
      <c r="K200" s="89"/>
      <c r="L200" s="89"/>
      <c r="M200" s="91"/>
    </row>
    <row r="201" spans="1:64" ht="15" customHeight="1">
      <c r="A201" s="4" t="s">
        <v>81</v>
      </c>
      <c r="B201" s="18" t="s">
        <v>491</v>
      </c>
      <c r="C201" s="67" t="s">
        <v>612</v>
      </c>
      <c r="D201" s="67"/>
      <c r="E201" s="67"/>
      <c r="F201" s="67"/>
      <c r="G201" s="18" t="s">
        <v>480</v>
      </c>
      <c r="H201" s="29">
        <v>30</v>
      </c>
      <c r="I201" s="46">
        <v>0</v>
      </c>
      <c r="J201" s="29">
        <f>H201*AO201</f>
        <v>0</v>
      </c>
      <c r="K201" s="29">
        <f>H201*AP201</f>
        <v>0</v>
      </c>
      <c r="L201" s="29">
        <f>H201*I201</f>
        <v>0</v>
      </c>
      <c r="M201" s="41" t="s">
        <v>484</v>
      </c>
      <c r="Z201" s="29">
        <f>IF(AQ201="5",BJ201,0)</f>
        <v>0</v>
      </c>
      <c r="AB201" s="29">
        <f>IF(AQ201="1",BH201,0)</f>
        <v>0</v>
      </c>
      <c r="AC201" s="29">
        <f>IF(AQ201="1",BI201,0)</f>
        <v>0</v>
      </c>
      <c r="AD201" s="29">
        <f>IF(AQ201="7",BH201,0)</f>
        <v>0</v>
      </c>
      <c r="AE201" s="29">
        <f>IF(AQ201="7",BI201,0)</f>
        <v>0</v>
      </c>
      <c r="AF201" s="29">
        <f>IF(AQ201="2",BH201,0)</f>
        <v>0</v>
      </c>
      <c r="AG201" s="29">
        <f>IF(AQ201="2",BI201,0)</f>
        <v>0</v>
      </c>
      <c r="AH201" s="29">
        <f>IF(AQ201="0",BJ201,0)</f>
        <v>0</v>
      </c>
      <c r="AI201" s="10" t="s">
        <v>394</v>
      </c>
      <c r="AJ201" s="29">
        <f>IF(AN201=0,L201,0)</f>
        <v>0</v>
      </c>
      <c r="AK201" s="29">
        <f>IF(AN201=15,L201,0)</f>
        <v>0</v>
      </c>
      <c r="AL201" s="29">
        <f>IF(AN201=21,L201,0)</f>
        <v>0</v>
      </c>
      <c r="AN201" s="29">
        <v>21</v>
      </c>
      <c r="AO201" s="29">
        <f>I201*0.642057877813505</f>
        <v>0</v>
      </c>
      <c r="AP201" s="29">
        <f>I201*(1-0.642057877813505)</f>
        <v>0</v>
      </c>
      <c r="AQ201" s="23" t="s">
        <v>389</v>
      </c>
      <c r="AV201" s="29">
        <f>AW201+AX201</f>
        <v>0</v>
      </c>
      <c r="AW201" s="29">
        <f>H201*AO201</f>
        <v>0</v>
      </c>
      <c r="AX201" s="29">
        <f>H201*AP201</f>
        <v>0</v>
      </c>
      <c r="AY201" s="23" t="s">
        <v>611</v>
      </c>
      <c r="AZ201" s="23" t="s">
        <v>205</v>
      </c>
      <c r="BA201" s="10" t="s">
        <v>439</v>
      </c>
      <c r="BC201" s="29">
        <f>AW201+AX201</f>
        <v>0</v>
      </c>
      <c r="BD201" s="29">
        <f>I201/(100-BE201)*100</f>
        <v>0</v>
      </c>
      <c r="BE201" s="29">
        <v>0</v>
      </c>
      <c r="BF201" s="29">
        <f>201</f>
        <v>201</v>
      </c>
      <c r="BH201" s="29">
        <f>H201*AO201</f>
        <v>0</v>
      </c>
      <c r="BI201" s="29">
        <f>H201*AP201</f>
        <v>0</v>
      </c>
      <c r="BJ201" s="29">
        <f>H201*I201</f>
        <v>0</v>
      </c>
      <c r="BK201" s="29"/>
      <c r="BL201" s="29"/>
    </row>
    <row r="202" spans="1:13" ht="13.5" customHeight="1">
      <c r="A202" s="40"/>
      <c r="B202" s="34" t="s">
        <v>279</v>
      </c>
      <c r="C202" s="88" t="s">
        <v>132</v>
      </c>
      <c r="D202" s="89"/>
      <c r="E202" s="89"/>
      <c r="F202" s="89"/>
      <c r="G202" s="89"/>
      <c r="H202" s="89"/>
      <c r="I202" s="90"/>
      <c r="J202" s="89"/>
      <c r="K202" s="89"/>
      <c r="L202" s="89"/>
      <c r="M202" s="91"/>
    </row>
    <row r="203" spans="1:64" ht="15" customHeight="1">
      <c r="A203" s="4" t="s">
        <v>541</v>
      </c>
      <c r="B203" s="18" t="s">
        <v>284</v>
      </c>
      <c r="C203" s="67" t="s">
        <v>583</v>
      </c>
      <c r="D203" s="67"/>
      <c r="E203" s="67"/>
      <c r="F203" s="67"/>
      <c r="G203" s="18" t="s">
        <v>146</v>
      </c>
      <c r="H203" s="29">
        <v>10</v>
      </c>
      <c r="I203" s="46">
        <v>0</v>
      </c>
      <c r="J203" s="29">
        <f>H203*AO203</f>
        <v>0</v>
      </c>
      <c r="K203" s="29">
        <f>H203*AP203</f>
        <v>0</v>
      </c>
      <c r="L203" s="29">
        <f>H203*I203</f>
        <v>0</v>
      </c>
      <c r="M203" s="41" t="s">
        <v>484</v>
      </c>
      <c r="Z203" s="29">
        <f>IF(AQ203="5",BJ203,0)</f>
        <v>0</v>
      </c>
      <c r="AB203" s="29">
        <f>IF(AQ203="1",BH203,0)</f>
        <v>0</v>
      </c>
      <c r="AC203" s="29">
        <f>IF(AQ203="1",BI203,0)</f>
        <v>0</v>
      </c>
      <c r="AD203" s="29">
        <f>IF(AQ203="7",BH203,0)</f>
        <v>0</v>
      </c>
      <c r="AE203" s="29">
        <f>IF(AQ203="7",BI203,0)</f>
        <v>0</v>
      </c>
      <c r="AF203" s="29">
        <f>IF(AQ203="2",BH203,0)</f>
        <v>0</v>
      </c>
      <c r="AG203" s="29">
        <f>IF(AQ203="2",BI203,0)</f>
        <v>0</v>
      </c>
      <c r="AH203" s="29">
        <f>IF(AQ203="0",BJ203,0)</f>
        <v>0</v>
      </c>
      <c r="AI203" s="10" t="s">
        <v>394</v>
      </c>
      <c r="AJ203" s="29">
        <f>IF(AN203=0,L203,0)</f>
        <v>0</v>
      </c>
      <c r="AK203" s="29">
        <f>IF(AN203=15,L203,0)</f>
        <v>0</v>
      </c>
      <c r="AL203" s="29">
        <f>IF(AN203=21,L203,0)</f>
        <v>0</v>
      </c>
      <c r="AN203" s="29">
        <v>21</v>
      </c>
      <c r="AO203" s="29">
        <f>I203*0.10953516090584</f>
        <v>0</v>
      </c>
      <c r="AP203" s="29">
        <f>I203*(1-0.10953516090584)</f>
        <v>0</v>
      </c>
      <c r="AQ203" s="23" t="s">
        <v>389</v>
      </c>
      <c r="AV203" s="29">
        <f>AW203+AX203</f>
        <v>0</v>
      </c>
      <c r="AW203" s="29">
        <f>H203*AO203</f>
        <v>0</v>
      </c>
      <c r="AX203" s="29">
        <f>H203*AP203</f>
        <v>0</v>
      </c>
      <c r="AY203" s="23" t="s">
        <v>611</v>
      </c>
      <c r="AZ203" s="23" t="s">
        <v>205</v>
      </c>
      <c r="BA203" s="10" t="s">
        <v>439</v>
      </c>
      <c r="BC203" s="29">
        <f>AW203+AX203</f>
        <v>0</v>
      </c>
      <c r="BD203" s="29">
        <f>I203/(100-BE203)*100</f>
        <v>0</v>
      </c>
      <c r="BE203" s="29">
        <v>0</v>
      </c>
      <c r="BF203" s="29">
        <f>203</f>
        <v>203</v>
      </c>
      <c r="BH203" s="29">
        <f>H203*AO203</f>
        <v>0</v>
      </c>
      <c r="BI203" s="29">
        <f>H203*AP203</f>
        <v>0</v>
      </c>
      <c r="BJ203" s="29">
        <f>H203*I203</f>
        <v>0</v>
      </c>
      <c r="BK203" s="29"/>
      <c r="BL203" s="29"/>
    </row>
    <row r="204" spans="1:13" ht="13.5" customHeight="1">
      <c r="A204" s="40"/>
      <c r="B204" s="34" t="s">
        <v>279</v>
      </c>
      <c r="C204" s="88" t="s">
        <v>276</v>
      </c>
      <c r="D204" s="89"/>
      <c r="E204" s="89"/>
      <c r="F204" s="89"/>
      <c r="G204" s="89"/>
      <c r="H204" s="89"/>
      <c r="I204" s="90"/>
      <c r="J204" s="89"/>
      <c r="K204" s="89"/>
      <c r="L204" s="89"/>
      <c r="M204" s="91"/>
    </row>
    <row r="205" spans="1:64" ht="15" customHeight="1">
      <c r="A205" s="4" t="s">
        <v>419</v>
      </c>
      <c r="B205" s="18" t="s">
        <v>607</v>
      </c>
      <c r="C205" s="67" t="s">
        <v>583</v>
      </c>
      <c r="D205" s="67"/>
      <c r="E205" s="67"/>
      <c r="F205" s="67"/>
      <c r="G205" s="18" t="s">
        <v>146</v>
      </c>
      <c r="H205" s="29">
        <v>62</v>
      </c>
      <c r="I205" s="46">
        <v>0</v>
      </c>
      <c r="J205" s="29">
        <f>H205*AO205</f>
        <v>0</v>
      </c>
      <c r="K205" s="29">
        <f>H205*AP205</f>
        <v>0</v>
      </c>
      <c r="L205" s="29">
        <f>H205*I205</f>
        <v>0</v>
      </c>
      <c r="M205" s="41" t="s">
        <v>484</v>
      </c>
      <c r="Z205" s="29">
        <f>IF(AQ205="5",BJ205,0)</f>
        <v>0</v>
      </c>
      <c r="AB205" s="29">
        <f>IF(AQ205="1",BH205,0)</f>
        <v>0</v>
      </c>
      <c r="AC205" s="29">
        <f>IF(AQ205="1",BI205,0)</f>
        <v>0</v>
      </c>
      <c r="AD205" s="29">
        <f>IF(AQ205="7",BH205,0)</f>
        <v>0</v>
      </c>
      <c r="AE205" s="29">
        <f>IF(AQ205="7",BI205,0)</f>
        <v>0</v>
      </c>
      <c r="AF205" s="29">
        <f>IF(AQ205="2",BH205,0)</f>
        <v>0</v>
      </c>
      <c r="AG205" s="29">
        <f>IF(AQ205="2",BI205,0)</f>
        <v>0</v>
      </c>
      <c r="AH205" s="29">
        <f>IF(AQ205="0",BJ205,0)</f>
        <v>0</v>
      </c>
      <c r="AI205" s="10" t="s">
        <v>394</v>
      </c>
      <c r="AJ205" s="29">
        <f>IF(AN205=0,L205,0)</f>
        <v>0</v>
      </c>
      <c r="AK205" s="29">
        <f>IF(AN205=15,L205,0)</f>
        <v>0</v>
      </c>
      <c r="AL205" s="29">
        <f>IF(AN205=21,L205,0)</f>
        <v>0</v>
      </c>
      <c r="AN205" s="29">
        <v>21</v>
      </c>
      <c r="AO205" s="29">
        <f>I205*0.140990990990991</f>
        <v>0</v>
      </c>
      <c r="AP205" s="29">
        <f>I205*(1-0.140990990990991)</f>
        <v>0</v>
      </c>
      <c r="AQ205" s="23" t="s">
        <v>389</v>
      </c>
      <c r="AV205" s="29">
        <f>AW205+AX205</f>
        <v>0</v>
      </c>
      <c r="AW205" s="29">
        <f>H205*AO205</f>
        <v>0</v>
      </c>
      <c r="AX205" s="29">
        <f>H205*AP205</f>
        <v>0</v>
      </c>
      <c r="AY205" s="23" t="s">
        <v>611</v>
      </c>
      <c r="AZ205" s="23" t="s">
        <v>205</v>
      </c>
      <c r="BA205" s="10" t="s">
        <v>439</v>
      </c>
      <c r="BC205" s="29">
        <f>AW205+AX205</f>
        <v>0</v>
      </c>
      <c r="BD205" s="29">
        <f>I205/(100-BE205)*100</f>
        <v>0</v>
      </c>
      <c r="BE205" s="29">
        <v>0</v>
      </c>
      <c r="BF205" s="29">
        <f>205</f>
        <v>205</v>
      </c>
      <c r="BH205" s="29">
        <f>H205*AO205</f>
        <v>0</v>
      </c>
      <c r="BI205" s="29">
        <f>H205*AP205</f>
        <v>0</v>
      </c>
      <c r="BJ205" s="29">
        <f>H205*I205</f>
        <v>0</v>
      </c>
      <c r="BK205" s="29"/>
      <c r="BL205" s="29"/>
    </row>
    <row r="206" spans="1:13" ht="13.5" customHeight="1">
      <c r="A206" s="40"/>
      <c r="B206" s="34" t="s">
        <v>279</v>
      </c>
      <c r="C206" s="88" t="s">
        <v>310</v>
      </c>
      <c r="D206" s="89"/>
      <c r="E206" s="89"/>
      <c r="F206" s="89"/>
      <c r="G206" s="89"/>
      <c r="H206" s="89"/>
      <c r="I206" s="90"/>
      <c r="J206" s="89"/>
      <c r="K206" s="89"/>
      <c r="L206" s="89"/>
      <c r="M206" s="91"/>
    </row>
    <row r="207" spans="1:64" ht="15" customHeight="1">
      <c r="A207" s="4" t="s">
        <v>266</v>
      </c>
      <c r="B207" s="18" t="s">
        <v>526</v>
      </c>
      <c r="C207" s="67" t="s">
        <v>138</v>
      </c>
      <c r="D207" s="67"/>
      <c r="E207" s="67"/>
      <c r="F207" s="67"/>
      <c r="G207" s="18" t="s">
        <v>146</v>
      </c>
      <c r="H207" s="29">
        <v>25</v>
      </c>
      <c r="I207" s="46">
        <v>0</v>
      </c>
      <c r="J207" s="29">
        <f>H207*AO207</f>
        <v>0</v>
      </c>
      <c r="K207" s="29">
        <f>H207*AP207</f>
        <v>0</v>
      </c>
      <c r="L207" s="29">
        <f>H207*I207</f>
        <v>0</v>
      </c>
      <c r="M207" s="41" t="s">
        <v>484</v>
      </c>
      <c r="Z207" s="29">
        <f>IF(AQ207="5",BJ207,0)</f>
        <v>0</v>
      </c>
      <c r="AB207" s="29">
        <f>IF(AQ207="1",BH207,0)</f>
        <v>0</v>
      </c>
      <c r="AC207" s="29">
        <f>IF(AQ207="1",BI207,0)</f>
        <v>0</v>
      </c>
      <c r="AD207" s="29">
        <f>IF(AQ207="7",BH207,0)</f>
        <v>0</v>
      </c>
      <c r="AE207" s="29">
        <f>IF(AQ207="7",BI207,0)</f>
        <v>0</v>
      </c>
      <c r="AF207" s="29">
        <f>IF(AQ207="2",BH207,0)</f>
        <v>0</v>
      </c>
      <c r="AG207" s="29">
        <f>IF(AQ207="2",BI207,0)</f>
        <v>0</v>
      </c>
      <c r="AH207" s="29">
        <f>IF(AQ207="0",BJ207,0)</f>
        <v>0</v>
      </c>
      <c r="AI207" s="10" t="s">
        <v>394</v>
      </c>
      <c r="AJ207" s="29">
        <f>IF(AN207=0,L207,0)</f>
        <v>0</v>
      </c>
      <c r="AK207" s="29">
        <f>IF(AN207=15,L207,0)</f>
        <v>0</v>
      </c>
      <c r="AL207" s="29">
        <f>IF(AN207=21,L207,0)</f>
        <v>0</v>
      </c>
      <c r="AN207" s="29">
        <v>21</v>
      </c>
      <c r="AO207" s="29">
        <f>I207*0</f>
        <v>0</v>
      </c>
      <c r="AP207" s="29">
        <f>I207*(1-0)</f>
        <v>0</v>
      </c>
      <c r="AQ207" s="23" t="s">
        <v>389</v>
      </c>
      <c r="AV207" s="29">
        <f>AW207+AX207</f>
        <v>0</v>
      </c>
      <c r="AW207" s="29">
        <f>H207*AO207</f>
        <v>0</v>
      </c>
      <c r="AX207" s="29">
        <f>H207*AP207</f>
        <v>0</v>
      </c>
      <c r="AY207" s="23" t="s">
        <v>611</v>
      </c>
      <c r="AZ207" s="23" t="s">
        <v>205</v>
      </c>
      <c r="BA207" s="10" t="s">
        <v>439</v>
      </c>
      <c r="BC207" s="29">
        <f>AW207+AX207</f>
        <v>0</v>
      </c>
      <c r="BD207" s="29">
        <f>I207/(100-BE207)*100</f>
        <v>0</v>
      </c>
      <c r="BE207" s="29">
        <v>0</v>
      </c>
      <c r="BF207" s="29">
        <f>207</f>
        <v>207</v>
      </c>
      <c r="BH207" s="29">
        <f>H207*AO207</f>
        <v>0</v>
      </c>
      <c r="BI207" s="29">
        <f>H207*AP207</f>
        <v>0</v>
      </c>
      <c r="BJ207" s="29">
        <f>H207*I207</f>
        <v>0</v>
      </c>
      <c r="BK207" s="29"/>
      <c r="BL207" s="29"/>
    </row>
    <row r="208" spans="1:64" ht="15" customHeight="1">
      <c r="A208" s="4" t="s">
        <v>418</v>
      </c>
      <c r="B208" s="18" t="s">
        <v>545</v>
      </c>
      <c r="C208" s="67" t="s">
        <v>499</v>
      </c>
      <c r="D208" s="67"/>
      <c r="E208" s="67"/>
      <c r="F208" s="67"/>
      <c r="G208" s="18" t="s">
        <v>146</v>
      </c>
      <c r="H208" s="29">
        <v>24</v>
      </c>
      <c r="I208" s="46">
        <v>0</v>
      </c>
      <c r="J208" s="29">
        <f>H208*AO208</f>
        <v>0</v>
      </c>
      <c r="K208" s="29">
        <f>H208*AP208</f>
        <v>0</v>
      </c>
      <c r="L208" s="29">
        <f>H208*I208</f>
        <v>0</v>
      </c>
      <c r="M208" s="41" t="s">
        <v>484</v>
      </c>
      <c r="Z208" s="29">
        <f>IF(AQ208="5",BJ208,0)</f>
        <v>0</v>
      </c>
      <c r="AB208" s="29">
        <f>IF(AQ208="1",BH208,0)</f>
        <v>0</v>
      </c>
      <c r="AC208" s="29">
        <f>IF(AQ208="1",BI208,0)</f>
        <v>0</v>
      </c>
      <c r="AD208" s="29">
        <f>IF(AQ208="7",BH208,0)</f>
        <v>0</v>
      </c>
      <c r="AE208" s="29">
        <f>IF(AQ208="7",BI208,0)</f>
        <v>0</v>
      </c>
      <c r="AF208" s="29">
        <f>IF(AQ208="2",BH208,0)</f>
        <v>0</v>
      </c>
      <c r="AG208" s="29">
        <f>IF(AQ208="2",BI208,0)</f>
        <v>0</v>
      </c>
      <c r="AH208" s="29">
        <f>IF(AQ208="0",BJ208,0)</f>
        <v>0</v>
      </c>
      <c r="AI208" s="10" t="s">
        <v>394</v>
      </c>
      <c r="AJ208" s="29">
        <f>IF(AN208=0,L208,0)</f>
        <v>0</v>
      </c>
      <c r="AK208" s="29">
        <f>IF(AN208=15,L208,0)</f>
        <v>0</v>
      </c>
      <c r="AL208" s="29">
        <f>IF(AN208=21,L208,0)</f>
        <v>0</v>
      </c>
      <c r="AN208" s="29">
        <v>21</v>
      </c>
      <c r="AO208" s="29">
        <f>I208*1</f>
        <v>0</v>
      </c>
      <c r="AP208" s="29">
        <f>I208*(1-1)</f>
        <v>0</v>
      </c>
      <c r="AQ208" s="23" t="s">
        <v>576</v>
      </c>
      <c r="AV208" s="29">
        <f>AW208+AX208</f>
        <v>0</v>
      </c>
      <c r="AW208" s="29">
        <f>H208*AO208</f>
        <v>0</v>
      </c>
      <c r="AX208" s="29">
        <f>H208*AP208</f>
        <v>0</v>
      </c>
      <c r="AY208" s="23" t="s">
        <v>611</v>
      </c>
      <c r="AZ208" s="23" t="s">
        <v>205</v>
      </c>
      <c r="BA208" s="10" t="s">
        <v>439</v>
      </c>
      <c r="BC208" s="29">
        <f>AW208+AX208</f>
        <v>0</v>
      </c>
      <c r="BD208" s="29">
        <f>I208/(100-BE208)*100</f>
        <v>0</v>
      </c>
      <c r="BE208" s="29">
        <v>0</v>
      </c>
      <c r="BF208" s="29">
        <f>208</f>
        <v>208</v>
      </c>
      <c r="BH208" s="29">
        <f>H208*AO208</f>
        <v>0</v>
      </c>
      <c r="BI208" s="29">
        <f>H208*AP208</f>
        <v>0</v>
      </c>
      <c r="BJ208" s="29">
        <f>H208*I208</f>
        <v>0</v>
      </c>
      <c r="BK208" s="29"/>
      <c r="BL208" s="29"/>
    </row>
    <row r="209" spans="1:64" ht="15" customHeight="1">
      <c r="A209" s="4" t="s">
        <v>183</v>
      </c>
      <c r="B209" s="18" t="s">
        <v>287</v>
      </c>
      <c r="C209" s="67" t="s">
        <v>273</v>
      </c>
      <c r="D209" s="67"/>
      <c r="E209" s="67"/>
      <c r="F209" s="67"/>
      <c r="G209" s="18" t="s">
        <v>146</v>
      </c>
      <c r="H209" s="29">
        <v>1</v>
      </c>
      <c r="I209" s="46">
        <v>0</v>
      </c>
      <c r="J209" s="29">
        <f>H209*AO209</f>
        <v>0</v>
      </c>
      <c r="K209" s="29">
        <f>H209*AP209</f>
        <v>0</v>
      </c>
      <c r="L209" s="29">
        <f>H209*I209</f>
        <v>0</v>
      </c>
      <c r="M209" s="41" t="s">
        <v>484</v>
      </c>
      <c r="Z209" s="29">
        <f>IF(AQ209="5",BJ209,0)</f>
        <v>0</v>
      </c>
      <c r="AB209" s="29">
        <f>IF(AQ209="1",BH209,0)</f>
        <v>0</v>
      </c>
      <c r="AC209" s="29">
        <f>IF(AQ209="1",BI209,0)</f>
        <v>0</v>
      </c>
      <c r="AD209" s="29">
        <f>IF(AQ209="7",BH209,0)</f>
        <v>0</v>
      </c>
      <c r="AE209" s="29">
        <f>IF(AQ209="7",BI209,0)</f>
        <v>0</v>
      </c>
      <c r="AF209" s="29">
        <f>IF(AQ209="2",BH209,0)</f>
        <v>0</v>
      </c>
      <c r="AG209" s="29">
        <f>IF(AQ209="2",BI209,0)</f>
        <v>0</v>
      </c>
      <c r="AH209" s="29">
        <f>IF(AQ209="0",BJ209,0)</f>
        <v>0</v>
      </c>
      <c r="AI209" s="10" t="s">
        <v>394</v>
      </c>
      <c r="AJ209" s="29">
        <f>IF(AN209=0,L209,0)</f>
        <v>0</v>
      </c>
      <c r="AK209" s="29">
        <f>IF(AN209=15,L209,0)</f>
        <v>0</v>
      </c>
      <c r="AL209" s="29">
        <f>IF(AN209=21,L209,0)</f>
        <v>0</v>
      </c>
      <c r="AN209" s="29">
        <v>21</v>
      </c>
      <c r="AO209" s="29">
        <f>I209*1</f>
        <v>0</v>
      </c>
      <c r="AP209" s="29">
        <f>I209*(1-1)</f>
        <v>0</v>
      </c>
      <c r="AQ209" s="23" t="s">
        <v>576</v>
      </c>
      <c r="AV209" s="29">
        <f>AW209+AX209</f>
        <v>0</v>
      </c>
      <c r="AW209" s="29">
        <f>H209*AO209</f>
        <v>0</v>
      </c>
      <c r="AX209" s="29">
        <f>H209*AP209</f>
        <v>0</v>
      </c>
      <c r="AY209" s="23" t="s">
        <v>611</v>
      </c>
      <c r="AZ209" s="23" t="s">
        <v>205</v>
      </c>
      <c r="BA209" s="10" t="s">
        <v>439</v>
      </c>
      <c r="BC209" s="29">
        <f>AW209+AX209</f>
        <v>0</v>
      </c>
      <c r="BD209" s="29">
        <f>I209/(100-BE209)*100</f>
        <v>0</v>
      </c>
      <c r="BE209" s="29">
        <v>0</v>
      </c>
      <c r="BF209" s="29">
        <f>209</f>
        <v>209</v>
      </c>
      <c r="BH209" s="29">
        <f>H209*AO209</f>
        <v>0</v>
      </c>
      <c r="BI209" s="29">
        <f>H209*AP209</f>
        <v>0</v>
      </c>
      <c r="BJ209" s="29">
        <f>H209*I209</f>
        <v>0</v>
      </c>
      <c r="BK209" s="29"/>
      <c r="BL209" s="29"/>
    </row>
    <row r="210" spans="1:64" ht="15" customHeight="1">
      <c r="A210" s="4" t="s">
        <v>250</v>
      </c>
      <c r="B210" s="18" t="s">
        <v>321</v>
      </c>
      <c r="C210" s="67" t="s">
        <v>474</v>
      </c>
      <c r="D210" s="67"/>
      <c r="E210" s="67"/>
      <c r="F210" s="67"/>
      <c r="G210" s="18" t="s">
        <v>441</v>
      </c>
      <c r="H210" s="29">
        <v>1</v>
      </c>
      <c r="I210" s="46">
        <v>0</v>
      </c>
      <c r="J210" s="29">
        <f>H210*AO210</f>
        <v>0</v>
      </c>
      <c r="K210" s="29">
        <f>H210*AP210</f>
        <v>0</v>
      </c>
      <c r="L210" s="29">
        <f>H210*I210</f>
        <v>0</v>
      </c>
      <c r="M210" s="41" t="s">
        <v>394</v>
      </c>
      <c r="Z210" s="29">
        <f>IF(AQ210="5",BJ210,0)</f>
        <v>0</v>
      </c>
      <c r="AB210" s="29">
        <f>IF(AQ210="1",BH210,0)</f>
        <v>0</v>
      </c>
      <c r="AC210" s="29">
        <f>IF(AQ210="1",BI210,0)</f>
        <v>0</v>
      </c>
      <c r="AD210" s="29">
        <f>IF(AQ210="7",BH210,0)</f>
        <v>0</v>
      </c>
      <c r="AE210" s="29">
        <f>IF(AQ210="7",BI210,0)</f>
        <v>0</v>
      </c>
      <c r="AF210" s="29">
        <f>IF(AQ210="2",BH210,0)</f>
        <v>0</v>
      </c>
      <c r="AG210" s="29">
        <f>IF(AQ210="2",BI210,0)</f>
        <v>0</v>
      </c>
      <c r="AH210" s="29">
        <f>IF(AQ210="0",BJ210,0)</f>
        <v>0</v>
      </c>
      <c r="AI210" s="10" t="s">
        <v>394</v>
      </c>
      <c r="AJ210" s="29">
        <f>IF(AN210=0,L210,0)</f>
        <v>0</v>
      </c>
      <c r="AK210" s="29">
        <f>IF(AN210=15,L210,0)</f>
        <v>0</v>
      </c>
      <c r="AL210" s="29">
        <f>IF(AN210=21,L210,0)</f>
        <v>0</v>
      </c>
      <c r="AN210" s="29">
        <v>21</v>
      </c>
      <c r="AO210" s="29">
        <f>I210*0.84</f>
        <v>0</v>
      </c>
      <c r="AP210" s="29">
        <f>I210*(1-0.84)</f>
        <v>0</v>
      </c>
      <c r="AQ210" s="23" t="s">
        <v>389</v>
      </c>
      <c r="AV210" s="29">
        <f>AW210+AX210</f>
        <v>0</v>
      </c>
      <c r="AW210" s="29">
        <f>H210*AO210</f>
        <v>0</v>
      </c>
      <c r="AX210" s="29">
        <f>H210*AP210</f>
        <v>0</v>
      </c>
      <c r="AY210" s="23" t="s">
        <v>611</v>
      </c>
      <c r="AZ210" s="23" t="s">
        <v>205</v>
      </c>
      <c r="BA210" s="10" t="s">
        <v>439</v>
      </c>
      <c r="BC210" s="29">
        <f>AW210+AX210</f>
        <v>0</v>
      </c>
      <c r="BD210" s="29">
        <f>I210/(100-BE210)*100</f>
        <v>0</v>
      </c>
      <c r="BE210" s="29">
        <v>0</v>
      </c>
      <c r="BF210" s="29">
        <f>210</f>
        <v>210</v>
      </c>
      <c r="BH210" s="29">
        <f>H210*AO210</f>
        <v>0</v>
      </c>
      <c r="BI210" s="29">
        <f>H210*AP210</f>
        <v>0</v>
      </c>
      <c r="BJ210" s="29">
        <f>H210*I210</f>
        <v>0</v>
      </c>
      <c r="BK210" s="29"/>
      <c r="BL210" s="29"/>
    </row>
    <row r="211" spans="1:13" ht="13.5" customHeight="1">
      <c r="A211" s="40"/>
      <c r="B211" s="34" t="s">
        <v>279</v>
      </c>
      <c r="C211" s="88" t="s">
        <v>300</v>
      </c>
      <c r="D211" s="89"/>
      <c r="E211" s="89"/>
      <c r="F211" s="89"/>
      <c r="G211" s="89"/>
      <c r="H211" s="89"/>
      <c r="I211" s="90"/>
      <c r="J211" s="89"/>
      <c r="K211" s="89"/>
      <c r="L211" s="89"/>
      <c r="M211" s="91"/>
    </row>
    <row r="212" spans="1:64" ht="15" customHeight="1">
      <c r="A212" s="4" t="s">
        <v>164</v>
      </c>
      <c r="B212" s="18" t="s">
        <v>63</v>
      </c>
      <c r="C212" s="67" t="s">
        <v>314</v>
      </c>
      <c r="D212" s="67"/>
      <c r="E212" s="67"/>
      <c r="F212" s="67"/>
      <c r="G212" s="18" t="s">
        <v>242</v>
      </c>
      <c r="H212" s="29">
        <v>30</v>
      </c>
      <c r="I212" s="46">
        <v>0</v>
      </c>
      <c r="J212" s="29">
        <f>H212*AO212</f>
        <v>0</v>
      </c>
      <c r="K212" s="29">
        <f>H212*AP212</f>
        <v>0</v>
      </c>
      <c r="L212" s="29">
        <f>H212*I212</f>
        <v>0</v>
      </c>
      <c r="M212" s="41" t="s">
        <v>484</v>
      </c>
      <c r="Z212" s="29">
        <f>IF(AQ212="5",BJ212,0)</f>
        <v>0</v>
      </c>
      <c r="AB212" s="29">
        <f>IF(AQ212="1",BH212,0)</f>
        <v>0</v>
      </c>
      <c r="AC212" s="29">
        <f>IF(AQ212="1",BI212,0)</f>
        <v>0</v>
      </c>
      <c r="AD212" s="29">
        <f>IF(AQ212="7",BH212,0)</f>
        <v>0</v>
      </c>
      <c r="AE212" s="29">
        <f>IF(AQ212="7",BI212,0)</f>
        <v>0</v>
      </c>
      <c r="AF212" s="29">
        <f>IF(AQ212="2",BH212,0)</f>
        <v>0</v>
      </c>
      <c r="AG212" s="29">
        <f>IF(AQ212="2",BI212,0)</f>
        <v>0</v>
      </c>
      <c r="AH212" s="29">
        <f>IF(AQ212="0",BJ212,0)</f>
        <v>0</v>
      </c>
      <c r="AI212" s="10" t="s">
        <v>394</v>
      </c>
      <c r="AJ212" s="29">
        <f>IF(AN212=0,L212,0)</f>
        <v>0</v>
      </c>
      <c r="AK212" s="29">
        <f>IF(AN212=15,L212,0)</f>
        <v>0</v>
      </c>
      <c r="AL212" s="29">
        <f>IF(AN212=21,L212,0)</f>
        <v>0</v>
      </c>
      <c r="AN212" s="29">
        <v>21</v>
      </c>
      <c r="AO212" s="29">
        <f>I212*0</f>
        <v>0</v>
      </c>
      <c r="AP212" s="29">
        <f>I212*(1-0)</f>
        <v>0</v>
      </c>
      <c r="AQ212" s="23" t="s">
        <v>576</v>
      </c>
      <c r="AV212" s="29">
        <f>AW212+AX212</f>
        <v>0</v>
      </c>
      <c r="AW212" s="29">
        <f>H212*AO212</f>
        <v>0</v>
      </c>
      <c r="AX212" s="29">
        <f>H212*AP212</f>
        <v>0</v>
      </c>
      <c r="AY212" s="23" t="s">
        <v>611</v>
      </c>
      <c r="AZ212" s="23" t="s">
        <v>205</v>
      </c>
      <c r="BA212" s="10" t="s">
        <v>439</v>
      </c>
      <c r="BC212" s="29">
        <f>AW212+AX212</f>
        <v>0</v>
      </c>
      <c r="BD212" s="29">
        <f>I212/(100-BE212)*100</f>
        <v>0</v>
      </c>
      <c r="BE212" s="29">
        <v>0</v>
      </c>
      <c r="BF212" s="29">
        <f>212</f>
        <v>212</v>
      </c>
      <c r="BH212" s="29">
        <f>H212*AO212</f>
        <v>0</v>
      </c>
      <c r="BI212" s="29">
        <f>H212*AP212</f>
        <v>0</v>
      </c>
      <c r="BJ212" s="29">
        <f>H212*I212</f>
        <v>0</v>
      </c>
      <c r="BK212" s="29"/>
      <c r="BL212" s="29"/>
    </row>
    <row r="213" spans="1:64" ht="15" customHeight="1">
      <c r="A213" s="4" t="s">
        <v>153</v>
      </c>
      <c r="B213" s="18" t="s">
        <v>203</v>
      </c>
      <c r="C213" s="67" t="s">
        <v>254</v>
      </c>
      <c r="D213" s="67"/>
      <c r="E213" s="67"/>
      <c r="F213" s="67"/>
      <c r="G213" s="18" t="s">
        <v>242</v>
      </c>
      <c r="H213" s="29">
        <v>15</v>
      </c>
      <c r="I213" s="46">
        <v>0</v>
      </c>
      <c r="J213" s="29">
        <f>H213*AO213</f>
        <v>0</v>
      </c>
      <c r="K213" s="29">
        <f>H213*AP213</f>
        <v>0</v>
      </c>
      <c r="L213" s="29">
        <f>H213*I213</f>
        <v>0</v>
      </c>
      <c r="M213" s="41" t="s">
        <v>484</v>
      </c>
      <c r="Z213" s="29">
        <f>IF(AQ213="5",BJ213,0)</f>
        <v>0</v>
      </c>
      <c r="AB213" s="29">
        <f>IF(AQ213="1",BH213,0)</f>
        <v>0</v>
      </c>
      <c r="AC213" s="29">
        <f>IF(AQ213="1",BI213,0)</f>
        <v>0</v>
      </c>
      <c r="AD213" s="29">
        <f>IF(AQ213="7",BH213,0)</f>
        <v>0</v>
      </c>
      <c r="AE213" s="29">
        <f>IF(AQ213="7",BI213,0)</f>
        <v>0</v>
      </c>
      <c r="AF213" s="29">
        <f>IF(AQ213="2",BH213,0)</f>
        <v>0</v>
      </c>
      <c r="AG213" s="29">
        <f>IF(AQ213="2",BI213,0)</f>
        <v>0</v>
      </c>
      <c r="AH213" s="29">
        <f>IF(AQ213="0",BJ213,0)</f>
        <v>0</v>
      </c>
      <c r="AI213" s="10" t="s">
        <v>394</v>
      </c>
      <c r="AJ213" s="29">
        <f>IF(AN213=0,L213,0)</f>
        <v>0</v>
      </c>
      <c r="AK213" s="29">
        <f>IF(AN213=15,L213,0)</f>
        <v>0</v>
      </c>
      <c r="AL213" s="29">
        <f>IF(AN213=21,L213,0)</f>
        <v>0</v>
      </c>
      <c r="AN213" s="29">
        <v>21</v>
      </c>
      <c r="AO213" s="29">
        <f>I213*0</f>
        <v>0</v>
      </c>
      <c r="AP213" s="29">
        <f>I213*(1-0)</f>
        <v>0</v>
      </c>
      <c r="AQ213" s="23" t="s">
        <v>576</v>
      </c>
      <c r="AV213" s="29">
        <f>AW213+AX213</f>
        <v>0</v>
      </c>
      <c r="AW213" s="29">
        <f>H213*AO213</f>
        <v>0</v>
      </c>
      <c r="AX213" s="29">
        <f>H213*AP213</f>
        <v>0</v>
      </c>
      <c r="AY213" s="23" t="s">
        <v>611</v>
      </c>
      <c r="AZ213" s="23" t="s">
        <v>205</v>
      </c>
      <c r="BA213" s="10" t="s">
        <v>439</v>
      </c>
      <c r="BC213" s="29">
        <f>AW213+AX213</f>
        <v>0</v>
      </c>
      <c r="BD213" s="29">
        <f>I213/(100-BE213)*100</f>
        <v>0</v>
      </c>
      <c r="BE213" s="29">
        <v>0</v>
      </c>
      <c r="BF213" s="29">
        <f>213</f>
        <v>213</v>
      </c>
      <c r="BH213" s="29">
        <f>H213*AO213</f>
        <v>0</v>
      </c>
      <c r="BI213" s="29">
        <f>H213*AP213</f>
        <v>0</v>
      </c>
      <c r="BJ213" s="29">
        <f>H213*I213</f>
        <v>0</v>
      </c>
      <c r="BK213" s="29"/>
      <c r="BL213" s="29"/>
    </row>
    <row r="214" spans="1:13" ht="13.5" customHeight="1">
      <c r="A214" s="40"/>
      <c r="B214" s="34" t="s">
        <v>279</v>
      </c>
      <c r="C214" s="88" t="s">
        <v>159</v>
      </c>
      <c r="D214" s="89"/>
      <c r="E214" s="89"/>
      <c r="F214" s="89"/>
      <c r="G214" s="89"/>
      <c r="H214" s="89"/>
      <c r="I214" s="90"/>
      <c r="J214" s="89"/>
      <c r="K214" s="89"/>
      <c r="L214" s="89"/>
      <c r="M214" s="91"/>
    </row>
    <row r="215" spans="1:47" ht="15" customHeight="1">
      <c r="A215" s="26" t="s">
        <v>394</v>
      </c>
      <c r="B215" s="8" t="s">
        <v>9</v>
      </c>
      <c r="C215" s="87" t="s">
        <v>115</v>
      </c>
      <c r="D215" s="87"/>
      <c r="E215" s="87"/>
      <c r="F215" s="87"/>
      <c r="G215" s="42" t="s">
        <v>537</v>
      </c>
      <c r="H215" s="42" t="s">
        <v>537</v>
      </c>
      <c r="I215" s="50" t="s">
        <v>537</v>
      </c>
      <c r="J215" s="24">
        <f>SUM(J216:J223)</f>
        <v>0</v>
      </c>
      <c r="K215" s="24">
        <f>SUM(K216:K223)</f>
        <v>0</v>
      </c>
      <c r="L215" s="24">
        <f>SUM(L216:L223)</f>
        <v>0</v>
      </c>
      <c r="M215" s="9" t="s">
        <v>394</v>
      </c>
      <c r="AI215" s="10" t="s">
        <v>394</v>
      </c>
      <c r="AS215" s="24">
        <f>SUM(AJ216:AJ223)</f>
        <v>0</v>
      </c>
      <c r="AT215" s="24">
        <f>SUM(AK216:AK223)</f>
        <v>0</v>
      </c>
      <c r="AU215" s="24">
        <f>SUM(AL216:AL223)</f>
        <v>0</v>
      </c>
    </row>
    <row r="216" spans="1:64" ht="15" customHeight="1">
      <c r="A216" s="4" t="s">
        <v>590</v>
      </c>
      <c r="B216" s="18" t="s">
        <v>217</v>
      </c>
      <c r="C216" s="67" t="s">
        <v>322</v>
      </c>
      <c r="D216" s="67"/>
      <c r="E216" s="67"/>
      <c r="F216" s="67"/>
      <c r="G216" s="18" t="s">
        <v>146</v>
      </c>
      <c r="H216" s="29">
        <v>1</v>
      </c>
      <c r="I216" s="46">
        <v>0</v>
      </c>
      <c r="J216" s="29">
        <f aca="true" t="shared" si="66" ref="J216:J223">H216*AO216</f>
        <v>0</v>
      </c>
      <c r="K216" s="29">
        <f aca="true" t="shared" si="67" ref="K216:K223">H216*AP216</f>
        <v>0</v>
      </c>
      <c r="L216" s="29">
        <f aca="true" t="shared" si="68" ref="L216:L223">H216*I216</f>
        <v>0</v>
      </c>
      <c r="M216" s="41" t="s">
        <v>484</v>
      </c>
      <c r="Z216" s="29">
        <f aca="true" t="shared" si="69" ref="Z216:Z223">IF(AQ216="5",BJ216,0)</f>
        <v>0</v>
      </c>
      <c r="AB216" s="29">
        <f aca="true" t="shared" si="70" ref="AB216:AB223">IF(AQ216="1",BH216,0)</f>
        <v>0</v>
      </c>
      <c r="AC216" s="29">
        <f aca="true" t="shared" si="71" ref="AC216:AC223">IF(AQ216="1",BI216,0)</f>
        <v>0</v>
      </c>
      <c r="AD216" s="29">
        <f aca="true" t="shared" si="72" ref="AD216:AD223">IF(AQ216="7",BH216,0)</f>
        <v>0</v>
      </c>
      <c r="AE216" s="29">
        <f aca="true" t="shared" si="73" ref="AE216:AE223">IF(AQ216="7",BI216,0)</f>
        <v>0</v>
      </c>
      <c r="AF216" s="29">
        <f aca="true" t="shared" si="74" ref="AF216:AF223">IF(AQ216="2",BH216,0)</f>
        <v>0</v>
      </c>
      <c r="AG216" s="29">
        <f aca="true" t="shared" si="75" ref="AG216:AG223">IF(AQ216="2",BI216,0)</f>
        <v>0</v>
      </c>
      <c r="AH216" s="29">
        <f aca="true" t="shared" si="76" ref="AH216:AH223">IF(AQ216="0",BJ216,0)</f>
        <v>0</v>
      </c>
      <c r="AI216" s="10" t="s">
        <v>394</v>
      </c>
      <c r="AJ216" s="29">
        <f aca="true" t="shared" si="77" ref="AJ216:AJ223">IF(AN216=0,L216,0)</f>
        <v>0</v>
      </c>
      <c r="AK216" s="29">
        <f aca="true" t="shared" si="78" ref="AK216:AK223">IF(AN216=15,L216,0)</f>
        <v>0</v>
      </c>
      <c r="AL216" s="29">
        <f aca="true" t="shared" si="79" ref="AL216:AL223">IF(AN216=21,L216,0)</f>
        <v>0</v>
      </c>
      <c r="AN216" s="29">
        <v>21</v>
      </c>
      <c r="AO216" s="29">
        <f>I216*0</f>
        <v>0</v>
      </c>
      <c r="AP216" s="29">
        <f>I216*(1-0)</f>
        <v>0</v>
      </c>
      <c r="AQ216" s="23" t="s">
        <v>389</v>
      </c>
      <c r="AV216" s="29">
        <f aca="true" t="shared" si="80" ref="AV216:AV223">AW216+AX216</f>
        <v>0</v>
      </c>
      <c r="AW216" s="29">
        <f aca="true" t="shared" si="81" ref="AW216:AW223">H216*AO216</f>
        <v>0</v>
      </c>
      <c r="AX216" s="29">
        <f aca="true" t="shared" si="82" ref="AX216:AX223">H216*AP216</f>
        <v>0</v>
      </c>
      <c r="AY216" s="23" t="s">
        <v>644</v>
      </c>
      <c r="AZ216" s="23" t="s">
        <v>205</v>
      </c>
      <c r="BA216" s="10" t="s">
        <v>439</v>
      </c>
      <c r="BC216" s="29">
        <f aca="true" t="shared" si="83" ref="BC216:BC223">AW216+AX216</f>
        <v>0</v>
      </c>
      <c r="BD216" s="29">
        <f aca="true" t="shared" si="84" ref="BD216:BD223">I216/(100-BE216)*100</f>
        <v>0</v>
      </c>
      <c r="BE216" s="29">
        <v>0</v>
      </c>
      <c r="BF216" s="29">
        <f>216</f>
        <v>216</v>
      </c>
      <c r="BH216" s="29">
        <f aca="true" t="shared" si="85" ref="BH216:BH223">H216*AO216</f>
        <v>0</v>
      </c>
      <c r="BI216" s="29">
        <f aca="true" t="shared" si="86" ref="BI216:BI223">H216*AP216</f>
        <v>0</v>
      </c>
      <c r="BJ216" s="29">
        <f aca="true" t="shared" si="87" ref="BJ216:BJ223">H216*I216</f>
        <v>0</v>
      </c>
      <c r="BK216" s="29"/>
      <c r="BL216" s="29"/>
    </row>
    <row r="217" spans="1:64" ht="15" customHeight="1">
      <c r="A217" s="4" t="s">
        <v>208</v>
      </c>
      <c r="B217" s="18" t="s">
        <v>489</v>
      </c>
      <c r="C217" s="67" t="s">
        <v>471</v>
      </c>
      <c r="D217" s="67"/>
      <c r="E217" s="67"/>
      <c r="F217" s="67"/>
      <c r="G217" s="18" t="s">
        <v>146</v>
      </c>
      <c r="H217" s="29">
        <v>15</v>
      </c>
      <c r="I217" s="46">
        <v>0</v>
      </c>
      <c r="J217" s="29">
        <f t="shared" si="66"/>
        <v>0</v>
      </c>
      <c r="K217" s="29">
        <f t="shared" si="67"/>
        <v>0</v>
      </c>
      <c r="L217" s="29">
        <f t="shared" si="68"/>
        <v>0</v>
      </c>
      <c r="M217" s="41" t="s">
        <v>484</v>
      </c>
      <c r="Z217" s="29">
        <f t="shared" si="69"/>
        <v>0</v>
      </c>
      <c r="AB217" s="29">
        <f t="shared" si="70"/>
        <v>0</v>
      </c>
      <c r="AC217" s="29">
        <f t="shared" si="71"/>
        <v>0</v>
      </c>
      <c r="AD217" s="29">
        <f t="shared" si="72"/>
        <v>0</v>
      </c>
      <c r="AE217" s="29">
        <f t="shared" si="73"/>
        <v>0</v>
      </c>
      <c r="AF217" s="29">
        <f t="shared" si="74"/>
        <v>0</v>
      </c>
      <c r="AG217" s="29">
        <f t="shared" si="75"/>
        <v>0</v>
      </c>
      <c r="AH217" s="29">
        <f t="shared" si="76"/>
        <v>0</v>
      </c>
      <c r="AI217" s="10" t="s">
        <v>394</v>
      </c>
      <c r="AJ217" s="29">
        <f t="shared" si="77"/>
        <v>0</v>
      </c>
      <c r="AK217" s="29">
        <f t="shared" si="78"/>
        <v>0</v>
      </c>
      <c r="AL217" s="29">
        <f t="shared" si="79"/>
        <v>0</v>
      </c>
      <c r="AN217" s="29">
        <v>21</v>
      </c>
      <c r="AO217" s="29">
        <f>I217*1</f>
        <v>0</v>
      </c>
      <c r="AP217" s="29">
        <f>I217*(1-1)</f>
        <v>0</v>
      </c>
      <c r="AQ217" s="23" t="s">
        <v>576</v>
      </c>
      <c r="AV217" s="29">
        <f t="shared" si="80"/>
        <v>0</v>
      </c>
      <c r="AW217" s="29">
        <f t="shared" si="81"/>
        <v>0</v>
      </c>
      <c r="AX217" s="29">
        <f t="shared" si="82"/>
        <v>0</v>
      </c>
      <c r="AY217" s="23" t="s">
        <v>644</v>
      </c>
      <c r="AZ217" s="23" t="s">
        <v>205</v>
      </c>
      <c r="BA217" s="10" t="s">
        <v>439</v>
      </c>
      <c r="BC217" s="29">
        <f t="shared" si="83"/>
        <v>0</v>
      </c>
      <c r="BD217" s="29">
        <f t="shared" si="84"/>
        <v>0</v>
      </c>
      <c r="BE217" s="29">
        <v>0</v>
      </c>
      <c r="BF217" s="29">
        <f>217</f>
        <v>217</v>
      </c>
      <c r="BH217" s="29">
        <f t="shared" si="85"/>
        <v>0</v>
      </c>
      <c r="BI217" s="29">
        <f t="shared" si="86"/>
        <v>0</v>
      </c>
      <c r="BJ217" s="29">
        <f t="shared" si="87"/>
        <v>0</v>
      </c>
      <c r="BK217" s="29"/>
      <c r="BL217" s="29"/>
    </row>
    <row r="218" spans="1:64" ht="15" customHeight="1">
      <c r="A218" s="4" t="s">
        <v>158</v>
      </c>
      <c r="B218" s="18" t="s">
        <v>65</v>
      </c>
      <c r="C218" s="67" t="s">
        <v>609</v>
      </c>
      <c r="D218" s="67"/>
      <c r="E218" s="67"/>
      <c r="F218" s="67"/>
      <c r="G218" s="18" t="s">
        <v>146</v>
      </c>
      <c r="H218" s="29">
        <v>7</v>
      </c>
      <c r="I218" s="46">
        <v>0</v>
      </c>
      <c r="J218" s="29">
        <f t="shared" si="66"/>
        <v>0</v>
      </c>
      <c r="K218" s="29">
        <f t="shared" si="67"/>
        <v>0</v>
      </c>
      <c r="L218" s="29">
        <f t="shared" si="68"/>
        <v>0</v>
      </c>
      <c r="M218" s="41" t="s">
        <v>484</v>
      </c>
      <c r="Z218" s="29">
        <f t="shared" si="69"/>
        <v>0</v>
      </c>
      <c r="AB218" s="29">
        <f t="shared" si="70"/>
        <v>0</v>
      </c>
      <c r="AC218" s="29">
        <f t="shared" si="71"/>
        <v>0</v>
      </c>
      <c r="AD218" s="29">
        <f t="shared" si="72"/>
        <v>0</v>
      </c>
      <c r="AE218" s="29">
        <f t="shared" si="73"/>
        <v>0</v>
      </c>
      <c r="AF218" s="29">
        <f t="shared" si="74"/>
        <v>0</v>
      </c>
      <c r="AG218" s="29">
        <f t="shared" si="75"/>
        <v>0</v>
      </c>
      <c r="AH218" s="29">
        <f t="shared" si="76"/>
        <v>0</v>
      </c>
      <c r="AI218" s="10" t="s">
        <v>394</v>
      </c>
      <c r="AJ218" s="29">
        <f t="shared" si="77"/>
        <v>0</v>
      </c>
      <c r="AK218" s="29">
        <f t="shared" si="78"/>
        <v>0</v>
      </c>
      <c r="AL218" s="29">
        <f t="shared" si="79"/>
        <v>0</v>
      </c>
      <c r="AN218" s="29">
        <v>21</v>
      </c>
      <c r="AO218" s="29">
        <f>I218*0</f>
        <v>0</v>
      </c>
      <c r="AP218" s="29">
        <f>I218*(1-0)</f>
        <v>0</v>
      </c>
      <c r="AQ218" s="23" t="s">
        <v>389</v>
      </c>
      <c r="AV218" s="29">
        <f t="shared" si="80"/>
        <v>0</v>
      </c>
      <c r="AW218" s="29">
        <f t="shared" si="81"/>
        <v>0</v>
      </c>
      <c r="AX218" s="29">
        <f t="shared" si="82"/>
        <v>0</v>
      </c>
      <c r="AY218" s="23" t="s">
        <v>644</v>
      </c>
      <c r="AZ218" s="23" t="s">
        <v>205</v>
      </c>
      <c r="BA218" s="10" t="s">
        <v>439</v>
      </c>
      <c r="BC218" s="29">
        <f t="shared" si="83"/>
        <v>0</v>
      </c>
      <c r="BD218" s="29">
        <f t="shared" si="84"/>
        <v>0</v>
      </c>
      <c r="BE218" s="29">
        <v>0</v>
      </c>
      <c r="BF218" s="29">
        <f>218</f>
        <v>218</v>
      </c>
      <c r="BH218" s="29">
        <f t="shared" si="85"/>
        <v>0</v>
      </c>
      <c r="BI218" s="29">
        <f t="shared" si="86"/>
        <v>0</v>
      </c>
      <c r="BJ218" s="29">
        <f t="shared" si="87"/>
        <v>0</v>
      </c>
      <c r="BK218" s="29"/>
      <c r="BL218" s="29"/>
    </row>
    <row r="219" spans="1:64" ht="15" customHeight="1">
      <c r="A219" s="4" t="s">
        <v>432</v>
      </c>
      <c r="B219" s="18" t="s">
        <v>118</v>
      </c>
      <c r="C219" s="67" t="s">
        <v>22</v>
      </c>
      <c r="D219" s="67"/>
      <c r="E219" s="67"/>
      <c r="F219" s="67"/>
      <c r="G219" s="18" t="s">
        <v>146</v>
      </c>
      <c r="H219" s="29">
        <v>1</v>
      </c>
      <c r="I219" s="46">
        <v>0</v>
      </c>
      <c r="J219" s="29">
        <f t="shared" si="66"/>
        <v>0</v>
      </c>
      <c r="K219" s="29">
        <f t="shared" si="67"/>
        <v>0</v>
      </c>
      <c r="L219" s="29">
        <f t="shared" si="68"/>
        <v>0</v>
      </c>
      <c r="M219" s="41" t="s">
        <v>484</v>
      </c>
      <c r="Z219" s="29">
        <f t="shared" si="69"/>
        <v>0</v>
      </c>
      <c r="AB219" s="29">
        <f t="shared" si="70"/>
        <v>0</v>
      </c>
      <c r="AC219" s="29">
        <f t="shared" si="71"/>
        <v>0</v>
      </c>
      <c r="AD219" s="29">
        <f t="shared" si="72"/>
        <v>0</v>
      </c>
      <c r="AE219" s="29">
        <f t="shared" si="73"/>
        <v>0</v>
      </c>
      <c r="AF219" s="29">
        <f t="shared" si="74"/>
        <v>0</v>
      </c>
      <c r="AG219" s="29">
        <f t="shared" si="75"/>
        <v>0</v>
      </c>
      <c r="AH219" s="29">
        <f t="shared" si="76"/>
        <v>0</v>
      </c>
      <c r="AI219" s="10" t="s">
        <v>394</v>
      </c>
      <c r="AJ219" s="29">
        <f t="shared" si="77"/>
        <v>0</v>
      </c>
      <c r="AK219" s="29">
        <f t="shared" si="78"/>
        <v>0</v>
      </c>
      <c r="AL219" s="29">
        <f t="shared" si="79"/>
        <v>0</v>
      </c>
      <c r="AN219" s="29">
        <v>21</v>
      </c>
      <c r="AO219" s="29">
        <f>I219*1</f>
        <v>0</v>
      </c>
      <c r="AP219" s="29">
        <f>I219*(1-1)</f>
        <v>0</v>
      </c>
      <c r="AQ219" s="23" t="s">
        <v>576</v>
      </c>
      <c r="AV219" s="29">
        <f t="shared" si="80"/>
        <v>0</v>
      </c>
      <c r="AW219" s="29">
        <f t="shared" si="81"/>
        <v>0</v>
      </c>
      <c r="AX219" s="29">
        <f t="shared" si="82"/>
        <v>0</v>
      </c>
      <c r="AY219" s="23" t="s">
        <v>644</v>
      </c>
      <c r="AZ219" s="23" t="s">
        <v>205</v>
      </c>
      <c r="BA219" s="10" t="s">
        <v>439</v>
      </c>
      <c r="BC219" s="29">
        <f t="shared" si="83"/>
        <v>0</v>
      </c>
      <c r="BD219" s="29">
        <f t="shared" si="84"/>
        <v>0</v>
      </c>
      <c r="BE219" s="29">
        <v>0</v>
      </c>
      <c r="BF219" s="29">
        <f>219</f>
        <v>219</v>
      </c>
      <c r="BH219" s="29">
        <f t="shared" si="85"/>
        <v>0</v>
      </c>
      <c r="BI219" s="29">
        <f t="shared" si="86"/>
        <v>0</v>
      </c>
      <c r="BJ219" s="29">
        <f t="shared" si="87"/>
        <v>0</v>
      </c>
      <c r="BK219" s="29"/>
      <c r="BL219" s="29"/>
    </row>
    <row r="220" spans="1:64" ht="15" customHeight="1">
      <c r="A220" s="4" t="s">
        <v>76</v>
      </c>
      <c r="B220" s="18" t="s">
        <v>561</v>
      </c>
      <c r="C220" s="67" t="s">
        <v>575</v>
      </c>
      <c r="D220" s="67"/>
      <c r="E220" s="67"/>
      <c r="F220" s="67"/>
      <c r="G220" s="18" t="s">
        <v>146</v>
      </c>
      <c r="H220" s="29">
        <v>6</v>
      </c>
      <c r="I220" s="46">
        <v>0</v>
      </c>
      <c r="J220" s="29">
        <f t="shared" si="66"/>
        <v>0</v>
      </c>
      <c r="K220" s="29">
        <f t="shared" si="67"/>
        <v>0</v>
      </c>
      <c r="L220" s="29">
        <f t="shared" si="68"/>
        <v>0</v>
      </c>
      <c r="M220" s="41" t="s">
        <v>484</v>
      </c>
      <c r="Z220" s="29">
        <f t="shared" si="69"/>
        <v>0</v>
      </c>
      <c r="AB220" s="29">
        <f t="shared" si="70"/>
        <v>0</v>
      </c>
      <c r="AC220" s="29">
        <f t="shared" si="71"/>
        <v>0</v>
      </c>
      <c r="AD220" s="29">
        <f t="shared" si="72"/>
        <v>0</v>
      </c>
      <c r="AE220" s="29">
        <f t="shared" si="73"/>
        <v>0</v>
      </c>
      <c r="AF220" s="29">
        <f t="shared" si="74"/>
        <v>0</v>
      </c>
      <c r="AG220" s="29">
        <f t="shared" si="75"/>
        <v>0</v>
      </c>
      <c r="AH220" s="29">
        <f t="shared" si="76"/>
        <v>0</v>
      </c>
      <c r="AI220" s="10" t="s">
        <v>394</v>
      </c>
      <c r="AJ220" s="29">
        <f t="shared" si="77"/>
        <v>0</v>
      </c>
      <c r="AK220" s="29">
        <f t="shared" si="78"/>
        <v>0</v>
      </c>
      <c r="AL220" s="29">
        <f t="shared" si="79"/>
        <v>0</v>
      </c>
      <c r="AN220" s="29">
        <v>21</v>
      </c>
      <c r="AO220" s="29">
        <f>I220*1</f>
        <v>0</v>
      </c>
      <c r="AP220" s="29">
        <f>I220*(1-1)</f>
        <v>0</v>
      </c>
      <c r="AQ220" s="23" t="s">
        <v>576</v>
      </c>
      <c r="AV220" s="29">
        <f t="shared" si="80"/>
        <v>0</v>
      </c>
      <c r="AW220" s="29">
        <f t="shared" si="81"/>
        <v>0</v>
      </c>
      <c r="AX220" s="29">
        <f t="shared" si="82"/>
        <v>0</v>
      </c>
      <c r="AY220" s="23" t="s">
        <v>644</v>
      </c>
      <c r="AZ220" s="23" t="s">
        <v>205</v>
      </c>
      <c r="BA220" s="10" t="s">
        <v>439</v>
      </c>
      <c r="BC220" s="29">
        <f t="shared" si="83"/>
        <v>0</v>
      </c>
      <c r="BD220" s="29">
        <f t="shared" si="84"/>
        <v>0</v>
      </c>
      <c r="BE220" s="29">
        <v>0</v>
      </c>
      <c r="BF220" s="29">
        <f>220</f>
        <v>220</v>
      </c>
      <c r="BH220" s="29">
        <f t="shared" si="85"/>
        <v>0</v>
      </c>
      <c r="BI220" s="29">
        <f t="shared" si="86"/>
        <v>0</v>
      </c>
      <c r="BJ220" s="29">
        <f t="shared" si="87"/>
        <v>0</v>
      </c>
      <c r="BK220" s="29"/>
      <c r="BL220" s="29"/>
    </row>
    <row r="221" spans="1:64" ht="15" customHeight="1">
      <c r="A221" s="4" t="s">
        <v>539</v>
      </c>
      <c r="B221" s="18" t="s">
        <v>149</v>
      </c>
      <c r="C221" s="67" t="s">
        <v>201</v>
      </c>
      <c r="D221" s="67"/>
      <c r="E221" s="67"/>
      <c r="F221" s="67"/>
      <c r="G221" s="18" t="s">
        <v>146</v>
      </c>
      <c r="H221" s="29">
        <v>1</v>
      </c>
      <c r="I221" s="46">
        <v>0</v>
      </c>
      <c r="J221" s="29">
        <f t="shared" si="66"/>
        <v>0</v>
      </c>
      <c r="K221" s="29">
        <f t="shared" si="67"/>
        <v>0</v>
      </c>
      <c r="L221" s="29">
        <f t="shared" si="68"/>
        <v>0</v>
      </c>
      <c r="M221" s="41" t="s">
        <v>484</v>
      </c>
      <c r="Z221" s="29">
        <f t="shared" si="69"/>
        <v>0</v>
      </c>
      <c r="AB221" s="29">
        <f t="shared" si="70"/>
        <v>0</v>
      </c>
      <c r="AC221" s="29">
        <f t="shared" si="71"/>
        <v>0</v>
      </c>
      <c r="AD221" s="29">
        <f t="shared" si="72"/>
        <v>0</v>
      </c>
      <c r="AE221" s="29">
        <f t="shared" si="73"/>
        <v>0</v>
      </c>
      <c r="AF221" s="29">
        <f t="shared" si="74"/>
        <v>0</v>
      </c>
      <c r="AG221" s="29">
        <f t="shared" si="75"/>
        <v>0</v>
      </c>
      <c r="AH221" s="29">
        <f t="shared" si="76"/>
        <v>0</v>
      </c>
      <c r="AI221" s="10" t="s">
        <v>394</v>
      </c>
      <c r="AJ221" s="29">
        <f t="shared" si="77"/>
        <v>0</v>
      </c>
      <c r="AK221" s="29">
        <f t="shared" si="78"/>
        <v>0</v>
      </c>
      <c r="AL221" s="29">
        <f t="shared" si="79"/>
        <v>0</v>
      </c>
      <c r="AN221" s="29">
        <v>21</v>
      </c>
      <c r="AO221" s="29">
        <f>I221*0</f>
        <v>0</v>
      </c>
      <c r="AP221" s="29">
        <f>I221*(1-0)</f>
        <v>0</v>
      </c>
      <c r="AQ221" s="23" t="s">
        <v>389</v>
      </c>
      <c r="AV221" s="29">
        <f t="shared" si="80"/>
        <v>0</v>
      </c>
      <c r="AW221" s="29">
        <f t="shared" si="81"/>
        <v>0</v>
      </c>
      <c r="AX221" s="29">
        <f t="shared" si="82"/>
        <v>0</v>
      </c>
      <c r="AY221" s="23" t="s">
        <v>644</v>
      </c>
      <c r="AZ221" s="23" t="s">
        <v>205</v>
      </c>
      <c r="BA221" s="10" t="s">
        <v>439</v>
      </c>
      <c r="BC221" s="29">
        <f t="shared" si="83"/>
        <v>0</v>
      </c>
      <c r="BD221" s="29">
        <f t="shared" si="84"/>
        <v>0</v>
      </c>
      <c r="BE221" s="29">
        <v>0</v>
      </c>
      <c r="BF221" s="29">
        <f>221</f>
        <v>221</v>
      </c>
      <c r="BH221" s="29">
        <f t="shared" si="85"/>
        <v>0</v>
      </c>
      <c r="BI221" s="29">
        <f t="shared" si="86"/>
        <v>0</v>
      </c>
      <c r="BJ221" s="29">
        <f t="shared" si="87"/>
        <v>0</v>
      </c>
      <c r="BK221" s="29"/>
      <c r="BL221" s="29"/>
    </row>
    <row r="222" spans="1:64" ht="15" customHeight="1">
      <c r="A222" s="4" t="s">
        <v>144</v>
      </c>
      <c r="B222" s="18" t="s">
        <v>291</v>
      </c>
      <c r="C222" s="67" t="s">
        <v>382</v>
      </c>
      <c r="D222" s="67"/>
      <c r="E222" s="67"/>
      <c r="F222" s="67"/>
      <c r="G222" s="18" t="s">
        <v>146</v>
      </c>
      <c r="H222" s="29">
        <v>1</v>
      </c>
      <c r="I222" s="46">
        <v>0</v>
      </c>
      <c r="J222" s="29">
        <f t="shared" si="66"/>
        <v>0</v>
      </c>
      <c r="K222" s="29">
        <f t="shared" si="67"/>
        <v>0</v>
      </c>
      <c r="L222" s="29">
        <f t="shared" si="68"/>
        <v>0</v>
      </c>
      <c r="M222" s="41" t="s">
        <v>484</v>
      </c>
      <c r="Z222" s="29">
        <f t="shared" si="69"/>
        <v>0</v>
      </c>
      <c r="AB222" s="29">
        <f t="shared" si="70"/>
        <v>0</v>
      </c>
      <c r="AC222" s="29">
        <f t="shared" si="71"/>
        <v>0</v>
      </c>
      <c r="AD222" s="29">
        <f t="shared" si="72"/>
        <v>0</v>
      </c>
      <c r="AE222" s="29">
        <f t="shared" si="73"/>
        <v>0</v>
      </c>
      <c r="AF222" s="29">
        <f t="shared" si="74"/>
        <v>0</v>
      </c>
      <c r="AG222" s="29">
        <f t="shared" si="75"/>
        <v>0</v>
      </c>
      <c r="AH222" s="29">
        <f t="shared" si="76"/>
        <v>0</v>
      </c>
      <c r="AI222" s="10" t="s">
        <v>394</v>
      </c>
      <c r="AJ222" s="29">
        <f t="shared" si="77"/>
        <v>0</v>
      </c>
      <c r="AK222" s="29">
        <f t="shared" si="78"/>
        <v>0</v>
      </c>
      <c r="AL222" s="29">
        <f t="shared" si="79"/>
        <v>0</v>
      </c>
      <c r="AN222" s="29">
        <v>21</v>
      </c>
      <c r="AO222" s="29">
        <f>I222*1</f>
        <v>0</v>
      </c>
      <c r="AP222" s="29">
        <f>I222*(1-1)</f>
        <v>0</v>
      </c>
      <c r="AQ222" s="23" t="s">
        <v>576</v>
      </c>
      <c r="AV222" s="29">
        <f t="shared" si="80"/>
        <v>0</v>
      </c>
      <c r="AW222" s="29">
        <f t="shared" si="81"/>
        <v>0</v>
      </c>
      <c r="AX222" s="29">
        <f t="shared" si="82"/>
        <v>0</v>
      </c>
      <c r="AY222" s="23" t="s">
        <v>644</v>
      </c>
      <c r="AZ222" s="23" t="s">
        <v>205</v>
      </c>
      <c r="BA222" s="10" t="s">
        <v>439</v>
      </c>
      <c r="BC222" s="29">
        <f t="shared" si="83"/>
        <v>0</v>
      </c>
      <c r="BD222" s="29">
        <f t="shared" si="84"/>
        <v>0</v>
      </c>
      <c r="BE222" s="29">
        <v>0</v>
      </c>
      <c r="BF222" s="29">
        <f>222</f>
        <v>222</v>
      </c>
      <c r="BH222" s="29">
        <f t="shared" si="85"/>
        <v>0</v>
      </c>
      <c r="BI222" s="29">
        <f t="shared" si="86"/>
        <v>0</v>
      </c>
      <c r="BJ222" s="29">
        <f t="shared" si="87"/>
        <v>0</v>
      </c>
      <c r="BK222" s="29"/>
      <c r="BL222" s="29"/>
    </row>
    <row r="223" spans="1:64" ht="15" customHeight="1">
      <c r="A223" s="4" t="s">
        <v>86</v>
      </c>
      <c r="B223" s="18" t="s">
        <v>240</v>
      </c>
      <c r="C223" s="67" t="s">
        <v>582</v>
      </c>
      <c r="D223" s="67"/>
      <c r="E223" s="67"/>
      <c r="F223" s="67"/>
      <c r="G223" s="18" t="s">
        <v>441</v>
      </c>
      <c r="H223" s="29">
        <v>1</v>
      </c>
      <c r="I223" s="46">
        <v>0</v>
      </c>
      <c r="J223" s="29">
        <f t="shared" si="66"/>
        <v>0</v>
      </c>
      <c r="K223" s="29">
        <f t="shared" si="67"/>
        <v>0</v>
      </c>
      <c r="L223" s="29">
        <f t="shared" si="68"/>
        <v>0</v>
      </c>
      <c r="M223" s="41" t="s">
        <v>394</v>
      </c>
      <c r="Z223" s="29">
        <f t="shared" si="69"/>
        <v>0</v>
      </c>
      <c r="AB223" s="29">
        <f t="shared" si="70"/>
        <v>0</v>
      </c>
      <c r="AC223" s="29">
        <f t="shared" si="71"/>
        <v>0</v>
      </c>
      <c r="AD223" s="29">
        <f t="shared" si="72"/>
        <v>0</v>
      </c>
      <c r="AE223" s="29">
        <f t="shared" si="73"/>
        <v>0</v>
      </c>
      <c r="AF223" s="29">
        <f t="shared" si="74"/>
        <v>0</v>
      </c>
      <c r="AG223" s="29">
        <f t="shared" si="75"/>
        <v>0</v>
      </c>
      <c r="AH223" s="29">
        <f t="shared" si="76"/>
        <v>0</v>
      </c>
      <c r="AI223" s="10" t="s">
        <v>394</v>
      </c>
      <c r="AJ223" s="29">
        <f t="shared" si="77"/>
        <v>0</v>
      </c>
      <c r="AK223" s="29">
        <f t="shared" si="78"/>
        <v>0</v>
      </c>
      <c r="AL223" s="29">
        <f t="shared" si="79"/>
        <v>0</v>
      </c>
      <c r="AN223" s="29">
        <v>21</v>
      </c>
      <c r="AO223" s="29">
        <f>I223*0</f>
        <v>0</v>
      </c>
      <c r="AP223" s="29">
        <f>I223*(1-0)</f>
        <v>0</v>
      </c>
      <c r="AQ223" s="23" t="s">
        <v>389</v>
      </c>
      <c r="AV223" s="29">
        <f t="shared" si="80"/>
        <v>0</v>
      </c>
      <c r="AW223" s="29">
        <f t="shared" si="81"/>
        <v>0</v>
      </c>
      <c r="AX223" s="29">
        <f t="shared" si="82"/>
        <v>0</v>
      </c>
      <c r="AY223" s="23" t="s">
        <v>644</v>
      </c>
      <c r="AZ223" s="23" t="s">
        <v>205</v>
      </c>
      <c r="BA223" s="10" t="s">
        <v>439</v>
      </c>
      <c r="BC223" s="29">
        <f t="shared" si="83"/>
        <v>0</v>
      </c>
      <c r="BD223" s="29">
        <f t="shared" si="84"/>
        <v>0</v>
      </c>
      <c r="BE223" s="29">
        <v>0</v>
      </c>
      <c r="BF223" s="29">
        <f>223</f>
        <v>223</v>
      </c>
      <c r="BH223" s="29">
        <f t="shared" si="85"/>
        <v>0</v>
      </c>
      <c r="BI223" s="29">
        <f t="shared" si="86"/>
        <v>0</v>
      </c>
      <c r="BJ223" s="29">
        <f t="shared" si="87"/>
        <v>0</v>
      </c>
      <c r="BK223" s="29"/>
      <c r="BL223" s="29"/>
    </row>
    <row r="224" spans="1:47" ht="15" customHeight="1">
      <c r="A224" s="26" t="s">
        <v>394</v>
      </c>
      <c r="B224" s="8" t="s">
        <v>513</v>
      </c>
      <c r="C224" s="87" t="s">
        <v>166</v>
      </c>
      <c r="D224" s="87"/>
      <c r="E224" s="87"/>
      <c r="F224" s="87"/>
      <c r="G224" s="42" t="s">
        <v>537</v>
      </c>
      <c r="H224" s="42" t="s">
        <v>537</v>
      </c>
      <c r="I224" s="50" t="s">
        <v>537</v>
      </c>
      <c r="J224" s="24">
        <f>SUM(J225:J233)</f>
        <v>0</v>
      </c>
      <c r="K224" s="24">
        <f>SUM(K225:K233)</f>
        <v>0</v>
      </c>
      <c r="L224" s="24">
        <f>SUM(L225:L233)</f>
        <v>0</v>
      </c>
      <c r="M224" s="9" t="s">
        <v>394</v>
      </c>
      <c r="AI224" s="10" t="s">
        <v>394</v>
      </c>
      <c r="AS224" s="24">
        <f>SUM(AJ225:AJ233)</f>
        <v>0</v>
      </c>
      <c r="AT224" s="24">
        <f>SUM(AK225:AK233)</f>
        <v>0</v>
      </c>
      <c r="AU224" s="24">
        <f>SUM(AL225:AL233)</f>
        <v>0</v>
      </c>
    </row>
    <row r="225" spans="1:64" ht="15" customHeight="1">
      <c r="A225" s="4" t="s">
        <v>162</v>
      </c>
      <c r="B225" s="18" t="s">
        <v>177</v>
      </c>
      <c r="C225" s="67" t="s">
        <v>551</v>
      </c>
      <c r="D225" s="67"/>
      <c r="E225" s="67"/>
      <c r="F225" s="67"/>
      <c r="G225" s="18" t="s">
        <v>146</v>
      </c>
      <c r="H225" s="29">
        <v>15</v>
      </c>
      <c r="I225" s="46">
        <v>0</v>
      </c>
      <c r="J225" s="29">
        <f aca="true" t="shared" si="88" ref="J225:J233">H225*AO225</f>
        <v>0</v>
      </c>
      <c r="K225" s="29">
        <f aca="true" t="shared" si="89" ref="K225:K233">H225*AP225</f>
        <v>0</v>
      </c>
      <c r="L225" s="29">
        <f aca="true" t="shared" si="90" ref="L225:L233">H225*I225</f>
        <v>0</v>
      </c>
      <c r="M225" s="41" t="s">
        <v>484</v>
      </c>
      <c r="Z225" s="29">
        <f aca="true" t="shared" si="91" ref="Z225:Z233">IF(AQ225="5",BJ225,0)</f>
        <v>0</v>
      </c>
      <c r="AB225" s="29">
        <f aca="true" t="shared" si="92" ref="AB225:AB233">IF(AQ225="1",BH225,0)</f>
        <v>0</v>
      </c>
      <c r="AC225" s="29">
        <f aca="true" t="shared" si="93" ref="AC225:AC233">IF(AQ225="1",BI225,0)</f>
        <v>0</v>
      </c>
      <c r="AD225" s="29">
        <f aca="true" t="shared" si="94" ref="AD225:AD233">IF(AQ225="7",BH225,0)</f>
        <v>0</v>
      </c>
      <c r="AE225" s="29">
        <f aca="true" t="shared" si="95" ref="AE225:AE233">IF(AQ225="7",BI225,0)</f>
        <v>0</v>
      </c>
      <c r="AF225" s="29">
        <f aca="true" t="shared" si="96" ref="AF225:AF233">IF(AQ225="2",BH225,0)</f>
        <v>0</v>
      </c>
      <c r="AG225" s="29">
        <f aca="true" t="shared" si="97" ref="AG225:AG233">IF(AQ225="2",BI225,0)</f>
        <v>0</v>
      </c>
      <c r="AH225" s="29">
        <f aca="true" t="shared" si="98" ref="AH225:AH233">IF(AQ225="0",BJ225,0)</f>
        <v>0</v>
      </c>
      <c r="AI225" s="10" t="s">
        <v>394</v>
      </c>
      <c r="AJ225" s="29">
        <f aca="true" t="shared" si="99" ref="AJ225:AJ233">IF(AN225=0,L225,0)</f>
        <v>0</v>
      </c>
      <c r="AK225" s="29">
        <f aca="true" t="shared" si="100" ref="AK225:AK233">IF(AN225=15,L225,0)</f>
        <v>0</v>
      </c>
      <c r="AL225" s="29">
        <f aca="true" t="shared" si="101" ref="AL225:AL233">IF(AN225=21,L225,0)</f>
        <v>0</v>
      </c>
      <c r="AN225" s="29">
        <v>21</v>
      </c>
      <c r="AO225" s="29">
        <f>I225*0</f>
        <v>0</v>
      </c>
      <c r="AP225" s="29">
        <f>I225*(1-0)</f>
        <v>0</v>
      </c>
      <c r="AQ225" s="23" t="s">
        <v>389</v>
      </c>
      <c r="AV225" s="29">
        <f aca="true" t="shared" si="102" ref="AV225:AV233">AW225+AX225</f>
        <v>0</v>
      </c>
      <c r="AW225" s="29">
        <f aca="true" t="shared" si="103" ref="AW225:AW233">H225*AO225</f>
        <v>0</v>
      </c>
      <c r="AX225" s="29">
        <f aca="true" t="shared" si="104" ref="AX225:AX233">H225*AP225</f>
        <v>0</v>
      </c>
      <c r="AY225" s="23" t="s">
        <v>628</v>
      </c>
      <c r="AZ225" s="23" t="s">
        <v>205</v>
      </c>
      <c r="BA225" s="10" t="s">
        <v>439</v>
      </c>
      <c r="BC225" s="29">
        <f aca="true" t="shared" si="105" ref="BC225:BC233">AW225+AX225</f>
        <v>0</v>
      </c>
      <c r="BD225" s="29">
        <f aca="true" t="shared" si="106" ref="BD225:BD233">I225/(100-BE225)*100</f>
        <v>0</v>
      </c>
      <c r="BE225" s="29">
        <v>0</v>
      </c>
      <c r="BF225" s="29">
        <f>225</f>
        <v>225</v>
      </c>
      <c r="BH225" s="29">
        <f aca="true" t="shared" si="107" ref="BH225:BH233">H225*AO225</f>
        <v>0</v>
      </c>
      <c r="BI225" s="29">
        <f aca="true" t="shared" si="108" ref="BI225:BI233">H225*AP225</f>
        <v>0</v>
      </c>
      <c r="BJ225" s="29">
        <f aca="true" t="shared" si="109" ref="BJ225:BJ233">H225*I225</f>
        <v>0</v>
      </c>
      <c r="BK225" s="29"/>
      <c r="BL225" s="29"/>
    </row>
    <row r="226" spans="1:64" ht="15" customHeight="1">
      <c r="A226" s="4" t="s">
        <v>175</v>
      </c>
      <c r="B226" s="18" t="s">
        <v>252</v>
      </c>
      <c r="C226" s="67" t="s">
        <v>189</v>
      </c>
      <c r="D226" s="67"/>
      <c r="E226" s="67"/>
      <c r="F226" s="67"/>
      <c r="G226" s="18" t="s">
        <v>146</v>
      </c>
      <c r="H226" s="29">
        <v>3</v>
      </c>
      <c r="I226" s="46">
        <v>0</v>
      </c>
      <c r="J226" s="29">
        <f t="shared" si="88"/>
        <v>0</v>
      </c>
      <c r="K226" s="29">
        <f t="shared" si="89"/>
        <v>0</v>
      </c>
      <c r="L226" s="29">
        <f t="shared" si="90"/>
        <v>0</v>
      </c>
      <c r="M226" s="41" t="s">
        <v>484</v>
      </c>
      <c r="Z226" s="29">
        <f t="shared" si="91"/>
        <v>0</v>
      </c>
      <c r="AB226" s="29">
        <f t="shared" si="92"/>
        <v>0</v>
      </c>
      <c r="AC226" s="29">
        <f t="shared" si="93"/>
        <v>0</v>
      </c>
      <c r="AD226" s="29">
        <f t="shared" si="94"/>
        <v>0</v>
      </c>
      <c r="AE226" s="29">
        <f t="shared" si="95"/>
        <v>0</v>
      </c>
      <c r="AF226" s="29">
        <f t="shared" si="96"/>
        <v>0</v>
      </c>
      <c r="AG226" s="29">
        <f t="shared" si="97"/>
        <v>0</v>
      </c>
      <c r="AH226" s="29">
        <f t="shared" si="98"/>
        <v>0</v>
      </c>
      <c r="AI226" s="10" t="s">
        <v>394</v>
      </c>
      <c r="AJ226" s="29">
        <f t="shared" si="99"/>
        <v>0</v>
      </c>
      <c r="AK226" s="29">
        <f t="shared" si="100"/>
        <v>0</v>
      </c>
      <c r="AL226" s="29">
        <f t="shared" si="101"/>
        <v>0</v>
      </c>
      <c r="AN226" s="29">
        <v>21</v>
      </c>
      <c r="AO226" s="29">
        <f>I226*1</f>
        <v>0</v>
      </c>
      <c r="AP226" s="29">
        <f>I226*(1-1)</f>
        <v>0</v>
      </c>
      <c r="AQ226" s="23" t="s">
        <v>576</v>
      </c>
      <c r="AV226" s="29">
        <f t="shared" si="102"/>
        <v>0</v>
      </c>
      <c r="AW226" s="29">
        <f t="shared" si="103"/>
        <v>0</v>
      </c>
      <c r="AX226" s="29">
        <f t="shared" si="104"/>
        <v>0</v>
      </c>
      <c r="AY226" s="23" t="s">
        <v>628</v>
      </c>
      <c r="AZ226" s="23" t="s">
        <v>205</v>
      </c>
      <c r="BA226" s="10" t="s">
        <v>439</v>
      </c>
      <c r="BC226" s="29">
        <f t="shared" si="105"/>
        <v>0</v>
      </c>
      <c r="BD226" s="29">
        <f t="shared" si="106"/>
        <v>0</v>
      </c>
      <c r="BE226" s="29">
        <v>0</v>
      </c>
      <c r="BF226" s="29">
        <f>226</f>
        <v>226</v>
      </c>
      <c r="BH226" s="29">
        <f t="shared" si="107"/>
        <v>0</v>
      </c>
      <c r="BI226" s="29">
        <f t="shared" si="108"/>
        <v>0</v>
      </c>
      <c r="BJ226" s="29">
        <f t="shared" si="109"/>
        <v>0</v>
      </c>
      <c r="BK226" s="29"/>
      <c r="BL226" s="29"/>
    </row>
    <row r="227" spans="1:64" ht="15" customHeight="1">
      <c r="A227" s="4" t="s">
        <v>127</v>
      </c>
      <c r="B227" s="18" t="s">
        <v>352</v>
      </c>
      <c r="C227" s="67" t="s">
        <v>427</v>
      </c>
      <c r="D227" s="67"/>
      <c r="E227" s="67"/>
      <c r="F227" s="67"/>
      <c r="G227" s="18" t="s">
        <v>146</v>
      </c>
      <c r="H227" s="29">
        <v>12</v>
      </c>
      <c r="I227" s="46">
        <v>0</v>
      </c>
      <c r="J227" s="29">
        <f t="shared" si="88"/>
        <v>0</v>
      </c>
      <c r="K227" s="29">
        <f t="shared" si="89"/>
        <v>0</v>
      </c>
      <c r="L227" s="29">
        <f t="shared" si="90"/>
        <v>0</v>
      </c>
      <c r="M227" s="41" t="s">
        <v>484</v>
      </c>
      <c r="Z227" s="29">
        <f t="shared" si="91"/>
        <v>0</v>
      </c>
      <c r="AB227" s="29">
        <f t="shared" si="92"/>
        <v>0</v>
      </c>
      <c r="AC227" s="29">
        <f t="shared" si="93"/>
        <v>0</v>
      </c>
      <c r="AD227" s="29">
        <f t="shared" si="94"/>
        <v>0</v>
      </c>
      <c r="AE227" s="29">
        <f t="shared" si="95"/>
        <v>0</v>
      </c>
      <c r="AF227" s="29">
        <f t="shared" si="96"/>
        <v>0</v>
      </c>
      <c r="AG227" s="29">
        <f t="shared" si="97"/>
        <v>0</v>
      </c>
      <c r="AH227" s="29">
        <f t="shared" si="98"/>
        <v>0</v>
      </c>
      <c r="AI227" s="10" t="s">
        <v>394</v>
      </c>
      <c r="AJ227" s="29">
        <f t="shared" si="99"/>
        <v>0</v>
      </c>
      <c r="AK227" s="29">
        <f t="shared" si="100"/>
        <v>0</v>
      </c>
      <c r="AL227" s="29">
        <f t="shared" si="101"/>
        <v>0</v>
      </c>
      <c r="AN227" s="29">
        <v>21</v>
      </c>
      <c r="AO227" s="29">
        <f>I227*1</f>
        <v>0</v>
      </c>
      <c r="AP227" s="29">
        <f>I227*(1-1)</f>
        <v>0</v>
      </c>
      <c r="AQ227" s="23" t="s">
        <v>576</v>
      </c>
      <c r="AV227" s="29">
        <f t="shared" si="102"/>
        <v>0</v>
      </c>
      <c r="AW227" s="29">
        <f t="shared" si="103"/>
        <v>0</v>
      </c>
      <c r="AX227" s="29">
        <f t="shared" si="104"/>
        <v>0</v>
      </c>
      <c r="AY227" s="23" t="s">
        <v>628</v>
      </c>
      <c r="AZ227" s="23" t="s">
        <v>205</v>
      </c>
      <c r="BA227" s="10" t="s">
        <v>439</v>
      </c>
      <c r="BC227" s="29">
        <f t="shared" si="105"/>
        <v>0</v>
      </c>
      <c r="BD227" s="29">
        <f t="shared" si="106"/>
        <v>0</v>
      </c>
      <c r="BE227" s="29">
        <v>0</v>
      </c>
      <c r="BF227" s="29">
        <f>227</f>
        <v>227</v>
      </c>
      <c r="BH227" s="29">
        <f t="shared" si="107"/>
        <v>0</v>
      </c>
      <c r="BI227" s="29">
        <f t="shared" si="108"/>
        <v>0</v>
      </c>
      <c r="BJ227" s="29">
        <f t="shared" si="109"/>
        <v>0</v>
      </c>
      <c r="BK227" s="29"/>
      <c r="BL227" s="29"/>
    </row>
    <row r="228" spans="1:64" ht="15" customHeight="1">
      <c r="A228" s="4" t="s">
        <v>223</v>
      </c>
      <c r="B228" s="18" t="s">
        <v>544</v>
      </c>
      <c r="C228" s="67" t="s">
        <v>206</v>
      </c>
      <c r="D228" s="67"/>
      <c r="E228" s="67"/>
      <c r="F228" s="67"/>
      <c r="G228" s="18" t="s">
        <v>146</v>
      </c>
      <c r="H228" s="29">
        <v>15</v>
      </c>
      <c r="I228" s="46">
        <v>0</v>
      </c>
      <c r="J228" s="29">
        <f t="shared" si="88"/>
        <v>0</v>
      </c>
      <c r="K228" s="29">
        <f t="shared" si="89"/>
        <v>0</v>
      </c>
      <c r="L228" s="29">
        <f t="shared" si="90"/>
        <v>0</v>
      </c>
      <c r="M228" s="41" t="s">
        <v>484</v>
      </c>
      <c r="Z228" s="29">
        <f t="shared" si="91"/>
        <v>0</v>
      </c>
      <c r="AB228" s="29">
        <f t="shared" si="92"/>
        <v>0</v>
      </c>
      <c r="AC228" s="29">
        <f t="shared" si="93"/>
        <v>0</v>
      </c>
      <c r="AD228" s="29">
        <f t="shared" si="94"/>
        <v>0</v>
      </c>
      <c r="AE228" s="29">
        <f t="shared" si="95"/>
        <v>0</v>
      </c>
      <c r="AF228" s="29">
        <f t="shared" si="96"/>
        <v>0</v>
      </c>
      <c r="AG228" s="29">
        <f t="shared" si="97"/>
        <v>0</v>
      </c>
      <c r="AH228" s="29">
        <f t="shared" si="98"/>
        <v>0</v>
      </c>
      <c r="AI228" s="10" t="s">
        <v>394</v>
      </c>
      <c r="AJ228" s="29">
        <f t="shared" si="99"/>
        <v>0</v>
      </c>
      <c r="AK228" s="29">
        <f t="shared" si="100"/>
        <v>0</v>
      </c>
      <c r="AL228" s="29">
        <f t="shared" si="101"/>
        <v>0</v>
      </c>
      <c r="AN228" s="29">
        <v>21</v>
      </c>
      <c r="AO228" s="29">
        <f>I228*0</f>
        <v>0</v>
      </c>
      <c r="AP228" s="29">
        <f>I228*(1-0)</f>
        <v>0</v>
      </c>
      <c r="AQ228" s="23" t="s">
        <v>389</v>
      </c>
      <c r="AV228" s="29">
        <f t="shared" si="102"/>
        <v>0</v>
      </c>
      <c r="AW228" s="29">
        <f t="shared" si="103"/>
        <v>0</v>
      </c>
      <c r="AX228" s="29">
        <f t="shared" si="104"/>
        <v>0</v>
      </c>
      <c r="AY228" s="23" t="s">
        <v>628</v>
      </c>
      <c r="AZ228" s="23" t="s">
        <v>205</v>
      </c>
      <c r="BA228" s="10" t="s">
        <v>439</v>
      </c>
      <c r="BC228" s="29">
        <f t="shared" si="105"/>
        <v>0</v>
      </c>
      <c r="BD228" s="29">
        <f t="shared" si="106"/>
        <v>0</v>
      </c>
      <c r="BE228" s="29">
        <v>0</v>
      </c>
      <c r="BF228" s="29">
        <f>228</f>
        <v>228</v>
      </c>
      <c r="BH228" s="29">
        <f t="shared" si="107"/>
        <v>0</v>
      </c>
      <c r="BI228" s="29">
        <f t="shared" si="108"/>
        <v>0</v>
      </c>
      <c r="BJ228" s="29">
        <f t="shared" si="109"/>
        <v>0</v>
      </c>
      <c r="BK228" s="29"/>
      <c r="BL228" s="29"/>
    </row>
    <row r="229" spans="1:64" ht="15" customHeight="1">
      <c r="A229" s="4" t="s">
        <v>213</v>
      </c>
      <c r="B229" s="18" t="s">
        <v>329</v>
      </c>
      <c r="C229" s="67" t="s">
        <v>13</v>
      </c>
      <c r="D229" s="67"/>
      <c r="E229" s="67"/>
      <c r="F229" s="67"/>
      <c r="G229" s="18" t="s">
        <v>146</v>
      </c>
      <c r="H229" s="29">
        <v>15</v>
      </c>
      <c r="I229" s="46">
        <v>0</v>
      </c>
      <c r="J229" s="29">
        <f t="shared" si="88"/>
        <v>0</v>
      </c>
      <c r="K229" s="29">
        <f t="shared" si="89"/>
        <v>0</v>
      </c>
      <c r="L229" s="29">
        <f t="shared" si="90"/>
        <v>0</v>
      </c>
      <c r="M229" s="41" t="s">
        <v>484</v>
      </c>
      <c r="Z229" s="29">
        <f t="shared" si="91"/>
        <v>0</v>
      </c>
      <c r="AB229" s="29">
        <f t="shared" si="92"/>
        <v>0</v>
      </c>
      <c r="AC229" s="29">
        <f t="shared" si="93"/>
        <v>0</v>
      </c>
      <c r="AD229" s="29">
        <f t="shared" si="94"/>
        <v>0</v>
      </c>
      <c r="AE229" s="29">
        <f t="shared" si="95"/>
        <v>0</v>
      </c>
      <c r="AF229" s="29">
        <f t="shared" si="96"/>
        <v>0</v>
      </c>
      <c r="AG229" s="29">
        <f t="shared" si="97"/>
        <v>0</v>
      </c>
      <c r="AH229" s="29">
        <f t="shared" si="98"/>
        <v>0</v>
      </c>
      <c r="AI229" s="10" t="s">
        <v>394</v>
      </c>
      <c r="AJ229" s="29">
        <f t="shared" si="99"/>
        <v>0</v>
      </c>
      <c r="AK229" s="29">
        <f t="shared" si="100"/>
        <v>0</v>
      </c>
      <c r="AL229" s="29">
        <f t="shared" si="101"/>
        <v>0</v>
      </c>
      <c r="AN229" s="29">
        <v>21</v>
      </c>
      <c r="AO229" s="29">
        <f>I229*1</f>
        <v>0</v>
      </c>
      <c r="AP229" s="29">
        <f>I229*(1-1)</f>
        <v>0</v>
      </c>
      <c r="AQ229" s="23" t="s">
        <v>576</v>
      </c>
      <c r="AV229" s="29">
        <f t="shared" si="102"/>
        <v>0</v>
      </c>
      <c r="AW229" s="29">
        <f t="shared" si="103"/>
        <v>0</v>
      </c>
      <c r="AX229" s="29">
        <f t="shared" si="104"/>
        <v>0</v>
      </c>
      <c r="AY229" s="23" t="s">
        <v>628</v>
      </c>
      <c r="AZ229" s="23" t="s">
        <v>205</v>
      </c>
      <c r="BA229" s="10" t="s">
        <v>439</v>
      </c>
      <c r="BC229" s="29">
        <f t="shared" si="105"/>
        <v>0</v>
      </c>
      <c r="BD229" s="29">
        <f t="shared" si="106"/>
        <v>0</v>
      </c>
      <c r="BE229" s="29">
        <v>0</v>
      </c>
      <c r="BF229" s="29">
        <f>229</f>
        <v>229</v>
      </c>
      <c r="BH229" s="29">
        <f t="shared" si="107"/>
        <v>0</v>
      </c>
      <c r="BI229" s="29">
        <f t="shared" si="108"/>
        <v>0</v>
      </c>
      <c r="BJ229" s="29">
        <f t="shared" si="109"/>
        <v>0</v>
      </c>
      <c r="BK229" s="29"/>
      <c r="BL229" s="29"/>
    </row>
    <row r="230" spans="1:64" ht="15" customHeight="1">
      <c r="A230" s="4" t="s">
        <v>302</v>
      </c>
      <c r="B230" s="18" t="s">
        <v>494</v>
      </c>
      <c r="C230" s="67" t="s">
        <v>507</v>
      </c>
      <c r="D230" s="67"/>
      <c r="E230" s="67"/>
      <c r="F230" s="67"/>
      <c r="G230" s="18" t="s">
        <v>146</v>
      </c>
      <c r="H230" s="29">
        <v>4</v>
      </c>
      <c r="I230" s="46">
        <v>0</v>
      </c>
      <c r="J230" s="29">
        <f t="shared" si="88"/>
        <v>0</v>
      </c>
      <c r="K230" s="29">
        <f t="shared" si="89"/>
        <v>0</v>
      </c>
      <c r="L230" s="29">
        <f t="shared" si="90"/>
        <v>0</v>
      </c>
      <c r="M230" s="41" t="s">
        <v>484</v>
      </c>
      <c r="Z230" s="29">
        <f t="shared" si="91"/>
        <v>0</v>
      </c>
      <c r="AB230" s="29">
        <f t="shared" si="92"/>
        <v>0</v>
      </c>
      <c r="AC230" s="29">
        <f t="shared" si="93"/>
        <v>0</v>
      </c>
      <c r="AD230" s="29">
        <f t="shared" si="94"/>
        <v>0</v>
      </c>
      <c r="AE230" s="29">
        <f t="shared" si="95"/>
        <v>0</v>
      </c>
      <c r="AF230" s="29">
        <f t="shared" si="96"/>
        <v>0</v>
      </c>
      <c r="AG230" s="29">
        <f t="shared" si="97"/>
        <v>0</v>
      </c>
      <c r="AH230" s="29">
        <f t="shared" si="98"/>
        <v>0</v>
      </c>
      <c r="AI230" s="10" t="s">
        <v>394</v>
      </c>
      <c r="AJ230" s="29">
        <f t="shared" si="99"/>
        <v>0</v>
      </c>
      <c r="AK230" s="29">
        <f t="shared" si="100"/>
        <v>0</v>
      </c>
      <c r="AL230" s="29">
        <f t="shared" si="101"/>
        <v>0</v>
      </c>
      <c r="AN230" s="29">
        <v>21</v>
      </c>
      <c r="AO230" s="29">
        <f>I230*0</f>
        <v>0</v>
      </c>
      <c r="AP230" s="29">
        <f>I230*(1-0)</f>
        <v>0</v>
      </c>
      <c r="AQ230" s="23" t="s">
        <v>389</v>
      </c>
      <c r="AV230" s="29">
        <f t="shared" si="102"/>
        <v>0</v>
      </c>
      <c r="AW230" s="29">
        <f t="shared" si="103"/>
        <v>0</v>
      </c>
      <c r="AX230" s="29">
        <f t="shared" si="104"/>
        <v>0</v>
      </c>
      <c r="AY230" s="23" t="s">
        <v>628</v>
      </c>
      <c r="AZ230" s="23" t="s">
        <v>205</v>
      </c>
      <c r="BA230" s="10" t="s">
        <v>439</v>
      </c>
      <c r="BC230" s="29">
        <f t="shared" si="105"/>
        <v>0</v>
      </c>
      <c r="BD230" s="29">
        <f t="shared" si="106"/>
        <v>0</v>
      </c>
      <c r="BE230" s="29">
        <v>0</v>
      </c>
      <c r="BF230" s="29">
        <f>230</f>
        <v>230</v>
      </c>
      <c r="BH230" s="29">
        <f t="shared" si="107"/>
        <v>0</v>
      </c>
      <c r="BI230" s="29">
        <f t="shared" si="108"/>
        <v>0</v>
      </c>
      <c r="BJ230" s="29">
        <f t="shared" si="109"/>
        <v>0</v>
      </c>
      <c r="BK230" s="29"/>
      <c r="BL230" s="29"/>
    </row>
    <row r="231" spans="1:64" ht="15" customHeight="1">
      <c r="A231" s="4" t="s">
        <v>66</v>
      </c>
      <c r="B231" s="18" t="s">
        <v>475</v>
      </c>
      <c r="C231" s="67" t="s">
        <v>303</v>
      </c>
      <c r="D231" s="67"/>
      <c r="E231" s="67"/>
      <c r="F231" s="67"/>
      <c r="G231" s="18" t="s">
        <v>146</v>
      </c>
      <c r="H231" s="29">
        <v>4</v>
      </c>
      <c r="I231" s="46">
        <v>0</v>
      </c>
      <c r="J231" s="29">
        <f t="shared" si="88"/>
        <v>0</v>
      </c>
      <c r="K231" s="29">
        <f t="shared" si="89"/>
        <v>0</v>
      </c>
      <c r="L231" s="29">
        <f t="shared" si="90"/>
        <v>0</v>
      </c>
      <c r="M231" s="41" t="s">
        <v>484</v>
      </c>
      <c r="Z231" s="29">
        <f t="shared" si="91"/>
        <v>0</v>
      </c>
      <c r="AB231" s="29">
        <f t="shared" si="92"/>
        <v>0</v>
      </c>
      <c r="AC231" s="29">
        <f t="shared" si="93"/>
        <v>0</v>
      </c>
      <c r="AD231" s="29">
        <f t="shared" si="94"/>
        <v>0</v>
      </c>
      <c r="AE231" s="29">
        <f t="shared" si="95"/>
        <v>0</v>
      </c>
      <c r="AF231" s="29">
        <f t="shared" si="96"/>
        <v>0</v>
      </c>
      <c r="AG231" s="29">
        <f t="shared" si="97"/>
        <v>0</v>
      </c>
      <c r="AH231" s="29">
        <f t="shared" si="98"/>
        <v>0</v>
      </c>
      <c r="AI231" s="10" t="s">
        <v>394</v>
      </c>
      <c r="AJ231" s="29">
        <f t="shared" si="99"/>
        <v>0</v>
      </c>
      <c r="AK231" s="29">
        <f t="shared" si="100"/>
        <v>0</v>
      </c>
      <c r="AL231" s="29">
        <f t="shared" si="101"/>
        <v>0</v>
      </c>
      <c r="AN231" s="29">
        <v>21</v>
      </c>
      <c r="AO231" s="29">
        <f>I231*1</f>
        <v>0</v>
      </c>
      <c r="AP231" s="29">
        <f>I231*(1-1)</f>
        <v>0</v>
      </c>
      <c r="AQ231" s="23" t="s">
        <v>576</v>
      </c>
      <c r="AV231" s="29">
        <f t="shared" si="102"/>
        <v>0</v>
      </c>
      <c r="AW231" s="29">
        <f t="shared" si="103"/>
        <v>0</v>
      </c>
      <c r="AX231" s="29">
        <f t="shared" si="104"/>
        <v>0</v>
      </c>
      <c r="AY231" s="23" t="s">
        <v>628</v>
      </c>
      <c r="AZ231" s="23" t="s">
        <v>205</v>
      </c>
      <c r="BA231" s="10" t="s">
        <v>439</v>
      </c>
      <c r="BC231" s="29">
        <f t="shared" si="105"/>
        <v>0</v>
      </c>
      <c r="BD231" s="29">
        <f t="shared" si="106"/>
        <v>0</v>
      </c>
      <c r="BE231" s="29">
        <v>0</v>
      </c>
      <c r="BF231" s="29">
        <f>231</f>
        <v>231</v>
      </c>
      <c r="BH231" s="29">
        <f t="shared" si="107"/>
        <v>0</v>
      </c>
      <c r="BI231" s="29">
        <f t="shared" si="108"/>
        <v>0</v>
      </c>
      <c r="BJ231" s="29">
        <f t="shared" si="109"/>
        <v>0</v>
      </c>
      <c r="BK231" s="29"/>
      <c r="BL231" s="29"/>
    </row>
    <row r="232" spans="1:64" ht="15" customHeight="1">
      <c r="A232" s="4" t="s">
        <v>290</v>
      </c>
      <c r="B232" s="18" t="s">
        <v>18</v>
      </c>
      <c r="C232" s="67" t="s">
        <v>172</v>
      </c>
      <c r="D232" s="67"/>
      <c r="E232" s="67"/>
      <c r="F232" s="67"/>
      <c r="G232" s="18" t="s">
        <v>480</v>
      </c>
      <c r="H232" s="29">
        <v>12</v>
      </c>
      <c r="I232" s="46">
        <v>0</v>
      </c>
      <c r="J232" s="29">
        <f t="shared" si="88"/>
        <v>0</v>
      </c>
      <c r="K232" s="29">
        <f t="shared" si="89"/>
        <v>0</v>
      </c>
      <c r="L232" s="29">
        <f t="shared" si="90"/>
        <v>0</v>
      </c>
      <c r="M232" s="41" t="s">
        <v>484</v>
      </c>
      <c r="Z232" s="29">
        <f t="shared" si="91"/>
        <v>0</v>
      </c>
      <c r="AB232" s="29">
        <f t="shared" si="92"/>
        <v>0</v>
      </c>
      <c r="AC232" s="29">
        <f t="shared" si="93"/>
        <v>0</v>
      </c>
      <c r="AD232" s="29">
        <f t="shared" si="94"/>
        <v>0</v>
      </c>
      <c r="AE232" s="29">
        <f t="shared" si="95"/>
        <v>0</v>
      </c>
      <c r="AF232" s="29">
        <f t="shared" si="96"/>
        <v>0</v>
      </c>
      <c r="AG232" s="29">
        <f t="shared" si="97"/>
        <v>0</v>
      </c>
      <c r="AH232" s="29">
        <f t="shared" si="98"/>
        <v>0</v>
      </c>
      <c r="AI232" s="10" t="s">
        <v>394</v>
      </c>
      <c r="AJ232" s="29">
        <f t="shared" si="99"/>
        <v>0</v>
      </c>
      <c r="AK232" s="29">
        <f t="shared" si="100"/>
        <v>0</v>
      </c>
      <c r="AL232" s="29">
        <f t="shared" si="101"/>
        <v>0</v>
      </c>
      <c r="AN232" s="29">
        <v>21</v>
      </c>
      <c r="AO232" s="29">
        <f>I232*0</f>
        <v>0</v>
      </c>
      <c r="AP232" s="29">
        <f>I232*(1-0)</f>
        <v>0</v>
      </c>
      <c r="AQ232" s="23" t="s">
        <v>389</v>
      </c>
      <c r="AV232" s="29">
        <f t="shared" si="102"/>
        <v>0</v>
      </c>
      <c r="AW232" s="29">
        <f t="shared" si="103"/>
        <v>0</v>
      </c>
      <c r="AX232" s="29">
        <f t="shared" si="104"/>
        <v>0</v>
      </c>
      <c r="AY232" s="23" t="s">
        <v>628</v>
      </c>
      <c r="AZ232" s="23" t="s">
        <v>205</v>
      </c>
      <c r="BA232" s="10" t="s">
        <v>439</v>
      </c>
      <c r="BC232" s="29">
        <f t="shared" si="105"/>
        <v>0</v>
      </c>
      <c r="BD232" s="29">
        <f t="shared" si="106"/>
        <v>0</v>
      </c>
      <c r="BE232" s="29">
        <v>0</v>
      </c>
      <c r="BF232" s="29">
        <f>232</f>
        <v>232</v>
      </c>
      <c r="BH232" s="29">
        <f t="shared" si="107"/>
        <v>0</v>
      </c>
      <c r="BI232" s="29">
        <f t="shared" si="108"/>
        <v>0</v>
      </c>
      <c r="BJ232" s="29">
        <f t="shared" si="109"/>
        <v>0</v>
      </c>
      <c r="BK232" s="29"/>
      <c r="BL232" s="29"/>
    </row>
    <row r="233" spans="1:64" ht="15" customHeight="1">
      <c r="A233" s="6" t="s">
        <v>31</v>
      </c>
      <c r="B233" s="1" t="s">
        <v>579</v>
      </c>
      <c r="C233" s="92" t="s">
        <v>654</v>
      </c>
      <c r="D233" s="92"/>
      <c r="E233" s="92"/>
      <c r="F233" s="92"/>
      <c r="G233" s="1" t="s">
        <v>146</v>
      </c>
      <c r="H233" s="44">
        <v>12</v>
      </c>
      <c r="I233" s="48">
        <v>0</v>
      </c>
      <c r="J233" s="44">
        <f t="shared" si="88"/>
        <v>0</v>
      </c>
      <c r="K233" s="44">
        <f t="shared" si="89"/>
        <v>0</v>
      </c>
      <c r="L233" s="44">
        <f t="shared" si="90"/>
        <v>0</v>
      </c>
      <c r="M233" s="19" t="s">
        <v>484</v>
      </c>
      <c r="Z233" s="29">
        <f t="shared" si="91"/>
        <v>0</v>
      </c>
      <c r="AB233" s="29">
        <f t="shared" si="92"/>
        <v>0</v>
      </c>
      <c r="AC233" s="29">
        <f t="shared" si="93"/>
        <v>0</v>
      </c>
      <c r="AD233" s="29">
        <f t="shared" si="94"/>
        <v>0</v>
      </c>
      <c r="AE233" s="29">
        <f t="shared" si="95"/>
        <v>0</v>
      </c>
      <c r="AF233" s="29">
        <f t="shared" si="96"/>
        <v>0</v>
      </c>
      <c r="AG233" s="29">
        <f t="shared" si="97"/>
        <v>0</v>
      </c>
      <c r="AH233" s="29">
        <f t="shared" si="98"/>
        <v>0</v>
      </c>
      <c r="AI233" s="10" t="s">
        <v>394</v>
      </c>
      <c r="AJ233" s="29">
        <f t="shared" si="99"/>
        <v>0</v>
      </c>
      <c r="AK233" s="29">
        <f t="shared" si="100"/>
        <v>0</v>
      </c>
      <c r="AL233" s="29">
        <f t="shared" si="101"/>
        <v>0</v>
      </c>
      <c r="AN233" s="29">
        <v>21</v>
      </c>
      <c r="AO233" s="29">
        <f>I233*1</f>
        <v>0</v>
      </c>
      <c r="AP233" s="29">
        <f>I233*(1-1)</f>
        <v>0</v>
      </c>
      <c r="AQ233" s="23" t="s">
        <v>576</v>
      </c>
      <c r="AV233" s="29">
        <f t="shared" si="102"/>
        <v>0</v>
      </c>
      <c r="AW233" s="29">
        <f t="shared" si="103"/>
        <v>0</v>
      </c>
      <c r="AX233" s="29">
        <f t="shared" si="104"/>
        <v>0</v>
      </c>
      <c r="AY233" s="23" t="s">
        <v>628</v>
      </c>
      <c r="AZ233" s="23" t="s">
        <v>205</v>
      </c>
      <c r="BA233" s="10" t="s">
        <v>439</v>
      </c>
      <c r="BC233" s="29">
        <f t="shared" si="105"/>
        <v>0</v>
      </c>
      <c r="BD233" s="29">
        <f t="shared" si="106"/>
        <v>0</v>
      </c>
      <c r="BE233" s="29">
        <v>0</v>
      </c>
      <c r="BF233" s="29">
        <f>233</f>
        <v>233</v>
      </c>
      <c r="BH233" s="29">
        <f t="shared" si="107"/>
        <v>0</v>
      </c>
      <c r="BI233" s="29">
        <f t="shared" si="108"/>
        <v>0</v>
      </c>
      <c r="BJ233" s="29">
        <f t="shared" si="109"/>
        <v>0</v>
      </c>
      <c r="BK233" s="29"/>
      <c r="BL233" s="29"/>
    </row>
    <row r="234" spans="10:12" ht="15" customHeight="1">
      <c r="J234" s="73" t="s">
        <v>460</v>
      </c>
      <c r="K234" s="73"/>
      <c r="L234" s="27">
        <f>ROUND(L12+L17+L27+L32+L42+L55+L57+L61+L63+L71+L76+L88+L97+L102+L112+L119+L134+L159+L175+L179+L215+L224,1)</f>
        <v>0</v>
      </c>
    </row>
    <row r="235" ht="15" customHeight="1">
      <c r="A235" s="33" t="s">
        <v>38</v>
      </c>
    </row>
    <row r="236" spans="1:13" ht="12.75" customHeight="1">
      <c r="A236" s="70" t="s">
        <v>394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</row>
  </sheetData>
  <sheetProtection password="CE4B" sheet="1"/>
  <mergeCells count="252">
    <mergeCell ref="C232:F232"/>
    <mergeCell ref="C233:F233"/>
    <mergeCell ref="J234:K234"/>
    <mergeCell ref="A236:M236"/>
    <mergeCell ref="C226:F226"/>
    <mergeCell ref="C227:F227"/>
    <mergeCell ref="C228:F228"/>
    <mergeCell ref="C229:F229"/>
    <mergeCell ref="C230:F230"/>
    <mergeCell ref="C231:F231"/>
    <mergeCell ref="C220:F220"/>
    <mergeCell ref="C221:F221"/>
    <mergeCell ref="C222:F222"/>
    <mergeCell ref="C223:F223"/>
    <mergeCell ref="C224:F224"/>
    <mergeCell ref="C225:F225"/>
    <mergeCell ref="C214:M214"/>
    <mergeCell ref="C215:F215"/>
    <mergeCell ref="C216:F216"/>
    <mergeCell ref="C217:F217"/>
    <mergeCell ref="C218:F218"/>
    <mergeCell ref="C219:F219"/>
    <mergeCell ref="C208:F208"/>
    <mergeCell ref="C209:F209"/>
    <mergeCell ref="C210:F210"/>
    <mergeCell ref="C211:M211"/>
    <mergeCell ref="C212:F212"/>
    <mergeCell ref="C213:F213"/>
    <mergeCell ref="C202:M202"/>
    <mergeCell ref="C203:F203"/>
    <mergeCell ref="C204:M204"/>
    <mergeCell ref="C205:F205"/>
    <mergeCell ref="C206:M206"/>
    <mergeCell ref="C207:F207"/>
    <mergeCell ref="C196:F196"/>
    <mergeCell ref="C197:F197"/>
    <mergeCell ref="C198:M198"/>
    <mergeCell ref="C199:F199"/>
    <mergeCell ref="C200:M200"/>
    <mergeCell ref="C201:F201"/>
    <mergeCell ref="C190:F190"/>
    <mergeCell ref="C191:M191"/>
    <mergeCell ref="C192:F192"/>
    <mergeCell ref="C193:M193"/>
    <mergeCell ref="C194:F194"/>
    <mergeCell ref="C195:F195"/>
    <mergeCell ref="C184:F184"/>
    <mergeCell ref="C185:M185"/>
    <mergeCell ref="C186:F186"/>
    <mergeCell ref="C187:M187"/>
    <mergeCell ref="C188:F188"/>
    <mergeCell ref="C189:M189"/>
    <mergeCell ref="C178:F178"/>
    <mergeCell ref="C179:F179"/>
    <mergeCell ref="C180:F180"/>
    <mergeCell ref="C181:M181"/>
    <mergeCell ref="C182:F182"/>
    <mergeCell ref="C183:M183"/>
    <mergeCell ref="C172:M172"/>
    <mergeCell ref="C173:F173"/>
    <mergeCell ref="C174:F174"/>
    <mergeCell ref="C175:F175"/>
    <mergeCell ref="C176:F176"/>
    <mergeCell ref="C177:F177"/>
    <mergeCell ref="C166:M166"/>
    <mergeCell ref="C167:F167"/>
    <mergeCell ref="C168:F168"/>
    <mergeCell ref="C169:M169"/>
    <mergeCell ref="C170:F170"/>
    <mergeCell ref="C171:F171"/>
    <mergeCell ref="C160:F160"/>
    <mergeCell ref="C161:M161"/>
    <mergeCell ref="C162:F162"/>
    <mergeCell ref="C163:M163"/>
    <mergeCell ref="C164:F164"/>
    <mergeCell ref="C165:F165"/>
    <mergeCell ref="C154:F154"/>
    <mergeCell ref="C155:M155"/>
    <mergeCell ref="C156:F156"/>
    <mergeCell ref="C157:M157"/>
    <mergeCell ref="C158:F158"/>
    <mergeCell ref="C159:F159"/>
    <mergeCell ref="C148:F148"/>
    <mergeCell ref="C149:F149"/>
    <mergeCell ref="C150:F150"/>
    <mergeCell ref="C151:F151"/>
    <mergeCell ref="C152:F152"/>
    <mergeCell ref="C153:F153"/>
    <mergeCell ref="C142:M142"/>
    <mergeCell ref="C143:F143"/>
    <mergeCell ref="C144:F144"/>
    <mergeCell ref="C145:F145"/>
    <mergeCell ref="C146:F146"/>
    <mergeCell ref="C147:F147"/>
    <mergeCell ref="C136:M136"/>
    <mergeCell ref="C137:F137"/>
    <mergeCell ref="C138:F138"/>
    <mergeCell ref="C139:M139"/>
    <mergeCell ref="C140:F140"/>
    <mergeCell ref="C141:F141"/>
    <mergeCell ref="C130:F130"/>
    <mergeCell ref="C131:M131"/>
    <mergeCell ref="C132:F132"/>
    <mergeCell ref="C133:F133"/>
    <mergeCell ref="C134:F134"/>
    <mergeCell ref="C135:F135"/>
    <mergeCell ref="C124:F124"/>
    <mergeCell ref="C125:M125"/>
    <mergeCell ref="C126:F126"/>
    <mergeCell ref="C127:F127"/>
    <mergeCell ref="C128:F128"/>
    <mergeCell ref="C129:M129"/>
    <mergeCell ref="C118:F118"/>
    <mergeCell ref="C119:F119"/>
    <mergeCell ref="C120:F120"/>
    <mergeCell ref="C121:M121"/>
    <mergeCell ref="C122:F122"/>
    <mergeCell ref="C123:M123"/>
    <mergeCell ref="C112:F112"/>
    <mergeCell ref="C113:F113"/>
    <mergeCell ref="C114:F114"/>
    <mergeCell ref="C115:F115"/>
    <mergeCell ref="C116:F116"/>
    <mergeCell ref="C117:F117"/>
    <mergeCell ref="C106:M106"/>
    <mergeCell ref="C107:F107"/>
    <mergeCell ref="C108:M108"/>
    <mergeCell ref="C109:F109"/>
    <mergeCell ref="C110:F110"/>
    <mergeCell ref="C111:F111"/>
    <mergeCell ref="C100:F100"/>
    <mergeCell ref="C101:F101"/>
    <mergeCell ref="C102:F102"/>
    <mergeCell ref="C103:F103"/>
    <mergeCell ref="C104:F104"/>
    <mergeCell ref="C105:F105"/>
    <mergeCell ref="C94:F94"/>
    <mergeCell ref="C95:M95"/>
    <mergeCell ref="C96:F96"/>
    <mergeCell ref="C97:F97"/>
    <mergeCell ref="C98:F98"/>
    <mergeCell ref="C99:F99"/>
    <mergeCell ref="C88:F88"/>
    <mergeCell ref="C89:F89"/>
    <mergeCell ref="C90:M90"/>
    <mergeCell ref="C91:F91"/>
    <mergeCell ref="C92:M92"/>
    <mergeCell ref="C93:F93"/>
    <mergeCell ref="C82:M82"/>
    <mergeCell ref="C83:F83"/>
    <mergeCell ref="C84:F84"/>
    <mergeCell ref="C85:F85"/>
    <mergeCell ref="C86:F86"/>
    <mergeCell ref="C87:M87"/>
    <mergeCell ref="C76:F76"/>
    <mergeCell ref="C77:F77"/>
    <mergeCell ref="C78:F78"/>
    <mergeCell ref="C79:F79"/>
    <mergeCell ref="C80:F80"/>
    <mergeCell ref="C81:F81"/>
    <mergeCell ref="C70:M70"/>
    <mergeCell ref="C71:F71"/>
    <mergeCell ref="C72:F72"/>
    <mergeCell ref="C73:F73"/>
    <mergeCell ref="C74:F74"/>
    <mergeCell ref="C75:M75"/>
    <mergeCell ref="C64:F64"/>
    <mergeCell ref="C65:F65"/>
    <mergeCell ref="C66:F66"/>
    <mergeCell ref="C67:F67"/>
    <mergeCell ref="C68:M68"/>
    <mergeCell ref="C69:F69"/>
    <mergeCell ref="C58:F58"/>
    <mergeCell ref="C59:F59"/>
    <mergeCell ref="C60:M60"/>
    <mergeCell ref="C61:F61"/>
    <mergeCell ref="C62:F62"/>
    <mergeCell ref="C63:F63"/>
    <mergeCell ref="C52:F52"/>
    <mergeCell ref="C53:F53"/>
    <mergeCell ref="C54:M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M41"/>
    <mergeCell ref="C42:F42"/>
    <mergeCell ref="C43:F43"/>
    <mergeCell ref="C44:M44"/>
    <mergeCell ref="C45:F45"/>
    <mergeCell ref="C34:M34"/>
    <mergeCell ref="C35:F35"/>
    <mergeCell ref="C36:M36"/>
    <mergeCell ref="C37:F37"/>
    <mergeCell ref="C38:M38"/>
    <mergeCell ref="C39:F39"/>
    <mergeCell ref="C28:F28"/>
    <mergeCell ref="C29:F29"/>
    <mergeCell ref="C30:F30"/>
    <mergeCell ref="C31:M31"/>
    <mergeCell ref="C32:F32"/>
    <mergeCell ref="C33:F33"/>
    <mergeCell ref="C22:M22"/>
    <mergeCell ref="C23:F23"/>
    <mergeCell ref="C24:M24"/>
    <mergeCell ref="C25:F25"/>
    <mergeCell ref="C26:M26"/>
    <mergeCell ref="C27:F27"/>
    <mergeCell ref="C16:M16"/>
    <mergeCell ref="C17:F17"/>
    <mergeCell ref="C18:F18"/>
    <mergeCell ref="C19:M19"/>
    <mergeCell ref="C20:F20"/>
    <mergeCell ref="C21:F21"/>
    <mergeCell ref="C11:F11"/>
    <mergeCell ref="J10:L10"/>
    <mergeCell ref="C12:F12"/>
    <mergeCell ref="C13:F13"/>
    <mergeCell ref="C14:M14"/>
    <mergeCell ref="C15:F15"/>
    <mergeCell ref="G8:H9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OutlineSymbols="0" zoomScalePageLayoutView="0" workbookViewId="0" topLeftCell="A1">
      <pane ySplit="11" topLeftCell="A12" activePane="bottomLeft" state="frozen"/>
      <selection pane="topLeft" activeCell="A22" sqref="A22:L22"/>
      <selection pane="bottomLeft" activeCell="A1" sqref="A1"/>
    </sheetView>
  </sheetViews>
  <sheetFormatPr defaultColWidth="14.16015625" defaultRowHeight="15" customHeight="1"/>
  <cols>
    <col min="1" max="1" width="6.66015625" style="0" customWidth="1"/>
    <col min="2" max="9" width="18.33203125" style="0" customWidth="1"/>
    <col min="10" max="12" width="16.66015625" style="0" customWidth="1"/>
    <col min="13" max="16" width="14.16015625" style="0" hidden="1" customWidth="1"/>
  </cols>
  <sheetData>
    <row r="1" spans="1:12" ht="54.75" customHeight="1">
      <c r="A1" s="63" t="s">
        <v>194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 customHeight="1">
      <c r="A2" s="64" t="s">
        <v>32</v>
      </c>
      <c r="B2" s="65"/>
      <c r="C2" s="65"/>
      <c r="D2" s="71" t="str">
        <f>'Stavební rozpočet'!C2</f>
        <v>Stavební úpravy - Muzeum Stochov - výstavní prostory 2.NP</v>
      </c>
      <c r="E2" s="72"/>
      <c r="F2" s="72"/>
      <c r="G2" s="69" t="s">
        <v>4</v>
      </c>
      <c r="H2" s="69" t="str">
        <f>'Stavební rozpočet'!G2</f>
        <v> </v>
      </c>
      <c r="I2" s="69" t="s">
        <v>488</v>
      </c>
      <c r="J2" s="69" t="str">
        <f>'Stavební rozpočet'!J2</f>
        <v>Město Stochov</v>
      </c>
      <c r="K2" s="65"/>
      <c r="L2" s="76"/>
    </row>
    <row r="3" spans="1:12" ht="15" customHeight="1">
      <c r="A3" s="66"/>
      <c r="B3" s="67"/>
      <c r="C3" s="67"/>
      <c r="D3" s="73"/>
      <c r="E3" s="73"/>
      <c r="F3" s="73"/>
      <c r="G3" s="67"/>
      <c r="H3" s="67"/>
      <c r="I3" s="67"/>
      <c r="J3" s="67"/>
      <c r="K3" s="67"/>
      <c r="L3" s="77"/>
    </row>
    <row r="4" spans="1:12" ht="15" customHeight="1">
      <c r="A4" s="68" t="s">
        <v>304</v>
      </c>
      <c r="B4" s="67"/>
      <c r="C4" s="67"/>
      <c r="D4" s="70" t="str">
        <f>'Stavební rozpočet'!C4</f>
        <v> </v>
      </c>
      <c r="E4" s="67"/>
      <c r="F4" s="67"/>
      <c r="G4" s="70" t="s">
        <v>514</v>
      </c>
      <c r="H4" s="70" t="str">
        <f>'Stavební rozpočet'!G4</f>
        <v> </v>
      </c>
      <c r="I4" s="70" t="s">
        <v>390</v>
      </c>
      <c r="J4" s="70" t="str">
        <f>'Stavební rozpočet'!J4</f>
        <v>Ing.arch. Karel  Albrecht</v>
      </c>
      <c r="K4" s="67"/>
      <c r="L4" s="77"/>
    </row>
    <row r="5" spans="1:12" ht="1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77"/>
    </row>
    <row r="6" spans="1:12" ht="15" customHeight="1">
      <c r="A6" s="68" t="s">
        <v>41</v>
      </c>
      <c r="B6" s="67"/>
      <c r="C6" s="67"/>
      <c r="D6" s="70" t="str">
        <f>'Stavební rozpočet'!C6</f>
        <v>Stochov, nám.u dubu 30, parc.č.3, k.ú.Stochov</v>
      </c>
      <c r="E6" s="67"/>
      <c r="F6" s="67"/>
      <c r="G6" s="70" t="s">
        <v>181</v>
      </c>
      <c r="H6" s="70" t="str">
        <f>'Stavební rozpočet'!G6</f>
        <v> </v>
      </c>
      <c r="I6" s="70" t="s">
        <v>503</v>
      </c>
      <c r="J6" s="70" t="str">
        <f>'Stavební rozpočet'!J6</f>
        <v>Dle výběrového řízení</v>
      </c>
      <c r="K6" s="67"/>
      <c r="L6" s="77"/>
    </row>
    <row r="7" spans="1:12" ht="1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77"/>
    </row>
    <row r="8" spans="1:12" ht="15" customHeight="1">
      <c r="A8" s="68" t="s">
        <v>267</v>
      </c>
      <c r="B8" s="67"/>
      <c r="C8" s="67"/>
      <c r="D8" s="70" t="str">
        <f>'Stavební rozpočet'!C8</f>
        <v> </v>
      </c>
      <c r="E8" s="67"/>
      <c r="F8" s="67"/>
      <c r="G8" s="70" t="s">
        <v>311</v>
      </c>
      <c r="H8" s="70" t="str">
        <f>'Stavební rozpočet'!G8</f>
        <v>27.12.2022</v>
      </c>
      <c r="I8" s="70" t="s">
        <v>374</v>
      </c>
      <c r="J8" s="70" t="str">
        <f>'Stavební rozpočet'!J8</f>
        <v> </v>
      </c>
      <c r="K8" s="67"/>
      <c r="L8" s="77"/>
    </row>
    <row r="9" spans="1:12" ht="1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77"/>
    </row>
    <row r="10" spans="1:12" ht="15" customHeight="1">
      <c r="A10" s="3" t="s">
        <v>537</v>
      </c>
      <c r="B10" s="93" t="s">
        <v>537</v>
      </c>
      <c r="C10" s="93"/>
      <c r="D10" s="93"/>
      <c r="E10" s="93"/>
      <c r="F10" s="93"/>
      <c r="G10" s="93"/>
      <c r="H10" s="93"/>
      <c r="I10" s="93"/>
      <c r="J10" s="84" t="s">
        <v>361</v>
      </c>
      <c r="K10" s="85"/>
      <c r="L10" s="86"/>
    </row>
    <row r="11" spans="1:12" ht="15" customHeight="1">
      <c r="A11" s="60" t="s">
        <v>187</v>
      </c>
      <c r="B11" s="82" t="s">
        <v>634</v>
      </c>
      <c r="C11" s="82"/>
      <c r="D11" s="82"/>
      <c r="E11" s="82"/>
      <c r="F11" s="82"/>
      <c r="G11" s="82"/>
      <c r="H11" s="82"/>
      <c r="I11" s="82"/>
      <c r="J11" s="51" t="s">
        <v>24</v>
      </c>
      <c r="K11" s="17" t="s">
        <v>108</v>
      </c>
      <c r="L11" s="12" t="s">
        <v>50</v>
      </c>
    </row>
    <row r="12" spans="1:16" ht="15" customHeight="1">
      <c r="A12" s="4" t="s">
        <v>498</v>
      </c>
      <c r="B12" s="67" t="s">
        <v>1</v>
      </c>
      <c r="C12" s="67"/>
      <c r="D12" s="67"/>
      <c r="E12" s="67"/>
      <c r="F12" s="67"/>
      <c r="G12" s="67"/>
      <c r="H12" s="67"/>
      <c r="I12" s="67"/>
      <c r="J12" s="29">
        <f>SUMIF('Stavební rozpočet'!AZ13:AZ233,"3_",'Stavební rozpočet'!AW13:AW233)</f>
        <v>0</v>
      </c>
      <c r="K12" s="29">
        <f>SUMIF('Stavební rozpočet'!AZ13:AZ233,"3_",'Stavební rozpočet'!AX13:AX233)</f>
        <v>0</v>
      </c>
      <c r="L12" s="2">
        <f>SUMIF('Stavební rozpočet'!AZ13:AZ233,"3_",'Stavební rozpočet'!AV13:AV233)</f>
        <v>0</v>
      </c>
      <c r="M12" s="23" t="s">
        <v>559</v>
      </c>
      <c r="N12" s="29">
        <f aca="true" t="shared" si="0" ref="N12:N19">IF(M12="F",0,L12)</f>
        <v>0</v>
      </c>
      <c r="O12" s="18" t="s">
        <v>394</v>
      </c>
      <c r="P12" s="29">
        <f aca="true" t="shared" si="1" ref="P12:P19">IF(M12="T",0,L12)</f>
        <v>0</v>
      </c>
    </row>
    <row r="13" spans="1:16" ht="15" customHeight="1">
      <c r="A13" s="4" t="s">
        <v>92</v>
      </c>
      <c r="B13" s="67" t="s">
        <v>351</v>
      </c>
      <c r="C13" s="67"/>
      <c r="D13" s="67"/>
      <c r="E13" s="67"/>
      <c r="F13" s="67"/>
      <c r="G13" s="67"/>
      <c r="H13" s="67"/>
      <c r="I13" s="67"/>
      <c r="J13" s="29">
        <f>SUMIF('Stavební rozpočet'!AZ13:AZ233,"6_",'Stavební rozpočet'!AW13:AW233)</f>
        <v>0</v>
      </c>
      <c r="K13" s="29">
        <f>SUMIF('Stavební rozpočet'!AZ13:AZ233,"6_",'Stavební rozpočet'!AX13:AX233)</f>
        <v>0</v>
      </c>
      <c r="L13" s="2">
        <f>SUMIF('Stavební rozpočet'!AZ13:AZ233,"6_",'Stavební rozpočet'!AV13:AV233)</f>
        <v>0</v>
      </c>
      <c r="M13" s="23" t="s">
        <v>559</v>
      </c>
      <c r="N13" s="29">
        <f t="shared" si="0"/>
        <v>0</v>
      </c>
      <c r="O13" s="18" t="s">
        <v>394</v>
      </c>
      <c r="P13" s="29">
        <f t="shared" si="1"/>
        <v>0</v>
      </c>
    </row>
    <row r="14" spans="1:16" ht="15" customHeight="1">
      <c r="A14" s="4" t="s">
        <v>44</v>
      </c>
      <c r="B14" s="67" t="s">
        <v>43</v>
      </c>
      <c r="C14" s="67"/>
      <c r="D14" s="67"/>
      <c r="E14" s="67"/>
      <c r="F14" s="67"/>
      <c r="G14" s="67"/>
      <c r="H14" s="67"/>
      <c r="I14" s="67"/>
      <c r="J14" s="29">
        <f>SUMIF('Stavební rozpočet'!AZ13:AZ233,"71_",'Stavební rozpočet'!AW13:AW233)</f>
        <v>0</v>
      </c>
      <c r="K14" s="29">
        <f>SUMIF('Stavební rozpočet'!AZ13:AZ233,"71_",'Stavební rozpočet'!AX13:AX233)</f>
        <v>0</v>
      </c>
      <c r="L14" s="2">
        <f>SUMIF('Stavební rozpočet'!AZ13:AZ233,"71_",'Stavební rozpočet'!AV13:AV233)</f>
        <v>0</v>
      </c>
      <c r="M14" s="23" t="s">
        <v>559</v>
      </c>
      <c r="N14" s="29">
        <f t="shared" si="0"/>
        <v>0</v>
      </c>
      <c r="O14" s="18" t="s">
        <v>394</v>
      </c>
      <c r="P14" s="29">
        <f t="shared" si="1"/>
        <v>0</v>
      </c>
    </row>
    <row r="15" spans="1:16" ht="15" customHeight="1">
      <c r="A15" s="4" t="s">
        <v>447</v>
      </c>
      <c r="B15" s="67" t="s">
        <v>103</v>
      </c>
      <c r="C15" s="67"/>
      <c r="D15" s="67"/>
      <c r="E15" s="67"/>
      <c r="F15" s="67"/>
      <c r="G15" s="67"/>
      <c r="H15" s="67"/>
      <c r="I15" s="67"/>
      <c r="J15" s="29">
        <f>SUMIF('Stavební rozpočet'!AZ13:AZ233,"72_",'Stavební rozpočet'!AW13:AW233)</f>
        <v>0</v>
      </c>
      <c r="K15" s="29">
        <f>SUMIF('Stavební rozpočet'!AZ13:AZ233,"72_",'Stavební rozpočet'!AX13:AX233)</f>
        <v>0</v>
      </c>
      <c r="L15" s="2">
        <f>SUMIF('Stavební rozpočet'!AZ13:AZ233,"72_",'Stavební rozpočet'!AV13:AV233)</f>
        <v>0</v>
      </c>
      <c r="M15" s="23" t="s">
        <v>559</v>
      </c>
      <c r="N15" s="29">
        <f t="shared" si="0"/>
        <v>0</v>
      </c>
      <c r="O15" s="18" t="s">
        <v>394</v>
      </c>
      <c r="P15" s="29">
        <f t="shared" si="1"/>
        <v>0</v>
      </c>
    </row>
    <row r="16" spans="1:16" ht="15" customHeight="1">
      <c r="A16" s="4" t="s">
        <v>377</v>
      </c>
      <c r="B16" s="67" t="s">
        <v>143</v>
      </c>
      <c r="C16" s="67"/>
      <c r="D16" s="67"/>
      <c r="E16" s="67"/>
      <c r="F16" s="67"/>
      <c r="G16" s="67"/>
      <c r="H16" s="67"/>
      <c r="I16" s="67"/>
      <c r="J16" s="29">
        <f>SUMIF('Stavební rozpočet'!AZ13:AZ233,"76_",'Stavební rozpočet'!AW13:AW233)</f>
        <v>0</v>
      </c>
      <c r="K16" s="29">
        <f>SUMIF('Stavební rozpočet'!AZ13:AZ233,"76_",'Stavební rozpočet'!AX13:AX233)</f>
        <v>0</v>
      </c>
      <c r="L16" s="2">
        <f>SUMIF('Stavební rozpočet'!AZ13:AZ233,"76_",'Stavební rozpočet'!AV13:AV233)</f>
        <v>0</v>
      </c>
      <c r="M16" s="23" t="s">
        <v>559</v>
      </c>
      <c r="N16" s="29">
        <f t="shared" si="0"/>
        <v>0</v>
      </c>
      <c r="O16" s="18" t="s">
        <v>394</v>
      </c>
      <c r="P16" s="29">
        <f t="shared" si="1"/>
        <v>0</v>
      </c>
    </row>
    <row r="17" spans="1:16" ht="15" customHeight="1">
      <c r="A17" s="4" t="s">
        <v>278</v>
      </c>
      <c r="B17" s="67" t="s">
        <v>405</v>
      </c>
      <c r="C17" s="67"/>
      <c r="D17" s="67"/>
      <c r="E17" s="67"/>
      <c r="F17" s="67"/>
      <c r="G17" s="67"/>
      <c r="H17" s="67"/>
      <c r="I17" s="67"/>
      <c r="J17" s="29">
        <f>SUMIF('Stavební rozpočet'!AZ13:AZ233,"77_",'Stavební rozpočet'!AW13:AW233)</f>
        <v>0</v>
      </c>
      <c r="K17" s="29">
        <f>SUMIF('Stavební rozpočet'!AZ13:AZ233,"77_",'Stavební rozpočet'!AX13:AX233)</f>
        <v>0</v>
      </c>
      <c r="L17" s="2">
        <f>SUMIF('Stavební rozpočet'!AZ13:AZ233,"77_",'Stavební rozpočet'!AV13:AV233)</f>
        <v>0</v>
      </c>
      <c r="M17" s="23" t="s">
        <v>559</v>
      </c>
      <c r="N17" s="29">
        <f t="shared" si="0"/>
        <v>0</v>
      </c>
      <c r="O17" s="18" t="s">
        <v>394</v>
      </c>
      <c r="P17" s="29">
        <f t="shared" si="1"/>
        <v>0</v>
      </c>
    </row>
    <row r="18" spans="1:16" ht="15" customHeight="1">
      <c r="A18" s="4" t="s">
        <v>133</v>
      </c>
      <c r="B18" s="67" t="s">
        <v>30</v>
      </c>
      <c r="C18" s="67"/>
      <c r="D18" s="67"/>
      <c r="E18" s="67"/>
      <c r="F18" s="67"/>
      <c r="G18" s="67"/>
      <c r="H18" s="67"/>
      <c r="I18" s="67"/>
      <c r="J18" s="29">
        <f>SUMIF('Stavební rozpočet'!AZ13:AZ233,"78_",'Stavební rozpočet'!AW13:AW233)</f>
        <v>0</v>
      </c>
      <c r="K18" s="29">
        <f>SUMIF('Stavební rozpočet'!AZ13:AZ233,"78_",'Stavební rozpočet'!AX13:AX233)</f>
        <v>0</v>
      </c>
      <c r="L18" s="2">
        <f>SUMIF('Stavební rozpočet'!AZ13:AZ233,"78_",'Stavební rozpočet'!AV13:AV233)</f>
        <v>0</v>
      </c>
      <c r="M18" s="23" t="s">
        <v>559</v>
      </c>
      <c r="N18" s="29">
        <f t="shared" si="0"/>
        <v>0</v>
      </c>
      <c r="O18" s="18" t="s">
        <v>394</v>
      </c>
      <c r="P18" s="29">
        <f t="shared" si="1"/>
        <v>0</v>
      </c>
    </row>
    <row r="19" spans="1:16" ht="15" customHeight="1">
      <c r="A19" s="6" t="s">
        <v>212</v>
      </c>
      <c r="B19" s="92" t="s">
        <v>547</v>
      </c>
      <c r="C19" s="92"/>
      <c r="D19" s="92"/>
      <c r="E19" s="92"/>
      <c r="F19" s="92"/>
      <c r="G19" s="92"/>
      <c r="H19" s="92"/>
      <c r="I19" s="92"/>
      <c r="J19" s="44">
        <f>SUMIF('Stavební rozpočet'!AZ13:AZ233,"9_",'Stavební rozpočet'!AW13:AW233)</f>
        <v>0</v>
      </c>
      <c r="K19" s="44">
        <f>SUMIF('Stavební rozpočet'!AZ13:AZ233,"9_",'Stavební rozpočet'!AX13:AX233)</f>
        <v>0</v>
      </c>
      <c r="L19" s="22">
        <f>SUMIF('Stavební rozpočet'!AZ13:AZ233,"9_",'Stavební rozpočet'!AV13:AV233)</f>
        <v>0</v>
      </c>
      <c r="M19" s="23" t="s">
        <v>559</v>
      </c>
      <c r="N19" s="29">
        <f t="shared" si="0"/>
        <v>0</v>
      </c>
      <c r="O19" s="18" t="s">
        <v>394</v>
      </c>
      <c r="P19" s="29">
        <f t="shared" si="1"/>
        <v>0</v>
      </c>
    </row>
    <row r="20" spans="10:12" ht="15" customHeight="1">
      <c r="J20" s="73" t="s">
        <v>460</v>
      </c>
      <c r="K20" s="73"/>
      <c r="L20" s="27">
        <f>ROUND(SUM(N12:N19),1)</f>
        <v>0</v>
      </c>
    </row>
    <row r="21" ht="15" customHeight="1">
      <c r="A21" s="33" t="s">
        <v>38</v>
      </c>
    </row>
    <row r="22" spans="1:12" ht="12.75" customHeight="1">
      <c r="A22" s="70" t="s">
        <v>394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</sheetData>
  <sheetProtection password="CE4B" sheet="1"/>
  <mergeCells count="38">
    <mergeCell ref="A22:L22"/>
    <mergeCell ref="B15:I15"/>
    <mergeCell ref="B16:I16"/>
    <mergeCell ref="B17:I17"/>
    <mergeCell ref="B18:I18"/>
    <mergeCell ref="B19:I19"/>
    <mergeCell ref="J20:K20"/>
    <mergeCell ref="B10:I10"/>
    <mergeCell ref="B11:I11"/>
    <mergeCell ref="J10:L10"/>
    <mergeCell ref="B12:I12"/>
    <mergeCell ref="B13:I13"/>
    <mergeCell ref="B14:I14"/>
    <mergeCell ref="I2:I3"/>
    <mergeCell ref="I4:I5"/>
    <mergeCell ref="I6:I7"/>
    <mergeCell ref="I8:I9"/>
    <mergeCell ref="J2:L3"/>
    <mergeCell ref="J4:L5"/>
    <mergeCell ref="J6:L7"/>
    <mergeCell ref="J8:L9"/>
    <mergeCell ref="G4:G5"/>
    <mergeCell ref="G6:G7"/>
    <mergeCell ref="G8:G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OutlineSymbols="0" zoomScalePageLayoutView="0" workbookViewId="0" topLeftCell="A1">
      <pane ySplit="11" topLeftCell="A12" activePane="bottomLeft" state="frozen"/>
      <selection pane="topLeft" activeCell="C32" sqref="C32:D32"/>
      <selection pane="bottomLeft" activeCell="A1" sqref="A1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4" width="14.16015625" style="0" customWidth="1"/>
    <col min="5" max="7" width="32.5" style="0" customWidth="1"/>
    <col min="8" max="9" width="0" style="0" hidden="1" customWidth="1"/>
  </cols>
  <sheetData>
    <row r="1" spans="1:7" ht="54.75" customHeight="1">
      <c r="A1" s="63" t="s">
        <v>482</v>
      </c>
      <c r="B1" s="63"/>
      <c r="C1" s="63"/>
      <c r="D1" s="63"/>
      <c r="E1" s="63"/>
      <c r="F1" s="63"/>
      <c r="G1" s="63"/>
    </row>
    <row r="2" spans="1:7" ht="15" customHeight="1">
      <c r="A2" s="64" t="s">
        <v>32</v>
      </c>
      <c r="B2" s="65"/>
      <c r="C2" s="71" t="str">
        <f>'Stavební rozpočet'!C2</f>
        <v>Stavební úpravy - Muzeum Stochov - výstavní prostory 2.NP</v>
      </c>
      <c r="D2" s="65" t="s">
        <v>4</v>
      </c>
      <c r="E2" s="65" t="s">
        <v>537</v>
      </c>
      <c r="F2" s="69" t="s">
        <v>488</v>
      </c>
      <c r="G2" s="94" t="str">
        <f>'Stavební rozpočet'!J2</f>
        <v>Město Stochov</v>
      </c>
    </row>
    <row r="3" spans="1:7" ht="15" customHeight="1">
      <c r="A3" s="66"/>
      <c r="B3" s="67"/>
      <c r="C3" s="73"/>
      <c r="D3" s="67"/>
      <c r="E3" s="67"/>
      <c r="F3" s="67"/>
      <c r="G3" s="77"/>
    </row>
    <row r="4" spans="1:7" ht="15" customHeight="1">
      <c r="A4" s="68" t="s">
        <v>304</v>
      </c>
      <c r="B4" s="67"/>
      <c r="C4" s="70" t="str">
        <f>'Stavební rozpočet'!C4</f>
        <v> </v>
      </c>
      <c r="D4" s="67" t="s">
        <v>514</v>
      </c>
      <c r="E4" s="67" t="s">
        <v>537</v>
      </c>
      <c r="F4" s="70" t="s">
        <v>390</v>
      </c>
      <c r="G4" s="95" t="str">
        <f>'Stavební rozpočet'!J4</f>
        <v>Ing.arch. Karel  Albrecht</v>
      </c>
    </row>
    <row r="5" spans="1:7" ht="15" customHeight="1">
      <c r="A5" s="66"/>
      <c r="B5" s="67"/>
      <c r="C5" s="67"/>
      <c r="D5" s="67"/>
      <c r="E5" s="67"/>
      <c r="F5" s="67"/>
      <c r="G5" s="77"/>
    </row>
    <row r="6" spans="1:7" ht="15" customHeight="1">
      <c r="A6" s="68" t="s">
        <v>41</v>
      </c>
      <c r="B6" s="67"/>
      <c r="C6" s="70" t="str">
        <f>'Stavební rozpočet'!C6</f>
        <v>Stochov, nám.u dubu 30, parc.č.3, k.ú.Stochov</v>
      </c>
      <c r="D6" s="67" t="s">
        <v>181</v>
      </c>
      <c r="E6" s="67" t="s">
        <v>537</v>
      </c>
      <c r="F6" s="70" t="s">
        <v>503</v>
      </c>
      <c r="G6" s="95" t="str">
        <f>'Stavební rozpočet'!J6</f>
        <v>Dle výběrového řízení</v>
      </c>
    </row>
    <row r="7" spans="1:7" ht="15" customHeight="1">
      <c r="A7" s="66"/>
      <c r="B7" s="67"/>
      <c r="C7" s="67"/>
      <c r="D7" s="67"/>
      <c r="E7" s="67"/>
      <c r="F7" s="67"/>
      <c r="G7" s="77"/>
    </row>
    <row r="8" spans="1:7" ht="15" customHeight="1">
      <c r="A8" s="68" t="s">
        <v>374</v>
      </c>
      <c r="B8" s="67"/>
      <c r="C8" s="70" t="str">
        <f>'Stavební rozpočet'!J8</f>
        <v> </v>
      </c>
      <c r="D8" s="67" t="s">
        <v>311</v>
      </c>
      <c r="E8" s="67" t="s">
        <v>15</v>
      </c>
      <c r="F8" s="67" t="s">
        <v>311</v>
      </c>
      <c r="G8" s="95" t="str">
        <f>'Stavební rozpočet'!G8</f>
        <v>27.12.2022</v>
      </c>
    </row>
    <row r="9" spans="1:7" ht="15" customHeight="1">
      <c r="A9" s="66"/>
      <c r="B9" s="67"/>
      <c r="C9" s="67"/>
      <c r="D9" s="92"/>
      <c r="E9" s="67"/>
      <c r="F9" s="67"/>
      <c r="G9" s="77"/>
    </row>
    <row r="10" spans="1:7" ht="15" customHeight="1">
      <c r="A10" s="31" t="s">
        <v>424</v>
      </c>
      <c r="B10" s="16" t="s">
        <v>187</v>
      </c>
      <c r="C10" s="30" t="s">
        <v>634</v>
      </c>
      <c r="E10" s="53" t="s">
        <v>275</v>
      </c>
      <c r="F10" s="39" t="s">
        <v>658</v>
      </c>
      <c r="G10" s="39" t="s">
        <v>27</v>
      </c>
    </row>
    <row r="11" spans="1:9" ht="15" customHeight="1">
      <c r="A11" s="4" t="s">
        <v>394</v>
      </c>
      <c r="B11" s="18" t="s">
        <v>332</v>
      </c>
      <c r="C11" s="67" t="s">
        <v>556</v>
      </c>
      <c r="D11" s="67"/>
      <c r="E11" s="29">
        <f>'Stavební rozpočet'!J12</f>
        <v>0</v>
      </c>
      <c r="F11" s="29">
        <f>'Stavební rozpočet'!K12</f>
        <v>0</v>
      </c>
      <c r="G11" s="29">
        <f>'Stavební rozpočet'!L12</f>
        <v>0</v>
      </c>
      <c r="H11" s="23" t="s">
        <v>559</v>
      </c>
      <c r="I11" s="29">
        <f aca="true" t="shared" si="0" ref="I11:I32">IF(H11="F",0,G11)</f>
        <v>0</v>
      </c>
    </row>
    <row r="12" spans="1:9" ht="15" customHeight="1">
      <c r="A12" s="4" t="s">
        <v>394</v>
      </c>
      <c r="B12" s="18" t="s">
        <v>651</v>
      </c>
      <c r="C12" s="67" t="s">
        <v>139</v>
      </c>
      <c r="D12" s="67"/>
      <c r="E12" s="29">
        <f>'Stavební rozpočet'!J17</f>
        <v>0</v>
      </c>
      <c r="F12" s="29">
        <f>'Stavební rozpočet'!K17</f>
        <v>0</v>
      </c>
      <c r="G12" s="29">
        <f>'Stavební rozpočet'!L17</f>
        <v>0</v>
      </c>
      <c r="H12" s="23" t="s">
        <v>559</v>
      </c>
      <c r="I12" s="29">
        <f t="shared" si="0"/>
        <v>0</v>
      </c>
    </row>
    <row r="13" spans="1:9" ht="15" customHeight="1">
      <c r="A13" s="4" t="s">
        <v>394</v>
      </c>
      <c r="B13" s="18" t="s">
        <v>415</v>
      </c>
      <c r="C13" s="67" t="s">
        <v>408</v>
      </c>
      <c r="D13" s="67"/>
      <c r="E13" s="29">
        <f>'Stavební rozpočet'!J27</f>
        <v>0</v>
      </c>
      <c r="F13" s="29">
        <f>'Stavební rozpočet'!K27</f>
        <v>0</v>
      </c>
      <c r="G13" s="29">
        <f>'Stavební rozpočet'!L27</f>
        <v>0</v>
      </c>
      <c r="H13" s="23" t="s">
        <v>559</v>
      </c>
      <c r="I13" s="29">
        <f t="shared" si="0"/>
        <v>0</v>
      </c>
    </row>
    <row r="14" spans="1:9" ht="15" customHeight="1">
      <c r="A14" s="4" t="s">
        <v>394</v>
      </c>
      <c r="B14" s="18" t="s">
        <v>137</v>
      </c>
      <c r="C14" s="67" t="s">
        <v>588</v>
      </c>
      <c r="D14" s="67"/>
      <c r="E14" s="29">
        <f>'Stavební rozpočet'!J32</f>
        <v>0</v>
      </c>
      <c r="F14" s="29">
        <f>'Stavební rozpočet'!K32</f>
        <v>0</v>
      </c>
      <c r="G14" s="29">
        <f>'Stavební rozpočet'!L32</f>
        <v>0</v>
      </c>
      <c r="H14" s="23" t="s">
        <v>559</v>
      </c>
      <c r="I14" s="29">
        <f t="shared" si="0"/>
        <v>0</v>
      </c>
    </row>
    <row r="15" spans="1:9" ht="15" customHeight="1">
      <c r="A15" s="4" t="s">
        <v>394</v>
      </c>
      <c r="B15" s="18" t="s">
        <v>272</v>
      </c>
      <c r="C15" s="67" t="s">
        <v>598</v>
      </c>
      <c r="D15" s="67"/>
      <c r="E15" s="29">
        <f>'Stavební rozpočet'!J42</f>
        <v>0</v>
      </c>
      <c r="F15" s="29">
        <f>'Stavební rozpočet'!K42</f>
        <v>0</v>
      </c>
      <c r="G15" s="29">
        <f>'Stavební rozpočet'!L42</f>
        <v>0</v>
      </c>
      <c r="H15" s="23" t="s">
        <v>559</v>
      </c>
      <c r="I15" s="29">
        <f t="shared" si="0"/>
        <v>0</v>
      </c>
    </row>
    <row r="16" spans="1:9" ht="15" customHeight="1">
      <c r="A16" s="4" t="s">
        <v>394</v>
      </c>
      <c r="B16" s="18" t="s">
        <v>62</v>
      </c>
      <c r="C16" s="67" t="s">
        <v>402</v>
      </c>
      <c r="D16" s="67"/>
      <c r="E16" s="29">
        <f>'Stavební rozpočet'!J55</f>
        <v>0</v>
      </c>
      <c r="F16" s="29">
        <f>'Stavební rozpočet'!K55</f>
        <v>0</v>
      </c>
      <c r="G16" s="29">
        <f>'Stavební rozpočet'!L55</f>
        <v>0</v>
      </c>
      <c r="H16" s="23" t="s">
        <v>559</v>
      </c>
      <c r="I16" s="29">
        <f t="shared" si="0"/>
        <v>0</v>
      </c>
    </row>
    <row r="17" spans="1:9" ht="15" customHeight="1">
      <c r="A17" s="4" t="s">
        <v>394</v>
      </c>
      <c r="B17" s="18" t="s">
        <v>218</v>
      </c>
      <c r="C17" s="67" t="s">
        <v>425</v>
      </c>
      <c r="D17" s="67"/>
      <c r="E17" s="29">
        <f>'Stavební rozpočet'!J57</f>
        <v>0</v>
      </c>
      <c r="F17" s="29">
        <f>'Stavební rozpočet'!K57</f>
        <v>0</v>
      </c>
      <c r="G17" s="29">
        <f>'Stavební rozpočet'!L57</f>
        <v>0</v>
      </c>
      <c r="H17" s="23" t="s">
        <v>559</v>
      </c>
      <c r="I17" s="29">
        <f t="shared" si="0"/>
        <v>0</v>
      </c>
    </row>
    <row r="18" spans="1:9" ht="15" customHeight="1">
      <c r="A18" s="4" t="s">
        <v>394</v>
      </c>
      <c r="B18" s="18" t="s">
        <v>619</v>
      </c>
      <c r="C18" s="67" t="s">
        <v>337</v>
      </c>
      <c r="D18" s="67"/>
      <c r="E18" s="29">
        <f>'Stavební rozpočet'!J61</f>
        <v>0</v>
      </c>
      <c r="F18" s="29">
        <f>'Stavební rozpočet'!K61</f>
        <v>0</v>
      </c>
      <c r="G18" s="29">
        <f>'Stavební rozpočet'!L61</f>
        <v>0</v>
      </c>
      <c r="H18" s="23" t="s">
        <v>559</v>
      </c>
      <c r="I18" s="29">
        <f t="shared" si="0"/>
        <v>0</v>
      </c>
    </row>
    <row r="19" spans="1:9" ht="15" customHeight="1">
      <c r="A19" s="4" t="s">
        <v>394</v>
      </c>
      <c r="B19" s="18" t="s">
        <v>308</v>
      </c>
      <c r="C19" s="67" t="s">
        <v>426</v>
      </c>
      <c r="D19" s="67"/>
      <c r="E19" s="29">
        <f>'Stavební rozpočet'!J63</f>
        <v>0</v>
      </c>
      <c r="F19" s="29">
        <f>'Stavební rozpočet'!K63</f>
        <v>0</v>
      </c>
      <c r="G19" s="29">
        <f>'Stavební rozpočet'!L63</f>
        <v>0</v>
      </c>
      <c r="H19" s="23" t="s">
        <v>559</v>
      </c>
      <c r="I19" s="29">
        <f t="shared" si="0"/>
        <v>0</v>
      </c>
    </row>
    <row r="20" spans="1:9" ht="15" customHeight="1">
      <c r="A20" s="4" t="s">
        <v>394</v>
      </c>
      <c r="B20" s="18" t="s">
        <v>60</v>
      </c>
      <c r="C20" s="67" t="s">
        <v>648</v>
      </c>
      <c r="D20" s="67"/>
      <c r="E20" s="29">
        <f>'Stavební rozpočet'!J71</f>
        <v>0</v>
      </c>
      <c r="F20" s="29">
        <f>'Stavební rozpočet'!K71</f>
        <v>0</v>
      </c>
      <c r="G20" s="29">
        <f>'Stavební rozpočet'!L71</f>
        <v>0</v>
      </c>
      <c r="H20" s="23" t="s">
        <v>559</v>
      </c>
      <c r="I20" s="29">
        <f t="shared" si="0"/>
        <v>0</v>
      </c>
    </row>
    <row r="21" spans="1:9" ht="15" customHeight="1">
      <c r="A21" s="4" t="s">
        <v>394</v>
      </c>
      <c r="B21" s="18" t="s">
        <v>188</v>
      </c>
      <c r="C21" s="67" t="s">
        <v>236</v>
      </c>
      <c r="D21" s="67"/>
      <c r="E21" s="29">
        <f>'Stavební rozpočet'!J76</f>
        <v>0</v>
      </c>
      <c r="F21" s="29">
        <f>'Stavební rozpočet'!K76</f>
        <v>0</v>
      </c>
      <c r="G21" s="29">
        <f>'Stavební rozpočet'!L76</f>
        <v>0</v>
      </c>
      <c r="H21" s="23" t="s">
        <v>559</v>
      </c>
      <c r="I21" s="29">
        <f t="shared" si="0"/>
        <v>0</v>
      </c>
    </row>
    <row r="22" spans="1:9" ht="15" customHeight="1">
      <c r="A22" s="4" t="s">
        <v>394</v>
      </c>
      <c r="B22" s="18" t="s">
        <v>469</v>
      </c>
      <c r="C22" s="67" t="s">
        <v>495</v>
      </c>
      <c r="D22" s="67"/>
      <c r="E22" s="29">
        <f>'Stavební rozpočet'!J88</f>
        <v>0</v>
      </c>
      <c r="F22" s="29">
        <f>'Stavební rozpočet'!K88</f>
        <v>0</v>
      </c>
      <c r="G22" s="29">
        <f>'Stavební rozpočet'!L88</f>
        <v>0</v>
      </c>
      <c r="H22" s="23" t="s">
        <v>559</v>
      </c>
      <c r="I22" s="29">
        <f t="shared" si="0"/>
        <v>0</v>
      </c>
    </row>
    <row r="23" spans="1:9" ht="15" customHeight="1">
      <c r="A23" s="4" t="s">
        <v>394</v>
      </c>
      <c r="B23" s="18" t="s">
        <v>362</v>
      </c>
      <c r="C23" s="67" t="s">
        <v>659</v>
      </c>
      <c r="D23" s="67"/>
      <c r="E23" s="29">
        <f>'Stavební rozpočet'!J97</f>
        <v>0</v>
      </c>
      <c r="F23" s="29">
        <f>'Stavební rozpočet'!K97</f>
        <v>0</v>
      </c>
      <c r="G23" s="29">
        <f>'Stavební rozpočet'!L97</f>
        <v>0</v>
      </c>
      <c r="H23" s="23" t="s">
        <v>559</v>
      </c>
      <c r="I23" s="29">
        <f t="shared" si="0"/>
        <v>0</v>
      </c>
    </row>
    <row r="24" spans="1:9" ht="15" customHeight="1">
      <c r="A24" s="4" t="s">
        <v>394</v>
      </c>
      <c r="B24" s="18" t="s">
        <v>521</v>
      </c>
      <c r="C24" s="67" t="s">
        <v>347</v>
      </c>
      <c r="D24" s="67"/>
      <c r="E24" s="29">
        <f>'Stavební rozpočet'!J102</f>
        <v>0</v>
      </c>
      <c r="F24" s="29">
        <f>'Stavební rozpočet'!K102</f>
        <v>0</v>
      </c>
      <c r="G24" s="29">
        <f>'Stavební rozpočet'!L102</f>
        <v>0</v>
      </c>
      <c r="H24" s="23" t="s">
        <v>559</v>
      </c>
      <c r="I24" s="29">
        <f t="shared" si="0"/>
        <v>0</v>
      </c>
    </row>
    <row r="25" spans="1:9" ht="15" customHeight="1">
      <c r="A25" s="4" t="s">
        <v>394</v>
      </c>
      <c r="B25" s="18" t="s">
        <v>558</v>
      </c>
      <c r="C25" s="67" t="s">
        <v>333</v>
      </c>
      <c r="D25" s="67"/>
      <c r="E25" s="29">
        <f>'Stavební rozpočet'!J112</f>
        <v>0</v>
      </c>
      <c r="F25" s="29">
        <f>'Stavební rozpočet'!K112</f>
        <v>0</v>
      </c>
      <c r="G25" s="29">
        <f>'Stavební rozpočet'!L112</f>
        <v>0</v>
      </c>
      <c r="H25" s="23" t="s">
        <v>559</v>
      </c>
      <c r="I25" s="29">
        <f t="shared" si="0"/>
        <v>0</v>
      </c>
    </row>
    <row r="26" spans="1:9" ht="15" customHeight="1">
      <c r="A26" s="4" t="s">
        <v>394</v>
      </c>
      <c r="B26" s="18" t="s">
        <v>350</v>
      </c>
      <c r="C26" s="67" t="s">
        <v>618</v>
      </c>
      <c r="D26" s="67"/>
      <c r="E26" s="29">
        <f>'Stavební rozpočet'!J119</f>
        <v>0</v>
      </c>
      <c r="F26" s="29">
        <f>'Stavební rozpočet'!K119</f>
        <v>0</v>
      </c>
      <c r="G26" s="29">
        <f>'Stavební rozpočet'!L119</f>
        <v>0</v>
      </c>
      <c r="H26" s="23" t="s">
        <v>559</v>
      </c>
      <c r="I26" s="29">
        <f t="shared" si="0"/>
        <v>0</v>
      </c>
    </row>
    <row r="27" spans="1:9" ht="15" customHeight="1">
      <c r="A27" s="4" t="s">
        <v>394</v>
      </c>
      <c r="B27" s="18" t="s">
        <v>228</v>
      </c>
      <c r="C27" s="67" t="s">
        <v>260</v>
      </c>
      <c r="D27" s="67"/>
      <c r="E27" s="29">
        <f>'Stavební rozpočet'!J134</f>
        <v>0</v>
      </c>
      <c r="F27" s="29">
        <f>'Stavební rozpočet'!K134</f>
        <v>0</v>
      </c>
      <c r="G27" s="29">
        <f>'Stavební rozpočet'!L134</f>
        <v>0</v>
      </c>
      <c r="H27" s="23" t="s">
        <v>559</v>
      </c>
      <c r="I27" s="29">
        <f t="shared" si="0"/>
        <v>0</v>
      </c>
    </row>
    <row r="28" spans="1:9" ht="15" customHeight="1">
      <c r="A28" s="4" t="s">
        <v>394</v>
      </c>
      <c r="B28" s="18" t="s">
        <v>457</v>
      </c>
      <c r="C28" s="67" t="s">
        <v>373</v>
      </c>
      <c r="D28" s="67"/>
      <c r="E28" s="29">
        <f>'Stavební rozpočet'!J159</f>
        <v>0</v>
      </c>
      <c r="F28" s="29">
        <f>'Stavební rozpočet'!K159</f>
        <v>0</v>
      </c>
      <c r="G28" s="29">
        <f>'Stavební rozpočet'!L159</f>
        <v>0</v>
      </c>
      <c r="H28" s="23" t="s">
        <v>559</v>
      </c>
      <c r="I28" s="29">
        <f t="shared" si="0"/>
        <v>0</v>
      </c>
    </row>
    <row r="29" spans="1:9" ht="15" customHeight="1">
      <c r="A29" s="4" t="s">
        <v>394</v>
      </c>
      <c r="B29" s="18" t="s">
        <v>307</v>
      </c>
      <c r="C29" s="67" t="s">
        <v>11</v>
      </c>
      <c r="D29" s="67"/>
      <c r="E29" s="29">
        <f>'Stavební rozpočet'!J175</f>
        <v>0</v>
      </c>
      <c r="F29" s="29">
        <f>'Stavební rozpočet'!K175</f>
        <v>0</v>
      </c>
      <c r="G29" s="29">
        <f>'Stavební rozpočet'!L175</f>
        <v>0</v>
      </c>
      <c r="H29" s="23" t="s">
        <v>559</v>
      </c>
      <c r="I29" s="29">
        <f t="shared" si="0"/>
        <v>0</v>
      </c>
    </row>
    <row r="30" spans="1:9" ht="15" customHeight="1">
      <c r="A30" s="4" t="s">
        <v>394</v>
      </c>
      <c r="B30" s="18" t="s">
        <v>87</v>
      </c>
      <c r="C30" s="67" t="s">
        <v>434</v>
      </c>
      <c r="D30" s="67"/>
      <c r="E30" s="29">
        <f>'Stavební rozpočet'!J179</f>
        <v>0</v>
      </c>
      <c r="F30" s="29">
        <f>'Stavební rozpočet'!K179</f>
        <v>0</v>
      </c>
      <c r="G30" s="29">
        <f>'Stavební rozpočet'!L179</f>
        <v>0</v>
      </c>
      <c r="H30" s="23" t="s">
        <v>559</v>
      </c>
      <c r="I30" s="29">
        <f t="shared" si="0"/>
        <v>0</v>
      </c>
    </row>
    <row r="31" spans="1:9" ht="15" customHeight="1">
      <c r="A31" s="4" t="s">
        <v>394</v>
      </c>
      <c r="B31" s="18" t="s">
        <v>9</v>
      </c>
      <c r="C31" s="67" t="s">
        <v>115</v>
      </c>
      <c r="D31" s="67"/>
      <c r="E31" s="29">
        <f>'Stavební rozpočet'!J215</f>
        <v>0</v>
      </c>
      <c r="F31" s="29">
        <f>'Stavební rozpočet'!K215</f>
        <v>0</v>
      </c>
      <c r="G31" s="29">
        <f>'Stavební rozpočet'!L215</f>
        <v>0</v>
      </c>
      <c r="H31" s="23" t="s">
        <v>559</v>
      </c>
      <c r="I31" s="29">
        <f t="shared" si="0"/>
        <v>0</v>
      </c>
    </row>
    <row r="32" spans="1:9" ht="15" customHeight="1">
      <c r="A32" s="4" t="s">
        <v>394</v>
      </c>
      <c r="B32" s="18" t="s">
        <v>513</v>
      </c>
      <c r="C32" s="67" t="s">
        <v>166</v>
      </c>
      <c r="D32" s="67"/>
      <c r="E32" s="29">
        <f>'Stavební rozpočet'!J224</f>
        <v>0</v>
      </c>
      <c r="F32" s="29">
        <f>'Stavební rozpočet'!K224</f>
        <v>0</v>
      </c>
      <c r="G32" s="29">
        <f>'Stavební rozpočet'!L224</f>
        <v>0</v>
      </c>
      <c r="H32" s="23" t="s">
        <v>559</v>
      </c>
      <c r="I32" s="29">
        <f t="shared" si="0"/>
        <v>0</v>
      </c>
    </row>
    <row r="33" spans="6:7" ht="15" customHeight="1">
      <c r="F33" s="5" t="s">
        <v>460</v>
      </c>
      <c r="G33" s="27">
        <f>ROUND(SUM(I11:I32),1)</f>
        <v>0</v>
      </c>
    </row>
  </sheetData>
  <sheetProtection password="CE4B" sheet="1"/>
  <mergeCells count="47">
    <mergeCell ref="C30:D30"/>
    <mergeCell ref="C31:D31"/>
    <mergeCell ref="C32:D32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E8:E9"/>
    <mergeCell ref="G2:G3"/>
    <mergeCell ref="G4:G5"/>
    <mergeCell ref="G6:G7"/>
    <mergeCell ref="G8:G9"/>
    <mergeCell ref="C11:D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37" sqref="A37:I3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96" t="s">
        <v>135</v>
      </c>
      <c r="B1" s="63"/>
      <c r="C1" s="63"/>
      <c r="D1" s="63"/>
      <c r="E1" s="63"/>
      <c r="F1" s="63"/>
      <c r="G1" s="63"/>
      <c r="H1" s="63"/>
      <c r="I1" s="63"/>
    </row>
    <row r="2" spans="1:9" ht="15" customHeight="1">
      <c r="A2" s="64" t="s">
        <v>32</v>
      </c>
      <c r="B2" s="65"/>
      <c r="C2" s="71" t="str">
        <f>'Stavební rozpočet'!C2</f>
        <v>Stavební úpravy - Muzeum Stochov - výstavní prostory 2.NP</v>
      </c>
      <c r="D2" s="72"/>
      <c r="E2" s="69" t="s">
        <v>488</v>
      </c>
      <c r="F2" s="69" t="str">
        <f>'Stavební rozpočet'!J2</f>
        <v>Město Stochov</v>
      </c>
      <c r="G2" s="65"/>
      <c r="H2" s="69" t="s">
        <v>367</v>
      </c>
      <c r="I2" s="76" t="s">
        <v>394</v>
      </c>
    </row>
    <row r="3" spans="1:9" ht="15" customHeight="1">
      <c r="A3" s="66"/>
      <c r="B3" s="67"/>
      <c r="C3" s="73"/>
      <c r="D3" s="73"/>
      <c r="E3" s="67"/>
      <c r="F3" s="67"/>
      <c r="G3" s="67"/>
      <c r="H3" s="67"/>
      <c r="I3" s="77"/>
    </row>
    <row r="4" spans="1:9" ht="15" customHeight="1">
      <c r="A4" s="68" t="s">
        <v>304</v>
      </c>
      <c r="B4" s="67"/>
      <c r="C4" s="70" t="str">
        <f>'Stavební rozpočet'!C4</f>
        <v> </v>
      </c>
      <c r="D4" s="67"/>
      <c r="E4" s="70" t="s">
        <v>390</v>
      </c>
      <c r="F4" s="70" t="str">
        <f>'Stavební rozpočet'!J4</f>
        <v>Ing.arch. Karel  Albrecht</v>
      </c>
      <c r="G4" s="67"/>
      <c r="H4" s="70" t="s">
        <v>367</v>
      </c>
      <c r="I4" s="77" t="s">
        <v>394</v>
      </c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77"/>
    </row>
    <row r="6" spans="1:9" ht="15" customHeight="1">
      <c r="A6" s="68" t="s">
        <v>41</v>
      </c>
      <c r="B6" s="67"/>
      <c r="C6" s="70" t="str">
        <f>'Stavební rozpočet'!C6</f>
        <v>Stochov, nám.u dubu 30, parc.č.3, k.ú.Stochov</v>
      </c>
      <c r="D6" s="67"/>
      <c r="E6" s="70" t="s">
        <v>503</v>
      </c>
      <c r="F6" s="70" t="str">
        <f>'Stavební rozpočet'!J6</f>
        <v>Dle výběrového řízení</v>
      </c>
      <c r="G6" s="67"/>
      <c r="H6" s="70" t="s">
        <v>367</v>
      </c>
      <c r="I6" s="77" t="s">
        <v>394</v>
      </c>
    </row>
    <row r="7" spans="1:9" ht="15" customHeight="1">
      <c r="A7" s="66"/>
      <c r="B7" s="67"/>
      <c r="C7" s="67"/>
      <c r="D7" s="67"/>
      <c r="E7" s="67"/>
      <c r="F7" s="67"/>
      <c r="G7" s="67"/>
      <c r="H7" s="67"/>
      <c r="I7" s="77"/>
    </row>
    <row r="8" spans="1:9" ht="15" customHeight="1">
      <c r="A8" s="68" t="s">
        <v>514</v>
      </c>
      <c r="B8" s="67"/>
      <c r="C8" s="70" t="str">
        <f>'Stavební rozpočet'!G4</f>
        <v> </v>
      </c>
      <c r="D8" s="67"/>
      <c r="E8" s="70" t="s">
        <v>181</v>
      </c>
      <c r="F8" s="70" t="str">
        <f>'Stavební rozpočet'!G6</f>
        <v> </v>
      </c>
      <c r="G8" s="67"/>
      <c r="H8" s="67" t="s">
        <v>586</v>
      </c>
      <c r="I8" s="98">
        <v>147</v>
      </c>
    </row>
    <row r="9" spans="1:9" ht="15" customHeight="1">
      <c r="A9" s="66"/>
      <c r="B9" s="67"/>
      <c r="C9" s="67"/>
      <c r="D9" s="67"/>
      <c r="E9" s="67"/>
      <c r="F9" s="67"/>
      <c r="G9" s="67"/>
      <c r="H9" s="67"/>
      <c r="I9" s="77"/>
    </row>
    <row r="10" spans="1:9" ht="15" customHeight="1">
      <c r="A10" s="68" t="s">
        <v>267</v>
      </c>
      <c r="B10" s="67"/>
      <c r="C10" s="70" t="str">
        <f>'Stavební rozpočet'!C8</f>
        <v> </v>
      </c>
      <c r="D10" s="67"/>
      <c r="E10" s="70" t="s">
        <v>374</v>
      </c>
      <c r="F10" s="70" t="str">
        <f>'Stavební rozpočet'!J8</f>
        <v> </v>
      </c>
      <c r="G10" s="67"/>
      <c r="H10" s="67" t="s">
        <v>564</v>
      </c>
      <c r="I10" s="95" t="str">
        <f>'Stavební rozpočet'!G8</f>
        <v>27.12.2022</v>
      </c>
    </row>
    <row r="11" spans="1:9" ht="15" customHeight="1">
      <c r="A11" s="97"/>
      <c r="B11" s="92"/>
      <c r="C11" s="92"/>
      <c r="D11" s="92"/>
      <c r="E11" s="92"/>
      <c r="F11" s="92"/>
      <c r="G11" s="92"/>
      <c r="H11" s="92"/>
      <c r="I11" s="99"/>
    </row>
    <row r="12" spans="1:9" ht="22.5" customHeight="1">
      <c r="A12" s="100" t="s">
        <v>93</v>
      </c>
      <c r="B12" s="100"/>
      <c r="C12" s="100"/>
      <c r="D12" s="100"/>
      <c r="E12" s="100"/>
      <c r="F12" s="100"/>
      <c r="G12" s="100"/>
      <c r="H12" s="100"/>
      <c r="I12" s="100"/>
    </row>
    <row r="13" spans="1:9" ht="26.25" customHeight="1">
      <c r="A13" s="47" t="s">
        <v>518</v>
      </c>
      <c r="B13" s="101" t="s">
        <v>69</v>
      </c>
      <c r="C13" s="102"/>
      <c r="D13" s="59" t="s">
        <v>100</v>
      </c>
      <c r="E13" s="101" t="s">
        <v>207</v>
      </c>
      <c r="F13" s="102"/>
      <c r="G13" s="59" t="s">
        <v>360</v>
      </c>
      <c r="H13" s="101" t="s">
        <v>102</v>
      </c>
      <c r="I13" s="102"/>
    </row>
    <row r="14" spans="1:9" ht="15" customHeight="1">
      <c r="A14" s="21" t="s">
        <v>210</v>
      </c>
      <c r="B14" s="38" t="s">
        <v>147</v>
      </c>
      <c r="C14" s="13">
        <f>SUM('Stavební rozpočet'!AB12:AB233)</f>
        <v>0</v>
      </c>
      <c r="D14" s="109" t="s">
        <v>409</v>
      </c>
      <c r="E14" s="110"/>
      <c r="F14" s="13">
        <v>0</v>
      </c>
      <c r="G14" s="109" t="s">
        <v>51</v>
      </c>
      <c r="H14" s="110"/>
      <c r="I14" s="56" t="s">
        <v>292</v>
      </c>
    </row>
    <row r="15" spans="1:9" ht="15" customHeight="1">
      <c r="A15" s="35" t="s">
        <v>394</v>
      </c>
      <c r="B15" s="38" t="s">
        <v>108</v>
      </c>
      <c r="C15" s="13">
        <f>SUM('Stavební rozpočet'!AC12:AC233)</f>
        <v>0</v>
      </c>
      <c r="D15" s="109" t="s">
        <v>49</v>
      </c>
      <c r="E15" s="110"/>
      <c r="F15" s="13">
        <v>0</v>
      </c>
      <c r="G15" s="109" t="s">
        <v>461</v>
      </c>
      <c r="H15" s="110"/>
      <c r="I15" s="56" t="s">
        <v>292</v>
      </c>
    </row>
    <row r="16" spans="1:9" ht="15" customHeight="1">
      <c r="A16" s="21" t="s">
        <v>46</v>
      </c>
      <c r="B16" s="38" t="s">
        <v>147</v>
      </c>
      <c r="C16" s="13">
        <f>SUM('Stavební rozpočet'!AD12:AD233)</f>
        <v>0</v>
      </c>
      <c r="D16" s="109" t="s">
        <v>423</v>
      </c>
      <c r="E16" s="110"/>
      <c r="F16" s="13">
        <v>0</v>
      </c>
      <c r="G16" s="109" t="s">
        <v>554</v>
      </c>
      <c r="H16" s="110"/>
      <c r="I16" s="56" t="s">
        <v>292</v>
      </c>
    </row>
    <row r="17" spans="1:9" ht="15" customHeight="1">
      <c r="A17" s="35" t="s">
        <v>394</v>
      </c>
      <c r="B17" s="38" t="s">
        <v>108</v>
      </c>
      <c r="C17" s="13">
        <f>SUM('Stavební rozpočet'!AE12:AE233)</f>
        <v>0</v>
      </c>
      <c r="D17" s="109" t="s">
        <v>394</v>
      </c>
      <c r="E17" s="110"/>
      <c r="F17" s="56" t="s">
        <v>394</v>
      </c>
      <c r="G17" s="109" t="s">
        <v>295</v>
      </c>
      <c r="H17" s="110"/>
      <c r="I17" s="56" t="s">
        <v>292</v>
      </c>
    </row>
    <row r="18" spans="1:9" ht="15" customHeight="1">
      <c r="A18" s="21" t="s">
        <v>171</v>
      </c>
      <c r="B18" s="38" t="s">
        <v>147</v>
      </c>
      <c r="C18" s="13">
        <f>SUM('Stavební rozpočet'!AF12:AF233)</f>
        <v>0</v>
      </c>
      <c r="D18" s="109" t="s">
        <v>394</v>
      </c>
      <c r="E18" s="110"/>
      <c r="F18" s="56" t="s">
        <v>394</v>
      </c>
      <c r="G18" s="109" t="s">
        <v>369</v>
      </c>
      <c r="H18" s="110"/>
      <c r="I18" s="56" t="s">
        <v>292</v>
      </c>
    </row>
    <row r="19" spans="1:9" ht="15" customHeight="1">
      <c r="A19" s="35" t="s">
        <v>394</v>
      </c>
      <c r="B19" s="38" t="s">
        <v>108</v>
      </c>
      <c r="C19" s="13">
        <f>SUM('Stavební rozpočet'!AG12:AG233)</f>
        <v>0</v>
      </c>
      <c r="D19" s="109" t="s">
        <v>394</v>
      </c>
      <c r="E19" s="110"/>
      <c r="F19" s="56" t="s">
        <v>394</v>
      </c>
      <c r="G19" s="109" t="s">
        <v>573</v>
      </c>
      <c r="H19" s="110"/>
      <c r="I19" s="56" t="s">
        <v>292</v>
      </c>
    </row>
    <row r="20" spans="1:9" ht="15" customHeight="1">
      <c r="A20" s="103" t="s">
        <v>33</v>
      </c>
      <c r="B20" s="104"/>
      <c r="C20" s="13">
        <f>SUM('Stavební rozpočet'!AH12:AH233)</f>
        <v>0</v>
      </c>
      <c r="D20" s="109" t="s">
        <v>394</v>
      </c>
      <c r="E20" s="110"/>
      <c r="F20" s="56" t="s">
        <v>394</v>
      </c>
      <c r="G20" s="109" t="s">
        <v>394</v>
      </c>
      <c r="H20" s="110"/>
      <c r="I20" s="56" t="s">
        <v>394</v>
      </c>
    </row>
    <row r="21" spans="1:9" ht="15" customHeight="1">
      <c r="A21" s="105" t="s">
        <v>572</v>
      </c>
      <c r="B21" s="106"/>
      <c r="C21" s="11">
        <f>SUM('Stavební rozpočet'!Z12:Z233)</f>
        <v>0</v>
      </c>
      <c r="D21" s="111" t="s">
        <v>394</v>
      </c>
      <c r="E21" s="112"/>
      <c r="F21" s="28" t="s">
        <v>394</v>
      </c>
      <c r="G21" s="111" t="s">
        <v>394</v>
      </c>
      <c r="H21" s="112"/>
      <c r="I21" s="28" t="s">
        <v>394</v>
      </c>
    </row>
    <row r="22" spans="1:9" ht="16.5" customHeight="1">
      <c r="A22" s="107" t="s">
        <v>114</v>
      </c>
      <c r="B22" s="108"/>
      <c r="C22" s="55">
        <f>ROUND(SUM(C14:C21),1)</f>
        <v>0</v>
      </c>
      <c r="D22" s="113" t="s">
        <v>280</v>
      </c>
      <c r="E22" s="108"/>
      <c r="F22" s="55">
        <f>SUM(F14:F21)</f>
        <v>0</v>
      </c>
      <c r="G22" s="113" t="s">
        <v>587</v>
      </c>
      <c r="H22" s="108"/>
      <c r="I22" s="55">
        <f>ROUND(C22*(3/100),2)</f>
        <v>0</v>
      </c>
    </row>
    <row r="23" spans="4:9" ht="15" customHeight="1">
      <c r="D23" s="103" t="s">
        <v>464</v>
      </c>
      <c r="E23" s="104"/>
      <c r="F23" s="14">
        <v>0</v>
      </c>
      <c r="G23" s="114" t="s">
        <v>25</v>
      </c>
      <c r="H23" s="104"/>
      <c r="I23" s="13">
        <v>0</v>
      </c>
    </row>
    <row r="24" spans="7:8" ht="15" customHeight="1">
      <c r="G24" s="103" t="s">
        <v>392</v>
      </c>
      <c r="H24" s="104"/>
    </row>
    <row r="25" spans="7:9" ht="15" customHeight="1">
      <c r="G25" s="103" t="s">
        <v>442</v>
      </c>
      <c r="H25" s="104"/>
      <c r="I25" s="55">
        <v>0</v>
      </c>
    </row>
    <row r="27" spans="1:3" ht="15" customHeight="1">
      <c r="A27" s="115" t="s">
        <v>224</v>
      </c>
      <c r="B27" s="116"/>
      <c r="C27" s="25">
        <f>ROUND(SUM('Stavební rozpočet'!AJ12:AJ233),1)</f>
        <v>0</v>
      </c>
    </row>
    <row r="28" spans="1:9" ht="15" customHeight="1">
      <c r="A28" s="117" t="s">
        <v>10</v>
      </c>
      <c r="B28" s="118"/>
      <c r="C28" s="52">
        <f>ROUND(SUM('Stavební rozpočet'!AK12:AK233),1)</f>
        <v>0</v>
      </c>
      <c r="D28" s="116" t="s">
        <v>131</v>
      </c>
      <c r="E28" s="116"/>
      <c r="F28" s="25">
        <f>ROUND(C28*(15/100),2)</f>
        <v>0</v>
      </c>
      <c r="G28" s="116" t="s">
        <v>80</v>
      </c>
      <c r="H28" s="116"/>
      <c r="I28" s="25">
        <f>ROUND(SUM(C27:C29),1)</f>
        <v>0</v>
      </c>
    </row>
    <row r="29" spans="1:9" ht="15" customHeight="1">
      <c r="A29" s="117" t="s">
        <v>20</v>
      </c>
      <c r="B29" s="118"/>
      <c r="C29" s="52">
        <f>ROUND(SUM('Stavební rozpočet'!AL12:AL233)+(F22+I22+F23+I23+I24+I25),1)</f>
        <v>0</v>
      </c>
      <c r="D29" s="118" t="s">
        <v>430</v>
      </c>
      <c r="E29" s="118"/>
      <c r="F29" s="52">
        <f>ROUND(C29*(21/100),2)</f>
        <v>0</v>
      </c>
      <c r="G29" s="118" t="s">
        <v>220</v>
      </c>
      <c r="H29" s="118"/>
      <c r="I29" s="52">
        <f>ROUND(SUM(F28:F29)+I28,1)</f>
        <v>0</v>
      </c>
    </row>
    <row r="31" spans="1:9" ht="15" customHeight="1">
      <c r="A31" s="119" t="s">
        <v>5</v>
      </c>
      <c r="B31" s="120"/>
      <c r="C31" s="121"/>
      <c r="D31" s="120" t="s">
        <v>543</v>
      </c>
      <c r="E31" s="120"/>
      <c r="F31" s="121"/>
      <c r="G31" s="120" t="s">
        <v>384</v>
      </c>
      <c r="H31" s="120"/>
      <c r="I31" s="121"/>
    </row>
    <row r="32" spans="1:9" ht="15" customHeight="1">
      <c r="A32" s="122" t="s">
        <v>394</v>
      </c>
      <c r="B32" s="111"/>
      <c r="C32" s="123"/>
      <c r="D32" s="111" t="s">
        <v>394</v>
      </c>
      <c r="E32" s="111"/>
      <c r="F32" s="123"/>
      <c r="G32" s="111" t="s">
        <v>394</v>
      </c>
      <c r="H32" s="111"/>
      <c r="I32" s="123"/>
    </row>
    <row r="33" spans="1:9" ht="15" customHeight="1">
      <c r="A33" s="122" t="s">
        <v>394</v>
      </c>
      <c r="B33" s="111"/>
      <c r="C33" s="123"/>
      <c r="D33" s="111" t="s">
        <v>394</v>
      </c>
      <c r="E33" s="111"/>
      <c r="F33" s="123"/>
      <c r="G33" s="111" t="s">
        <v>394</v>
      </c>
      <c r="H33" s="111"/>
      <c r="I33" s="123"/>
    </row>
    <row r="34" spans="1:9" ht="15" customHeight="1">
      <c r="A34" s="122" t="s">
        <v>394</v>
      </c>
      <c r="B34" s="111"/>
      <c r="C34" s="123"/>
      <c r="D34" s="111" t="s">
        <v>394</v>
      </c>
      <c r="E34" s="111"/>
      <c r="F34" s="123"/>
      <c r="G34" s="111" t="s">
        <v>394</v>
      </c>
      <c r="H34" s="111"/>
      <c r="I34" s="123"/>
    </row>
    <row r="35" spans="1:9" ht="15" customHeight="1">
      <c r="A35" s="124" t="s">
        <v>111</v>
      </c>
      <c r="B35" s="125"/>
      <c r="C35" s="126"/>
      <c r="D35" s="125" t="s">
        <v>111</v>
      </c>
      <c r="E35" s="125"/>
      <c r="F35" s="126"/>
      <c r="G35" s="125" t="s">
        <v>111</v>
      </c>
      <c r="H35" s="125"/>
      <c r="I35" s="126"/>
    </row>
    <row r="36" ht="15" customHeight="1">
      <c r="A36" s="33" t="s">
        <v>38</v>
      </c>
    </row>
    <row r="37" spans="1:9" ht="12.75" customHeight="1">
      <c r="A37" s="70" t="s">
        <v>394</v>
      </c>
      <c r="B37" s="67"/>
      <c r="C37" s="67"/>
      <c r="D37" s="67"/>
      <c r="E37" s="67"/>
      <c r="F37" s="67"/>
      <c r="G37" s="67"/>
      <c r="H37" s="67"/>
      <c r="I37" s="67"/>
    </row>
  </sheetData>
  <sheetProtection password="CE4B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Plicka</cp:lastModifiedBy>
  <dcterms:created xsi:type="dcterms:W3CDTF">2021-06-10T20:06:38Z</dcterms:created>
  <dcterms:modified xsi:type="dcterms:W3CDTF">2023-01-03T15:03:55Z</dcterms:modified>
  <cp:category/>
  <cp:version/>
  <cp:contentType/>
  <cp:contentStatus/>
</cp:coreProperties>
</file>