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Krycí list rozpočtu" sheetId="4" r:id="rId1"/>
    <sheet name="Stavební rozpočet - součet" sheetId="2" r:id="rId2"/>
    <sheet name="Stavební rozpočet" sheetId="1" r:id="rId3"/>
    <sheet name="Výkaz výměr" sheetId="3" r:id="rId4"/>
  </sheets>
  <calcPr calcId="145621"/>
</workbook>
</file>

<file path=xl/calcChain.xml><?xml version="1.0" encoding="utf-8"?>
<calcChain xmlns="http://schemas.openxmlformats.org/spreadsheetml/2006/main">
  <c r="BJ904" i="1" l="1"/>
  <c r="BF904" i="1"/>
  <c r="BD904" i="1"/>
  <c r="AP904" i="1"/>
  <c r="BI904" i="1" s="1"/>
  <c r="AC904" i="1" s="1"/>
  <c r="AO904" i="1"/>
  <c r="AW904" i="1" s="1"/>
  <c r="AK904" i="1"/>
  <c r="AJ904" i="1"/>
  <c r="AH904" i="1"/>
  <c r="AG904" i="1"/>
  <c r="AF904" i="1"/>
  <c r="AE904" i="1"/>
  <c r="AD904" i="1"/>
  <c r="Z904" i="1"/>
  <c r="K904" i="1"/>
  <c r="AL904" i="1" s="1"/>
  <c r="AX904" i="1" l="1"/>
  <c r="AV904" i="1" s="1"/>
  <c r="BH904" i="1"/>
  <c r="AB904" i="1" s="1"/>
  <c r="C2" i="4"/>
  <c r="F2" i="4"/>
  <c r="C4" i="4"/>
  <c r="F4" i="4"/>
  <c r="C6" i="4"/>
  <c r="F6" i="4"/>
  <c r="C10" i="4"/>
  <c r="F10" i="4"/>
  <c r="F22" i="4"/>
  <c r="I22" i="4"/>
  <c r="K14" i="1"/>
  <c r="K13" i="1" s="1"/>
  <c r="Z14" i="1"/>
  <c r="AD14" i="1"/>
  <c r="AE14" i="1"/>
  <c r="AF14" i="1"/>
  <c r="AG14" i="1"/>
  <c r="AH14" i="1"/>
  <c r="AJ14" i="1"/>
  <c r="AS13" i="1" s="1"/>
  <c r="AK14" i="1"/>
  <c r="AT13" i="1" s="1"/>
  <c r="AL14" i="1"/>
  <c r="AU13" i="1" s="1"/>
  <c r="AO14" i="1"/>
  <c r="AP14" i="1"/>
  <c r="AX14" i="1" s="1"/>
  <c r="AV14" i="1" s="1"/>
  <c r="AW14" i="1"/>
  <c r="BC14" i="1" s="1"/>
  <c r="BD14" i="1"/>
  <c r="BF14" i="1"/>
  <c r="BH14" i="1"/>
  <c r="AB14" i="1" s="1"/>
  <c r="BI14" i="1"/>
  <c r="AC14" i="1" s="1"/>
  <c r="BJ14" i="1"/>
  <c r="K16" i="1"/>
  <c r="K15" i="1" s="1"/>
  <c r="Z16" i="1"/>
  <c r="AC16" i="1"/>
  <c r="AD16" i="1"/>
  <c r="AE16" i="1"/>
  <c r="AF16" i="1"/>
  <c r="AG16" i="1"/>
  <c r="AH16" i="1"/>
  <c r="AJ16" i="1"/>
  <c r="AS15" i="1" s="1"/>
  <c r="AK16" i="1"/>
  <c r="AT15" i="1" s="1"/>
  <c r="AL16" i="1"/>
  <c r="AU15" i="1" s="1"/>
  <c r="AO16" i="1"/>
  <c r="AP16" i="1"/>
  <c r="AW16" i="1"/>
  <c r="BC16" i="1" s="1"/>
  <c r="AX16" i="1"/>
  <c r="BD16" i="1"/>
  <c r="BF16" i="1"/>
  <c r="BH16" i="1"/>
  <c r="AB16" i="1" s="1"/>
  <c r="BI16" i="1"/>
  <c r="BJ16" i="1"/>
  <c r="K17" i="1"/>
  <c r="Z17" i="1"/>
  <c r="AD17" i="1"/>
  <c r="AE17" i="1"/>
  <c r="AF17" i="1"/>
  <c r="AG17" i="1"/>
  <c r="AH17" i="1"/>
  <c r="AJ17" i="1"/>
  <c r="AK17" i="1"/>
  <c r="AL17" i="1"/>
  <c r="AO17" i="1"/>
  <c r="AP17" i="1"/>
  <c r="AW17" i="1"/>
  <c r="BC17" i="1" s="1"/>
  <c r="AX17" i="1"/>
  <c r="BD17" i="1"/>
  <c r="BF17" i="1"/>
  <c r="BH17" i="1"/>
  <c r="AB17" i="1" s="1"/>
  <c r="BI17" i="1"/>
  <c r="AC17" i="1" s="1"/>
  <c r="BJ17" i="1"/>
  <c r="K18" i="1"/>
  <c r="Z18" i="1"/>
  <c r="AD18" i="1"/>
  <c r="AE18" i="1"/>
  <c r="AF18" i="1"/>
  <c r="AG18" i="1"/>
  <c r="AH18" i="1"/>
  <c r="AJ18" i="1"/>
  <c r="AK18" i="1"/>
  <c r="AL18" i="1"/>
  <c r="AO18" i="1"/>
  <c r="AW18" i="1" s="1"/>
  <c r="AP18" i="1"/>
  <c r="AX18" i="1"/>
  <c r="BD18" i="1"/>
  <c r="BF18" i="1"/>
  <c r="BH18" i="1"/>
  <c r="AB18" i="1" s="1"/>
  <c r="BI18" i="1"/>
  <c r="AC18" i="1" s="1"/>
  <c r="BJ18" i="1"/>
  <c r="K19" i="1"/>
  <c r="Z19" i="1"/>
  <c r="AD19" i="1"/>
  <c r="AE19" i="1"/>
  <c r="AF19" i="1"/>
  <c r="AG19" i="1"/>
  <c r="AH19" i="1"/>
  <c r="AJ19" i="1"/>
  <c r="AK19" i="1"/>
  <c r="AL19" i="1"/>
  <c r="AO19" i="1"/>
  <c r="AP19" i="1"/>
  <c r="AX19" i="1" s="1"/>
  <c r="AW19" i="1"/>
  <c r="BD19" i="1"/>
  <c r="BF19" i="1"/>
  <c r="BH19" i="1"/>
  <c r="AB19" i="1" s="1"/>
  <c r="BI19" i="1"/>
  <c r="AC19" i="1" s="1"/>
  <c r="BJ19" i="1"/>
  <c r="K20" i="1"/>
  <c r="Z20" i="1"/>
  <c r="AD20" i="1"/>
  <c r="AE20" i="1"/>
  <c r="AF20" i="1"/>
  <c r="AG20" i="1"/>
  <c r="AH20" i="1"/>
  <c r="AJ20" i="1"/>
  <c r="AK20" i="1"/>
  <c r="AL20" i="1"/>
  <c r="AO20" i="1"/>
  <c r="AP20" i="1"/>
  <c r="AW20" i="1"/>
  <c r="BC20" i="1" s="1"/>
  <c r="AX20" i="1"/>
  <c r="BD20" i="1"/>
  <c r="BF20" i="1"/>
  <c r="BH20" i="1"/>
  <c r="AB20" i="1" s="1"/>
  <c r="BI20" i="1"/>
  <c r="AC20" i="1" s="1"/>
  <c r="BJ20" i="1"/>
  <c r="K21" i="1"/>
  <c r="Z21" i="1"/>
  <c r="AD21" i="1"/>
  <c r="AE21" i="1"/>
  <c r="AF21" i="1"/>
  <c r="AG21" i="1"/>
  <c r="AH21" i="1"/>
  <c r="AJ21" i="1"/>
  <c r="AK21" i="1"/>
  <c r="AL21" i="1"/>
  <c r="AO21" i="1"/>
  <c r="AP21" i="1"/>
  <c r="AX21" i="1" s="1"/>
  <c r="BC21" i="1" s="1"/>
  <c r="AW21" i="1"/>
  <c r="AV21" i="1" s="1"/>
  <c r="BD21" i="1"/>
  <c r="BF21" i="1"/>
  <c r="BH21" i="1"/>
  <c r="AB21" i="1" s="1"/>
  <c r="BI21" i="1"/>
  <c r="AC21" i="1" s="1"/>
  <c r="BJ21" i="1"/>
  <c r="K23" i="1"/>
  <c r="K22" i="1" s="1"/>
  <c r="Z23" i="1"/>
  <c r="AD23" i="1"/>
  <c r="AE23" i="1"/>
  <c r="AF23" i="1"/>
  <c r="AG23" i="1"/>
  <c r="AH23" i="1"/>
  <c r="AJ23" i="1"/>
  <c r="AS22" i="1" s="1"/>
  <c r="AK23" i="1"/>
  <c r="AT22" i="1" s="1"/>
  <c r="AL23" i="1"/>
  <c r="AO23" i="1"/>
  <c r="AW23" i="1" s="1"/>
  <c r="AP23" i="1"/>
  <c r="AX23" i="1"/>
  <c r="BD23" i="1"/>
  <c r="BF23" i="1"/>
  <c r="BH23" i="1"/>
  <c r="AB23" i="1" s="1"/>
  <c r="BI23" i="1"/>
  <c r="AC23" i="1" s="1"/>
  <c r="BJ23" i="1"/>
  <c r="K24" i="1"/>
  <c r="Z24" i="1"/>
  <c r="AD24" i="1"/>
  <c r="AE24" i="1"/>
  <c r="AF24" i="1"/>
  <c r="AG24" i="1"/>
  <c r="AH24" i="1"/>
  <c r="AJ24" i="1"/>
  <c r="AK24" i="1"/>
  <c r="AL24" i="1"/>
  <c r="AO24" i="1"/>
  <c r="AP24" i="1"/>
  <c r="AX24" i="1" s="1"/>
  <c r="AW24" i="1"/>
  <c r="AV24" i="1" s="1"/>
  <c r="BD24" i="1"/>
  <c r="BF24" i="1"/>
  <c r="BH24" i="1"/>
  <c r="AB24" i="1" s="1"/>
  <c r="BI24" i="1"/>
  <c r="AC24" i="1" s="1"/>
  <c r="BJ24" i="1"/>
  <c r="K25" i="1"/>
  <c r="Z25" i="1"/>
  <c r="AD25" i="1"/>
  <c r="AE25" i="1"/>
  <c r="AF25" i="1"/>
  <c r="AG25" i="1"/>
  <c r="AH25" i="1"/>
  <c r="AJ25" i="1"/>
  <c r="AK25" i="1"/>
  <c r="AL25" i="1"/>
  <c r="AO25" i="1"/>
  <c r="AP25" i="1"/>
  <c r="AW25" i="1"/>
  <c r="BC25" i="1" s="1"/>
  <c r="AX25" i="1"/>
  <c r="BD25" i="1"/>
  <c r="BF25" i="1"/>
  <c r="BH25" i="1"/>
  <c r="AB25" i="1" s="1"/>
  <c r="BI25" i="1"/>
  <c r="AC25" i="1" s="1"/>
  <c r="BJ25" i="1"/>
  <c r="K26" i="1"/>
  <c r="Z26" i="1"/>
  <c r="AD26" i="1"/>
  <c r="AE26" i="1"/>
  <c r="AF26" i="1"/>
  <c r="AG26" i="1"/>
  <c r="AH26" i="1"/>
  <c r="AJ26" i="1"/>
  <c r="AK26" i="1"/>
  <c r="AL26" i="1"/>
  <c r="AO26" i="1"/>
  <c r="AP26" i="1"/>
  <c r="AX26" i="1" s="1"/>
  <c r="BC26" i="1" s="1"/>
  <c r="AW26" i="1"/>
  <c r="AV26" i="1" s="1"/>
  <c r="BD26" i="1"/>
  <c r="BF26" i="1"/>
  <c r="BH26" i="1"/>
  <c r="AB26" i="1" s="1"/>
  <c r="BI26" i="1"/>
  <c r="AC26" i="1" s="1"/>
  <c r="BJ26" i="1"/>
  <c r="K27" i="1"/>
  <c r="Z27" i="1"/>
  <c r="AD27" i="1"/>
  <c r="AE27" i="1"/>
  <c r="AF27" i="1"/>
  <c r="AG27" i="1"/>
  <c r="AH27" i="1"/>
  <c r="AJ27" i="1"/>
  <c r="AK27" i="1"/>
  <c r="AL27" i="1"/>
  <c r="AO27" i="1"/>
  <c r="AP27" i="1"/>
  <c r="AX27" i="1" s="1"/>
  <c r="AW27" i="1"/>
  <c r="BD27" i="1"/>
  <c r="BF27" i="1"/>
  <c r="BH27" i="1"/>
  <c r="AB27" i="1" s="1"/>
  <c r="BI27" i="1"/>
  <c r="AC27" i="1" s="1"/>
  <c r="BJ27" i="1"/>
  <c r="K28" i="1"/>
  <c r="Z28" i="1"/>
  <c r="AD28" i="1"/>
  <c r="AE28" i="1"/>
  <c r="AF28" i="1"/>
  <c r="AG28" i="1"/>
  <c r="AH28" i="1"/>
  <c r="AJ28" i="1"/>
  <c r="AK28" i="1"/>
  <c r="AL28" i="1"/>
  <c r="AO28" i="1"/>
  <c r="AP28" i="1"/>
  <c r="AW28" i="1"/>
  <c r="AV28" i="1" s="1"/>
  <c r="AX28" i="1"/>
  <c r="BD28" i="1"/>
  <c r="BF28" i="1"/>
  <c r="BH28" i="1"/>
  <c r="AB28" i="1" s="1"/>
  <c r="BI28" i="1"/>
  <c r="AC28" i="1" s="1"/>
  <c r="BJ28" i="1"/>
  <c r="K29" i="1"/>
  <c r="Z29" i="1"/>
  <c r="AD29" i="1"/>
  <c r="AE29" i="1"/>
  <c r="AF29" i="1"/>
  <c r="AG29" i="1"/>
  <c r="AH29" i="1"/>
  <c r="AJ29" i="1"/>
  <c r="AK29" i="1"/>
  <c r="AL29" i="1"/>
  <c r="AO29" i="1"/>
  <c r="AP29" i="1"/>
  <c r="AW29" i="1"/>
  <c r="BC29" i="1" s="1"/>
  <c r="AX29" i="1"/>
  <c r="BD29" i="1"/>
  <c r="BF29" i="1"/>
  <c r="BH29" i="1"/>
  <c r="AB29" i="1" s="1"/>
  <c r="BI29" i="1"/>
  <c r="AC29" i="1" s="1"/>
  <c r="BJ29" i="1"/>
  <c r="K30" i="1"/>
  <c r="AL30" i="1" s="1"/>
  <c r="Z30" i="1"/>
  <c r="AD30" i="1"/>
  <c r="AE30" i="1"/>
  <c r="AF30" i="1"/>
  <c r="AG30" i="1"/>
  <c r="AH30" i="1"/>
  <c r="AJ30" i="1"/>
  <c r="AK30" i="1"/>
  <c r="AO30" i="1"/>
  <c r="AW30" i="1" s="1"/>
  <c r="AP30" i="1"/>
  <c r="AX30" i="1" s="1"/>
  <c r="BD30" i="1"/>
  <c r="BF30" i="1"/>
  <c r="BH30" i="1"/>
  <c r="AB30" i="1" s="1"/>
  <c r="BI30" i="1"/>
  <c r="AC30" i="1" s="1"/>
  <c r="BJ30" i="1"/>
  <c r="K31" i="1"/>
  <c r="Z31" i="1"/>
  <c r="AB31" i="1"/>
  <c r="AD31" i="1"/>
  <c r="AE31" i="1"/>
  <c r="AF31" i="1"/>
  <c r="AG31" i="1"/>
  <c r="AH31" i="1"/>
  <c r="AJ31" i="1"/>
  <c r="AK31" i="1"/>
  <c r="AL31" i="1"/>
  <c r="AO31" i="1"/>
  <c r="AP31" i="1"/>
  <c r="AX31" i="1" s="1"/>
  <c r="AW31" i="1"/>
  <c r="BD31" i="1"/>
  <c r="BF31" i="1"/>
  <c r="BH31" i="1"/>
  <c r="BI31" i="1"/>
  <c r="AC31" i="1" s="1"/>
  <c r="BJ31" i="1"/>
  <c r="K32" i="1"/>
  <c r="Z32" i="1"/>
  <c r="AC32" i="1"/>
  <c r="AD32" i="1"/>
  <c r="AE32" i="1"/>
  <c r="AF32" i="1"/>
  <c r="AG32" i="1"/>
  <c r="AH32" i="1"/>
  <c r="AJ32" i="1"/>
  <c r="AK32" i="1"/>
  <c r="AL32" i="1"/>
  <c r="AO32" i="1"/>
  <c r="AP32" i="1"/>
  <c r="AW32" i="1"/>
  <c r="AV32" i="1" s="1"/>
  <c r="AX32" i="1"/>
  <c r="BD32" i="1"/>
  <c r="BF32" i="1"/>
  <c r="BH32" i="1"/>
  <c r="AB32" i="1" s="1"/>
  <c r="BI32" i="1"/>
  <c r="BJ32" i="1"/>
  <c r="K33" i="1"/>
  <c r="Z33" i="1"/>
  <c r="AD33" i="1"/>
  <c r="AE33" i="1"/>
  <c r="AF33" i="1"/>
  <c r="AG33" i="1"/>
  <c r="AH33" i="1"/>
  <c r="AJ33" i="1"/>
  <c r="AK33" i="1"/>
  <c r="AL33" i="1"/>
  <c r="AO33" i="1"/>
  <c r="AW33" i="1" s="1"/>
  <c r="AP33" i="1"/>
  <c r="AX33" i="1"/>
  <c r="BD33" i="1"/>
  <c r="BF33" i="1"/>
  <c r="BH33" i="1"/>
  <c r="AB33" i="1" s="1"/>
  <c r="BI33" i="1"/>
  <c r="AC33" i="1" s="1"/>
  <c r="BJ33" i="1"/>
  <c r="K34" i="1"/>
  <c r="AL34" i="1" s="1"/>
  <c r="Z34" i="1"/>
  <c r="AD34" i="1"/>
  <c r="AE34" i="1"/>
  <c r="AF34" i="1"/>
  <c r="AG34" i="1"/>
  <c r="AH34" i="1"/>
  <c r="AJ34" i="1"/>
  <c r="AK34" i="1"/>
  <c r="AO34" i="1"/>
  <c r="AW34" i="1" s="1"/>
  <c r="AP34" i="1"/>
  <c r="AX34" i="1" s="1"/>
  <c r="BD34" i="1"/>
  <c r="BF34" i="1"/>
  <c r="BH34" i="1"/>
  <c r="AB34" i="1" s="1"/>
  <c r="BI34" i="1"/>
  <c r="AC34" i="1" s="1"/>
  <c r="BJ34" i="1"/>
  <c r="K35" i="1"/>
  <c r="Z35" i="1"/>
  <c r="AB35" i="1"/>
  <c r="AD35" i="1"/>
  <c r="AE35" i="1"/>
  <c r="AF35" i="1"/>
  <c r="AG35" i="1"/>
  <c r="AH35" i="1"/>
  <c r="AJ35" i="1"/>
  <c r="AK35" i="1"/>
  <c r="AL35" i="1"/>
  <c r="AO35" i="1"/>
  <c r="AP35" i="1"/>
  <c r="AX35" i="1" s="1"/>
  <c r="AW35" i="1"/>
  <c r="BD35" i="1"/>
  <c r="BF35" i="1"/>
  <c r="BH35" i="1"/>
  <c r="BI35" i="1"/>
  <c r="AC35" i="1" s="1"/>
  <c r="BJ35" i="1"/>
  <c r="K37" i="1"/>
  <c r="K36" i="1" s="1"/>
  <c r="Z37" i="1"/>
  <c r="AC37" i="1"/>
  <c r="AD37" i="1"/>
  <c r="AE37" i="1"/>
  <c r="AF37" i="1"/>
  <c r="AG37" i="1"/>
  <c r="AH37" i="1"/>
  <c r="AJ37" i="1"/>
  <c r="AS36" i="1" s="1"/>
  <c r="AK37" i="1"/>
  <c r="AT36" i="1" s="1"/>
  <c r="AL37" i="1"/>
  <c r="AO37" i="1"/>
  <c r="AP37" i="1"/>
  <c r="AW37" i="1"/>
  <c r="AV37" i="1" s="1"/>
  <c r="AX37" i="1"/>
  <c r="BD37" i="1"/>
  <c r="BF37" i="1"/>
  <c r="BH37" i="1"/>
  <c r="AB37" i="1" s="1"/>
  <c r="BI37" i="1"/>
  <c r="BJ37" i="1"/>
  <c r="K38" i="1"/>
  <c r="Z38" i="1"/>
  <c r="AD38" i="1"/>
  <c r="AE38" i="1"/>
  <c r="AF38" i="1"/>
  <c r="AG38" i="1"/>
  <c r="AH38" i="1"/>
  <c r="AJ38" i="1"/>
  <c r="AK38" i="1"/>
  <c r="AL38" i="1"/>
  <c r="AO38" i="1"/>
  <c r="AW38" i="1" s="1"/>
  <c r="AP38" i="1"/>
  <c r="AX38" i="1"/>
  <c r="BD38" i="1"/>
  <c r="BF38" i="1"/>
  <c r="BH38" i="1"/>
  <c r="AB38" i="1" s="1"/>
  <c r="BI38" i="1"/>
  <c r="AC38" i="1" s="1"/>
  <c r="BJ38" i="1"/>
  <c r="K39" i="1"/>
  <c r="AL39" i="1" s="1"/>
  <c r="Z39" i="1"/>
  <c r="AD39" i="1"/>
  <c r="AE39" i="1"/>
  <c r="AF39" i="1"/>
  <c r="AG39" i="1"/>
  <c r="AH39" i="1"/>
  <c r="AJ39" i="1"/>
  <c r="AK39" i="1"/>
  <c r="AO39" i="1"/>
  <c r="AW39" i="1" s="1"/>
  <c r="AP39" i="1"/>
  <c r="AX39" i="1" s="1"/>
  <c r="BD39" i="1"/>
  <c r="BF39" i="1"/>
  <c r="BH39" i="1"/>
  <c r="AB39" i="1" s="1"/>
  <c r="BI39" i="1"/>
  <c r="AC39" i="1" s="1"/>
  <c r="BJ39" i="1"/>
  <c r="K40" i="1"/>
  <c r="Z40" i="1"/>
  <c r="AB40" i="1"/>
  <c r="AD40" i="1"/>
  <c r="AE40" i="1"/>
  <c r="AF40" i="1"/>
  <c r="AG40" i="1"/>
  <c r="AH40" i="1"/>
  <c r="AJ40" i="1"/>
  <c r="AK40" i="1"/>
  <c r="AL40" i="1"/>
  <c r="AO40" i="1"/>
  <c r="AP40" i="1"/>
  <c r="AX40" i="1" s="1"/>
  <c r="AV40" i="1" s="1"/>
  <c r="AW40" i="1"/>
  <c r="BD40" i="1"/>
  <c r="BF40" i="1"/>
  <c r="BH40" i="1"/>
  <c r="BI40" i="1"/>
  <c r="AC40" i="1" s="1"/>
  <c r="BJ40" i="1"/>
  <c r="K42" i="1"/>
  <c r="K41" i="1" s="1"/>
  <c r="Z42" i="1"/>
  <c r="AC42" i="1"/>
  <c r="AD42" i="1"/>
  <c r="AE42" i="1"/>
  <c r="AF42" i="1"/>
  <c r="AG42" i="1"/>
  <c r="AH42" i="1"/>
  <c r="AJ42" i="1"/>
  <c r="AS41" i="1" s="1"/>
  <c r="AK42" i="1"/>
  <c r="AT41" i="1" s="1"/>
  <c r="AL42" i="1"/>
  <c r="AO42" i="1"/>
  <c r="AP42" i="1"/>
  <c r="AW42" i="1"/>
  <c r="AV42" i="1" s="1"/>
  <c r="AX42" i="1"/>
  <c r="BD42" i="1"/>
  <c r="BF42" i="1"/>
  <c r="BH42" i="1"/>
  <c r="AB42" i="1" s="1"/>
  <c r="BI42" i="1"/>
  <c r="BJ42" i="1"/>
  <c r="K43" i="1"/>
  <c r="AL43" i="1" s="1"/>
  <c r="Z43" i="1"/>
  <c r="AD43" i="1"/>
  <c r="AE43" i="1"/>
  <c r="AF43" i="1"/>
  <c r="AG43" i="1"/>
  <c r="AH43" i="1"/>
  <c r="AJ43" i="1"/>
  <c r="AK43" i="1"/>
  <c r="AO43" i="1"/>
  <c r="AW43" i="1" s="1"/>
  <c r="AP43" i="1"/>
  <c r="AX43" i="1"/>
  <c r="BD43" i="1"/>
  <c r="BF43" i="1"/>
  <c r="BH43" i="1"/>
  <c r="AB43" i="1" s="1"/>
  <c r="BI43" i="1"/>
  <c r="AC43" i="1" s="1"/>
  <c r="BJ43" i="1"/>
  <c r="K44" i="1"/>
  <c r="AL44" i="1" s="1"/>
  <c r="Z44" i="1"/>
  <c r="AD44" i="1"/>
  <c r="AE44" i="1"/>
  <c r="AF44" i="1"/>
  <c r="AG44" i="1"/>
  <c r="AH44" i="1"/>
  <c r="AJ44" i="1"/>
  <c r="AK44" i="1"/>
  <c r="AO44" i="1"/>
  <c r="AW44" i="1" s="1"/>
  <c r="AP44" i="1"/>
  <c r="AX44" i="1" s="1"/>
  <c r="BD44" i="1"/>
  <c r="BF44" i="1"/>
  <c r="BH44" i="1"/>
  <c r="AB44" i="1" s="1"/>
  <c r="BI44" i="1"/>
  <c r="AC44" i="1" s="1"/>
  <c r="BJ44" i="1"/>
  <c r="K46" i="1"/>
  <c r="K45" i="1" s="1"/>
  <c r="Z46" i="1"/>
  <c r="AB46" i="1"/>
  <c r="AD46" i="1"/>
  <c r="AE46" i="1"/>
  <c r="AF46" i="1"/>
  <c r="AG46" i="1"/>
  <c r="AH46" i="1"/>
  <c r="AJ46" i="1"/>
  <c r="AS45" i="1" s="1"/>
  <c r="AK46" i="1"/>
  <c r="AT45" i="1" s="1"/>
  <c r="AL46" i="1"/>
  <c r="AU45" i="1" s="1"/>
  <c r="AO46" i="1"/>
  <c r="AP46" i="1"/>
  <c r="AX46" i="1" s="1"/>
  <c r="AV46" i="1" s="1"/>
  <c r="AW46" i="1"/>
  <c r="BD46" i="1"/>
  <c r="BF46" i="1"/>
  <c r="BH46" i="1"/>
  <c r="BI46" i="1"/>
  <c r="AC46" i="1" s="1"/>
  <c r="BJ46" i="1"/>
  <c r="K48" i="1"/>
  <c r="K47" i="1" s="1"/>
  <c r="Z48" i="1"/>
  <c r="AC48" i="1"/>
  <c r="AD48" i="1"/>
  <c r="AE48" i="1"/>
  <c r="AF48" i="1"/>
  <c r="AG48" i="1"/>
  <c r="AH48" i="1"/>
  <c r="AJ48" i="1"/>
  <c r="AS47" i="1" s="1"/>
  <c r="AK48" i="1"/>
  <c r="AT47" i="1" s="1"/>
  <c r="AL48" i="1"/>
  <c r="AO48" i="1"/>
  <c r="AP48" i="1"/>
  <c r="AW48" i="1"/>
  <c r="AV48" i="1" s="1"/>
  <c r="AX48" i="1"/>
  <c r="BD48" i="1"/>
  <c r="BF48" i="1"/>
  <c r="BH48" i="1"/>
  <c r="AB48" i="1" s="1"/>
  <c r="BI48" i="1"/>
  <c r="BJ48" i="1"/>
  <c r="K49" i="1"/>
  <c r="AL49" i="1" s="1"/>
  <c r="Z49" i="1"/>
  <c r="AD49" i="1"/>
  <c r="AE49" i="1"/>
  <c r="AF49" i="1"/>
  <c r="AG49" i="1"/>
  <c r="AH49" i="1"/>
  <c r="AJ49" i="1"/>
  <c r="AK49" i="1"/>
  <c r="AO49" i="1"/>
  <c r="AW49" i="1" s="1"/>
  <c r="AP49" i="1"/>
  <c r="AX49" i="1"/>
  <c r="BD49" i="1"/>
  <c r="BF49" i="1"/>
  <c r="BH49" i="1"/>
  <c r="AB49" i="1" s="1"/>
  <c r="BI49" i="1"/>
  <c r="AC49" i="1" s="1"/>
  <c r="BJ49" i="1"/>
  <c r="K51" i="1"/>
  <c r="K50" i="1" s="1"/>
  <c r="Z51" i="1"/>
  <c r="AD51" i="1"/>
  <c r="AE51" i="1"/>
  <c r="AF51" i="1"/>
  <c r="AG51" i="1"/>
  <c r="AH51" i="1"/>
  <c r="AJ51" i="1"/>
  <c r="AK51" i="1"/>
  <c r="AL51" i="1"/>
  <c r="AO51" i="1"/>
  <c r="AW51" i="1" s="1"/>
  <c r="AP51" i="1"/>
  <c r="AX51" i="1" s="1"/>
  <c r="BD51" i="1"/>
  <c r="BF51" i="1"/>
  <c r="BH51" i="1"/>
  <c r="AB51" i="1" s="1"/>
  <c r="BI51" i="1"/>
  <c r="AC51" i="1" s="1"/>
  <c r="BJ51" i="1"/>
  <c r="K52" i="1"/>
  <c r="Z52" i="1"/>
  <c r="AB52" i="1"/>
  <c r="AD52" i="1"/>
  <c r="AE52" i="1"/>
  <c r="AF52" i="1"/>
  <c r="AG52" i="1"/>
  <c r="AH52" i="1"/>
  <c r="AJ52" i="1"/>
  <c r="AK52" i="1"/>
  <c r="AL52" i="1"/>
  <c r="AO52" i="1"/>
  <c r="AP52" i="1"/>
  <c r="AX52" i="1" s="1"/>
  <c r="AV52" i="1" s="1"/>
  <c r="AW52" i="1"/>
  <c r="BD52" i="1"/>
  <c r="BF52" i="1"/>
  <c r="BH52" i="1"/>
  <c r="BI52" i="1"/>
  <c r="AC52" i="1" s="1"/>
  <c r="BJ52" i="1"/>
  <c r="K53" i="1"/>
  <c r="Z53" i="1"/>
  <c r="AC53" i="1"/>
  <c r="AD53" i="1"/>
  <c r="AE53" i="1"/>
  <c r="AF53" i="1"/>
  <c r="AG53" i="1"/>
  <c r="AH53" i="1"/>
  <c r="AJ53" i="1"/>
  <c r="AK53" i="1"/>
  <c r="AL53" i="1"/>
  <c r="AO53" i="1"/>
  <c r="AP53" i="1"/>
  <c r="AW53" i="1"/>
  <c r="AV53" i="1" s="1"/>
  <c r="AX53" i="1"/>
  <c r="BD53" i="1"/>
  <c r="BF53" i="1"/>
  <c r="BH53" i="1"/>
  <c r="AB53" i="1" s="1"/>
  <c r="BI53" i="1"/>
  <c r="BJ53" i="1"/>
  <c r="K54" i="1"/>
  <c r="AL54" i="1" s="1"/>
  <c r="Z54" i="1"/>
  <c r="AD54" i="1"/>
  <c r="AE54" i="1"/>
  <c r="AF54" i="1"/>
  <c r="AG54" i="1"/>
  <c r="AH54" i="1"/>
  <c r="AJ54" i="1"/>
  <c r="AK54" i="1"/>
  <c r="AO54" i="1"/>
  <c r="AW54" i="1" s="1"/>
  <c r="AP54" i="1"/>
  <c r="AX54" i="1"/>
  <c r="BD54" i="1"/>
  <c r="BF54" i="1"/>
  <c r="BH54" i="1"/>
  <c r="AB54" i="1" s="1"/>
  <c r="BI54" i="1"/>
  <c r="AC54" i="1" s="1"/>
  <c r="BJ54" i="1"/>
  <c r="K55" i="1"/>
  <c r="Z55" i="1"/>
  <c r="AD55" i="1"/>
  <c r="AE55" i="1"/>
  <c r="AF55" i="1"/>
  <c r="AG55" i="1"/>
  <c r="AH55" i="1"/>
  <c r="AJ55" i="1"/>
  <c r="AK55" i="1"/>
  <c r="AL55" i="1"/>
  <c r="AO55" i="1"/>
  <c r="AW55" i="1" s="1"/>
  <c r="AP55" i="1"/>
  <c r="AX55" i="1" s="1"/>
  <c r="BD55" i="1"/>
  <c r="BF55" i="1"/>
  <c r="BH55" i="1"/>
  <c r="AB55" i="1" s="1"/>
  <c r="BI55" i="1"/>
  <c r="AC55" i="1" s="1"/>
  <c r="BJ55" i="1"/>
  <c r="K56" i="1"/>
  <c r="Z56" i="1"/>
  <c r="AB56" i="1"/>
  <c r="AD56" i="1"/>
  <c r="AE56" i="1"/>
  <c r="AF56" i="1"/>
  <c r="AG56" i="1"/>
  <c r="AH56" i="1"/>
  <c r="AJ56" i="1"/>
  <c r="AK56" i="1"/>
  <c r="AL56" i="1"/>
  <c r="AO56" i="1"/>
  <c r="AP56" i="1"/>
  <c r="AX56" i="1" s="1"/>
  <c r="AV56" i="1" s="1"/>
  <c r="AW56" i="1"/>
  <c r="BC56" i="1" s="1"/>
  <c r="BD56" i="1"/>
  <c r="BF56" i="1"/>
  <c r="BH56" i="1"/>
  <c r="BI56" i="1"/>
  <c r="AC56" i="1" s="1"/>
  <c r="BJ56" i="1"/>
  <c r="K57" i="1"/>
  <c r="Z57" i="1"/>
  <c r="AC57" i="1"/>
  <c r="AD57" i="1"/>
  <c r="AE57" i="1"/>
  <c r="AF57" i="1"/>
  <c r="AG57" i="1"/>
  <c r="AH57" i="1"/>
  <c r="AJ57" i="1"/>
  <c r="AK57" i="1"/>
  <c r="AL57" i="1"/>
  <c r="AO57" i="1"/>
  <c r="AP57" i="1"/>
  <c r="AW57" i="1"/>
  <c r="AV57" i="1" s="1"/>
  <c r="AX57" i="1"/>
  <c r="BD57" i="1"/>
  <c r="BF57" i="1"/>
  <c r="BH57" i="1"/>
  <c r="AB57" i="1" s="1"/>
  <c r="BI57" i="1"/>
  <c r="BJ57" i="1"/>
  <c r="K58" i="1"/>
  <c r="AL58" i="1" s="1"/>
  <c r="Z58" i="1"/>
  <c r="AD58" i="1"/>
  <c r="AE58" i="1"/>
  <c r="AF58" i="1"/>
  <c r="AG58" i="1"/>
  <c r="AH58" i="1"/>
  <c r="AJ58" i="1"/>
  <c r="AK58" i="1"/>
  <c r="AO58" i="1"/>
  <c r="AW58" i="1" s="1"/>
  <c r="AP58" i="1"/>
  <c r="AX58" i="1"/>
  <c r="BD58" i="1"/>
  <c r="BF58" i="1"/>
  <c r="BH58" i="1"/>
  <c r="AB58" i="1" s="1"/>
  <c r="BI58" i="1"/>
  <c r="AC58" i="1" s="1"/>
  <c r="BJ58" i="1"/>
  <c r="K59" i="1"/>
  <c r="Z59" i="1"/>
  <c r="AD59" i="1"/>
  <c r="AE59" i="1"/>
  <c r="AF59" i="1"/>
  <c r="AG59" i="1"/>
  <c r="AH59" i="1"/>
  <c r="AJ59" i="1"/>
  <c r="AK59" i="1"/>
  <c r="AL59" i="1"/>
  <c r="AO59" i="1"/>
  <c r="AP59" i="1"/>
  <c r="AX59" i="1" s="1"/>
  <c r="AW59" i="1"/>
  <c r="BD59" i="1"/>
  <c r="BF59" i="1"/>
  <c r="BH59" i="1"/>
  <c r="AB59" i="1" s="1"/>
  <c r="BI59" i="1"/>
  <c r="AC59" i="1" s="1"/>
  <c r="BJ59" i="1"/>
  <c r="K60" i="1"/>
  <c r="Z60" i="1"/>
  <c r="AB60" i="1"/>
  <c r="AC60" i="1"/>
  <c r="AD60" i="1"/>
  <c r="AE60" i="1"/>
  <c r="AF60" i="1"/>
  <c r="AG60" i="1"/>
  <c r="AH60" i="1"/>
  <c r="AJ60" i="1"/>
  <c r="AK60" i="1"/>
  <c r="AL60" i="1"/>
  <c r="AO60" i="1"/>
  <c r="AP60" i="1"/>
  <c r="AX60" i="1" s="1"/>
  <c r="AV60" i="1" s="1"/>
  <c r="AW60" i="1"/>
  <c r="BD60" i="1"/>
  <c r="BF60" i="1"/>
  <c r="BH60" i="1"/>
  <c r="BI60" i="1"/>
  <c r="BJ60" i="1"/>
  <c r="K61" i="1"/>
  <c r="Z61" i="1"/>
  <c r="AC61" i="1"/>
  <c r="AD61" i="1"/>
  <c r="AE61" i="1"/>
  <c r="AF61" i="1"/>
  <c r="AG61" i="1"/>
  <c r="AH61" i="1"/>
  <c r="AJ61" i="1"/>
  <c r="AK61" i="1"/>
  <c r="AL61" i="1"/>
  <c r="AO61" i="1"/>
  <c r="AP61" i="1"/>
  <c r="AW61" i="1"/>
  <c r="AV61" i="1" s="1"/>
  <c r="AX61" i="1"/>
  <c r="BD61" i="1"/>
  <c r="BF61" i="1"/>
  <c r="BH61" i="1"/>
  <c r="AB61" i="1" s="1"/>
  <c r="BI61" i="1"/>
  <c r="BJ61" i="1"/>
  <c r="K62" i="1"/>
  <c r="AL62" i="1" s="1"/>
  <c r="Z62" i="1"/>
  <c r="AD62" i="1"/>
  <c r="AE62" i="1"/>
  <c r="AF62" i="1"/>
  <c r="AG62" i="1"/>
  <c r="AH62" i="1"/>
  <c r="AJ62" i="1"/>
  <c r="AK62" i="1"/>
  <c r="AO62" i="1"/>
  <c r="AW62" i="1" s="1"/>
  <c r="AP62" i="1"/>
  <c r="AX62" i="1"/>
  <c r="BD62" i="1"/>
  <c r="BF62" i="1"/>
  <c r="BH62" i="1"/>
  <c r="AB62" i="1" s="1"/>
  <c r="BI62" i="1"/>
  <c r="AC62" i="1" s="1"/>
  <c r="BJ62" i="1"/>
  <c r="K63" i="1"/>
  <c r="Z63" i="1"/>
  <c r="AB63" i="1"/>
  <c r="AD63" i="1"/>
  <c r="AE63" i="1"/>
  <c r="AF63" i="1"/>
  <c r="AG63" i="1"/>
  <c r="AH63" i="1"/>
  <c r="AJ63" i="1"/>
  <c r="AK63" i="1"/>
  <c r="AL63" i="1"/>
  <c r="AO63" i="1"/>
  <c r="AP63" i="1"/>
  <c r="AX63" i="1" s="1"/>
  <c r="AW63" i="1"/>
  <c r="BD63" i="1"/>
  <c r="BF63" i="1"/>
  <c r="BH63" i="1"/>
  <c r="BI63" i="1"/>
  <c r="AC63" i="1" s="1"/>
  <c r="BJ63" i="1"/>
  <c r="K64" i="1"/>
  <c r="Z64" i="1"/>
  <c r="AB64" i="1"/>
  <c r="AC64" i="1"/>
  <c r="AD64" i="1"/>
  <c r="AE64" i="1"/>
  <c r="AF64" i="1"/>
  <c r="AG64" i="1"/>
  <c r="AH64" i="1"/>
  <c r="AJ64" i="1"/>
  <c r="AK64" i="1"/>
  <c r="AL64" i="1"/>
  <c r="AO64" i="1"/>
  <c r="AP64" i="1"/>
  <c r="AV64" i="1"/>
  <c r="AW64" i="1"/>
  <c r="BC64" i="1" s="1"/>
  <c r="AX64" i="1"/>
  <c r="BD64" i="1"/>
  <c r="BF64" i="1"/>
  <c r="BH64" i="1"/>
  <c r="BI64" i="1"/>
  <c r="BJ64" i="1"/>
  <c r="K65" i="1"/>
  <c r="Z65" i="1"/>
  <c r="AC65" i="1"/>
  <c r="AD65" i="1"/>
  <c r="AE65" i="1"/>
  <c r="AF65" i="1"/>
  <c r="AG65" i="1"/>
  <c r="AH65" i="1"/>
  <c r="AJ65" i="1"/>
  <c r="AK65" i="1"/>
  <c r="AL65" i="1"/>
  <c r="AO65" i="1"/>
  <c r="AP65" i="1"/>
  <c r="AW65" i="1"/>
  <c r="AV65" i="1" s="1"/>
  <c r="AX65" i="1"/>
  <c r="BD65" i="1"/>
  <c r="BF65" i="1"/>
  <c r="BH65" i="1"/>
  <c r="AB65" i="1" s="1"/>
  <c r="BI65" i="1"/>
  <c r="BJ65" i="1"/>
  <c r="K66" i="1"/>
  <c r="AL66" i="1" s="1"/>
  <c r="Z66" i="1"/>
  <c r="AD66" i="1"/>
  <c r="AE66" i="1"/>
  <c r="AF66" i="1"/>
  <c r="AG66" i="1"/>
  <c r="AH66" i="1"/>
  <c r="AJ66" i="1"/>
  <c r="AK66" i="1"/>
  <c r="AO66" i="1"/>
  <c r="AW66" i="1" s="1"/>
  <c r="AP66" i="1"/>
  <c r="AX66" i="1"/>
  <c r="BD66" i="1"/>
  <c r="BF66" i="1"/>
  <c r="BH66" i="1"/>
  <c r="AB66" i="1" s="1"/>
  <c r="BI66" i="1"/>
  <c r="AC66" i="1" s="1"/>
  <c r="BJ66" i="1"/>
  <c r="K67" i="1"/>
  <c r="Z67" i="1"/>
  <c r="AD67" i="1"/>
  <c r="AE67" i="1"/>
  <c r="AF67" i="1"/>
  <c r="AG67" i="1"/>
  <c r="AH67" i="1"/>
  <c r="AJ67" i="1"/>
  <c r="AK67" i="1"/>
  <c r="AL67" i="1"/>
  <c r="AO67" i="1"/>
  <c r="AP67" i="1"/>
  <c r="AX67" i="1" s="1"/>
  <c r="AW67" i="1"/>
  <c r="BD67" i="1"/>
  <c r="BF67" i="1"/>
  <c r="BH67" i="1"/>
  <c r="AB67" i="1" s="1"/>
  <c r="BI67" i="1"/>
  <c r="AC67" i="1" s="1"/>
  <c r="BJ67" i="1"/>
  <c r="K68" i="1"/>
  <c r="Z68" i="1"/>
  <c r="AB68" i="1"/>
  <c r="AC68" i="1"/>
  <c r="AD68" i="1"/>
  <c r="AE68" i="1"/>
  <c r="AF68" i="1"/>
  <c r="AG68" i="1"/>
  <c r="AH68" i="1"/>
  <c r="AJ68" i="1"/>
  <c r="AK68" i="1"/>
  <c r="AL68" i="1"/>
  <c r="AO68" i="1"/>
  <c r="AP68" i="1"/>
  <c r="AV68" i="1"/>
  <c r="AW68" i="1"/>
  <c r="BC68" i="1" s="1"/>
  <c r="AX68" i="1"/>
  <c r="BD68" i="1"/>
  <c r="BF68" i="1"/>
  <c r="BH68" i="1"/>
  <c r="BI68" i="1"/>
  <c r="BJ68" i="1"/>
  <c r="K69" i="1"/>
  <c r="Z69" i="1"/>
  <c r="AC69" i="1"/>
  <c r="AD69" i="1"/>
  <c r="AE69" i="1"/>
  <c r="AF69" i="1"/>
  <c r="AG69" i="1"/>
  <c r="AH69" i="1"/>
  <c r="AJ69" i="1"/>
  <c r="AK69" i="1"/>
  <c r="AL69" i="1"/>
  <c r="AO69" i="1"/>
  <c r="AP69" i="1"/>
  <c r="AW69" i="1"/>
  <c r="AX69" i="1"/>
  <c r="BD69" i="1"/>
  <c r="BF69" i="1"/>
  <c r="BH69" i="1"/>
  <c r="AB69" i="1" s="1"/>
  <c r="BI69" i="1"/>
  <c r="BJ69" i="1"/>
  <c r="K70" i="1"/>
  <c r="AL70" i="1" s="1"/>
  <c r="Z70" i="1"/>
  <c r="AD70" i="1"/>
  <c r="AE70" i="1"/>
  <c r="AF70" i="1"/>
  <c r="AG70" i="1"/>
  <c r="AH70" i="1"/>
  <c r="AJ70" i="1"/>
  <c r="AK70" i="1"/>
  <c r="AO70" i="1"/>
  <c r="AP70" i="1"/>
  <c r="AX70" i="1" s="1"/>
  <c r="BD70" i="1"/>
  <c r="BF70" i="1"/>
  <c r="BI70" i="1"/>
  <c r="AC70" i="1" s="1"/>
  <c r="BJ70" i="1"/>
  <c r="K71" i="1"/>
  <c r="Z71" i="1"/>
  <c r="AB71" i="1"/>
  <c r="AC71" i="1"/>
  <c r="AD71" i="1"/>
  <c r="AE71" i="1"/>
  <c r="AF71" i="1"/>
  <c r="AG71" i="1"/>
  <c r="AH71" i="1"/>
  <c r="AJ71" i="1"/>
  <c r="AK71" i="1"/>
  <c r="AL71" i="1"/>
  <c r="AO71" i="1"/>
  <c r="AP71" i="1"/>
  <c r="AW71" i="1"/>
  <c r="AX71" i="1"/>
  <c r="BD71" i="1"/>
  <c r="BF71" i="1"/>
  <c r="BH71" i="1"/>
  <c r="BI71" i="1"/>
  <c r="BJ71" i="1"/>
  <c r="K72" i="1"/>
  <c r="Z72" i="1"/>
  <c r="AC72" i="1"/>
  <c r="AD72" i="1"/>
  <c r="AE72" i="1"/>
  <c r="AF72" i="1"/>
  <c r="AG72" i="1"/>
  <c r="AH72" i="1"/>
  <c r="AJ72" i="1"/>
  <c r="AK72" i="1"/>
  <c r="AL72" i="1"/>
  <c r="AO72" i="1"/>
  <c r="AP72" i="1"/>
  <c r="AW72" i="1"/>
  <c r="AX72" i="1"/>
  <c r="BD72" i="1"/>
  <c r="BF72" i="1"/>
  <c r="BH72" i="1"/>
  <c r="AB72" i="1" s="1"/>
  <c r="BI72" i="1"/>
  <c r="BJ72" i="1"/>
  <c r="K73" i="1"/>
  <c r="AL73" i="1" s="1"/>
  <c r="Z73" i="1"/>
  <c r="AD73" i="1"/>
  <c r="AE73" i="1"/>
  <c r="AF73" i="1"/>
  <c r="AG73" i="1"/>
  <c r="AH73" i="1"/>
  <c r="AJ73" i="1"/>
  <c r="AK73" i="1"/>
  <c r="AO73" i="1"/>
  <c r="AW73" i="1" s="1"/>
  <c r="AP73" i="1"/>
  <c r="BI73" i="1" s="1"/>
  <c r="AC73" i="1" s="1"/>
  <c r="AX73" i="1"/>
  <c r="BD73" i="1"/>
  <c r="BF73" i="1"/>
  <c r="BJ73" i="1"/>
  <c r="K74" i="1"/>
  <c r="Z74" i="1"/>
  <c r="AB74" i="1"/>
  <c r="AD74" i="1"/>
  <c r="AE74" i="1"/>
  <c r="AF74" i="1"/>
  <c r="AG74" i="1"/>
  <c r="AH74" i="1"/>
  <c r="AJ74" i="1"/>
  <c r="AK74" i="1"/>
  <c r="AL74" i="1"/>
  <c r="AO74" i="1"/>
  <c r="AP74" i="1"/>
  <c r="AX74" i="1" s="1"/>
  <c r="AV74" i="1"/>
  <c r="AW74" i="1"/>
  <c r="BC74" i="1"/>
  <c r="BD74" i="1"/>
  <c r="BF74" i="1"/>
  <c r="BH74" i="1"/>
  <c r="BI74" i="1"/>
  <c r="AC74" i="1" s="1"/>
  <c r="BJ74" i="1"/>
  <c r="K75" i="1"/>
  <c r="Z75" i="1"/>
  <c r="AB75" i="1"/>
  <c r="AC75" i="1"/>
  <c r="AD75" i="1"/>
  <c r="AE75" i="1"/>
  <c r="AF75" i="1"/>
  <c r="AG75" i="1"/>
  <c r="AH75" i="1"/>
  <c r="AJ75" i="1"/>
  <c r="AK75" i="1"/>
  <c r="AL75" i="1"/>
  <c r="AO75" i="1"/>
  <c r="AP75" i="1"/>
  <c r="AV75" i="1"/>
  <c r="AW75" i="1"/>
  <c r="BC75" i="1" s="1"/>
  <c r="AX75" i="1"/>
  <c r="BD75" i="1"/>
  <c r="BF75" i="1"/>
  <c r="BH75" i="1"/>
  <c r="BI75" i="1"/>
  <c r="BJ75" i="1"/>
  <c r="K76" i="1"/>
  <c r="Z76" i="1"/>
  <c r="AC76" i="1"/>
  <c r="AD76" i="1"/>
  <c r="AE76" i="1"/>
  <c r="AF76" i="1"/>
  <c r="AG76" i="1"/>
  <c r="AH76" i="1"/>
  <c r="AJ76" i="1"/>
  <c r="AK76" i="1"/>
  <c r="AL76" i="1"/>
  <c r="AO76" i="1"/>
  <c r="AP76" i="1"/>
  <c r="AW76" i="1"/>
  <c r="AX76" i="1"/>
  <c r="BD76" i="1"/>
  <c r="BF76" i="1"/>
  <c r="BH76" i="1"/>
  <c r="AB76" i="1" s="1"/>
  <c r="BI76" i="1"/>
  <c r="BJ76" i="1"/>
  <c r="K77" i="1"/>
  <c r="AL77" i="1" s="1"/>
  <c r="Z77" i="1"/>
  <c r="AD77" i="1"/>
  <c r="AE77" i="1"/>
  <c r="AF77" i="1"/>
  <c r="AG77" i="1"/>
  <c r="AH77" i="1"/>
  <c r="AJ77" i="1"/>
  <c r="AK77" i="1"/>
  <c r="AO77" i="1"/>
  <c r="AW77" i="1" s="1"/>
  <c r="AP77" i="1"/>
  <c r="AX77" i="1" s="1"/>
  <c r="BC77" i="1" s="1"/>
  <c r="BD77" i="1"/>
  <c r="BF77" i="1"/>
  <c r="BI77" i="1"/>
  <c r="AC77" i="1" s="1"/>
  <c r="BJ77" i="1"/>
  <c r="K78" i="1"/>
  <c r="Z78" i="1"/>
  <c r="AB78" i="1"/>
  <c r="AD78" i="1"/>
  <c r="AE78" i="1"/>
  <c r="AF78" i="1"/>
  <c r="AG78" i="1"/>
  <c r="AH78" i="1"/>
  <c r="AJ78" i="1"/>
  <c r="AK78" i="1"/>
  <c r="AL78" i="1"/>
  <c r="AO78" i="1"/>
  <c r="AP78" i="1"/>
  <c r="AW78" i="1"/>
  <c r="BD78" i="1"/>
  <c r="BF78" i="1"/>
  <c r="BH78" i="1"/>
  <c r="BJ78" i="1"/>
  <c r="K79" i="1"/>
  <c r="Z79" i="1"/>
  <c r="AB79" i="1"/>
  <c r="AC79" i="1"/>
  <c r="AD79" i="1"/>
  <c r="AE79" i="1"/>
  <c r="AF79" i="1"/>
  <c r="AG79" i="1"/>
  <c r="AH79" i="1"/>
  <c r="AJ79" i="1"/>
  <c r="AK79" i="1"/>
  <c r="AL79" i="1"/>
  <c r="AO79" i="1"/>
  <c r="AP79" i="1"/>
  <c r="AW79" i="1"/>
  <c r="AX79" i="1"/>
  <c r="BD79" i="1"/>
  <c r="BF79" i="1"/>
  <c r="BH79" i="1"/>
  <c r="BI79" i="1"/>
  <c r="BJ79" i="1"/>
  <c r="K80" i="1"/>
  <c r="AL80" i="1" s="1"/>
  <c r="Z80" i="1"/>
  <c r="AC80" i="1"/>
  <c r="AD80" i="1"/>
  <c r="AE80" i="1"/>
  <c r="AF80" i="1"/>
  <c r="AG80" i="1"/>
  <c r="AH80" i="1"/>
  <c r="AJ80" i="1"/>
  <c r="AK80" i="1"/>
  <c r="AO80" i="1"/>
  <c r="AW80" i="1" s="1"/>
  <c r="AP80" i="1"/>
  <c r="AX80" i="1"/>
  <c r="BD80" i="1"/>
  <c r="BF80" i="1"/>
  <c r="BI80" i="1"/>
  <c r="BJ80" i="1"/>
  <c r="K81" i="1"/>
  <c r="AL81" i="1" s="1"/>
  <c r="Z81" i="1"/>
  <c r="AD81" i="1"/>
  <c r="AE81" i="1"/>
  <c r="AF81" i="1"/>
  <c r="AG81" i="1"/>
  <c r="AH81" i="1"/>
  <c r="AJ81" i="1"/>
  <c r="AK81" i="1"/>
  <c r="AO81" i="1"/>
  <c r="AW81" i="1" s="1"/>
  <c r="AP81" i="1"/>
  <c r="AX81" i="1"/>
  <c r="BD81" i="1"/>
  <c r="BF81" i="1"/>
  <c r="BH81" i="1"/>
  <c r="AB81" i="1" s="1"/>
  <c r="BI81" i="1"/>
  <c r="AC81" i="1" s="1"/>
  <c r="BJ81" i="1"/>
  <c r="K82" i="1"/>
  <c r="Z82" i="1"/>
  <c r="AB82" i="1"/>
  <c r="AD82" i="1"/>
  <c r="AE82" i="1"/>
  <c r="AF82" i="1"/>
  <c r="AG82" i="1"/>
  <c r="AH82" i="1"/>
  <c r="AJ82" i="1"/>
  <c r="AK82" i="1"/>
  <c r="AL82" i="1"/>
  <c r="AO82" i="1"/>
  <c r="AP82" i="1"/>
  <c r="AX82" i="1" s="1"/>
  <c r="AV82" i="1"/>
  <c r="AW82" i="1"/>
  <c r="BC82" i="1"/>
  <c r="BD82" i="1"/>
  <c r="BF82" i="1"/>
  <c r="BH82" i="1"/>
  <c r="BI82" i="1"/>
  <c r="AC82" i="1" s="1"/>
  <c r="BJ82" i="1"/>
  <c r="AT83" i="1"/>
  <c r="K84" i="1"/>
  <c r="K83" i="1" s="1"/>
  <c r="Z84" i="1"/>
  <c r="AB84" i="1"/>
  <c r="AC84" i="1"/>
  <c r="AD84" i="1"/>
  <c r="AE84" i="1"/>
  <c r="AF84" i="1"/>
  <c r="AG84" i="1"/>
  <c r="AH84" i="1"/>
  <c r="AJ84" i="1"/>
  <c r="AS83" i="1" s="1"/>
  <c r="AK84" i="1"/>
  <c r="AL84" i="1"/>
  <c r="AU83" i="1" s="1"/>
  <c r="AO84" i="1"/>
  <c r="AP84" i="1"/>
  <c r="AV84" i="1"/>
  <c r="AW84" i="1"/>
  <c r="BC84" i="1" s="1"/>
  <c r="AX84" i="1"/>
  <c r="BD84" i="1"/>
  <c r="BF84" i="1"/>
  <c r="BH84" i="1"/>
  <c r="BI84" i="1"/>
  <c r="BJ84" i="1"/>
  <c r="K86" i="1"/>
  <c r="K85" i="1" s="1"/>
  <c r="Z86" i="1"/>
  <c r="AC86" i="1"/>
  <c r="AD86" i="1"/>
  <c r="AE86" i="1"/>
  <c r="AF86" i="1"/>
  <c r="AG86" i="1"/>
  <c r="AH86" i="1"/>
  <c r="AJ86" i="1"/>
  <c r="AK86" i="1"/>
  <c r="AL86" i="1"/>
  <c r="AO86" i="1"/>
  <c r="AW86" i="1" s="1"/>
  <c r="AP86" i="1"/>
  <c r="AX86" i="1"/>
  <c r="BD86" i="1"/>
  <c r="BF86" i="1"/>
  <c r="BI86" i="1"/>
  <c r="BJ86" i="1"/>
  <c r="K87" i="1"/>
  <c r="AL87" i="1" s="1"/>
  <c r="Z87" i="1"/>
  <c r="AD87" i="1"/>
  <c r="AE87" i="1"/>
  <c r="AF87" i="1"/>
  <c r="AG87" i="1"/>
  <c r="AH87" i="1"/>
  <c r="AJ87" i="1"/>
  <c r="AK87" i="1"/>
  <c r="AO87" i="1"/>
  <c r="AW87" i="1" s="1"/>
  <c r="AP87" i="1"/>
  <c r="AX87" i="1" s="1"/>
  <c r="BC87" i="1" s="1"/>
  <c r="BD87" i="1"/>
  <c r="BF87" i="1"/>
  <c r="BH87" i="1"/>
  <c r="AB87" i="1" s="1"/>
  <c r="BJ87" i="1"/>
  <c r="K88" i="1"/>
  <c r="Z88" i="1"/>
  <c r="AB88" i="1"/>
  <c r="AD88" i="1"/>
  <c r="AE88" i="1"/>
  <c r="AF88" i="1"/>
  <c r="AG88" i="1"/>
  <c r="AH88" i="1"/>
  <c r="AJ88" i="1"/>
  <c r="AK88" i="1"/>
  <c r="AL88" i="1"/>
  <c r="AO88" i="1"/>
  <c r="AP88" i="1"/>
  <c r="AW88" i="1"/>
  <c r="BD88" i="1"/>
  <c r="BF88" i="1"/>
  <c r="BH88" i="1"/>
  <c r="BJ88" i="1"/>
  <c r="K89" i="1"/>
  <c r="Z89" i="1"/>
  <c r="AB89" i="1"/>
  <c r="AC89" i="1"/>
  <c r="AD89" i="1"/>
  <c r="AE89" i="1"/>
  <c r="AF89" i="1"/>
  <c r="AG89" i="1"/>
  <c r="AH89" i="1"/>
  <c r="AJ89" i="1"/>
  <c r="AK89" i="1"/>
  <c r="AL89" i="1"/>
  <c r="AO89" i="1"/>
  <c r="AP89" i="1"/>
  <c r="AW89" i="1"/>
  <c r="AX89" i="1"/>
  <c r="BD89" i="1"/>
  <c r="BF89" i="1"/>
  <c r="BH89" i="1"/>
  <c r="BI89" i="1"/>
  <c r="BJ89" i="1"/>
  <c r="K90" i="1"/>
  <c r="Z90" i="1"/>
  <c r="AC90" i="1"/>
  <c r="AD90" i="1"/>
  <c r="AE90" i="1"/>
  <c r="AF90" i="1"/>
  <c r="AG90" i="1"/>
  <c r="AH90" i="1"/>
  <c r="AJ90" i="1"/>
  <c r="AK90" i="1"/>
  <c r="AL90" i="1"/>
  <c r="AO90" i="1"/>
  <c r="AW90" i="1" s="1"/>
  <c r="AP90" i="1"/>
  <c r="AX90" i="1"/>
  <c r="BD90" i="1"/>
  <c r="BF90" i="1"/>
  <c r="BI90" i="1"/>
  <c r="BJ90" i="1"/>
  <c r="K91" i="1"/>
  <c r="AL91" i="1" s="1"/>
  <c r="Z91" i="1"/>
  <c r="AD91" i="1"/>
  <c r="AE91" i="1"/>
  <c r="AF91" i="1"/>
  <c r="AG91" i="1"/>
  <c r="AH91" i="1"/>
  <c r="AJ91" i="1"/>
  <c r="AK91" i="1"/>
  <c r="AO91" i="1"/>
  <c r="AW91" i="1" s="1"/>
  <c r="AP91" i="1"/>
  <c r="BI91" i="1" s="1"/>
  <c r="AC91" i="1" s="1"/>
  <c r="AX91" i="1"/>
  <c r="BD91" i="1"/>
  <c r="BF91" i="1"/>
  <c r="BH91" i="1"/>
  <c r="AB91" i="1" s="1"/>
  <c r="BJ91" i="1"/>
  <c r="K92" i="1"/>
  <c r="Z92" i="1"/>
  <c r="AB92" i="1"/>
  <c r="AD92" i="1"/>
  <c r="AE92" i="1"/>
  <c r="AF92" i="1"/>
  <c r="AG92" i="1"/>
  <c r="AH92" i="1"/>
  <c r="AJ92" i="1"/>
  <c r="AK92" i="1"/>
  <c r="AL92" i="1"/>
  <c r="AO92" i="1"/>
  <c r="AP92" i="1"/>
  <c r="AX92" i="1" s="1"/>
  <c r="AV92" i="1"/>
  <c r="AW92" i="1"/>
  <c r="BC92" i="1"/>
  <c r="BD92" i="1"/>
  <c r="BF92" i="1"/>
  <c r="BH92" i="1"/>
  <c r="BI92" i="1"/>
  <c r="AC92" i="1" s="1"/>
  <c r="BJ92" i="1"/>
  <c r="K93" i="1"/>
  <c r="AL93" i="1" s="1"/>
  <c r="Z93" i="1"/>
  <c r="AC93" i="1"/>
  <c r="AD93" i="1"/>
  <c r="AE93" i="1"/>
  <c r="AF93" i="1"/>
  <c r="AG93" i="1"/>
  <c r="AH93" i="1"/>
  <c r="AJ93" i="1"/>
  <c r="AK93" i="1"/>
  <c r="AO93" i="1"/>
  <c r="AP93" i="1"/>
  <c r="AX93" i="1"/>
  <c r="BD93" i="1"/>
  <c r="BF93" i="1"/>
  <c r="BI93" i="1"/>
  <c r="BJ93" i="1"/>
  <c r="K94" i="1"/>
  <c r="AL94" i="1" s="1"/>
  <c r="Z94" i="1"/>
  <c r="AD94" i="1"/>
  <c r="AE94" i="1"/>
  <c r="AF94" i="1"/>
  <c r="AG94" i="1"/>
  <c r="AH94" i="1"/>
  <c r="AJ94" i="1"/>
  <c r="AK94" i="1"/>
  <c r="AO94" i="1"/>
  <c r="AP94" i="1"/>
  <c r="BI94" i="1" s="1"/>
  <c r="AC94" i="1" s="1"/>
  <c r="AW94" i="1"/>
  <c r="BD94" i="1"/>
  <c r="BF94" i="1"/>
  <c r="BH94" i="1"/>
  <c r="AB94" i="1" s="1"/>
  <c r="BJ94" i="1"/>
  <c r="K95" i="1"/>
  <c r="AL95" i="1" s="1"/>
  <c r="Z95" i="1"/>
  <c r="AD95" i="1"/>
  <c r="AE95" i="1"/>
  <c r="AF95" i="1"/>
  <c r="AG95" i="1"/>
  <c r="AH95" i="1"/>
  <c r="AJ95" i="1"/>
  <c r="AK95" i="1"/>
  <c r="AO95" i="1"/>
  <c r="AW95" i="1" s="1"/>
  <c r="AP95" i="1"/>
  <c r="BI95" i="1" s="1"/>
  <c r="AC95" i="1" s="1"/>
  <c r="AX95" i="1"/>
  <c r="BD95" i="1"/>
  <c r="BF95" i="1"/>
  <c r="BH95" i="1"/>
  <c r="AB95" i="1" s="1"/>
  <c r="BJ95" i="1"/>
  <c r="K96" i="1"/>
  <c r="Z96" i="1"/>
  <c r="AB96" i="1"/>
  <c r="AD96" i="1"/>
  <c r="AE96" i="1"/>
  <c r="AF96" i="1"/>
  <c r="AG96" i="1"/>
  <c r="AH96" i="1"/>
  <c r="AJ96" i="1"/>
  <c r="AK96" i="1"/>
  <c r="AL96" i="1"/>
  <c r="AO96" i="1"/>
  <c r="AP96" i="1"/>
  <c r="AW96" i="1"/>
  <c r="BD96" i="1"/>
  <c r="BF96" i="1"/>
  <c r="BH96" i="1"/>
  <c r="BJ96" i="1"/>
  <c r="K97" i="1"/>
  <c r="Z97" i="1"/>
  <c r="AC97" i="1"/>
  <c r="AD97" i="1"/>
  <c r="AE97" i="1"/>
  <c r="AF97" i="1"/>
  <c r="AG97" i="1"/>
  <c r="AH97" i="1"/>
  <c r="AJ97" i="1"/>
  <c r="AK97" i="1"/>
  <c r="AL97" i="1"/>
  <c r="AO97" i="1"/>
  <c r="AP97" i="1"/>
  <c r="AW97" i="1"/>
  <c r="AX97" i="1"/>
  <c r="BD97" i="1"/>
  <c r="BF97" i="1"/>
  <c r="BH97" i="1"/>
  <c r="AB97" i="1" s="1"/>
  <c r="BI97" i="1"/>
  <c r="BJ97" i="1"/>
  <c r="K98" i="1"/>
  <c r="AL98" i="1" s="1"/>
  <c r="Z98" i="1"/>
  <c r="AD98" i="1"/>
  <c r="AE98" i="1"/>
  <c r="AF98" i="1"/>
  <c r="AG98" i="1"/>
  <c r="AH98" i="1"/>
  <c r="AJ98" i="1"/>
  <c r="AK98" i="1"/>
  <c r="AO98" i="1"/>
  <c r="BH98" i="1" s="1"/>
  <c r="AB98" i="1" s="1"/>
  <c r="AP98" i="1"/>
  <c r="AX98" i="1" s="1"/>
  <c r="BD98" i="1"/>
  <c r="BF98" i="1"/>
  <c r="BI98" i="1"/>
  <c r="AC98" i="1" s="1"/>
  <c r="BJ98" i="1"/>
  <c r="K99" i="1"/>
  <c r="AL99" i="1" s="1"/>
  <c r="Z99" i="1"/>
  <c r="AD99" i="1"/>
  <c r="AE99" i="1"/>
  <c r="AF99" i="1"/>
  <c r="AG99" i="1"/>
  <c r="AH99" i="1"/>
  <c r="AJ99" i="1"/>
  <c r="AK99" i="1"/>
  <c r="AO99" i="1"/>
  <c r="AP99" i="1"/>
  <c r="AX99" i="1" s="1"/>
  <c r="BD99" i="1"/>
  <c r="BF99" i="1"/>
  <c r="BI99" i="1"/>
  <c r="AC99" i="1" s="1"/>
  <c r="BJ99" i="1"/>
  <c r="K100" i="1"/>
  <c r="Z100" i="1"/>
  <c r="AB100" i="1"/>
  <c r="AD100" i="1"/>
  <c r="AE100" i="1"/>
  <c r="AF100" i="1"/>
  <c r="AG100" i="1"/>
  <c r="AH100" i="1"/>
  <c r="AJ100" i="1"/>
  <c r="AK100" i="1"/>
  <c r="AL100" i="1"/>
  <c r="AO100" i="1"/>
  <c r="AP100" i="1"/>
  <c r="AX100" i="1" s="1"/>
  <c r="AV100" i="1"/>
  <c r="AW100" i="1"/>
  <c r="BC100" i="1"/>
  <c r="BD100" i="1"/>
  <c r="BF100" i="1"/>
  <c r="BH100" i="1"/>
  <c r="BI100" i="1"/>
  <c r="AC100" i="1" s="1"/>
  <c r="BJ100" i="1"/>
  <c r="K101" i="1"/>
  <c r="AL101" i="1" s="1"/>
  <c r="Z101" i="1"/>
  <c r="AC101" i="1"/>
  <c r="AD101" i="1"/>
  <c r="AE101" i="1"/>
  <c r="AF101" i="1"/>
  <c r="AG101" i="1"/>
  <c r="AH101" i="1"/>
  <c r="AJ101" i="1"/>
  <c r="AK101" i="1"/>
  <c r="AO101" i="1"/>
  <c r="AP101" i="1"/>
  <c r="AX101" i="1"/>
  <c r="BD101" i="1"/>
  <c r="BF101" i="1"/>
  <c r="BI101" i="1"/>
  <c r="BJ101" i="1"/>
  <c r="K102" i="1"/>
  <c r="Z102" i="1"/>
  <c r="AC102" i="1"/>
  <c r="AD102" i="1"/>
  <c r="AE102" i="1"/>
  <c r="AF102" i="1"/>
  <c r="AG102" i="1"/>
  <c r="AH102" i="1"/>
  <c r="AJ102" i="1"/>
  <c r="AK102" i="1"/>
  <c r="AL102" i="1"/>
  <c r="AO102" i="1"/>
  <c r="AW102" i="1" s="1"/>
  <c r="AP102" i="1"/>
  <c r="BI102" i="1" s="1"/>
  <c r="AX102" i="1"/>
  <c r="BD102" i="1"/>
  <c r="BF102" i="1"/>
  <c r="BH102" i="1"/>
  <c r="AB102" i="1" s="1"/>
  <c r="BJ102" i="1"/>
  <c r="K104" i="1"/>
  <c r="Z104" i="1"/>
  <c r="AD104" i="1"/>
  <c r="AE104" i="1"/>
  <c r="AF104" i="1"/>
  <c r="AG104" i="1"/>
  <c r="AH104" i="1"/>
  <c r="AJ104" i="1"/>
  <c r="AS103" i="1" s="1"/>
  <c r="AK104" i="1"/>
  <c r="AO104" i="1"/>
  <c r="AP104" i="1"/>
  <c r="AX104" i="1" s="1"/>
  <c r="BD104" i="1"/>
  <c r="BF104" i="1"/>
  <c r="BI104" i="1"/>
  <c r="AC104" i="1" s="1"/>
  <c r="BJ104" i="1"/>
  <c r="K105" i="1"/>
  <c r="Z105" i="1"/>
  <c r="AB105" i="1"/>
  <c r="AD105" i="1"/>
  <c r="AE105" i="1"/>
  <c r="AF105" i="1"/>
  <c r="AG105" i="1"/>
  <c r="AH105" i="1"/>
  <c r="AJ105" i="1"/>
  <c r="AK105" i="1"/>
  <c r="AL105" i="1"/>
  <c r="AO105" i="1"/>
  <c r="AP105" i="1"/>
  <c r="AX105" i="1" s="1"/>
  <c r="AV105" i="1"/>
  <c r="AW105" i="1"/>
  <c r="BC105" i="1"/>
  <c r="BD105" i="1"/>
  <c r="BF105" i="1"/>
  <c r="BH105" i="1"/>
  <c r="BI105" i="1"/>
  <c r="AC105" i="1" s="1"/>
  <c r="BJ105" i="1"/>
  <c r="K106" i="1"/>
  <c r="AL106" i="1" s="1"/>
  <c r="Z106" i="1"/>
  <c r="AC106" i="1"/>
  <c r="AD106" i="1"/>
  <c r="AE106" i="1"/>
  <c r="AF106" i="1"/>
  <c r="AG106" i="1"/>
  <c r="AH106" i="1"/>
  <c r="AJ106" i="1"/>
  <c r="AK106" i="1"/>
  <c r="AO106" i="1"/>
  <c r="AP106" i="1"/>
  <c r="AX106" i="1"/>
  <c r="BD106" i="1"/>
  <c r="BF106" i="1"/>
  <c r="BI106" i="1"/>
  <c r="BJ106" i="1"/>
  <c r="K107" i="1"/>
  <c r="Z107" i="1"/>
  <c r="AC107" i="1"/>
  <c r="AD107" i="1"/>
  <c r="AE107" i="1"/>
  <c r="AF107" i="1"/>
  <c r="AG107" i="1"/>
  <c r="AH107" i="1"/>
  <c r="AJ107" i="1"/>
  <c r="AK107" i="1"/>
  <c r="AL107" i="1"/>
  <c r="AO107" i="1"/>
  <c r="AP107" i="1"/>
  <c r="BI107" i="1" s="1"/>
  <c r="AW107" i="1"/>
  <c r="AX107" i="1"/>
  <c r="BD107" i="1"/>
  <c r="BF107" i="1"/>
  <c r="BH107" i="1"/>
  <c r="AB107" i="1" s="1"/>
  <c r="BJ107" i="1"/>
  <c r="K108" i="1"/>
  <c r="AL108" i="1" s="1"/>
  <c r="Z108" i="1"/>
  <c r="AD108" i="1"/>
  <c r="AE108" i="1"/>
  <c r="AF108" i="1"/>
  <c r="AG108" i="1"/>
  <c r="AH108" i="1"/>
  <c r="AJ108" i="1"/>
  <c r="AK108" i="1"/>
  <c r="AO108" i="1"/>
  <c r="AW108" i="1" s="1"/>
  <c r="AP108" i="1"/>
  <c r="BI108" i="1" s="1"/>
  <c r="AC108" i="1" s="1"/>
  <c r="AX108" i="1"/>
  <c r="BD108" i="1"/>
  <c r="BF108" i="1"/>
  <c r="BH108" i="1"/>
  <c r="AB108" i="1" s="1"/>
  <c r="BJ108" i="1"/>
  <c r="K109" i="1"/>
  <c r="Z109" i="1"/>
  <c r="AB109" i="1"/>
  <c r="AD109" i="1"/>
  <c r="AE109" i="1"/>
  <c r="AF109" i="1"/>
  <c r="AG109" i="1"/>
  <c r="AH109" i="1"/>
  <c r="AJ109" i="1"/>
  <c r="AK109" i="1"/>
  <c r="AL109" i="1"/>
  <c r="AO109" i="1"/>
  <c r="AP109" i="1"/>
  <c r="AW109" i="1"/>
  <c r="BD109" i="1"/>
  <c r="BF109" i="1"/>
  <c r="BH109" i="1"/>
  <c r="BJ109" i="1"/>
  <c r="K110" i="1"/>
  <c r="Z110" i="1"/>
  <c r="AC110" i="1"/>
  <c r="AD110" i="1"/>
  <c r="AE110" i="1"/>
  <c r="AF110" i="1"/>
  <c r="AG110" i="1"/>
  <c r="AH110" i="1"/>
  <c r="AJ110" i="1"/>
  <c r="AK110" i="1"/>
  <c r="AL110" i="1"/>
  <c r="AO110" i="1"/>
  <c r="AP110" i="1"/>
  <c r="AW110" i="1"/>
  <c r="AX110" i="1"/>
  <c r="BD110" i="1"/>
  <c r="BF110" i="1"/>
  <c r="BH110" i="1"/>
  <c r="AB110" i="1" s="1"/>
  <c r="BI110" i="1"/>
  <c r="BJ110" i="1"/>
  <c r="K111" i="1"/>
  <c r="Z111" i="1"/>
  <c r="AD111" i="1"/>
  <c r="AE111" i="1"/>
  <c r="AF111" i="1"/>
  <c r="AG111" i="1"/>
  <c r="AH111" i="1"/>
  <c r="AJ111" i="1"/>
  <c r="AK111" i="1"/>
  <c r="AL111" i="1"/>
  <c r="AO111" i="1"/>
  <c r="BH111" i="1" s="1"/>
  <c r="AB111" i="1" s="1"/>
  <c r="AP111" i="1"/>
  <c r="AW111" i="1"/>
  <c r="AV111" i="1" s="1"/>
  <c r="AX111" i="1"/>
  <c r="BD111" i="1"/>
  <c r="BF111" i="1"/>
  <c r="BI111" i="1"/>
  <c r="AC111" i="1" s="1"/>
  <c r="BJ111" i="1"/>
  <c r="K112" i="1"/>
  <c r="AL112" i="1" s="1"/>
  <c r="Z112" i="1"/>
  <c r="AD112" i="1"/>
  <c r="AE112" i="1"/>
  <c r="AF112" i="1"/>
  <c r="AG112" i="1"/>
  <c r="AH112" i="1"/>
  <c r="AJ112" i="1"/>
  <c r="AK112" i="1"/>
  <c r="AO112" i="1"/>
  <c r="AP112" i="1"/>
  <c r="AX112" i="1"/>
  <c r="BD112" i="1"/>
  <c r="BF112" i="1"/>
  <c r="BI112" i="1"/>
  <c r="AC112" i="1" s="1"/>
  <c r="BJ112" i="1"/>
  <c r="K113" i="1"/>
  <c r="Z113" i="1"/>
  <c r="AB113" i="1"/>
  <c r="AD113" i="1"/>
  <c r="AE113" i="1"/>
  <c r="AF113" i="1"/>
  <c r="AG113" i="1"/>
  <c r="AH113" i="1"/>
  <c r="AJ113" i="1"/>
  <c r="AK113" i="1"/>
  <c r="AL113" i="1"/>
  <c r="AO113" i="1"/>
  <c r="AP113" i="1"/>
  <c r="AX113" i="1" s="1"/>
  <c r="AV113" i="1"/>
  <c r="AW113" i="1"/>
  <c r="BC113" i="1"/>
  <c r="BD113" i="1"/>
  <c r="BF113" i="1"/>
  <c r="BH113" i="1"/>
  <c r="BI113" i="1"/>
  <c r="AC113" i="1" s="1"/>
  <c r="BJ113" i="1"/>
  <c r="K114" i="1"/>
  <c r="AL114" i="1" s="1"/>
  <c r="Z114" i="1"/>
  <c r="AC114" i="1"/>
  <c r="AD114" i="1"/>
  <c r="AE114" i="1"/>
  <c r="AF114" i="1"/>
  <c r="AG114" i="1"/>
  <c r="AH114" i="1"/>
  <c r="AJ114" i="1"/>
  <c r="AK114" i="1"/>
  <c r="AO114" i="1"/>
  <c r="AP114" i="1"/>
  <c r="AX114" i="1"/>
  <c r="BD114" i="1"/>
  <c r="BF114" i="1"/>
  <c r="BI114" i="1"/>
  <c r="BJ114" i="1"/>
  <c r="K115" i="1"/>
  <c r="Z115" i="1"/>
  <c r="AC115" i="1"/>
  <c r="AD115" i="1"/>
  <c r="AE115" i="1"/>
  <c r="AF115" i="1"/>
  <c r="AG115" i="1"/>
  <c r="AH115" i="1"/>
  <c r="AJ115" i="1"/>
  <c r="AK115" i="1"/>
  <c r="AL115" i="1"/>
  <c r="AO115" i="1"/>
  <c r="AP115" i="1"/>
  <c r="BI115" i="1" s="1"/>
  <c r="AW115" i="1"/>
  <c r="AX115" i="1"/>
  <c r="BD115" i="1"/>
  <c r="BF115" i="1"/>
  <c r="BH115" i="1"/>
  <c r="AB115" i="1" s="1"/>
  <c r="BJ115" i="1"/>
  <c r="K116" i="1"/>
  <c r="AL116" i="1" s="1"/>
  <c r="Z116" i="1"/>
  <c r="AD116" i="1"/>
  <c r="AE116" i="1"/>
  <c r="AF116" i="1"/>
  <c r="AG116" i="1"/>
  <c r="AH116" i="1"/>
  <c r="AJ116" i="1"/>
  <c r="AK116" i="1"/>
  <c r="AO116" i="1"/>
  <c r="AW116" i="1" s="1"/>
  <c r="BC116" i="1" s="1"/>
  <c r="AP116" i="1"/>
  <c r="AV116" i="1"/>
  <c r="AX116" i="1"/>
  <c r="BD116" i="1"/>
  <c r="BF116" i="1"/>
  <c r="BH116" i="1"/>
  <c r="AB116" i="1" s="1"/>
  <c r="BI116" i="1"/>
  <c r="AC116" i="1" s="1"/>
  <c r="BJ116" i="1"/>
  <c r="K117" i="1"/>
  <c r="Z117" i="1"/>
  <c r="AB117" i="1"/>
  <c r="AD117" i="1"/>
  <c r="AE117" i="1"/>
  <c r="AF117" i="1"/>
  <c r="AG117" i="1"/>
  <c r="AH117" i="1"/>
  <c r="AJ117" i="1"/>
  <c r="AK117" i="1"/>
  <c r="AL117" i="1"/>
  <c r="AO117" i="1"/>
  <c r="AP117" i="1"/>
  <c r="AX117" i="1" s="1"/>
  <c r="BC117" i="1" s="1"/>
  <c r="AW117" i="1"/>
  <c r="BD117" i="1"/>
  <c r="BF117" i="1"/>
  <c r="BH117" i="1"/>
  <c r="BJ117" i="1"/>
  <c r="K118" i="1"/>
  <c r="AL118" i="1" s="1"/>
  <c r="Z118" i="1"/>
  <c r="AC118" i="1"/>
  <c r="AD118" i="1"/>
  <c r="AE118" i="1"/>
  <c r="AF118" i="1"/>
  <c r="AG118" i="1"/>
  <c r="AH118" i="1"/>
  <c r="AJ118" i="1"/>
  <c r="AK118" i="1"/>
  <c r="AO118" i="1"/>
  <c r="AW118" i="1" s="1"/>
  <c r="AP118" i="1"/>
  <c r="AX118" i="1"/>
  <c r="BD118" i="1"/>
  <c r="BF118" i="1"/>
  <c r="BI118" i="1"/>
  <c r="BJ118" i="1"/>
  <c r="K119" i="1"/>
  <c r="Z119" i="1"/>
  <c r="AD119" i="1"/>
  <c r="AE119" i="1"/>
  <c r="AF119" i="1"/>
  <c r="AG119" i="1"/>
  <c r="AH119" i="1"/>
  <c r="AJ119" i="1"/>
  <c r="AK119" i="1"/>
  <c r="AL119" i="1"/>
  <c r="AO119" i="1"/>
  <c r="AP119" i="1"/>
  <c r="AX119" i="1" s="1"/>
  <c r="BC119" i="1" s="1"/>
  <c r="AW119" i="1"/>
  <c r="BD119" i="1"/>
  <c r="BF119" i="1"/>
  <c r="BH119" i="1"/>
  <c r="AB119" i="1" s="1"/>
  <c r="BJ119" i="1"/>
  <c r="K120" i="1"/>
  <c r="AL120" i="1" s="1"/>
  <c r="Z120" i="1"/>
  <c r="AD120" i="1"/>
  <c r="AE120" i="1"/>
  <c r="AF120" i="1"/>
  <c r="AG120" i="1"/>
  <c r="AH120" i="1"/>
  <c r="AJ120" i="1"/>
  <c r="AK120" i="1"/>
  <c r="AO120" i="1"/>
  <c r="AW120" i="1" s="1"/>
  <c r="BC120" i="1" s="1"/>
  <c r="AP120" i="1"/>
  <c r="AV120" i="1"/>
  <c r="AX120" i="1"/>
  <c r="BD120" i="1"/>
  <c r="BF120" i="1"/>
  <c r="BH120" i="1"/>
  <c r="AB120" i="1" s="1"/>
  <c r="BI120" i="1"/>
  <c r="AC120" i="1" s="1"/>
  <c r="BJ120" i="1"/>
  <c r="K122" i="1"/>
  <c r="Z122" i="1"/>
  <c r="AB122" i="1"/>
  <c r="AD122" i="1"/>
  <c r="AE122" i="1"/>
  <c r="AF122" i="1"/>
  <c r="AG122" i="1"/>
  <c r="AH122" i="1"/>
  <c r="AJ122" i="1"/>
  <c r="AS121" i="1" s="1"/>
  <c r="AK122" i="1"/>
  <c r="AL122" i="1"/>
  <c r="AU121" i="1" s="1"/>
  <c r="AO122" i="1"/>
  <c r="AP122" i="1"/>
  <c r="AX122" i="1" s="1"/>
  <c r="AW122" i="1"/>
  <c r="BC122" i="1"/>
  <c r="BD122" i="1"/>
  <c r="BF122" i="1"/>
  <c r="BH122" i="1"/>
  <c r="BI122" i="1"/>
  <c r="AC122" i="1" s="1"/>
  <c r="BJ122" i="1"/>
  <c r="K123" i="1"/>
  <c r="AL123" i="1" s="1"/>
  <c r="Z123" i="1"/>
  <c r="AB123" i="1"/>
  <c r="AC123" i="1"/>
  <c r="AD123" i="1"/>
  <c r="AE123" i="1"/>
  <c r="AF123" i="1"/>
  <c r="AG123" i="1"/>
  <c r="AH123" i="1"/>
  <c r="AJ123" i="1"/>
  <c r="AK123" i="1"/>
  <c r="AO123" i="1"/>
  <c r="AW123" i="1" s="1"/>
  <c r="AP123" i="1"/>
  <c r="AX123" i="1"/>
  <c r="AV123" i="1" s="1"/>
  <c r="BD123" i="1"/>
  <c r="BF123" i="1"/>
  <c r="BH123" i="1"/>
  <c r="BI123" i="1"/>
  <c r="BJ123" i="1"/>
  <c r="K124" i="1"/>
  <c r="Z124" i="1"/>
  <c r="AD124" i="1"/>
  <c r="AE124" i="1"/>
  <c r="AF124" i="1"/>
  <c r="AG124" i="1"/>
  <c r="AH124" i="1"/>
  <c r="AJ124" i="1"/>
  <c r="AK124" i="1"/>
  <c r="AL124" i="1"/>
  <c r="AO124" i="1"/>
  <c r="AP124" i="1"/>
  <c r="AX124" i="1" s="1"/>
  <c r="AW124" i="1"/>
  <c r="BC124" i="1"/>
  <c r="BD124" i="1"/>
  <c r="BF124" i="1"/>
  <c r="BH124" i="1"/>
  <c r="AB124" i="1" s="1"/>
  <c r="BI124" i="1"/>
  <c r="AC124" i="1" s="1"/>
  <c r="BJ124" i="1"/>
  <c r="K125" i="1"/>
  <c r="AL125" i="1" s="1"/>
  <c r="Z125" i="1"/>
  <c r="AD125" i="1"/>
  <c r="AE125" i="1"/>
  <c r="AF125" i="1"/>
  <c r="AG125" i="1"/>
  <c r="AH125" i="1"/>
  <c r="AJ125" i="1"/>
  <c r="AK125" i="1"/>
  <c r="AO125" i="1"/>
  <c r="AW125" i="1" s="1"/>
  <c r="BC125" i="1" s="1"/>
  <c r="AP125" i="1"/>
  <c r="AX125" i="1"/>
  <c r="BD125" i="1"/>
  <c r="BF125" i="1"/>
  <c r="BI125" i="1"/>
  <c r="AC125" i="1" s="1"/>
  <c r="BJ125" i="1"/>
  <c r="K126" i="1"/>
  <c r="Z126" i="1"/>
  <c r="AB126" i="1"/>
  <c r="AD126" i="1"/>
  <c r="AE126" i="1"/>
  <c r="AF126" i="1"/>
  <c r="AG126" i="1"/>
  <c r="AH126" i="1"/>
  <c r="AJ126" i="1"/>
  <c r="AK126" i="1"/>
  <c r="AL126" i="1"/>
  <c r="AO126" i="1"/>
  <c r="AP126" i="1"/>
  <c r="AX126" i="1" s="1"/>
  <c r="AW126" i="1"/>
  <c r="BC126" i="1"/>
  <c r="BD126" i="1"/>
  <c r="BF126" i="1"/>
  <c r="BH126" i="1"/>
  <c r="BI126" i="1"/>
  <c r="AC126" i="1" s="1"/>
  <c r="BJ126" i="1"/>
  <c r="K128" i="1"/>
  <c r="AL128" i="1" s="1"/>
  <c r="Z128" i="1"/>
  <c r="AC128" i="1"/>
  <c r="AD128" i="1"/>
  <c r="AE128" i="1"/>
  <c r="AF128" i="1"/>
  <c r="AG128" i="1"/>
  <c r="AH128" i="1"/>
  <c r="AJ128" i="1"/>
  <c r="AK128" i="1"/>
  <c r="AT127" i="1" s="1"/>
  <c r="AO128" i="1"/>
  <c r="AW128" i="1" s="1"/>
  <c r="AP128" i="1"/>
  <c r="AX128" i="1"/>
  <c r="BD128" i="1"/>
  <c r="BF128" i="1"/>
  <c r="BI128" i="1"/>
  <c r="BJ128" i="1"/>
  <c r="K129" i="1"/>
  <c r="Z129" i="1"/>
  <c r="AD129" i="1"/>
  <c r="AE129" i="1"/>
  <c r="AF129" i="1"/>
  <c r="AG129" i="1"/>
  <c r="AH129" i="1"/>
  <c r="AJ129" i="1"/>
  <c r="AK129" i="1"/>
  <c r="AL129" i="1"/>
  <c r="AO129" i="1"/>
  <c r="AP129" i="1"/>
  <c r="AX129" i="1" s="1"/>
  <c r="BC129" i="1" s="1"/>
  <c r="AW129" i="1"/>
  <c r="BD129" i="1"/>
  <c r="BF129" i="1"/>
  <c r="BH129" i="1"/>
  <c r="AB129" i="1" s="1"/>
  <c r="BJ129" i="1"/>
  <c r="K130" i="1"/>
  <c r="AL130" i="1" s="1"/>
  <c r="Z130" i="1"/>
  <c r="AD130" i="1"/>
  <c r="AE130" i="1"/>
  <c r="AF130" i="1"/>
  <c r="AG130" i="1"/>
  <c r="AH130" i="1"/>
  <c r="AJ130" i="1"/>
  <c r="AK130" i="1"/>
  <c r="AO130" i="1"/>
  <c r="AW130" i="1" s="1"/>
  <c r="BC130" i="1" s="1"/>
  <c r="AP130" i="1"/>
  <c r="AV130" i="1"/>
  <c r="AX130" i="1"/>
  <c r="BD130" i="1"/>
  <c r="BF130" i="1"/>
  <c r="BH130" i="1"/>
  <c r="AB130" i="1" s="1"/>
  <c r="BI130" i="1"/>
  <c r="AC130" i="1" s="1"/>
  <c r="BJ130" i="1"/>
  <c r="K131" i="1"/>
  <c r="Z131" i="1"/>
  <c r="AD131" i="1"/>
  <c r="AE131" i="1"/>
  <c r="AF131" i="1"/>
  <c r="AG131" i="1"/>
  <c r="AH131" i="1"/>
  <c r="AJ131" i="1"/>
  <c r="AK131" i="1"/>
  <c r="AL131" i="1"/>
  <c r="AO131" i="1"/>
  <c r="AP131" i="1"/>
  <c r="AX131" i="1" s="1"/>
  <c r="AW131" i="1"/>
  <c r="AV131" i="1" s="1"/>
  <c r="BD131" i="1"/>
  <c r="BF131" i="1"/>
  <c r="BH131" i="1"/>
  <c r="AB131" i="1" s="1"/>
  <c r="BJ131" i="1"/>
  <c r="K132" i="1"/>
  <c r="AL132" i="1" s="1"/>
  <c r="Z132" i="1"/>
  <c r="AC132" i="1"/>
  <c r="AD132" i="1"/>
  <c r="AE132" i="1"/>
  <c r="AF132" i="1"/>
  <c r="AG132" i="1"/>
  <c r="AH132" i="1"/>
  <c r="AJ132" i="1"/>
  <c r="AK132" i="1"/>
  <c r="AO132" i="1"/>
  <c r="AW132" i="1" s="1"/>
  <c r="BC132" i="1" s="1"/>
  <c r="AP132" i="1"/>
  <c r="AV132" i="1"/>
  <c r="AX132" i="1"/>
  <c r="BD132" i="1"/>
  <c r="BF132" i="1"/>
  <c r="BH132" i="1"/>
  <c r="AB132" i="1" s="1"/>
  <c r="BI132" i="1"/>
  <c r="BJ132" i="1"/>
  <c r="K133" i="1"/>
  <c r="Z133" i="1"/>
  <c r="AD133" i="1"/>
  <c r="AE133" i="1"/>
  <c r="AF133" i="1"/>
  <c r="AG133" i="1"/>
  <c r="AH133" i="1"/>
  <c r="AJ133" i="1"/>
  <c r="AK133" i="1"/>
  <c r="AL133" i="1"/>
  <c r="AO133" i="1"/>
  <c r="AP133" i="1"/>
  <c r="AX133" i="1" s="1"/>
  <c r="AW133" i="1"/>
  <c r="AV133" i="1" s="1"/>
  <c r="BD133" i="1"/>
  <c r="BF133" i="1"/>
  <c r="BH133" i="1"/>
  <c r="AB133" i="1" s="1"/>
  <c r="BJ133" i="1"/>
  <c r="K134" i="1"/>
  <c r="AL134" i="1" s="1"/>
  <c r="Z134" i="1"/>
  <c r="AD134" i="1"/>
  <c r="AE134" i="1"/>
  <c r="AF134" i="1"/>
  <c r="AG134" i="1"/>
  <c r="AH134" i="1"/>
  <c r="AJ134" i="1"/>
  <c r="AK134" i="1"/>
  <c r="AO134" i="1"/>
  <c r="AW134" i="1" s="1"/>
  <c r="AP134" i="1"/>
  <c r="AX134" i="1"/>
  <c r="AV134" i="1" s="1"/>
  <c r="BD134" i="1"/>
  <c r="BF134" i="1"/>
  <c r="BH134" i="1"/>
  <c r="AB134" i="1" s="1"/>
  <c r="BI134" i="1"/>
  <c r="AC134" i="1" s="1"/>
  <c r="BJ134" i="1"/>
  <c r="K135" i="1"/>
  <c r="Z135" i="1"/>
  <c r="AD135" i="1"/>
  <c r="AE135" i="1"/>
  <c r="AF135" i="1"/>
  <c r="AG135" i="1"/>
  <c r="AH135" i="1"/>
  <c r="AJ135" i="1"/>
  <c r="AK135" i="1"/>
  <c r="AL135" i="1"/>
  <c r="AO135" i="1"/>
  <c r="AP135" i="1"/>
  <c r="AX135" i="1" s="1"/>
  <c r="AW135" i="1"/>
  <c r="BC135" i="1"/>
  <c r="BD135" i="1"/>
  <c r="BF135" i="1"/>
  <c r="BH135" i="1"/>
  <c r="AB135" i="1" s="1"/>
  <c r="BI135" i="1"/>
  <c r="AC135" i="1" s="1"/>
  <c r="BJ135" i="1"/>
  <c r="K136" i="1"/>
  <c r="AL136" i="1" s="1"/>
  <c r="Z136" i="1"/>
  <c r="AD136" i="1"/>
  <c r="AE136" i="1"/>
  <c r="AF136" i="1"/>
  <c r="AG136" i="1"/>
  <c r="AH136" i="1"/>
  <c r="AJ136" i="1"/>
  <c r="AK136" i="1"/>
  <c r="AO136" i="1"/>
  <c r="AW136" i="1" s="1"/>
  <c r="BC136" i="1" s="1"/>
  <c r="AP136" i="1"/>
  <c r="AX136" i="1"/>
  <c r="BD136" i="1"/>
  <c r="BF136" i="1"/>
  <c r="BI136" i="1"/>
  <c r="AC136" i="1" s="1"/>
  <c r="BJ136" i="1"/>
  <c r="K137" i="1"/>
  <c r="Z137" i="1"/>
  <c r="AD137" i="1"/>
  <c r="AE137" i="1"/>
  <c r="AF137" i="1"/>
  <c r="AG137" i="1"/>
  <c r="AH137" i="1"/>
  <c r="AJ137" i="1"/>
  <c r="AK137" i="1"/>
  <c r="AL137" i="1"/>
  <c r="AO137" i="1"/>
  <c r="AP137" i="1"/>
  <c r="AX137" i="1" s="1"/>
  <c r="AW137" i="1"/>
  <c r="AV137" i="1" s="1"/>
  <c r="BD137" i="1"/>
  <c r="BF137" i="1"/>
  <c r="BH137" i="1"/>
  <c r="AB137" i="1" s="1"/>
  <c r="BI137" i="1"/>
  <c r="AC137" i="1" s="1"/>
  <c r="BJ137" i="1"/>
  <c r="K138" i="1"/>
  <c r="AL138" i="1" s="1"/>
  <c r="Z138" i="1"/>
  <c r="AD138" i="1"/>
  <c r="AE138" i="1"/>
  <c r="AF138" i="1"/>
  <c r="AG138" i="1"/>
  <c r="AH138" i="1"/>
  <c r="AJ138" i="1"/>
  <c r="AK138" i="1"/>
  <c r="AO138" i="1"/>
  <c r="AP138" i="1"/>
  <c r="AX138" i="1" s="1"/>
  <c r="BC138" i="1" s="1"/>
  <c r="AW138" i="1"/>
  <c r="BD138" i="1"/>
  <c r="BF138" i="1"/>
  <c r="BH138" i="1"/>
  <c r="AB138" i="1" s="1"/>
  <c r="BI138" i="1"/>
  <c r="AC138" i="1" s="1"/>
  <c r="BJ138" i="1"/>
  <c r="K139" i="1"/>
  <c r="AL139" i="1" s="1"/>
  <c r="Z139" i="1"/>
  <c r="AB139" i="1"/>
  <c r="AD139" i="1"/>
  <c r="AE139" i="1"/>
  <c r="AF139" i="1"/>
  <c r="AG139" i="1"/>
  <c r="AH139" i="1"/>
  <c r="AJ139" i="1"/>
  <c r="AK139" i="1"/>
  <c r="AO139" i="1"/>
  <c r="AW139" i="1" s="1"/>
  <c r="AP139" i="1"/>
  <c r="AX139" i="1"/>
  <c r="BD139" i="1"/>
  <c r="BF139" i="1"/>
  <c r="BH139" i="1"/>
  <c r="BI139" i="1"/>
  <c r="AC139" i="1" s="1"/>
  <c r="BJ139" i="1"/>
  <c r="K140" i="1"/>
  <c r="Z140" i="1"/>
  <c r="AB140" i="1"/>
  <c r="AC140" i="1"/>
  <c r="AD140" i="1"/>
  <c r="AE140" i="1"/>
  <c r="AF140" i="1"/>
  <c r="AG140" i="1"/>
  <c r="AH140" i="1"/>
  <c r="AJ140" i="1"/>
  <c r="AK140" i="1"/>
  <c r="AL140" i="1"/>
  <c r="AO140" i="1"/>
  <c r="AP140" i="1"/>
  <c r="AX140" i="1" s="1"/>
  <c r="AW140" i="1"/>
  <c r="BC140" i="1" s="1"/>
  <c r="BD140" i="1"/>
  <c r="BF140" i="1"/>
  <c r="BH140" i="1"/>
  <c r="BI140" i="1"/>
  <c r="BJ140" i="1"/>
  <c r="K141" i="1"/>
  <c r="AL141" i="1" s="1"/>
  <c r="Z141" i="1"/>
  <c r="AC141" i="1"/>
  <c r="AD141" i="1"/>
  <c r="AE141" i="1"/>
  <c r="AF141" i="1"/>
  <c r="AG141" i="1"/>
  <c r="AH141" i="1"/>
  <c r="AJ141" i="1"/>
  <c r="AK141" i="1"/>
  <c r="AO141" i="1"/>
  <c r="AW141" i="1" s="1"/>
  <c r="AP141" i="1"/>
  <c r="AX141" i="1"/>
  <c r="BD141" i="1"/>
  <c r="BF141" i="1"/>
  <c r="BH141" i="1"/>
  <c r="AB141" i="1" s="1"/>
  <c r="BI141" i="1"/>
  <c r="BJ141" i="1"/>
  <c r="K142" i="1"/>
  <c r="Z142" i="1"/>
  <c r="AD142" i="1"/>
  <c r="AE142" i="1"/>
  <c r="AF142" i="1"/>
  <c r="AG142" i="1"/>
  <c r="AH142" i="1"/>
  <c r="AJ142" i="1"/>
  <c r="AK142" i="1"/>
  <c r="AL142" i="1"/>
  <c r="AO142" i="1"/>
  <c r="AP142" i="1"/>
  <c r="AX142" i="1" s="1"/>
  <c r="BC142" i="1" s="1"/>
  <c r="AW142" i="1"/>
  <c r="AV142" i="1" s="1"/>
  <c r="BD142" i="1"/>
  <c r="BF142" i="1"/>
  <c r="BH142" i="1"/>
  <c r="AB142" i="1" s="1"/>
  <c r="BI142" i="1"/>
  <c r="AC142" i="1" s="1"/>
  <c r="BJ142" i="1"/>
  <c r="K144" i="1"/>
  <c r="AL144" i="1" s="1"/>
  <c r="Z144" i="1"/>
  <c r="AB144" i="1"/>
  <c r="AD144" i="1"/>
  <c r="AE144" i="1"/>
  <c r="AF144" i="1"/>
  <c r="AG144" i="1"/>
  <c r="AH144" i="1"/>
  <c r="AJ144" i="1"/>
  <c r="AS143" i="1" s="1"/>
  <c r="AK144" i="1"/>
  <c r="AT143" i="1" s="1"/>
  <c r="AO144" i="1"/>
  <c r="AW144" i="1" s="1"/>
  <c r="AP144" i="1"/>
  <c r="AX144" i="1"/>
  <c r="BD144" i="1"/>
  <c r="BF144" i="1"/>
  <c r="BH144" i="1"/>
  <c r="BI144" i="1"/>
  <c r="AC144" i="1" s="1"/>
  <c r="BJ144" i="1"/>
  <c r="K145" i="1"/>
  <c r="Z145" i="1"/>
  <c r="AB145" i="1"/>
  <c r="AC145" i="1"/>
  <c r="AD145" i="1"/>
  <c r="AE145" i="1"/>
  <c r="AF145" i="1"/>
  <c r="AG145" i="1"/>
  <c r="AH145" i="1"/>
  <c r="AJ145" i="1"/>
  <c r="AK145" i="1"/>
  <c r="AL145" i="1"/>
  <c r="AO145" i="1"/>
  <c r="AP145" i="1"/>
  <c r="AX145" i="1" s="1"/>
  <c r="AW145" i="1"/>
  <c r="BC145" i="1" s="1"/>
  <c r="BD145" i="1"/>
  <c r="BF145" i="1"/>
  <c r="BH145" i="1"/>
  <c r="BI145" i="1"/>
  <c r="BJ145" i="1"/>
  <c r="K147" i="1"/>
  <c r="AL147" i="1" s="1"/>
  <c r="Z147" i="1"/>
  <c r="AC147" i="1"/>
  <c r="AD147" i="1"/>
  <c r="AE147" i="1"/>
  <c r="AF147" i="1"/>
  <c r="AG147" i="1"/>
  <c r="AH147" i="1"/>
  <c r="AJ147" i="1"/>
  <c r="AK147" i="1"/>
  <c r="AO147" i="1"/>
  <c r="AW147" i="1" s="1"/>
  <c r="AP147" i="1"/>
  <c r="AX147" i="1"/>
  <c r="BD147" i="1"/>
  <c r="BF147" i="1"/>
  <c r="BH147" i="1"/>
  <c r="AB147" i="1" s="1"/>
  <c r="BI147" i="1"/>
  <c r="BJ147" i="1"/>
  <c r="K149" i="1"/>
  <c r="Z149" i="1"/>
  <c r="AD149" i="1"/>
  <c r="AE149" i="1"/>
  <c r="AF149" i="1"/>
  <c r="AG149" i="1"/>
  <c r="AH149" i="1"/>
  <c r="AJ149" i="1"/>
  <c r="AK149" i="1"/>
  <c r="AL149" i="1"/>
  <c r="AO149" i="1"/>
  <c r="AP149" i="1"/>
  <c r="AX149" i="1" s="1"/>
  <c r="BC149" i="1" s="1"/>
  <c r="AW149" i="1"/>
  <c r="AV149" i="1" s="1"/>
  <c r="BD149" i="1"/>
  <c r="BF149" i="1"/>
  <c r="BH149" i="1"/>
  <c r="AB149" i="1" s="1"/>
  <c r="BI149" i="1"/>
  <c r="AC149" i="1" s="1"/>
  <c r="BJ149" i="1"/>
  <c r="K151" i="1"/>
  <c r="AL151" i="1" s="1"/>
  <c r="Z151" i="1"/>
  <c r="AB151" i="1"/>
  <c r="AD151" i="1"/>
  <c r="AE151" i="1"/>
  <c r="AF151" i="1"/>
  <c r="AG151" i="1"/>
  <c r="AH151" i="1"/>
  <c r="AJ151" i="1"/>
  <c r="AK151" i="1"/>
  <c r="AO151" i="1"/>
  <c r="AW151" i="1" s="1"/>
  <c r="AP151" i="1"/>
  <c r="AX151" i="1"/>
  <c r="BD151" i="1"/>
  <c r="BF151" i="1"/>
  <c r="BH151" i="1"/>
  <c r="BI151" i="1"/>
  <c r="AC151" i="1" s="1"/>
  <c r="BJ151" i="1"/>
  <c r="K153" i="1"/>
  <c r="Z153" i="1"/>
  <c r="AB153" i="1"/>
  <c r="AC153" i="1"/>
  <c r="AD153" i="1"/>
  <c r="AE153" i="1"/>
  <c r="AF153" i="1"/>
  <c r="AG153" i="1"/>
  <c r="AH153" i="1"/>
  <c r="AJ153" i="1"/>
  <c r="AK153" i="1"/>
  <c r="AL153" i="1"/>
  <c r="AO153" i="1"/>
  <c r="AP153" i="1"/>
  <c r="AX153" i="1" s="1"/>
  <c r="AW153" i="1"/>
  <c r="BC153" i="1" s="1"/>
  <c r="BD153" i="1"/>
  <c r="BF153" i="1"/>
  <c r="BH153" i="1"/>
  <c r="BI153" i="1"/>
  <c r="BJ153" i="1"/>
  <c r="K155" i="1"/>
  <c r="AL155" i="1" s="1"/>
  <c r="Z155" i="1"/>
  <c r="AC155" i="1"/>
  <c r="AD155" i="1"/>
  <c r="AE155" i="1"/>
  <c r="AF155" i="1"/>
  <c r="AG155" i="1"/>
  <c r="AH155" i="1"/>
  <c r="AJ155" i="1"/>
  <c r="AS154" i="1" s="1"/>
  <c r="AK155" i="1"/>
  <c r="AT154" i="1" s="1"/>
  <c r="AO155" i="1"/>
  <c r="AW155" i="1" s="1"/>
  <c r="AP155" i="1"/>
  <c r="AX155" i="1"/>
  <c r="BD155" i="1"/>
  <c r="BF155" i="1"/>
  <c r="BH155" i="1"/>
  <c r="AB155" i="1" s="1"/>
  <c r="BI155" i="1"/>
  <c r="BJ155" i="1"/>
  <c r="K157" i="1"/>
  <c r="Z157" i="1"/>
  <c r="AD157" i="1"/>
  <c r="AE157" i="1"/>
  <c r="AF157" i="1"/>
  <c r="AG157" i="1"/>
  <c r="AH157" i="1"/>
  <c r="AJ157" i="1"/>
  <c r="AK157" i="1"/>
  <c r="AL157" i="1"/>
  <c r="AO157" i="1"/>
  <c r="AP157" i="1"/>
  <c r="AX157" i="1" s="1"/>
  <c r="BC157" i="1" s="1"/>
  <c r="AW157" i="1"/>
  <c r="AV157" i="1" s="1"/>
  <c r="BD157" i="1"/>
  <c r="BF157" i="1"/>
  <c r="BH157" i="1"/>
  <c r="AB157" i="1" s="1"/>
  <c r="BI157" i="1"/>
  <c r="AC157" i="1" s="1"/>
  <c r="BJ157" i="1"/>
  <c r="K158" i="1"/>
  <c r="AL158" i="1" s="1"/>
  <c r="Z158" i="1"/>
  <c r="AB158" i="1"/>
  <c r="AD158" i="1"/>
  <c r="AE158" i="1"/>
  <c r="AF158" i="1"/>
  <c r="AG158" i="1"/>
  <c r="AH158" i="1"/>
  <c r="AJ158" i="1"/>
  <c r="AK158" i="1"/>
  <c r="AO158" i="1"/>
  <c r="AW158" i="1" s="1"/>
  <c r="AP158" i="1"/>
  <c r="AX158" i="1"/>
  <c r="BD158" i="1"/>
  <c r="BF158" i="1"/>
  <c r="BH158" i="1"/>
  <c r="BI158" i="1"/>
  <c r="AC158" i="1" s="1"/>
  <c r="BJ158" i="1"/>
  <c r="K159" i="1"/>
  <c r="Z159" i="1"/>
  <c r="AB159" i="1"/>
  <c r="AC159" i="1"/>
  <c r="AD159" i="1"/>
  <c r="AE159" i="1"/>
  <c r="AF159" i="1"/>
  <c r="AG159" i="1"/>
  <c r="AH159" i="1"/>
  <c r="AJ159" i="1"/>
  <c r="AK159" i="1"/>
  <c r="AL159" i="1"/>
  <c r="AO159" i="1"/>
  <c r="AP159" i="1"/>
  <c r="AX159" i="1" s="1"/>
  <c r="AW159" i="1"/>
  <c r="BC159" i="1" s="1"/>
  <c r="BD159" i="1"/>
  <c r="BF159" i="1"/>
  <c r="BH159" i="1"/>
  <c r="BI159" i="1"/>
  <c r="BJ159" i="1"/>
  <c r="K160" i="1"/>
  <c r="AL160" i="1" s="1"/>
  <c r="Z160" i="1"/>
  <c r="AC160" i="1"/>
  <c r="AD160" i="1"/>
  <c r="AE160" i="1"/>
  <c r="AF160" i="1"/>
  <c r="AG160" i="1"/>
  <c r="AH160" i="1"/>
  <c r="AJ160" i="1"/>
  <c r="AK160" i="1"/>
  <c r="AO160" i="1"/>
  <c r="AW160" i="1" s="1"/>
  <c r="AP160" i="1"/>
  <c r="AX160" i="1"/>
  <c r="BD160" i="1"/>
  <c r="BF160" i="1"/>
  <c r="BH160" i="1"/>
  <c r="AB160" i="1" s="1"/>
  <c r="BI160" i="1"/>
  <c r="BJ160" i="1"/>
  <c r="K161" i="1"/>
  <c r="Z161" i="1"/>
  <c r="AD161" i="1"/>
  <c r="AE161" i="1"/>
  <c r="AF161" i="1"/>
  <c r="AG161" i="1"/>
  <c r="AH161" i="1"/>
  <c r="AJ161" i="1"/>
  <c r="AK161" i="1"/>
  <c r="AL161" i="1"/>
  <c r="AO161" i="1"/>
  <c r="AP161" i="1"/>
  <c r="AX161" i="1" s="1"/>
  <c r="BC161" i="1" s="1"/>
  <c r="AW161" i="1"/>
  <c r="AV161" i="1" s="1"/>
  <c r="BD161" i="1"/>
  <c r="BF161" i="1"/>
  <c r="BH161" i="1"/>
  <c r="AB161" i="1" s="1"/>
  <c r="BI161" i="1"/>
  <c r="AC161" i="1" s="1"/>
  <c r="BJ161" i="1"/>
  <c r="K162" i="1"/>
  <c r="AL162" i="1" s="1"/>
  <c r="Z162" i="1"/>
  <c r="AB162" i="1"/>
  <c r="AD162" i="1"/>
  <c r="AE162" i="1"/>
  <c r="AF162" i="1"/>
  <c r="AG162" i="1"/>
  <c r="AH162" i="1"/>
  <c r="AJ162" i="1"/>
  <c r="AK162" i="1"/>
  <c r="AO162" i="1"/>
  <c r="AW162" i="1" s="1"/>
  <c r="AP162" i="1"/>
  <c r="AX162" i="1"/>
  <c r="BD162" i="1"/>
  <c r="BF162" i="1"/>
  <c r="BH162" i="1"/>
  <c r="BI162" i="1"/>
  <c r="AC162" i="1" s="1"/>
  <c r="BJ162" i="1"/>
  <c r="K163" i="1"/>
  <c r="Z163" i="1"/>
  <c r="AB163" i="1"/>
  <c r="AC163" i="1"/>
  <c r="AD163" i="1"/>
  <c r="AE163" i="1"/>
  <c r="AF163" i="1"/>
  <c r="AG163" i="1"/>
  <c r="AH163" i="1"/>
  <c r="AJ163" i="1"/>
  <c r="AK163" i="1"/>
  <c r="AL163" i="1"/>
  <c r="AO163" i="1"/>
  <c r="AP163" i="1"/>
  <c r="AX163" i="1" s="1"/>
  <c r="AW163" i="1"/>
  <c r="BC163" i="1" s="1"/>
  <c r="BD163" i="1"/>
  <c r="BF163" i="1"/>
  <c r="BH163" i="1"/>
  <c r="BI163" i="1"/>
  <c r="BJ163" i="1"/>
  <c r="K164" i="1"/>
  <c r="AL164" i="1" s="1"/>
  <c r="Z164" i="1"/>
  <c r="AC164" i="1"/>
  <c r="AD164" i="1"/>
  <c r="AE164" i="1"/>
  <c r="AF164" i="1"/>
  <c r="AG164" i="1"/>
  <c r="AH164" i="1"/>
  <c r="AJ164" i="1"/>
  <c r="AK164" i="1"/>
  <c r="AO164" i="1"/>
  <c r="AW164" i="1" s="1"/>
  <c r="AP164" i="1"/>
  <c r="AX164" i="1"/>
  <c r="BD164" i="1"/>
  <c r="BF164" i="1"/>
  <c r="BH164" i="1"/>
  <c r="AB164" i="1" s="1"/>
  <c r="BI164" i="1"/>
  <c r="BJ164" i="1"/>
  <c r="K165" i="1"/>
  <c r="Z165" i="1"/>
  <c r="AD165" i="1"/>
  <c r="AE165" i="1"/>
  <c r="AF165" i="1"/>
  <c r="AG165" i="1"/>
  <c r="AH165" i="1"/>
  <c r="AJ165" i="1"/>
  <c r="AK165" i="1"/>
  <c r="AL165" i="1"/>
  <c r="AO165" i="1"/>
  <c r="AP165" i="1"/>
  <c r="AX165" i="1" s="1"/>
  <c r="BC165" i="1" s="1"/>
  <c r="AW165" i="1"/>
  <c r="AV165" i="1" s="1"/>
  <c r="BD165" i="1"/>
  <c r="BF165" i="1"/>
  <c r="BH165" i="1"/>
  <c r="AB165" i="1" s="1"/>
  <c r="BI165" i="1"/>
  <c r="AC165" i="1" s="1"/>
  <c r="BJ165" i="1"/>
  <c r="K166" i="1"/>
  <c r="AL166" i="1" s="1"/>
  <c r="Z166" i="1"/>
  <c r="AB166" i="1"/>
  <c r="AD166" i="1"/>
  <c r="AE166" i="1"/>
  <c r="AF166" i="1"/>
  <c r="AG166" i="1"/>
  <c r="AH166" i="1"/>
  <c r="AJ166" i="1"/>
  <c r="AK166" i="1"/>
  <c r="AO166" i="1"/>
  <c r="AW166" i="1" s="1"/>
  <c r="AP166" i="1"/>
  <c r="AX166" i="1"/>
  <c r="BD166" i="1"/>
  <c r="BF166" i="1"/>
  <c r="BH166" i="1"/>
  <c r="BI166" i="1"/>
  <c r="AC166" i="1" s="1"/>
  <c r="BJ166" i="1"/>
  <c r="K167" i="1"/>
  <c r="Z167" i="1"/>
  <c r="AB167" i="1"/>
  <c r="AC167" i="1"/>
  <c r="AD167" i="1"/>
  <c r="AE167" i="1"/>
  <c r="AF167" i="1"/>
  <c r="AG167" i="1"/>
  <c r="AH167" i="1"/>
  <c r="AJ167" i="1"/>
  <c r="AK167" i="1"/>
  <c r="AL167" i="1"/>
  <c r="AO167" i="1"/>
  <c r="AP167" i="1"/>
  <c r="AX167" i="1" s="1"/>
  <c r="AW167" i="1"/>
  <c r="BC167" i="1" s="1"/>
  <c r="BD167" i="1"/>
  <c r="BF167" i="1"/>
  <c r="BH167" i="1"/>
  <c r="BI167" i="1"/>
  <c r="BJ167" i="1"/>
  <c r="K168" i="1"/>
  <c r="AL168" i="1" s="1"/>
  <c r="Z168" i="1"/>
  <c r="AC168" i="1"/>
  <c r="AD168" i="1"/>
  <c r="AE168" i="1"/>
  <c r="AF168" i="1"/>
  <c r="AG168" i="1"/>
  <c r="AH168" i="1"/>
  <c r="AJ168" i="1"/>
  <c r="AK168" i="1"/>
  <c r="AO168" i="1"/>
  <c r="AW168" i="1" s="1"/>
  <c r="AP168" i="1"/>
  <c r="AX168" i="1"/>
  <c r="BD168" i="1"/>
  <c r="BF168" i="1"/>
  <c r="BH168" i="1"/>
  <c r="AB168" i="1" s="1"/>
  <c r="BI168" i="1"/>
  <c r="BJ168" i="1"/>
  <c r="K170" i="1"/>
  <c r="K169" i="1" s="1"/>
  <c r="Z170" i="1"/>
  <c r="AD170" i="1"/>
  <c r="AE170" i="1"/>
  <c r="AF170" i="1"/>
  <c r="AG170" i="1"/>
  <c r="AH170" i="1"/>
  <c r="AJ170" i="1"/>
  <c r="AS169" i="1" s="1"/>
  <c r="AK170" i="1"/>
  <c r="AT169" i="1" s="1"/>
  <c r="AL170" i="1"/>
  <c r="AU169" i="1" s="1"/>
  <c r="AO170" i="1"/>
  <c r="AP170" i="1"/>
  <c r="AX170" i="1" s="1"/>
  <c r="BC170" i="1" s="1"/>
  <c r="AW170" i="1"/>
  <c r="AV170" i="1" s="1"/>
  <c r="BD170" i="1"/>
  <c r="BF170" i="1"/>
  <c r="BH170" i="1"/>
  <c r="AB170" i="1" s="1"/>
  <c r="BI170" i="1"/>
  <c r="AC170" i="1" s="1"/>
  <c r="BJ170" i="1"/>
  <c r="K172" i="1"/>
  <c r="AL172" i="1" s="1"/>
  <c r="Z172" i="1"/>
  <c r="AB172" i="1"/>
  <c r="AD172" i="1"/>
  <c r="AE172" i="1"/>
  <c r="AF172" i="1"/>
  <c r="AG172" i="1"/>
  <c r="AH172" i="1"/>
  <c r="AJ172" i="1"/>
  <c r="AS171" i="1" s="1"/>
  <c r="AK172" i="1"/>
  <c r="AT171" i="1" s="1"/>
  <c r="AO172" i="1"/>
  <c r="AW172" i="1" s="1"/>
  <c r="AP172" i="1"/>
  <c r="AX172" i="1"/>
  <c r="BD172" i="1"/>
  <c r="BF172" i="1"/>
  <c r="BH172" i="1"/>
  <c r="BI172" i="1"/>
  <c r="AC172" i="1" s="1"/>
  <c r="BJ172" i="1"/>
  <c r="K173" i="1"/>
  <c r="Z173" i="1"/>
  <c r="AB173" i="1"/>
  <c r="AC173" i="1"/>
  <c r="AD173" i="1"/>
  <c r="AE173" i="1"/>
  <c r="AF173" i="1"/>
  <c r="AG173" i="1"/>
  <c r="AH173" i="1"/>
  <c r="AJ173" i="1"/>
  <c r="AK173" i="1"/>
  <c r="AL173" i="1"/>
  <c r="AO173" i="1"/>
  <c r="AP173" i="1"/>
  <c r="AX173" i="1" s="1"/>
  <c r="AW173" i="1"/>
  <c r="BC173" i="1" s="1"/>
  <c r="BD173" i="1"/>
  <c r="BF173" i="1"/>
  <c r="BH173" i="1"/>
  <c r="BI173" i="1"/>
  <c r="BJ173" i="1"/>
  <c r="K174" i="1"/>
  <c r="AL174" i="1" s="1"/>
  <c r="Z174" i="1"/>
  <c r="AC174" i="1"/>
  <c r="AD174" i="1"/>
  <c r="AE174" i="1"/>
  <c r="AF174" i="1"/>
  <c r="AG174" i="1"/>
  <c r="AH174" i="1"/>
  <c r="AJ174" i="1"/>
  <c r="AK174" i="1"/>
  <c r="AO174" i="1"/>
  <c r="AW174" i="1" s="1"/>
  <c r="AP174" i="1"/>
  <c r="AX174" i="1"/>
  <c r="BD174" i="1"/>
  <c r="BF174" i="1"/>
  <c r="BH174" i="1"/>
  <c r="AB174" i="1" s="1"/>
  <c r="BI174" i="1"/>
  <c r="BJ174" i="1"/>
  <c r="K175" i="1"/>
  <c r="Z175" i="1"/>
  <c r="AD175" i="1"/>
  <c r="AE175" i="1"/>
  <c r="AF175" i="1"/>
  <c r="AG175" i="1"/>
  <c r="AH175" i="1"/>
  <c r="AJ175" i="1"/>
  <c r="AK175" i="1"/>
  <c r="AL175" i="1"/>
  <c r="AO175" i="1"/>
  <c r="AP175" i="1"/>
  <c r="AX175" i="1" s="1"/>
  <c r="BC175" i="1" s="1"/>
  <c r="AW175" i="1"/>
  <c r="AV175" i="1" s="1"/>
  <c r="BD175" i="1"/>
  <c r="BF175" i="1"/>
  <c r="BH175" i="1"/>
  <c r="AB175" i="1" s="1"/>
  <c r="BI175" i="1"/>
  <c r="AC175" i="1" s="1"/>
  <c r="BJ175" i="1"/>
  <c r="K176" i="1"/>
  <c r="AL176" i="1" s="1"/>
  <c r="Z176" i="1"/>
  <c r="AB176" i="1"/>
  <c r="AD176" i="1"/>
  <c r="AE176" i="1"/>
  <c r="AF176" i="1"/>
  <c r="AG176" i="1"/>
  <c r="AH176" i="1"/>
  <c r="AJ176" i="1"/>
  <c r="AK176" i="1"/>
  <c r="AO176" i="1"/>
  <c r="AW176" i="1" s="1"/>
  <c r="AP176" i="1"/>
  <c r="AX176" i="1"/>
  <c r="BD176" i="1"/>
  <c r="BF176" i="1"/>
  <c r="BH176" i="1"/>
  <c r="BI176" i="1"/>
  <c r="AC176" i="1" s="1"/>
  <c r="BJ176" i="1"/>
  <c r="K177" i="1"/>
  <c r="Z177" i="1"/>
  <c r="AB177" i="1"/>
  <c r="AC177" i="1"/>
  <c r="AD177" i="1"/>
  <c r="AE177" i="1"/>
  <c r="AF177" i="1"/>
  <c r="AG177" i="1"/>
  <c r="AH177" i="1"/>
  <c r="AJ177" i="1"/>
  <c r="AK177" i="1"/>
  <c r="AL177" i="1"/>
  <c r="AO177" i="1"/>
  <c r="AP177" i="1"/>
  <c r="AX177" i="1" s="1"/>
  <c r="AW177" i="1"/>
  <c r="BC177" i="1" s="1"/>
  <c r="BD177" i="1"/>
  <c r="BF177" i="1"/>
  <c r="BH177" i="1"/>
  <c r="BI177" i="1"/>
  <c r="BJ177" i="1"/>
  <c r="K178" i="1"/>
  <c r="AL178" i="1" s="1"/>
  <c r="Z178" i="1"/>
  <c r="AC178" i="1"/>
  <c r="AD178" i="1"/>
  <c r="AE178" i="1"/>
  <c r="AF178" i="1"/>
  <c r="AG178" i="1"/>
  <c r="AH178" i="1"/>
  <c r="AJ178" i="1"/>
  <c r="AK178" i="1"/>
  <c r="AO178" i="1"/>
  <c r="AW178" i="1" s="1"/>
  <c r="AP178" i="1"/>
  <c r="AX178" i="1"/>
  <c r="BD178" i="1"/>
  <c r="BF178" i="1"/>
  <c r="BH178" i="1"/>
  <c r="AB178" i="1" s="1"/>
  <c r="BI178" i="1"/>
  <c r="BJ178" i="1"/>
  <c r="K179" i="1"/>
  <c r="Z179" i="1"/>
  <c r="AD179" i="1"/>
  <c r="AE179" i="1"/>
  <c r="AF179" i="1"/>
  <c r="AG179" i="1"/>
  <c r="AH179" i="1"/>
  <c r="AJ179" i="1"/>
  <c r="AK179" i="1"/>
  <c r="AL179" i="1"/>
  <c r="AO179" i="1"/>
  <c r="AP179" i="1"/>
  <c r="AX179" i="1" s="1"/>
  <c r="BC179" i="1" s="1"/>
  <c r="AW179" i="1"/>
  <c r="AV179" i="1" s="1"/>
  <c r="BD179" i="1"/>
  <c r="BF179" i="1"/>
  <c r="BH179" i="1"/>
  <c r="AB179" i="1" s="1"/>
  <c r="BI179" i="1"/>
  <c r="AC179" i="1" s="1"/>
  <c r="BJ179" i="1"/>
  <c r="K180" i="1"/>
  <c r="AL180" i="1" s="1"/>
  <c r="Z180" i="1"/>
  <c r="AB180" i="1"/>
  <c r="AD180" i="1"/>
  <c r="AE180" i="1"/>
  <c r="AF180" i="1"/>
  <c r="AG180" i="1"/>
  <c r="AH180" i="1"/>
  <c r="AJ180" i="1"/>
  <c r="AK180" i="1"/>
  <c r="AO180" i="1"/>
  <c r="AW180" i="1" s="1"/>
  <c r="AP180" i="1"/>
  <c r="AX180" i="1"/>
  <c r="BD180" i="1"/>
  <c r="BF180" i="1"/>
  <c r="BH180" i="1"/>
  <c r="BI180" i="1"/>
  <c r="AC180" i="1" s="1"/>
  <c r="BJ180" i="1"/>
  <c r="K181" i="1"/>
  <c r="Z181" i="1"/>
  <c r="AB181" i="1"/>
  <c r="AC181" i="1"/>
  <c r="AD181" i="1"/>
  <c r="AE181" i="1"/>
  <c r="AF181" i="1"/>
  <c r="AG181" i="1"/>
  <c r="AH181" i="1"/>
  <c r="AJ181" i="1"/>
  <c r="AK181" i="1"/>
  <c r="AL181" i="1"/>
  <c r="AO181" i="1"/>
  <c r="AP181" i="1"/>
  <c r="AX181" i="1" s="1"/>
  <c r="AW181" i="1"/>
  <c r="BC181" i="1" s="1"/>
  <c r="BD181" i="1"/>
  <c r="BF181" i="1"/>
  <c r="BH181" i="1"/>
  <c r="BI181" i="1"/>
  <c r="BJ181" i="1"/>
  <c r="K183" i="1"/>
  <c r="AL183" i="1" s="1"/>
  <c r="Z183" i="1"/>
  <c r="AC183" i="1"/>
  <c r="AD183" i="1"/>
  <c r="AE183" i="1"/>
  <c r="AF183" i="1"/>
  <c r="AG183" i="1"/>
  <c r="AH183" i="1"/>
  <c r="AJ183" i="1"/>
  <c r="AS182" i="1" s="1"/>
  <c r="AK183" i="1"/>
  <c r="AT182" i="1" s="1"/>
  <c r="AO183" i="1"/>
  <c r="AW183" i="1" s="1"/>
  <c r="AP183" i="1"/>
  <c r="AX183" i="1"/>
  <c r="BD183" i="1"/>
  <c r="BF183" i="1"/>
  <c r="BH183" i="1"/>
  <c r="AB183" i="1" s="1"/>
  <c r="BI183" i="1"/>
  <c r="BJ183" i="1"/>
  <c r="K184" i="1"/>
  <c r="Z184" i="1"/>
  <c r="AD184" i="1"/>
  <c r="AE184" i="1"/>
  <c r="AF184" i="1"/>
  <c r="AG184" i="1"/>
  <c r="AH184" i="1"/>
  <c r="AJ184" i="1"/>
  <c r="AK184" i="1"/>
  <c r="AL184" i="1"/>
  <c r="AO184" i="1"/>
  <c r="AP184" i="1"/>
  <c r="AX184" i="1" s="1"/>
  <c r="BC184" i="1" s="1"/>
  <c r="AW184" i="1"/>
  <c r="AV184" i="1" s="1"/>
  <c r="BD184" i="1"/>
  <c r="BF184" i="1"/>
  <c r="BH184" i="1"/>
  <c r="AB184" i="1" s="1"/>
  <c r="BI184" i="1"/>
  <c r="AC184" i="1" s="1"/>
  <c r="BJ184" i="1"/>
  <c r="K185" i="1"/>
  <c r="AL185" i="1" s="1"/>
  <c r="Z185" i="1"/>
  <c r="AB185" i="1"/>
  <c r="AD185" i="1"/>
  <c r="AE185" i="1"/>
  <c r="AF185" i="1"/>
  <c r="AG185" i="1"/>
  <c r="AH185" i="1"/>
  <c r="AJ185" i="1"/>
  <c r="AK185" i="1"/>
  <c r="AO185" i="1"/>
  <c r="AW185" i="1" s="1"/>
  <c r="AP185" i="1"/>
  <c r="AX185" i="1"/>
  <c r="BD185" i="1"/>
  <c r="BF185" i="1"/>
  <c r="BH185" i="1"/>
  <c r="BI185" i="1"/>
  <c r="AC185" i="1" s="1"/>
  <c r="BJ185" i="1"/>
  <c r="K187" i="1"/>
  <c r="Z187" i="1"/>
  <c r="AB187" i="1"/>
  <c r="AC187" i="1"/>
  <c r="AD187" i="1"/>
  <c r="AE187" i="1"/>
  <c r="AF187" i="1"/>
  <c r="AG187" i="1"/>
  <c r="AH187" i="1"/>
  <c r="AJ187" i="1"/>
  <c r="AK187" i="1"/>
  <c r="AL187" i="1"/>
  <c r="AO187" i="1"/>
  <c r="AP187" i="1"/>
  <c r="AX187" i="1" s="1"/>
  <c r="AW187" i="1"/>
  <c r="BC187" i="1" s="1"/>
  <c r="BD187" i="1"/>
  <c r="BF187" i="1"/>
  <c r="BH187" i="1"/>
  <c r="BI187" i="1"/>
  <c r="BJ187" i="1"/>
  <c r="K188" i="1"/>
  <c r="AL188" i="1" s="1"/>
  <c r="Z188" i="1"/>
  <c r="AC188" i="1"/>
  <c r="AD188" i="1"/>
  <c r="AE188" i="1"/>
  <c r="AF188" i="1"/>
  <c r="AG188" i="1"/>
  <c r="AH188" i="1"/>
  <c r="AJ188" i="1"/>
  <c r="AK188" i="1"/>
  <c r="AO188" i="1"/>
  <c r="AW188" i="1" s="1"/>
  <c r="AP188" i="1"/>
  <c r="AX188" i="1"/>
  <c r="BD188" i="1"/>
  <c r="BF188" i="1"/>
  <c r="BH188" i="1"/>
  <c r="AB188" i="1" s="1"/>
  <c r="BI188" i="1"/>
  <c r="BJ188" i="1"/>
  <c r="K189" i="1"/>
  <c r="Z189" i="1"/>
  <c r="AD189" i="1"/>
  <c r="AE189" i="1"/>
  <c r="AF189" i="1"/>
  <c r="AG189" i="1"/>
  <c r="AH189" i="1"/>
  <c r="AJ189" i="1"/>
  <c r="AK189" i="1"/>
  <c r="AL189" i="1"/>
  <c r="AO189" i="1"/>
  <c r="AP189" i="1"/>
  <c r="AX189" i="1" s="1"/>
  <c r="BC189" i="1" s="1"/>
  <c r="AW189" i="1"/>
  <c r="AV189" i="1" s="1"/>
  <c r="BD189" i="1"/>
  <c r="BF189" i="1"/>
  <c r="BH189" i="1"/>
  <c r="AB189" i="1" s="1"/>
  <c r="BI189" i="1"/>
  <c r="AC189" i="1" s="1"/>
  <c r="BJ189" i="1"/>
  <c r="K190" i="1"/>
  <c r="AL190" i="1" s="1"/>
  <c r="Z190" i="1"/>
  <c r="AB190" i="1"/>
  <c r="AD190" i="1"/>
  <c r="AE190" i="1"/>
  <c r="AF190" i="1"/>
  <c r="AG190" i="1"/>
  <c r="AH190" i="1"/>
  <c r="AJ190" i="1"/>
  <c r="AK190" i="1"/>
  <c r="AO190" i="1"/>
  <c r="AW190" i="1" s="1"/>
  <c r="AP190" i="1"/>
  <c r="AX190" i="1"/>
  <c r="BD190" i="1"/>
  <c r="BF190" i="1"/>
  <c r="BH190" i="1"/>
  <c r="BI190" i="1"/>
  <c r="AC190" i="1" s="1"/>
  <c r="BJ190" i="1"/>
  <c r="K191" i="1"/>
  <c r="Z191" i="1"/>
  <c r="AB191" i="1"/>
  <c r="AC191" i="1"/>
  <c r="AD191" i="1"/>
  <c r="AE191" i="1"/>
  <c r="AF191" i="1"/>
  <c r="AG191" i="1"/>
  <c r="AH191" i="1"/>
  <c r="AJ191" i="1"/>
  <c r="AK191" i="1"/>
  <c r="AL191" i="1"/>
  <c r="AO191" i="1"/>
  <c r="AP191" i="1"/>
  <c r="AX191" i="1" s="1"/>
  <c r="AW191" i="1"/>
  <c r="BC191" i="1" s="1"/>
  <c r="BD191" i="1"/>
  <c r="BF191" i="1"/>
  <c r="BH191" i="1"/>
  <c r="BI191" i="1"/>
  <c r="BJ191" i="1"/>
  <c r="K192" i="1"/>
  <c r="AL192" i="1" s="1"/>
  <c r="Z192" i="1"/>
  <c r="AC192" i="1"/>
  <c r="AD192" i="1"/>
  <c r="AE192" i="1"/>
  <c r="AF192" i="1"/>
  <c r="AG192" i="1"/>
  <c r="AH192" i="1"/>
  <c r="AJ192" i="1"/>
  <c r="AK192" i="1"/>
  <c r="AO192" i="1"/>
  <c r="AW192" i="1" s="1"/>
  <c r="AP192" i="1"/>
  <c r="AX192" i="1"/>
  <c r="BD192" i="1"/>
  <c r="BF192" i="1"/>
  <c r="BH192" i="1"/>
  <c r="AB192" i="1" s="1"/>
  <c r="BI192" i="1"/>
  <c r="BJ192" i="1"/>
  <c r="K193" i="1"/>
  <c r="Z193" i="1"/>
  <c r="AD193" i="1"/>
  <c r="AE193" i="1"/>
  <c r="AF193" i="1"/>
  <c r="AG193" i="1"/>
  <c r="AH193" i="1"/>
  <c r="AJ193" i="1"/>
  <c r="AK193" i="1"/>
  <c r="AL193" i="1"/>
  <c r="AO193" i="1"/>
  <c r="AP193" i="1"/>
  <c r="AX193" i="1" s="1"/>
  <c r="BC193" i="1" s="1"/>
  <c r="AW193" i="1"/>
  <c r="AV193" i="1" s="1"/>
  <c r="BD193" i="1"/>
  <c r="BF193" i="1"/>
  <c r="BH193" i="1"/>
  <c r="AB193" i="1" s="1"/>
  <c r="BI193" i="1"/>
  <c r="AC193" i="1" s="1"/>
  <c r="BJ193" i="1"/>
  <c r="K194" i="1"/>
  <c r="AL194" i="1" s="1"/>
  <c r="Z194" i="1"/>
  <c r="AB194" i="1"/>
  <c r="AD194" i="1"/>
  <c r="AE194" i="1"/>
  <c r="AF194" i="1"/>
  <c r="AG194" i="1"/>
  <c r="AH194" i="1"/>
  <c r="AJ194" i="1"/>
  <c r="AK194" i="1"/>
  <c r="AO194" i="1"/>
  <c r="AW194" i="1" s="1"/>
  <c r="AP194" i="1"/>
  <c r="AX194" i="1"/>
  <c r="BD194" i="1"/>
  <c r="BF194" i="1"/>
  <c r="BH194" i="1"/>
  <c r="BI194" i="1"/>
  <c r="AC194" i="1" s="1"/>
  <c r="BJ194" i="1"/>
  <c r="K195" i="1"/>
  <c r="Z195" i="1"/>
  <c r="AB195" i="1"/>
  <c r="AC195" i="1"/>
  <c r="AD195" i="1"/>
  <c r="AE195" i="1"/>
  <c r="AF195" i="1"/>
  <c r="AG195" i="1"/>
  <c r="AH195" i="1"/>
  <c r="AJ195" i="1"/>
  <c r="AK195" i="1"/>
  <c r="AL195" i="1"/>
  <c r="AO195" i="1"/>
  <c r="AP195" i="1"/>
  <c r="AX195" i="1" s="1"/>
  <c r="AW195" i="1"/>
  <c r="BC195" i="1" s="1"/>
  <c r="BD195" i="1"/>
  <c r="BF195" i="1"/>
  <c r="BH195" i="1"/>
  <c r="BI195" i="1"/>
  <c r="BJ195" i="1"/>
  <c r="K196" i="1"/>
  <c r="AL196" i="1" s="1"/>
  <c r="Z196" i="1"/>
  <c r="AC196" i="1"/>
  <c r="AD196" i="1"/>
  <c r="AE196" i="1"/>
  <c r="AF196" i="1"/>
  <c r="AG196" i="1"/>
  <c r="AH196" i="1"/>
  <c r="AJ196" i="1"/>
  <c r="AK196" i="1"/>
  <c r="AO196" i="1"/>
  <c r="AW196" i="1" s="1"/>
  <c r="AP196" i="1"/>
  <c r="AX196" i="1"/>
  <c r="BD196" i="1"/>
  <c r="BF196" i="1"/>
  <c r="BH196" i="1"/>
  <c r="AB196" i="1" s="1"/>
  <c r="BI196" i="1"/>
  <c r="BJ196" i="1"/>
  <c r="K197" i="1"/>
  <c r="Z197" i="1"/>
  <c r="AD197" i="1"/>
  <c r="AE197" i="1"/>
  <c r="AF197" i="1"/>
  <c r="AG197" i="1"/>
  <c r="AH197" i="1"/>
  <c r="AJ197" i="1"/>
  <c r="AK197" i="1"/>
  <c r="AL197" i="1"/>
  <c r="AO197" i="1"/>
  <c r="AP197" i="1"/>
  <c r="AX197" i="1" s="1"/>
  <c r="BC197" i="1" s="1"/>
  <c r="AW197" i="1"/>
  <c r="AV197" i="1" s="1"/>
  <c r="BD197" i="1"/>
  <c r="BF197" i="1"/>
  <c r="BH197" i="1"/>
  <c r="AB197" i="1" s="1"/>
  <c r="BI197" i="1"/>
  <c r="AC197" i="1" s="1"/>
  <c r="BJ197" i="1"/>
  <c r="K198" i="1"/>
  <c r="AL198" i="1" s="1"/>
  <c r="Z198" i="1"/>
  <c r="AB198" i="1"/>
  <c r="AD198" i="1"/>
  <c r="AE198" i="1"/>
  <c r="AF198" i="1"/>
  <c r="AG198" i="1"/>
  <c r="AH198" i="1"/>
  <c r="AJ198" i="1"/>
  <c r="AK198" i="1"/>
  <c r="AO198" i="1"/>
  <c r="AW198" i="1" s="1"/>
  <c r="AP198" i="1"/>
  <c r="AX198" i="1"/>
  <c r="BD198" i="1"/>
  <c r="BF198" i="1"/>
  <c r="BH198" i="1"/>
  <c r="BI198" i="1"/>
  <c r="AC198" i="1" s="1"/>
  <c r="BJ198" i="1"/>
  <c r="K199" i="1"/>
  <c r="Z199" i="1"/>
  <c r="AB199" i="1"/>
  <c r="AC199" i="1"/>
  <c r="AD199" i="1"/>
  <c r="AE199" i="1"/>
  <c r="AF199" i="1"/>
  <c r="AG199" i="1"/>
  <c r="AH199" i="1"/>
  <c r="AJ199" i="1"/>
  <c r="AK199" i="1"/>
  <c r="AL199" i="1"/>
  <c r="AO199" i="1"/>
  <c r="AP199" i="1"/>
  <c r="AX199" i="1" s="1"/>
  <c r="AW199" i="1"/>
  <c r="BC199" i="1" s="1"/>
  <c r="BD199" i="1"/>
  <c r="BF199" i="1"/>
  <c r="BH199" i="1"/>
  <c r="BI199" i="1"/>
  <c r="BJ199" i="1"/>
  <c r="K200" i="1"/>
  <c r="AL200" i="1" s="1"/>
  <c r="Z200" i="1"/>
  <c r="AC200" i="1"/>
  <c r="AD200" i="1"/>
  <c r="AE200" i="1"/>
  <c r="AF200" i="1"/>
  <c r="AG200" i="1"/>
  <c r="AH200" i="1"/>
  <c r="AJ200" i="1"/>
  <c r="AK200" i="1"/>
  <c r="AO200" i="1"/>
  <c r="AW200" i="1" s="1"/>
  <c r="AP200" i="1"/>
  <c r="AX200" i="1"/>
  <c r="BD200" i="1"/>
  <c r="BF200" i="1"/>
  <c r="BH200" i="1"/>
  <c r="AB200" i="1" s="1"/>
  <c r="BI200" i="1"/>
  <c r="BJ200" i="1"/>
  <c r="K201" i="1"/>
  <c r="Z201" i="1"/>
  <c r="AD201" i="1"/>
  <c r="AE201" i="1"/>
  <c r="AF201" i="1"/>
  <c r="AG201" i="1"/>
  <c r="AH201" i="1"/>
  <c r="AJ201" i="1"/>
  <c r="AK201" i="1"/>
  <c r="AL201" i="1"/>
  <c r="AO201" i="1"/>
  <c r="AP201" i="1"/>
  <c r="AX201" i="1" s="1"/>
  <c r="BC201" i="1" s="1"/>
  <c r="AW201" i="1"/>
  <c r="AV201" i="1" s="1"/>
  <c r="BD201" i="1"/>
  <c r="BF201" i="1"/>
  <c r="BH201" i="1"/>
  <c r="AB201" i="1" s="1"/>
  <c r="BJ201" i="1"/>
  <c r="K202" i="1"/>
  <c r="AL202" i="1" s="1"/>
  <c r="Z202" i="1"/>
  <c r="AB202" i="1"/>
  <c r="AD202" i="1"/>
  <c r="AE202" i="1"/>
  <c r="AF202" i="1"/>
  <c r="AG202" i="1"/>
  <c r="AH202" i="1"/>
  <c r="AJ202" i="1"/>
  <c r="AK202" i="1"/>
  <c r="AO202" i="1"/>
  <c r="AW202" i="1" s="1"/>
  <c r="BC202" i="1" s="1"/>
  <c r="AP202" i="1"/>
  <c r="AV202" i="1"/>
  <c r="AX202" i="1"/>
  <c r="BD202" i="1"/>
  <c r="BF202" i="1"/>
  <c r="BH202" i="1"/>
  <c r="BI202" i="1"/>
  <c r="AC202" i="1" s="1"/>
  <c r="BJ202" i="1"/>
  <c r="K203" i="1"/>
  <c r="Z203" i="1"/>
  <c r="AB203" i="1"/>
  <c r="AC203" i="1"/>
  <c r="AD203" i="1"/>
  <c r="AE203" i="1"/>
  <c r="AF203" i="1"/>
  <c r="AG203" i="1"/>
  <c r="AH203" i="1"/>
  <c r="AJ203" i="1"/>
  <c r="AK203" i="1"/>
  <c r="AL203" i="1"/>
  <c r="AO203" i="1"/>
  <c r="AP203" i="1"/>
  <c r="AX203" i="1" s="1"/>
  <c r="AW203" i="1"/>
  <c r="BD203" i="1"/>
  <c r="BF203" i="1"/>
  <c r="BH203" i="1"/>
  <c r="BI203" i="1"/>
  <c r="BJ203" i="1"/>
  <c r="K204" i="1"/>
  <c r="AL204" i="1" s="1"/>
  <c r="Z204" i="1"/>
  <c r="AC204" i="1"/>
  <c r="AD204" i="1"/>
  <c r="AE204" i="1"/>
  <c r="AF204" i="1"/>
  <c r="AG204" i="1"/>
  <c r="AH204" i="1"/>
  <c r="AJ204" i="1"/>
  <c r="AK204" i="1"/>
  <c r="AO204" i="1"/>
  <c r="AW204" i="1" s="1"/>
  <c r="AP204" i="1"/>
  <c r="AX204" i="1"/>
  <c r="BD204" i="1"/>
  <c r="BF204" i="1"/>
  <c r="BI204" i="1"/>
  <c r="BJ204" i="1"/>
  <c r="K205" i="1"/>
  <c r="Z205" i="1"/>
  <c r="AD205" i="1"/>
  <c r="AE205" i="1"/>
  <c r="AF205" i="1"/>
  <c r="AG205" i="1"/>
  <c r="AH205" i="1"/>
  <c r="AJ205" i="1"/>
  <c r="AK205" i="1"/>
  <c r="AL205" i="1"/>
  <c r="AO205" i="1"/>
  <c r="AP205" i="1"/>
  <c r="AX205" i="1" s="1"/>
  <c r="BC205" i="1" s="1"/>
  <c r="AW205" i="1"/>
  <c r="AV205" i="1" s="1"/>
  <c r="BD205" i="1"/>
  <c r="BF205" i="1"/>
  <c r="BH205" i="1"/>
  <c r="AB205" i="1" s="1"/>
  <c r="BJ205" i="1"/>
  <c r="K206" i="1"/>
  <c r="AL206" i="1" s="1"/>
  <c r="Z206" i="1"/>
  <c r="AB206" i="1"/>
  <c r="AD206" i="1"/>
  <c r="AE206" i="1"/>
  <c r="AF206" i="1"/>
  <c r="AG206" i="1"/>
  <c r="AH206" i="1"/>
  <c r="AJ206" i="1"/>
  <c r="AK206" i="1"/>
  <c r="AO206" i="1"/>
  <c r="AW206" i="1" s="1"/>
  <c r="BC206" i="1" s="1"/>
  <c r="AP206" i="1"/>
  <c r="AV206" i="1"/>
  <c r="AX206" i="1"/>
  <c r="BD206" i="1"/>
  <c r="BF206" i="1"/>
  <c r="BH206" i="1"/>
  <c r="BI206" i="1"/>
  <c r="AC206" i="1" s="1"/>
  <c r="BJ206" i="1"/>
  <c r="K207" i="1"/>
  <c r="Z207" i="1"/>
  <c r="AB207" i="1"/>
  <c r="AC207" i="1"/>
  <c r="AD207" i="1"/>
  <c r="AE207" i="1"/>
  <c r="AF207" i="1"/>
  <c r="AG207" i="1"/>
  <c r="AH207" i="1"/>
  <c r="AJ207" i="1"/>
  <c r="AK207" i="1"/>
  <c r="AL207" i="1"/>
  <c r="AO207" i="1"/>
  <c r="AP207" i="1"/>
  <c r="AX207" i="1" s="1"/>
  <c r="AW207" i="1"/>
  <c r="BD207" i="1"/>
  <c r="BF207" i="1"/>
  <c r="BH207" i="1"/>
  <c r="BI207" i="1"/>
  <c r="BJ207" i="1"/>
  <c r="K208" i="1"/>
  <c r="AL208" i="1" s="1"/>
  <c r="Z208" i="1"/>
  <c r="AC208" i="1"/>
  <c r="AD208" i="1"/>
  <c r="AE208" i="1"/>
  <c r="AF208" i="1"/>
  <c r="AG208" i="1"/>
  <c r="AH208" i="1"/>
  <c r="AJ208" i="1"/>
  <c r="AK208" i="1"/>
  <c r="AO208" i="1"/>
  <c r="AW208" i="1" s="1"/>
  <c r="AP208" i="1"/>
  <c r="AX208" i="1"/>
  <c r="BD208" i="1"/>
  <c r="BF208" i="1"/>
  <c r="BI208" i="1"/>
  <c r="BJ208" i="1"/>
  <c r="K209" i="1"/>
  <c r="Z209" i="1"/>
  <c r="AD209" i="1"/>
  <c r="AE209" i="1"/>
  <c r="AF209" i="1"/>
  <c r="AG209" i="1"/>
  <c r="AH209" i="1"/>
  <c r="AJ209" i="1"/>
  <c r="AK209" i="1"/>
  <c r="AL209" i="1"/>
  <c r="AO209" i="1"/>
  <c r="AP209" i="1"/>
  <c r="AX209" i="1" s="1"/>
  <c r="AW209" i="1"/>
  <c r="AV209" i="1" s="1"/>
  <c r="BC209" i="1"/>
  <c r="BD209" i="1"/>
  <c r="BF209" i="1"/>
  <c r="BH209" i="1"/>
  <c r="AB209" i="1" s="1"/>
  <c r="BI209" i="1"/>
  <c r="AC209" i="1" s="1"/>
  <c r="BJ209" i="1"/>
  <c r="K210" i="1"/>
  <c r="AL210" i="1" s="1"/>
  <c r="Z210" i="1"/>
  <c r="AD210" i="1"/>
  <c r="AE210" i="1"/>
  <c r="AF210" i="1"/>
  <c r="AG210" i="1"/>
  <c r="AH210" i="1"/>
  <c r="AJ210" i="1"/>
  <c r="AK210" i="1"/>
  <c r="AO210" i="1"/>
  <c r="AW210" i="1" s="1"/>
  <c r="AV210" i="1" s="1"/>
  <c r="AP210" i="1"/>
  <c r="AX210" i="1"/>
  <c r="BD210" i="1"/>
  <c r="BF210" i="1"/>
  <c r="BI210" i="1"/>
  <c r="AC210" i="1" s="1"/>
  <c r="BJ210" i="1"/>
  <c r="K211" i="1"/>
  <c r="Z211" i="1"/>
  <c r="AB211" i="1"/>
  <c r="AD211" i="1"/>
  <c r="AE211" i="1"/>
  <c r="AF211" i="1"/>
  <c r="AG211" i="1"/>
  <c r="AH211" i="1"/>
  <c r="AJ211" i="1"/>
  <c r="AK211" i="1"/>
  <c r="AL211" i="1"/>
  <c r="AO211" i="1"/>
  <c r="AP211" i="1"/>
  <c r="AX211" i="1" s="1"/>
  <c r="AW211" i="1"/>
  <c r="AV211" i="1" s="1"/>
  <c r="BD211" i="1"/>
  <c r="BF211" i="1"/>
  <c r="BH211" i="1"/>
  <c r="BI211" i="1"/>
  <c r="AC211" i="1" s="1"/>
  <c r="BJ211" i="1"/>
  <c r="K212" i="1"/>
  <c r="AL212" i="1" s="1"/>
  <c r="Z212" i="1"/>
  <c r="AC212" i="1"/>
  <c r="AD212" i="1"/>
  <c r="AE212" i="1"/>
  <c r="AF212" i="1"/>
  <c r="AG212" i="1"/>
  <c r="AH212" i="1"/>
  <c r="AJ212" i="1"/>
  <c r="AK212" i="1"/>
  <c r="AO212" i="1"/>
  <c r="AW212" i="1" s="1"/>
  <c r="AP212" i="1"/>
  <c r="AX212" i="1"/>
  <c r="AV212" i="1" s="1"/>
  <c r="BD212" i="1"/>
  <c r="BF212" i="1"/>
  <c r="BH212" i="1"/>
  <c r="AB212" i="1" s="1"/>
  <c r="BI212" i="1"/>
  <c r="BJ212" i="1"/>
  <c r="K213" i="1"/>
  <c r="Z213" i="1"/>
  <c r="AD213" i="1"/>
  <c r="AE213" i="1"/>
  <c r="AF213" i="1"/>
  <c r="AG213" i="1"/>
  <c r="AH213" i="1"/>
  <c r="AJ213" i="1"/>
  <c r="AK213" i="1"/>
  <c r="AL213" i="1"/>
  <c r="AO213" i="1"/>
  <c r="AP213" i="1"/>
  <c r="BI213" i="1" s="1"/>
  <c r="AC213" i="1" s="1"/>
  <c r="AW213" i="1"/>
  <c r="AX213" i="1"/>
  <c r="BD213" i="1"/>
  <c r="BF213" i="1"/>
  <c r="BH213" i="1"/>
  <c r="AB213" i="1" s="1"/>
  <c r="BJ213" i="1"/>
  <c r="K214" i="1"/>
  <c r="AL214" i="1" s="1"/>
  <c r="Z214" i="1"/>
  <c r="AD214" i="1"/>
  <c r="AE214" i="1"/>
  <c r="AF214" i="1"/>
  <c r="AG214" i="1"/>
  <c r="AH214" i="1"/>
  <c r="AJ214" i="1"/>
  <c r="AK214" i="1"/>
  <c r="AO214" i="1"/>
  <c r="AW214" i="1" s="1"/>
  <c r="AP214" i="1"/>
  <c r="BI214" i="1" s="1"/>
  <c r="AC214" i="1" s="1"/>
  <c r="AX214" i="1"/>
  <c r="BC214" i="1" s="1"/>
  <c r="BD214" i="1"/>
  <c r="BF214" i="1"/>
  <c r="BH214" i="1"/>
  <c r="AB214" i="1" s="1"/>
  <c r="BJ214" i="1"/>
  <c r="K215" i="1"/>
  <c r="Z215" i="1"/>
  <c r="AB215" i="1"/>
  <c r="AD215" i="1"/>
  <c r="AE215" i="1"/>
  <c r="AF215" i="1"/>
  <c r="AG215" i="1"/>
  <c r="AH215" i="1"/>
  <c r="AJ215" i="1"/>
  <c r="AK215" i="1"/>
  <c r="AL215" i="1"/>
  <c r="AO215" i="1"/>
  <c r="AP215" i="1"/>
  <c r="AX215" i="1" s="1"/>
  <c r="AW215" i="1"/>
  <c r="AV215" i="1" s="1"/>
  <c r="BD215" i="1"/>
  <c r="BF215" i="1"/>
  <c r="BH215" i="1"/>
  <c r="BJ215" i="1"/>
  <c r="K216" i="1"/>
  <c r="Z216" i="1"/>
  <c r="AC216" i="1"/>
  <c r="AD216" i="1"/>
  <c r="AE216" i="1"/>
  <c r="AF216" i="1"/>
  <c r="AG216" i="1"/>
  <c r="AH216" i="1"/>
  <c r="AJ216" i="1"/>
  <c r="AK216" i="1"/>
  <c r="AL216" i="1"/>
  <c r="AO216" i="1"/>
  <c r="AP216" i="1"/>
  <c r="AW216" i="1"/>
  <c r="BC216" i="1" s="1"/>
  <c r="AX216" i="1"/>
  <c r="BD216" i="1"/>
  <c r="BF216" i="1"/>
  <c r="BH216" i="1"/>
  <c r="AB216" i="1" s="1"/>
  <c r="BI216" i="1"/>
  <c r="BJ216" i="1"/>
  <c r="K217" i="1"/>
  <c r="AL217" i="1" s="1"/>
  <c r="Z217" i="1"/>
  <c r="AD217" i="1"/>
  <c r="AE217" i="1"/>
  <c r="AF217" i="1"/>
  <c r="AG217" i="1"/>
  <c r="AH217" i="1"/>
  <c r="AJ217" i="1"/>
  <c r="AK217" i="1"/>
  <c r="AO217" i="1"/>
  <c r="BH217" i="1" s="1"/>
  <c r="AB217" i="1" s="1"/>
  <c r="AP217" i="1"/>
  <c r="AX217" i="1" s="1"/>
  <c r="AW217" i="1"/>
  <c r="BD217" i="1"/>
  <c r="BF217" i="1"/>
  <c r="BJ217" i="1"/>
  <c r="K218" i="1"/>
  <c r="AL218" i="1" s="1"/>
  <c r="Z218" i="1"/>
  <c r="AD218" i="1"/>
  <c r="AE218" i="1"/>
  <c r="AF218" i="1"/>
  <c r="AG218" i="1"/>
  <c r="AH218" i="1"/>
  <c r="AJ218" i="1"/>
  <c r="AK218" i="1"/>
  <c r="AO218" i="1"/>
  <c r="AW218" i="1" s="1"/>
  <c r="AP218" i="1"/>
  <c r="AX218" i="1" s="1"/>
  <c r="BD218" i="1"/>
  <c r="BF218" i="1"/>
  <c r="BH218" i="1"/>
  <c r="AB218" i="1" s="1"/>
  <c r="BJ218" i="1"/>
  <c r="K219" i="1"/>
  <c r="Z219" i="1"/>
  <c r="AB219" i="1"/>
  <c r="AD219" i="1"/>
  <c r="AE219" i="1"/>
  <c r="AF219" i="1"/>
  <c r="AG219" i="1"/>
  <c r="AH219" i="1"/>
  <c r="AJ219" i="1"/>
  <c r="AK219" i="1"/>
  <c r="AL219" i="1"/>
  <c r="AO219" i="1"/>
  <c r="AP219" i="1"/>
  <c r="AX219" i="1" s="1"/>
  <c r="AW219" i="1"/>
  <c r="AV219" i="1" s="1"/>
  <c r="BC219" i="1"/>
  <c r="BD219" i="1"/>
  <c r="BF219" i="1"/>
  <c r="BH219" i="1"/>
  <c r="BI219" i="1"/>
  <c r="AC219" i="1" s="1"/>
  <c r="BJ219" i="1"/>
  <c r="K220" i="1"/>
  <c r="Z220" i="1"/>
  <c r="AB220" i="1"/>
  <c r="AC220" i="1"/>
  <c r="AD220" i="1"/>
  <c r="AE220" i="1"/>
  <c r="AF220" i="1"/>
  <c r="AG220" i="1"/>
  <c r="AH220" i="1"/>
  <c r="AJ220" i="1"/>
  <c r="AK220" i="1"/>
  <c r="AL220" i="1"/>
  <c r="AO220" i="1"/>
  <c r="AP220" i="1"/>
  <c r="AV220" i="1"/>
  <c r="AW220" i="1"/>
  <c r="BC220" i="1" s="1"/>
  <c r="AX220" i="1"/>
  <c r="BD220" i="1"/>
  <c r="BF220" i="1"/>
  <c r="BH220" i="1"/>
  <c r="BI220" i="1"/>
  <c r="BJ220" i="1"/>
  <c r="K221" i="1"/>
  <c r="AL221" i="1" s="1"/>
  <c r="Z221" i="1"/>
  <c r="AD221" i="1"/>
  <c r="AE221" i="1"/>
  <c r="AF221" i="1"/>
  <c r="AG221" i="1"/>
  <c r="AH221" i="1"/>
  <c r="AJ221" i="1"/>
  <c r="AK221" i="1"/>
  <c r="AO221" i="1"/>
  <c r="AP221" i="1"/>
  <c r="AX221" i="1" s="1"/>
  <c r="AW221" i="1"/>
  <c r="BD221" i="1"/>
  <c r="BF221" i="1"/>
  <c r="BH221" i="1"/>
  <c r="AB221" i="1" s="1"/>
  <c r="BI221" i="1"/>
  <c r="AC221" i="1" s="1"/>
  <c r="BJ221" i="1"/>
  <c r="K222" i="1"/>
  <c r="Z222" i="1"/>
  <c r="AB222" i="1"/>
  <c r="AD222" i="1"/>
  <c r="AE222" i="1"/>
  <c r="AF222" i="1"/>
  <c r="AG222" i="1"/>
  <c r="AH222" i="1"/>
  <c r="AJ222" i="1"/>
  <c r="AK222" i="1"/>
  <c r="AL222" i="1"/>
  <c r="AO222" i="1"/>
  <c r="AP222" i="1"/>
  <c r="AV222" i="1"/>
  <c r="AW222" i="1"/>
  <c r="BC222" i="1" s="1"/>
  <c r="AX222" i="1"/>
  <c r="BD222" i="1"/>
  <c r="BF222" i="1"/>
  <c r="BH222" i="1"/>
  <c r="BI222" i="1"/>
  <c r="AC222" i="1" s="1"/>
  <c r="BJ222" i="1"/>
  <c r="K223" i="1"/>
  <c r="Z223" i="1"/>
  <c r="AC223" i="1"/>
  <c r="AD223" i="1"/>
  <c r="AE223" i="1"/>
  <c r="AF223" i="1"/>
  <c r="AG223" i="1"/>
  <c r="AH223" i="1"/>
  <c r="AJ223" i="1"/>
  <c r="AK223" i="1"/>
  <c r="AL223" i="1"/>
  <c r="AO223" i="1"/>
  <c r="AP223" i="1"/>
  <c r="AW223" i="1"/>
  <c r="BC223" i="1" s="1"/>
  <c r="AX223" i="1"/>
  <c r="BD223" i="1"/>
  <c r="BF223" i="1"/>
  <c r="BH223" i="1"/>
  <c r="AB223" i="1" s="1"/>
  <c r="BI223" i="1"/>
  <c r="BJ223" i="1"/>
  <c r="K224" i="1"/>
  <c r="AL224" i="1" s="1"/>
  <c r="Z224" i="1"/>
  <c r="AD224" i="1"/>
  <c r="AE224" i="1"/>
  <c r="AF224" i="1"/>
  <c r="AG224" i="1"/>
  <c r="AH224" i="1"/>
  <c r="AJ224" i="1"/>
  <c r="AK224" i="1"/>
  <c r="AO224" i="1"/>
  <c r="AW224" i="1" s="1"/>
  <c r="AP224" i="1"/>
  <c r="AX224" i="1"/>
  <c r="BD224" i="1"/>
  <c r="BF224" i="1"/>
  <c r="BH224" i="1"/>
  <c r="AB224" i="1" s="1"/>
  <c r="BI224" i="1"/>
  <c r="AC224" i="1" s="1"/>
  <c r="BJ224" i="1"/>
  <c r="K226" i="1"/>
  <c r="Z226" i="1"/>
  <c r="AD226" i="1"/>
  <c r="AE226" i="1"/>
  <c r="AF226" i="1"/>
  <c r="AG226" i="1"/>
  <c r="AH226" i="1"/>
  <c r="AJ226" i="1"/>
  <c r="AK226" i="1"/>
  <c r="AL226" i="1"/>
  <c r="AO226" i="1"/>
  <c r="AP226" i="1"/>
  <c r="AX226" i="1" s="1"/>
  <c r="AW226" i="1"/>
  <c r="BD226" i="1"/>
  <c r="BF226" i="1"/>
  <c r="BH226" i="1"/>
  <c r="AB226" i="1" s="1"/>
  <c r="BI226" i="1"/>
  <c r="AC226" i="1" s="1"/>
  <c r="BJ226" i="1"/>
  <c r="K227" i="1"/>
  <c r="Z227" i="1"/>
  <c r="AD227" i="1"/>
  <c r="AE227" i="1"/>
  <c r="AF227" i="1"/>
  <c r="AG227" i="1"/>
  <c r="AH227" i="1"/>
  <c r="AJ227" i="1"/>
  <c r="AK227" i="1"/>
  <c r="AL227" i="1"/>
  <c r="AO227" i="1"/>
  <c r="AP227" i="1"/>
  <c r="AW227" i="1"/>
  <c r="AV227" i="1" s="1"/>
  <c r="AX227" i="1"/>
  <c r="BD227" i="1"/>
  <c r="BF227" i="1"/>
  <c r="BH227" i="1"/>
  <c r="AB227" i="1" s="1"/>
  <c r="BI227" i="1"/>
  <c r="AC227" i="1" s="1"/>
  <c r="BJ227" i="1"/>
  <c r="K228" i="1"/>
  <c r="Z228" i="1"/>
  <c r="AD228" i="1"/>
  <c r="AE228" i="1"/>
  <c r="AF228" i="1"/>
  <c r="AG228" i="1"/>
  <c r="AH228" i="1"/>
  <c r="AJ228" i="1"/>
  <c r="AK228" i="1"/>
  <c r="AL228" i="1"/>
  <c r="AO228" i="1"/>
  <c r="AP228" i="1"/>
  <c r="AW228" i="1"/>
  <c r="BC228" i="1" s="1"/>
  <c r="AX228" i="1"/>
  <c r="BD228" i="1"/>
  <c r="BF228" i="1"/>
  <c r="BH228" i="1"/>
  <c r="AB228" i="1" s="1"/>
  <c r="BI228" i="1"/>
  <c r="AC228" i="1" s="1"/>
  <c r="BJ228" i="1"/>
  <c r="K229" i="1"/>
  <c r="Z229" i="1"/>
  <c r="AD229" i="1"/>
  <c r="AE229" i="1"/>
  <c r="AF229" i="1"/>
  <c r="AG229" i="1"/>
  <c r="AH229" i="1"/>
  <c r="AJ229" i="1"/>
  <c r="AK229" i="1"/>
  <c r="AL229" i="1"/>
  <c r="AO229" i="1"/>
  <c r="AW229" i="1" s="1"/>
  <c r="AP229" i="1"/>
  <c r="AX229" i="1" s="1"/>
  <c r="BD229" i="1"/>
  <c r="BF229" i="1"/>
  <c r="BH229" i="1"/>
  <c r="AB229" i="1" s="1"/>
  <c r="BI229" i="1"/>
  <c r="AC229" i="1" s="1"/>
  <c r="BJ229" i="1"/>
  <c r="K230" i="1"/>
  <c r="Z230" i="1"/>
  <c r="AD230" i="1"/>
  <c r="AE230" i="1"/>
  <c r="AF230" i="1"/>
  <c r="AG230" i="1"/>
  <c r="AH230" i="1"/>
  <c r="AJ230" i="1"/>
  <c r="AK230" i="1"/>
  <c r="AL230" i="1"/>
  <c r="AO230" i="1"/>
  <c r="AP230" i="1"/>
  <c r="AX230" i="1" s="1"/>
  <c r="AW230" i="1"/>
  <c r="BD230" i="1"/>
  <c r="BF230" i="1"/>
  <c r="BH230" i="1"/>
  <c r="AB230" i="1" s="1"/>
  <c r="BI230" i="1"/>
  <c r="AC230" i="1" s="1"/>
  <c r="BJ230" i="1"/>
  <c r="K231" i="1"/>
  <c r="Z231" i="1"/>
  <c r="AD231" i="1"/>
  <c r="AE231" i="1"/>
  <c r="AF231" i="1"/>
  <c r="AG231" i="1"/>
  <c r="AH231" i="1"/>
  <c r="AJ231" i="1"/>
  <c r="AK231" i="1"/>
  <c r="AL231" i="1"/>
  <c r="AO231" i="1"/>
  <c r="AP231" i="1"/>
  <c r="AW231" i="1"/>
  <c r="AV231" i="1" s="1"/>
  <c r="AX231" i="1"/>
  <c r="BD231" i="1"/>
  <c r="BF231" i="1"/>
  <c r="BH231" i="1"/>
  <c r="AB231" i="1" s="1"/>
  <c r="BI231" i="1"/>
  <c r="AC231" i="1" s="1"/>
  <c r="BJ231" i="1"/>
  <c r="K232" i="1"/>
  <c r="Z232" i="1"/>
  <c r="AD232" i="1"/>
  <c r="AE232" i="1"/>
  <c r="AF232" i="1"/>
  <c r="AG232" i="1"/>
  <c r="AH232" i="1"/>
  <c r="AJ232" i="1"/>
  <c r="AK232" i="1"/>
  <c r="AL232" i="1"/>
  <c r="AO232" i="1"/>
  <c r="AW232" i="1" s="1"/>
  <c r="AP232" i="1"/>
  <c r="AX232" i="1"/>
  <c r="BD232" i="1"/>
  <c r="BF232" i="1"/>
  <c r="BH232" i="1"/>
  <c r="AB232" i="1" s="1"/>
  <c r="BI232" i="1"/>
  <c r="AC232" i="1" s="1"/>
  <c r="BJ232" i="1"/>
  <c r="K233" i="1"/>
  <c r="AL233" i="1" s="1"/>
  <c r="Z233" i="1"/>
  <c r="AD233" i="1"/>
  <c r="AE233" i="1"/>
  <c r="AF233" i="1"/>
  <c r="AG233" i="1"/>
  <c r="AH233" i="1"/>
  <c r="AJ233" i="1"/>
  <c r="AK233" i="1"/>
  <c r="AO233" i="1"/>
  <c r="AW233" i="1" s="1"/>
  <c r="AP233" i="1"/>
  <c r="AX233" i="1" s="1"/>
  <c r="BD233" i="1"/>
  <c r="BF233" i="1"/>
  <c r="BH233" i="1"/>
  <c r="AB233" i="1" s="1"/>
  <c r="BI233" i="1"/>
  <c r="AC233" i="1" s="1"/>
  <c r="BJ233" i="1"/>
  <c r="K234" i="1"/>
  <c r="Z234" i="1"/>
  <c r="AB234" i="1"/>
  <c r="AD234" i="1"/>
  <c r="AE234" i="1"/>
  <c r="AF234" i="1"/>
  <c r="AG234" i="1"/>
  <c r="AH234" i="1"/>
  <c r="AJ234" i="1"/>
  <c r="AK234" i="1"/>
  <c r="AL234" i="1"/>
  <c r="AO234" i="1"/>
  <c r="AP234" i="1"/>
  <c r="AX234" i="1" s="1"/>
  <c r="AV234" i="1" s="1"/>
  <c r="AW234" i="1"/>
  <c r="BC234" i="1" s="1"/>
  <c r="BD234" i="1"/>
  <c r="BF234" i="1"/>
  <c r="BH234" i="1"/>
  <c r="BI234" i="1"/>
  <c r="AC234" i="1" s="1"/>
  <c r="BJ234" i="1"/>
  <c r="K235" i="1"/>
  <c r="Z235" i="1"/>
  <c r="AC235" i="1"/>
  <c r="AD235" i="1"/>
  <c r="AE235" i="1"/>
  <c r="AF235" i="1"/>
  <c r="AG235" i="1"/>
  <c r="AH235" i="1"/>
  <c r="AJ235" i="1"/>
  <c r="AK235" i="1"/>
  <c r="AL235" i="1"/>
  <c r="AO235" i="1"/>
  <c r="AP235" i="1"/>
  <c r="AW235" i="1"/>
  <c r="AV235" i="1" s="1"/>
  <c r="AX235" i="1"/>
  <c r="BD235" i="1"/>
  <c r="BF235" i="1"/>
  <c r="BH235" i="1"/>
  <c r="AB235" i="1" s="1"/>
  <c r="BI235" i="1"/>
  <c r="BJ235" i="1"/>
  <c r="K236" i="1"/>
  <c r="Z236" i="1"/>
  <c r="AD236" i="1"/>
  <c r="AE236" i="1"/>
  <c r="AF236" i="1"/>
  <c r="AG236" i="1"/>
  <c r="AH236" i="1"/>
  <c r="AJ236" i="1"/>
  <c r="AK236" i="1"/>
  <c r="AL236" i="1"/>
  <c r="AO236" i="1"/>
  <c r="AW236" i="1" s="1"/>
  <c r="AP236" i="1"/>
  <c r="AX236" i="1"/>
  <c r="BD236" i="1"/>
  <c r="BF236" i="1"/>
  <c r="BH236" i="1"/>
  <c r="AB236" i="1" s="1"/>
  <c r="BI236" i="1"/>
  <c r="AC236" i="1" s="1"/>
  <c r="BJ236" i="1"/>
  <c r="K237" i="1"/>
  <c r="AL237" i="1" s="1"/>
  <c r="Z237" i="1"/>
  <c r="AD237" i="1"/>
  <c r="AE237" i="1"/>
  <c r="AF237" i="1"/>
  <c r="AG237" i="1"/>
  <c r="AH237" i="1"/>
  <c r="AJ237" i="1"/>
  <c r="AK237" i="1"/>
  <c r="AO237" i="1"/>
  <c r="AW237" i="1" s="1"/>
  <c r="AP237" i="1"/>
  <c r="AX237" i="1" s="1"/>
  <c r="BD237" i="1"/>
  <c r="BF237" i="1"/>
  <c r="BH237" i="1"/>
  <c r="AB237" i="1" s="1"/>
  <c r="BI237" i="1"/>
  <c r="AC237" i="1" s="1"/>
  <c r="BJ237" i="1"/>
  <c r="K238" i="1"/>
  <c r="Z238" i="1"/>
  <c r="AB238" i="1"/>
  <c r="AD238" i="1"/>
  <c r="AE238" i="1"/>
  <c r="AF238" i="1"/>
  <c r="AG238" i="1"/>
  <c r="AH238" i="1"/>
  <c r="AJ238" i="1"/>
  <c r="AK238" i="1"/>
  <c r="AL238" i="1"/>
  <c r="AO238" i="1"/>
  <c r="AP238" i="1"/>
  <c r="AX238" i="1" s="1"/>
  <c r="AW238" i="1"/>
  <c r="BD238" i="1"/>
  <c r="BF238" i="1"/>
  <c r="BH238" i="1"/>
  <c r="BI238" i="1"/>
  <c r="AC238" i="1" s="1"/>
  <c r="BJ238" i="1"/>
  <c r="K239" i="1"/>
  <c r="Z239" i="1"/>
  <c r="AC239" i="1"/>
  <c r="AD239" i="1"/>
  <c r="AE239" i="1"/>
  <c r="AF239" i="1"/>
  <c r="AG239" i="1"/>
  <c r="AH239" i="1"/>
  <c r="AJ239" i="1"/>
  <c r="AK239" i="1"/>
  <c r="AL239" i="1"/>
  <c r="AO239" i="1"/>
  <c r="AP239" i="1"/>
  <c r="AW239" i="1"/>
  <c r="AV239" i="1" s="1"/>
  <c r="AX239" i="1"/>
  <c r="BD239" i="1"/>
  <c r="BF239" i="1"/>
  <c r="BH239" i="1"/>
  <c r="AB239" i="1" s="1"/>
  <c r="BI239" i="1"/>
  <c r="BJ239" i="1"/>
  <c r="K240" i="1"/>
  <c r="AL240" i="1" s="1"/>
  <c r="Z240" i="1"/>
  <c r="AD240" i="1"/>
  <c r="AE240" i="1"/>
  <c r="AF240" i="1"/>
  <c r="AG240" i="1"/>
  <c r="AH240" i="1"/>
  <c r="AJ240" i="1"/>
  <c r="AK240" i="1"/>
  <c r="AO240" i="1"/>
  <c r="AW240" i="1" s="1"/>
  <c r="AP240" i="1"/>
  <c r="AX240" i="1"/>
  <c r="BD240" i="1"/>
  <c r="BF240" i="1"/>
  <c r="BH240" i="1"/>
  <c r="AB240" i="1" s="1"/>
  <c r="BI240" i="1"/>
  <c r="AC240" i="1" s="1"/>
  <c r="BJ240" i="1"/>
  <c r="K241" i="1"/>
  <c r="Z241" i="1"/>
  <c r="AB241" i="1"/>
  <c r="AD241" i="1"/>
  <c r="AE241" i="1"/>
  <c r="AF241" i="1"/>
  <c r="AG241" i="1"/>
  <c r="AH241" i="1"/>
  <c r="AJ241" i="1"/>
  <c r="AK241" i="1"/>
  <c r="AL241" i="1"/>
  <c r="AO241" i="1"/>
  <c r="AW241" i="1" s="1"/>
  <c r="AP241" i="1"/>
  <c r="AX241" i="1" s="1"/>
  <c r="BD241" i="1"/>
  <c r="BF241" i="1"/>
  <c r="BH241" i="1"/>
  <c r="BI241" i="1"/>
  <c r="AC241" i="1" s="1"/>
  <c r="BJ241" i="1"/>
  <c r="K242" i="1"/>
  <c r="Z242" i="1"/>
  <c r="AB242" i="1"/>
  <c r="AC242" i="1"/>
  <c r="AD242" i="1"/>
  <c r="AE242" i="1"/>
  <c r="AF242" i="1"/>
  <c r="AG242" i="1"/>
  <c r="AH242" i="1"/>
  <c r="AJ242" i="1"/>
  <c r="AK242" i="1"/>
  <c r="AL242" i="1"/>
  <c r="AO242" i="1"/>
  <c r="AP242" i="1"/>
  <c r="AX242" i="1" s="1"/>
  <c r="AV242" i="1" s="1"/>
  <c r="AW242" i="1"/>
  <c r="BC242" i="1" s="1"/>
  <c r="BD242" i="1"/>
  <c r="BF242" i="1"/>
  <c r="BH242" i="1"/>
  <c r="BI242" i="1"/>
  <c r="BJ242" i="1"/>
  <c r="K243" i="1"/>
  <c r="Z243" i="1"/>
  <c r="AC243" i="1"/>
  <c r="AD243" i="1"/>
  <c r="AE243" i="1"/>
  <c r="AF243" i="1"/>
  <c r="AG243" i="1"/>
  <c r="AH243" i="1"/>
  <c r="AJ243" i="1"/>
  <c r="AK243" i="1"/>
  <c r="AL243" i="1"/>
  <c r="AO243" i="1"/>
  <c r="AP243" i="1"/>
  <c r="AW243" i="1"/>
  <c r="AV243" i="1" s="1"/>
  <c r="AX243" i="1"/>
  <c r="BD243" i="1"/>
  <c r="BF243" i="1"/>
  <c r="BH243" i="1"/>
  <c r="AB243" i="1" s="1"/>
  <c r="BI243" i="1"/>
  <c r="BJ243" i="1"/>
  <c r="K244" i="1"/>
  <c r="AL244" i="1" s="1"/>
  <c r="Z244" i="1"/>
  <c r="AD244" i="1"/>
  <c r="AE244" i="1"/>
  <c r="AF244" i="1"/>
  <c r="AG244" i="1"/>
  <c r="AH244" i="1"/>
  <c r="AJ244" i="1"/>
  <c r="AK244" i="1"/>
  <c r="AO244" i="1"/>
  <c r="AW244" i="1" s="1"/>
  <c r="AP244" i="1"/>
  <c r="AX244" i="1"/>
  <c r="BD244" i="1"/>
  <c r="BF244" i="1"/>
  <c r="BH244" i="1"/>
  <c r="AB244" i="1" s="1"/>
  <c r="BI244" i="1"/>
  <c r="AC244" i="1" s="1"/>
  <c r="BJ244" i="1"/>
  <c r="K245" i="1"/>
  <c r="Z245" i="1"/>
  <c r="AB245" i="1"/>
  <c r="AD245" i="1"/>
  <c r="AE245" i="1"/>
  <c r="AF245" i="1"/>
  <c r="AG245" i="1"/>
  <c r="AH245" i="1"/>
  <c r="AJ245" i="1"/>
  <c r="AK245" i="1"/>
  <c r="AL245" i="1"/>
  <c r="AO245" i="1"/>
  <c r="AW245" i="1" s="1"/>
  <c r="AP245" i="1"/>
  <c r="AX245" i="1" s="1"/>
  <c r="BD245" i="1"/>
  <c r="BF245" i="1"/>
  <c r="BH245" i="1"/>
  <c r="BI245" i="1"/>
  <c r="AC245" i="1" s="1"/>
  <c r="BJ245" i="1"/>
  <c r="K246" i="1"/>
  <c r="Z246" i="1"/>
  <c r="AB246" i="1"/>
  <c r="AC246" i="1"/>
  <c r="AD246" i="1"/>
  <c r="AE246" i="1"/>
  <c r="AF246" i="1"/>
  <c r="AG246" i="1"/>
  <c r="AH246" i="1"/>
  <c r="AJ246" i="1"/>
  <c r="AK246" i="1"/>
  <c r="AL246" i="1"/>
  <c r="AO246" i="1"/>
  <c r="AP246" i="1"/>
  <c r="AX246" i="1" s="1"/>
  <c r="AV246" i="1" s="1"/>
  <c r="AW246" i="1"/>
  <c r="BC246" i="1" s="1"/>
  <c r="BD246" i="1"/>
  <c r="BF246" i="1"/>
  <c r="BH246" i="1"/>
  <c r="BI246" i="1"/>
  <c r="BJ246" i="1"/>
  <c r="K247" i="1"/>
  <c r="Z247" i="1"/>
  <c r="AC247" i="1"/>
  <c r="AD247" i="1"/>
  <c r="AE247" i="1"/>
  <c r="AF247" i="1"/>
  <c r="AG247" i="1"/>
  <c r="AH247" i="1"/>
  <c r="AJ247" i="1"/>
  <c r="AK247" i="1"/>
  <c r="AL247" i="1"/>
  <c r="AO247" i="1"/>
  <c r="AP247" i="1"/>
  <c r="AW247" i="1"/>
  <c r="AV247" i="1" s="1"/>
  <c r="AX247" i="1"/>
  <c r="BD247" i="1"/>
  <c r="BF247" i="1"/>
  <c r="BH247" i="1"/>
  <c r="AB247" i="1" s="1"/>
  <c r="BI247" i="1"/>
  <c r="BJ247" i="1"/>
  <c r="K248" i="1"/>
  <c r="AL248" i="1" s="1"/>
  <c r="Z248" i="1"/>
  <c r="AD248" i="1"/>
  <c r="AE248" i="1"/>
  <c r="AF248" i="1"/>
  <c r="AG248" i="1"/>
  <c r="AH248" i="1"/>
  <c r="AJ248" i="1"/>
  <c r="AK248" i="1"/>
  <c r="AO248" i="1"/>
  <c r="AW248" i="1" s="1"/>
  <c r="AP248" i="1"/>
  <c r="AX248" i="1"/>
  <c r="BD248" i="1"/>
  <c r="BF248" i="1"/>
  <c r="BH248" i="1"/>
  <c r="AB248" i="1" s="1"/>
  <c r="BI248" i="1"/>
  <c r="AC248" i="1" s="1"/>
  <c r="BJ248" i="1"/>
  <c r="K249" i="1"/>
  <c r="Z249" i="1"/>
  <c r="AB249" i="1"/>
  <c r="AD249" i="1"/>
  <c r="AE249" i="1"/>
  <c r="AF249" i="1"/>
  <c r="AG249" i="1"/>
  <c r="AH249" i="1"/>
  <c r="AJ249" i="1"/>
  <c r="AK249" i="1"/>
  <c r="AL249" i="1"/>
  <c r="AO249" i="1"/>
  <c r="AW249" i="1" s="1"/>
  <c r="AP249" i="1"/>
  <c r="AX249" i="1" s="1"/>
  <c r="BD249" i="1"/>
  <c r="BF249" i="1"/>
  <c r="BH249" i="1"/>
  <c r="BI249" i="1"/>
  <c r="AC249" i="1" s="1"/>
  <c r="BJ249" i="1"/>
  <c r="K250" i="1"/>
  <c r="Z250" i="1"/>
  <c r="AB250" i="1"/>
  <c r="AC250" i="1"/>
  <c r="AD250" i="1"/>
  <c r="AE250" i="1"/>
  <c r="AF250" i="1"/>
  <c r="AG250" i="1"/>
  <c r="AH250" i="1"/>
  <c r="AJ250" i="1"/>
  <c r="AK250" i="1"/>
  <c r="AL250" i="1"/>
  <c r="AO250" i="1"/>
  <c r="AP250" i="1"/>
  <c r="AX250" i="1" s="1"/>
  <c r="AV250" i="1" s="1"/>
  <c r="AW250" i="1"/>
  <c r="BC250" i="1" s="1"/>
  <c r="BD250" i="1"/>
  <c r="BF250" i="1"/>
  <c r="BH250" i="1"/>
  <c r="BI250" i="1"/>
  <c r="BJ250" i="1"/>
  <c r="K251" i="1"/>
  <c r="Z251" i="1"/>
  <c r="AC251" i="1"/>
  <c r="AD251" i="1"/>
  <c r="AE251" i="1"/>
  <c r="AF251" i="1"/>
  <c r="AG251" i="1"/>
  <c r="AH251" i="1"/>
  <c r="AJ251" i="1"/>
  <c r="AK251" i="1"/>
  <c r="AL251" i="1"/>
  <c r="AO251" i="1"/>
  <c r="AP251" i="1"/>
  <c r="AW251" i="1"/>
  <c r="AV251" i="1" s="1"/>
  <c r="AX251" i="1"/>
  <c r="BD251" i="1"/>
  <c r="BF251" i="1"/>
  <c r="BH251" i="1"/>
  <c r="AB251" i="1" s="1"/>
  <c r="BI251" i="1"/>
  <c r="BJ251" i="1"/>
  <c r="K252" i="1"/>
  <c r="AL252" i="1" s="1"/>
  <c r="Z252" i="1"/>
  <c r="AD252" i="1"/>
  <c r="AE252" i="1"/>
  <c r="AF252" i="1"/>
  <c r="AG252" i="1"/>
  <c r="AH252" i="1"/>
  <c r="AJ252" i="1"/>
  <c r="AK252" i="1"/>
  <c r="AO252" i="1"/>
  <c r="AW252" i="1" s="1"/>
  <c r="AP252" i="1"/>
  <c r="AX252" i="1"/>
  <c r="BD252" i="1"/>
  <c r="BF252" i="1"/>
  <c r="BH252" i="1"/>
  <c r="AB252" i="1" s="1"/>
  <c r="BI252" i="1"/>
  <c r="AC252" i="1" s="1"/>
  <c r="BJ252" i="1"/>
  <c r="K253" i="1"/>
  <c r="Z253" i="1"/>
  <c r="AB253" i="1"/>
  <c r="AD253" i="1"/>
  <c r="AE253" i="1"/>
  <c r="AF253" i="1"/>
  <c r="AG253" i="1"/>
  <c r="AH253" i="1"/>
  <c r="AJ253" i="1"/>
  <c r="AK253" i="1"/>
  <c r="AL253" i="1"/>
  <c r="AO253" i="1"/>
  <c r="AW253" i="1" s="1"/>
  <c r="AP253" i="1"/>
  <c r="AX253" i="1" s="1"/>
  <c r="BD253" i="1"/>
  <c r="BF253" i="1"/>
  <c r="BH253" i="1"/>
  <c r="BI253" i="1"/>
  <c r="AC253" i="1" s="1"/>
  <c r="BJ253" i="1"/>
  <c r="K254" i="1"/>
  <c r="Z254" i="1"/>
  <c r="AB254" i="1"/>
  <c r="AC254" i="1"/>
  <c r="AD254" i="1"/>
  <c r="AE254" i="1"/>
  <c r="AF254" i="1"/>
  <c r="AG254" i="1"/>
  <c r="AH254" i="1"/>
  <c r="AJ254" i="1"/>
  <c r="AK254" i="1"/>
  <c r="AL254" i="1"/>
  <c r="AO254" i="1"/>
  <c r="AP254" i="1"/>
  <c r="AX254" i="1" s="1"/>
  <c r="AV254" i="1" s="1"/>
  <c r="AW254" i="1"/>
  <c r="BC254" i="1" s="1"/>
  <c r="BD254" i="1"/>
  <c r="BF254" i="1"/>
  <c r="BH254" i="1"/>
  <c r="BI254" i="1"/>
  <c r="BJ254" i="1"/>
  <c r="K255" i="1"/>
  <c r="Z255" i="1"/>
  <c r="AC255" i="1"/>
  <c r="AD255" i="1"/>
  <c r="AE255" i="1"/>
  <c r="AF255" i="1"/>
  <c r="AG255" i="1"/>
  <c r="AH255" i="1"/>
  <c r="AJ255" i="1"/>
  <c r="AK255" i="1"/>
  <c r="AL255" i="1"/>
  <c r="AO255" i="1"/>
  <c r="AP255" i="1"/>
  <c r="AW255" i="1"/>
  <c r="AV255" i="1" s="1"/>
  <c r="AX255" i="1"/>
  <c r="BD255" i="1"/>
  <c r="BF255" i="1"/>
  <c r="BH255" i="1"/>
  <c r="AB255" i="1" s="1"/>
  <c r="BI255" i="1"/>
  <c r="BJ255" i="1"/>
  <c r="K256" i="1"/>
  <c r="AL256" i="1" s="1"/>
  <c r="Z256" i="1"/>
  <c r="AD256" i="1"/>
  <c r="AE256" i="1"/>
  <c r="AF256" i="1"/>
  <c r="AG256" i="1"/>
  <c r="AH256" i="1"/>
  <c r="AJ256" i="1"/>
  <c r="AK256" i="1"/>
  <c r="AO256" i="1"/>
  <c r="AW256" i="1" s="1"/>
  <c r="AP256" i="1"/>
  <c r="AX256" i="1"/>
  <c r="BD256" i="1"/>
  <c r="BF256" i="1"/>
  <c r="BH256" i="1"/>
  <c r="AB256" i="1" s="1"/>
  <c r="BI256" i="1"/>
  <c r="AC256" i="1" s="1"/>
  <c r="BJ256" i="1"/>
  <c r="K257" i="1"/>
  <c r="Z257" i="1"/>
  <c r="AB257" i="1"/>
  <c r="AD257" i="1"/>
  <c r="AE257" i="1"/>
  <c r="AF257" i="1"/>
  <c r="AG257" i="1"/>
  <c r="AH257" i="1"/>
  <c r="AJ257" i="1"/>
  <c r="AK257" i="1"/>
  <c r="AL257" i="1"/>
  <c r="AO257" i="1"/>
  <c r="AW257" i="1" s="1"/>
  <c r="AP257" i="1"/>
  <c r="AX257" i="1" s="1"/>
  <c r="BD257" i="1"/>
  <c r="BF257" i="1"/>
  <c r="BH257" i="1"/>
  <c r="BI257" i="1"/>
  <c r="AC257" i="1" s="1"/>
  <c r="BJ257" i="1"/>
  <c r="K258" i="1"/>
  <c r="Z258" i="1"/>
  <c r="AB258" i="1"/>
  <c r="AC258" i="1"/>
  <c r="AD258" i="1"/>
  <c r="AE258" i="1"/>
  <c r="AF258" i="1"/>
  <c r="AG258" i="1"/>
  <c r="AH258" i="1"/>
  <c r="AJ258" i="1"/>
  <c r="AK258" i="1"/>
  <c r="AL258" i="1"/>
  <c r="AO258" i="1"/>
  <c r="AP258" i="1"/>
  <c r="AX258" i="1" s="1"/>
  <c r="AV258" i="1" s="1"/>
  <c r="AW258" i="1"/>
  <c r="BC258" i="1" s="1"/>
  <c r="BD258" i="1"/>
  <c r="BF258" i="1"/>
  <c r="BH258" i="1"/>
  <c r="BI258" i="1"/>
  <c r="BJ258" i="1"/>
  <c r="K259" i="1"/>
  <c r="Z259" i="1"/>
  <c r="AC259" i="1"/>
  <c r="AD259" i="1"/>
  <c r="AE259" i="1"/>
  <c r="AF259" i="1"/>
  <c r="AG259" i="1"/>
  <c r="AH259" i="1"/>
  <c r="AJ259" i="1"/>
  <c r="AK259" i="1"/>
  <c r="AL259" i="1"/>
  <c r="AO259" i="1"/>
  <c r="AP259" i="1"/>
  <c r="AW259" i="1"/>
  <c r="AV259" i="1" s="1"/>
  <c r="AX259" i="1"/>
  <c r="BD259" i="1"/>
  <c r="BF259" i="1"/>
  <c r="BH259" i="1"/>
  <c r="AB259" i="1" s="1"/>
  <c r="BI259" i="1"/>
  <c r="BJ259" i="1"/>
  <c r="K260" i="1"/>
  <c r="AL260" i="1" s="1"/>
  <c r="Z260" i="1"/>
  <c r="AD260" i="1"/>
  <c r="AE260" i="1"/>
  <c r="AF260" i="1"/>
  <c r="AG260" i="1"/>
  <c r="AH260" i="1"/>
  <c r="AJ260" i="1"/>
  <c r="AK260" i="1"/>
  <c r="AO260" i="1"/>
  <c r="AW260" i="1" s="1"/>
  <c r="AP260" i="1"/>
  <c r="AX260" i="1"/>
  <c r="BD260" i="1"/>
  <c r="BF260" i="1"/>
  <c r="BH260" i="1"/>
  <c r="AB260" i="1" s="1"/>
  <c r="BI260" i="1"/>
  <c r="AC260" i="1" s="1"/>
  <c r="BJ260" i="1"/>
  <c r="K261" i="1"/>
  <c r="Z261" i="1"/>
  <c r="AB261" i="1"/>
  <c r="AD261" i="1"/>
  <c r="AE261" i="1"/>
  <c r="AF261" i="1"/>
  <c r="AG261" i="1"/>
  <c r="AH261" i="1"/>
  <c r="AJ261" i="1"/>
  <c r="AK261" i="1"/>
  <c r="AL261" i="1"/>
  <c r="AO261" i="1"/>
  <c r="AW261" i="1" s="1"/>
  <c r="AP261" i="1"/>
  <c r="AX261" i="1" s="1"/>
  <c r="BD261" i="1"/>
  <c r="BF261" i="1"/>
  <c r="BH261" i="1"/>
  <c r="BI261" i="1"/>
  <c r="AC261" i="1" s="1"/>
  <c r="BJ261" i="1"/>
  <c r="K262" i="1"/>
  <c r="Z262" i="1"/>
  <c r="AB262" i="1"/>
  <c r="AC262" i="1"/>
  <c r="AD262" i="1"/>
  <c r="AE262" i="1"/>
  <c r="AF262" i="1"/>
  <c r="AG262" i="1"/>
  <c r="AH262" i="1"/>
  <c r="AJ262" i="1"/>
  <c r="AK262" i="1"/>
  <c r="AL262" i="1"/>
  <c r="AO262" i="1"/>
  <c r="AP262" i="1"/>
  <c r="AX262" i="1" s="1"/>
  <c r="AW262" i="1"/>
  <c r="BC262" i="1" s="1"/>
  <c r="BD262" i="1"/>
  <c r="BF262" i="1"/>
  <c r="BH262" i="1"/>
  <c r="BI262" i="1"/>
  <c r="BJ262" i="1"/>
  <c r="K263" i="1"/>
  <c r="Z263" i="1"/>
  <c r="AC263" i="1"/>
  <c r="AD263" i="1"/>
  <c r="AE263" i="1"/>
  <c r="AF263" i="1"/>
  <c r="AG263" i="1"/>
  <c r="AH263" i="1"/>
  <c r="AJ263" i="1"/>
  <c r="AK263" i="1"/>
  <c r="AL263" i="1"/>
  <c r="AO263" i="1"/>
  <c r="AW263" i="1" s="1"/>
  <c r="AP263" i="1"/>
  <c r="AX263" i="1"/>
  <c r="BD263" i="1"/>
  <c r="BF263" i="1"/>
  <c r="BI263" i="1"/>
  <c r="BJ263" i="1"/>
  <c r="K264" i="1"/>
  <c r="AL264" i="1" s="1"/>
  <c r="Z264" i="1"/>
  <c r="AD264" i="1"/>
  <c r="AE264" i="1"/>
  <c r="AF264" i="1"/>
  <c r="AG264" i="1"/>
  <c r="AH264" i="1"/>
  <c r="AJ264" i="1"/>
  <c r="AK264" i="1"/>
  <c r="AO264" i="1"/>
  <c r="AW264" i="1" s="1"/>
  <c r="AP264" i="1"/>
  <c r="AX264" i="1" s="1"/>
  <c r="BD264" i="1"/>
  <c r="BF264" i="1"/>
  <c r="BH264" i="1"/>
  <c r="AB264" i="1" s="1"/>
  <c r="BJ264" i="1"/>
  <c r="K266" i="1"/>
  <c r="AB266" i="1"/>
  <c r="AC266" i="1"/>
  <c r="AD266" i="1"/>
  <c r="AE266" i="1"/>
  <c r="AF266" i="1"/>
  <c r="AG266" i="1"/>
  <c r="AH266" i="1"/>
  <c r="AJ266" i="1"/>
  <c r="AK266" i="1"/>
  <c r="AT265" i="1" s="1"/>
  <c r="AL266" i="1"/>
  <c r="AO266" i="1"/>
  <c r="AP266" i="1"/>
  <c r="AX266" i="1" s="1"/>
  <c r="AV266" i="1" s="1"/>
  <c r="AW266" i="1"/>
  <c r="BD266" i="1"/>
  <c r="BF266" i="1"/>
  <c r="BH266" i="1"/>
  <c r="BI266" i="1"/>
  <c r="BJ266" i="1"/>
  <c r="Z266" i="1" s="1"/>
  <c r="K267" i="1"/>
  <c r="AB267" i="1"/>
  <c r="AC267" i="1"/>
  <c r="AD267" i="1"/>
  <c r="AE267" i="1"/>
  <c r="AF267" i="1"/>
  <c r="AG267" i="1"/>
  <c r="AH267" i="1"/>
  <c r="AJ267" i="1"/>
  <c r="AK267" i="1"/>
  <c r="AL267" i="1"/>
  <c r="AO267" i="1"/>
  <c r="AP267" i="1"/>
  <c r="AW267" i="1"/>
  <c r="AV267" i="1" s="1"/>
  <c r="AX267" i="1"/>
  <c r="BD267" i="1"/>
  <c r="BF267" i="1"/>
  <c r="BH267" i="1"/>
  <c r="BI267" i="1"/>
  <c r="BJ267" i="1"/>
  <c r="Z267" i="1" s="1"/>
  <c r="K268" i="1"/>
  <c r="AL268" i="1" s="1"/>
  <c r="Z268" i="1"/>
  <c r="AB268" i="1"/>
  <c r="AC268" i="1"/>
  <c r="AD268" i="1"/>
  <c r="AE268" i="1"/>
  <c r="AF268" i="1"/>
  <c r="AG268" i="1"/>
  <c r="AH268" i="1"/>
  <c r="AJ268" i="1"/>
  <c r="AS265" i="1" s="1"/>
  <c r="AK268" i="1"/>
  <c r="AO268" i="1"/>
  <c r="AW268" i="1" s="1"/>
  <c r="AP268" i="1"/>
  <c r="AX268" i="1"/>
  <c r="BD268" i="1"/>
  <c r="BF268" i="1"/>
  <c r="BH268" i="1"/>
  <c r="BI268" i="1"/>
  <c r="BJ268" i="1"/>
  <c r="K269" i="1"/>
  <c r="AB269" i="1"/>
  <c r="AC269" i="1"/>
  <c r="AD269" i="1"/>
  <c r="AE269" i="1"/>
  <c r="AF269" i="1"/>
  <c r="AG269" i="1"/>
  <c r="AH269" i="1"/>
  <c r="AJ269" i="1"/>
  <c r="AK269" i="1"/>
  <c r="AL269" i="1"/>
  <c r="AO269" i="1"/>
  <c r="AW269" i="1" s="1"/>
  <c r="AP269" i="1"/>
  <c r="AX269" i="1" s="1"/>
  <c r="BD269" i="1"/>
  <c r="BF269" i="1"/>
  <c r="BH269" i="1"/>
  <c r="BI269" i="1"/>
  <c r="BJ269" i="1"/>
  <c r="Z269" i="1" s="1"/>
  <c r="K270" i="1"/>
  <c r="AB270" i="1"/>
  <c r="AC270" i="1"/>
  <c r="AD270" i="1"/>
  <c r="AE270" i="1"/>
  <c r="AF270" i="1"/>
  <c r="AG270" i="1"/>
  <c r="AH270" i="1"/>
  <c r="AJ270" i="1"/>
  <c r="AK270" i="1"/>
  <c r="AL270" i="1"/>
  <c r="AO270" i="1"/>
  <c r="AP270" i="1"/>
  <c r="AX270" i="1" s="1"/>
  <c r="AV270" i="1" s="1"/>
  <c r="AW270" i="1"/>
  <c r="BD270" i="1"/>
  <c r="BF270" i="1"/>
  <c r="BH270" i="1"/>
  <c r="BI270" i="1"/>
  <c r="BJ270" i="1"/>
  <c r="Z270" i="1" s="1"/>
  <c r="K271" i="1"/>
  <c r="AB271" i="1"/>
  <c r="AC271" i="1"/>
  <c r="AD271" i="1"/>
  <c r="AE271" i="1"/>
  <c r="AF271" i="1"/>
  <c r="AG271" i="1"/>
  <c r="AH271" i="1"/>
  <c r="AJ271" i="1"/>
  <c r="AK271" i="1"/>
  <c r="AL271" i="1"/>
  <c r="AO271" i="1"/>
  <c r="AP271" i="1"/>
  <c r="AW271" i="1"/>
  <c r="AV271" i="1" s="1"/>
  <c r="AX271" i="1"/>
  <c r="BD271" i="1"/>
  <c r="BF271" i="1"/>
  <c r="BH271" i="1"/>
  <c r="BI271" i="1"/>
  <c r="BJ271" i="1"/>
  <c r="Z271" i="1" s="1"/>
  <c r="K272" i="1"/>
  <c r="AL272" i="1" s="1"/>
  <c r="Z272" i="1"/>
  <c r="AB272" i="1"/>
  <c r="AC272" i="1"/>
  <c r="AD272" i="1"/>
  <c r="AE272" i="1"/>
  <c r="AF272" i="1"/>
  <c r="AG272" i="1"/>
  <c r="AH272" i="1"/>
  <c r="AJ272" i="1"/>
  <c r="AK272" i="1"/>
  <c r="AO272" i="1"/>
  <c r="AW272" i="1" s="1"/>
  <c r="AP272" i="1"/>
  <c r="AX272" i="1"/>
  <c r="BD272" i="1"/>
  <c r="BF272" i="1"/>
  <c r="BH272" i="1"/>
  <c r="BI272" i="1"/>
  <c r="BJ272" i="1"/>
  <c r="K273" i="1"/>
  <c r="AB273" i="1"/>
  <c r="AC273" i="1"/>
  <c r="AD273" i="1"/>
  <c r="AE273" i="1"/>
  <c r="AF273" i="1"/>
  <c r="AG273" i="1"/>
  <c r="AH273" i="1"/>
  <c r="AJ273" i="1"/>
  <c r="AK273" i="1"/>
  <c r="AL273" i="1"/>
  <c r="AO273" i="1"/>
  <c r="AP273" i="1"/>
  <c r="AX273" i="1" s="1"/>
  <c r="AW273" i="1"/>
  <c r="BD273" i="1"/>
  <c r="BF273" i="1"/>
  <c r="BH273" i="1"/>
  <c r="BI273" i="1"/>
  <c r="BJ273" i="1"/>
  <c r="Z273" i="1" s="1"/>
  <c r="K274" i="1"/>
  <c r="AB274" i="1"/>
  <c r="AC274" i="1"/>
  <c r="AD274" i="1"/>
  <c r="AE274" i="1"/>
  <c r="AF274" i="1"/>
  <c r="AG274" i="1"/>
  <c r="AH274" i="1"/>
  <c r="AJ274" i="1"/>
  <c r="AK274" i="1"/>
  <c r="AL274" i="1"/>
  <c r="AO274" i="1"/>
  <c r="AP274" i="1"/>
  <c r="AX274" i="1" s="1"/>
  <c r="AV274" i="1" s="1"/>
  <c r="AW274" i="1"/>
  <c r="BC274" i="1" s="1"/>
  <c r="BD274" i="1"/>
  <c r="BF274" i="1"/>
  <c r="BH274" i="1"/>
  <c r="BI274" i="1"/>
  <c r="BJ274" i="1"/>
  <c r="Z274" i="1" s="1"/>
  <c r="K275" i="1"/>
  <c r="AB275" i="1"/>
  <c r="AC275" i="1"/>
  <c r="AD275" i="1"/>
  <c r="AE275" i="1"/>
  <c r="AF275" i="1"/>
  <c r="AG275" i="1"/>
  <c r="AH275" i="1"/>
  <c r="AJ275" i="1"/>
  <c r="AK275" i="1"/>
  <c r="AL275" i="1"/>
  <c r="AO275" i="1"/>
  <c r="AP275" i="1"/>
  <c r="AW275" i="1"/>
  <c r="AV275" i="1" s="1"/>
  <c r="AX275" i="1"/>
  <c r="BD275" i="1"/>
  <c r="BF275" i="1"/>
  <c r="BH275" i="1"/>
  <c r="BI275" i="1"/>
  <c r="BJ275" i="1"/>
  <c r="Z275" i="1" s="1"/>
  <c r="K276" i="1"/>
  <c r="AL276" i="1" s="1"/>
  <c r="Z276" i="1"/>
  <c r="AB276" i="1"/>
  <c r="AC276" i="1"/>
  <c r="AD276" i="1"/>
  <c r="AE276" i="1"/>
  <c r="AF276" i="1"/>
  <c r="AG276" i="1"/>
  <c r="AH276" i="1"/>
  <c r="AJ276" i="1"/>
  <c r="AK276" i="1"/>
  <c r="AO276" i="1"/>
  <c r="AW276" i="1" s="1"/>
  <c r="AP276" i="1"/>
  <c r="AX276" i="1"/>
  <c r="BD276" i="1"/>
  <c r="BF276" i="1"/>
  <c r="BH276" i="1"/>
  <c r="BI276" i="1"/>
  <c r="BJ276" i="1"/>
  <c r="K277" i="1"/>
  <c r="AB277" i="1"/>
  <c r="AC277" i="1"/>
  <c r="AD277" i="1"/>
  <c r="AE277" i="1"/>
  <c r="AF277" i="1"/>
  <c r="AG277" i="1"/>
  <c r="AH277" i="1"/>
  <c r="AJ277" i="1"/>
  <c r="AK277" i="1"/>
  <c r="AL277" i="1"/>
  <c r="AO277" i="1"/>
  <c r="AP277" i="1"/>
  <c r="AX277" i="1" s="1"/>
  <c r="AW277" i="1"/>
  <c r="BD277" i="1"/>
  <c r="BF277" i="1"/>
  <c r="BH277" i="1"/>
  <c r="BI277" i="1"/>
  <c r="BJ277" i="1"/>
  <c r="Z277" i="1" s="1"/>
  <c r="K278" i="1"/>
  <c r="AB278" i="1"/>
  <c r="AC278" i="1"/>
  <c r="AD278" i="1"/>
  <c r="AE278" i="1"/>
  <c r="AF278" i="1"/>
  <c r="AG278" i="1"/>
  <c r="AH278" i="1"/>
  <c r="AJ278" i="1"/>
  <c r="AK278" i="1"/>
  <c r="AL278" i="1"/>
  <c r="AO278" i="1"/>
  <c r="AP278" i="1"/>
  <c r="AX278" i="1" s="1"/>
  <c r="AV278" i="1" s="1"/>
  <c r="AW278" i="1"/>
  <c r="BC278" i="1" s="1"/>
  <c r="BD278" i="1"/>
  <c r="BF278" i="1"/>
  <c r="BH278" i="1"/>
  <c r="BI278" i="1"/>
  <c r="BJ278" i="1"/>
  <c r="Z278" i="1" s="1"/>
  <c r="K279" i="1"/>
  <c r="AB279" i="1"/>
  <c r="AC279" i="1"/>
  <c r="AD279" i="1"/>
  <c r="AE279" i="1"/>
  <c r="AF279" i="1"/>
  <c r="AG279" i="1"/>
  <c r="AH279" i="1"/>
  <c r="AJ279" i="1"/>
  <c r="AK279" i="1"/>
  <c r="AL279" i="1"/>
  <c r="AO279" i="1"/>
  <c r="AP279" i="1"/>
  <c r="AW279" i="1"/>
  <c r="AV279" i="1" s="1"/>
  <c r="AX279" i="1"/>
  <c r="BD279" i="1"/>
  <c r="BF279" i="1"/>
  <c r="BH279" i="1"/>
  <c r="BI279" i="1"/>
  <c r="BJ279" i="1"/>
  <c r="Z279" i="1" s="1"/>
  <c r="K280" i="1"/>
  <c r="AL280" i="1" s="1"/>
  <c r="Z280" i="1"/>
  <c r="AB280" i="1"/>
  <c r="AC280" i="1"/>
  <c r="AD280" i="1"/>
  <c r="AE280" i="1"/>
  <c r="AF280" i="1"/>
  <c r="AG280" i="1"/>
  <c r="AH280" i="1"/>
  <c r="AJ280" i="1"/>
  <c r="AK280" i="1"/>
  <c r="AO280" i="1"/>
  <c r="AW280" i="1" s="1"/>
  <c r="AP280" i="1"/>
  <c r="AX280" i="1"/>
  <c r="BD280" i="1"/>
  <c r="BF280" i="1"/>
  <c r="BH280" i="1"/>
  <c r="BI280" i="1"/>
  <c r="BJ280" i="1"/>
  <c r="K281" i="1"/>
  <c r="AB281" i="1"/>
  <c r="AC281" i="1"/>
  <c r="AD281" i="1"/>
  <c r="AE281" i="1"/>
  <c r="AF281" i="1"/>
  <c r="AG281" i="1"/>
  <c r="AH281" i="1"/>
  <c r="AJ281" i="1"/>
  <c r="AK281" i="1"/>
  <c r="AL281" i="1"/>
  <c r="AO281" i="1"/>
  <c r="AW281" i="1" s="1"/>
  <c r="AP281" i="1"/>
  <c r="AX281" i="1" s="1"/>
  <c r="BD281" i="1"/>
  <c r="BF281" i="1"/>
  <c r="BH281" i="1"/>
  <c r="BI281" i="1"/>
  <c r="BJ281" i="1"/>
  <c r="Z281" i="1" s="1"/>
  <c r="K282" i="1"/>
  <c r="AB282" i="1"/>
  <c r="AC282" i="1"/>
  <c r="AD282" i="1"/>
  <c r="AE282" i="1"/>
  <c r="AF282" i="1"/>
  <c r="AG282" i="1"/>
  <c r="AH282" i="1"/>
  <c r="AJ282" i="1"/>
  <c r="AK282" i="1"/>
  <c r="AL282" i="1"/>
  <c r="AO282" i="1"/>
  <c r="AP282" i="1"/>
  <c r="AX282" i="1" s="1"/>
  <c r="AV282" i="1" s="1"/>
  <c r="AW282" i="1"/>
  <c r="BC282" i="1" s="1"/>
  <c r="BD282" i="1"/>
  <c r="BF282" i="1"/>
  <c r="BH282" i="1"/>
  <c r="BI282" i="1"/>
  <c r="BJ282" i="1"/>
  <c r="Z282" i="1" s="1"/>
  <c r="K283" i="1"/>
  <c r="AB283" i="1"/>
  <c r="AC283" i="1"/>
  <c r="AD283" i="1"/>
  <c r="AE283" i="1"/>
  <c r="AF283" i="1"/>
  <c r="AG283" i="1"/>
  <c r="AH283" i="1"/>
  <c r="AJ283" i="1"/>
  <c r="AK283" i="1"/>
  <c r="AL283" i="1"/>
  <c r="AO283" i="1"/>
  <c r="AP283" i="1"/>
  <c r="AW283" i="1"/>
  <c r="AV283" i="1" s="1"/>
  <c r="AX283" i="1"/>
  <c r="BD283" i="1"/>
  <c r="BF283" i="1"/>
  <c r="BH283" i="1"/>
  <c r="BI283" i="1"/>
  <c r="BJ283" i="1"/>
  <c r="Z283" i="1" s="1"/>
  <c r="K284" i="1"/>
  <c r="AL284" i="1" s="1"/>
  <c r="Z284" i="1"/>
  <c r="AB284" i="1"/>
  <c r="AC284" i="1"/>
  <c r="AD284" i="1"/>
  <c r="AE284" i="1"/>
  <c r="AF284" i="1"/>
  <c r="AG284" i="1"/>
  <c r="AH284" i="1"/>
  <c r="AJ284" i="1"/>
  <c r="AK284" i="1"/>
  <c r="AO284" i="1"/>
  <c r="AW284" i="1" s="1"/>
  <c r="AP284" i="1"/>
  <c r="AX284" i="1"/>
  <c r="BD284" i="1"/>
  <c r="BF284" i="1"/>
  <c r="BH284" i="1"/>
  <c r="BI284" i="1"/>
  <c r="BJ284" i="1"/>
  <c r="K286" i="1"/>
  <c r="K285" i="1" s="1"/>
  <c r="Z286" i="1"/>
  <c r="AB286" i="1"/>
  <c r="AD286" i="1"/>
  <c r="AE286" i="1"/>
  <c r="AF286" i="1"/>
  <c r="AG286" i="1"/>
  <c r="AH286" i="1"/>
  <c r="AJ286" i="1"/>
  <c r="AS285" i="1" s="1"/>
  <c r="AK286" i="1"/>
  <c r="AT285" i="1" s="1"/>
  <c r="AL286" i="1"/>
  <c r="AU285" i="1" s="1"/>
  <c r="AO286" i="1"/>
  <c r="AP286" i="1"/>
  <c r="AX286" i="1" s="1"/>
  <c r="AW286" i="1"/>
  <c r="BD286" i="1"/>
  <c r="BF286" i="1"/>
  <c r="BH286" i="1"/>
  <c r="BI286" i="1"/>
  <c r="AC286" i="1" s="1"/>
  <c r="BJ286" i="1"/>
  <c r="K288" i="1"/>
  <c r="K287" i="1" s="1"/>
  <c r="AB288" i="1"/>
  <c r="AC288" i="1"/>
  <c r="AD288" i="1"/>
  <c r="AE288" i="1"/>
  <c r="AF288" i="1"/>
  <c r="AG288" i="1"/>
  <c r="AH288" i="1"/>
  <c r="AJ288" i="1"/>
  <c r="AS287" i="1" s="1"/>
  <c r="AK288" i="1"/>
  <c r="AT287" i="1" s="1"/>
  <c r="AL288" i="1"/>
  <c r="AU287" i="1" s="1"/>
  <c r="AO288" i="1"/>
  <c r="AP288" i="1"/>
  <c r="AX288" i="1" s="1"/>
  <c r="AV288" i="1" s="1"/>
  <c r="AW288" i="1"/>
  <c r="BC288" i="1" s="1"/>
  <c r="BD288" i="1"/>
  <c r="BF288" i="1"/>
  <c r="BH288" i="1"/>
  <c r="BI288" i="1"/>
  <c r="BJ288" i="1"/>
  <c r="Z288" i="1" s="1"/>
  <c r="K290" i="1"/>
  <c r="K289" i="1" s="1"/>
  <c r="Z290" i="1"/>
  <c r="AB290" i="1"/>
  <c r="AC290" i="1"/>
  <c r="AF290" i="1"/>
  <c r="AG290" i="1"/>
  <c r="AH290" i="1"/>
  <c r="AJ290" i="1"/>
  <c r="AS289" i="1" s="1"/>
  <c r="AK290" i="1"/>
  <c r="AT289" i="1" s="1"/>
  <c r="AL290" i="1"/>
  <c r="AO290" i="1"/>
  <c r="AP290" i="1"/>
  <c r="AW290" i="1"/>
  <c r="AV290" i="1" s="1"/>
  <c r="AX290" i="1"/>
  <c r="BD290" i="1"/>
  <c r="BF290" i="1"/>
  <c r="BH290" i="1"/>
  <c r="AD290" i="1" s="1"/>
  <c r="BI290" i="1"/>
  <c r="AE290" i="1" s="1"/>
  <c r="BJ290" i="1"/>
  <c r="K291" i="1"/>
  <c r="AL291" i="1" s="1"/>
  <c r="Z291" i="1"/>
  <c r="AB291" i="1"/>
  <c r="AC291" i="1"/>
  <c r="AF291" i="1"/>
  <c r="AG291" i="1"/>
  <c r="AH291" i="1"/>
  <c r="AJ291" i="1"/>
  <c r="AK291" i="1"/>
  <c r="AO291" i="1"/>
  <c r="AW291" i="1" s="1"/>
  <c r="AP291" i="1"/>
  <c r="AX291" i="1"/>
  <c r="BD291" i="1"/>
  <c r="BF291" i="1"/>
  <c r="BH291" i="1"/>
  <c r="AD291" i="1" s="1"/>
  <c r="BI291" i="1"/>
  <c r="AE291" i="1" s="1"/>
  <c r="BJ291" i="1"/>
  <c r="K292" i="1"/>
  <c r="Z292" i="1"/>
  <c r="AB292" i="1"/>
  <c r="AC292" i="1"/>
  <c r="AF292" i="1"/>
  <c r="AG292" i="1"/>
  <c r="AH292" i="1"/>
  <c r="AJ292" i="1"/>
  <c r="AK292" i="1"/>
  <c r="AL292" i="1"/>
  <c r="AO292" i="1"/>
  <c r="AW292" i="1" s="1"/>
  <c r="AP292" i="1"/>
  <c r="AX292" i="1" s="1"/>
  <c r="BD292" i="1"/>
  <c r="BF292" i="1"/>
  <c r="BH292" i="1"/>
  <c r="AD292" i="1" s="1"/>
  <c r="BI292" i="1"/>
  <c r="AE292" i="1" s="1"/>
  <c r="BJ292" i="1"/>
  <c r="K293" i="1"/>
  <c r="Z293" i="1"/>
  <c r="AB293" i="1"/>
  <c r="AC293" i="1"/>
  <c r="AF293" i="1"/>
  <c r="AG293" i="1"/>
  <c r="AH293" i="1"/>
  <c r="AJ293" i="1"/>
  <c r="AK293" i="1"/>
  <c r="AL293" i="1"/>
  <c r="AO293" i="1"/>
  <c r="AP293" i="1"/>
  <c r="AX293" i="1" s="1"/>
  <c r="AV293" i="1" s="1"/>
  <c r="AW293" i="1"/>
  <c r="BC293" i="1" s="1"/>
  <c r="BD293" i="1"/>
  <c r="BF293" i="1"/>
  <c r="BH293" i="1"/>
  <c r="AD293" i="1" s="1"/>
  <c r="BI293" i="1"/>
  <c r="AE293" i="1" s="1"/>
  <c r="BJ293" i="1"/>
  <c r="K294" i="1"/>
  <c r="Z294" i="1"/>
  <c r="AB294" i="1"/>
  <c r="AC294" i="1"/>
  <c r="AF294" i="1"/>
  <c r="AG294" i="1"/>
  <c r="AH294" i="1"/>
  <c r="AJ294" i="1"/>
  <c r="AK294" i="1"/>
  <c r="AL294" i="1"/>
  <c r="AO294" i="1"/>
  <c r="AP294" i="1"/>
  <c r="AW294" i="1"/>
  <c r="AV294" i="1" s="1"/>
  <c r="AX294" i="1"/>
  <c r="BD294" i="1"/>
  <c r="BF294" i="1"/>
  <c r="BH294" i="1"/>
  <c r="AD294" i="1" s="1"/>
  <c r="BI294" i="1"/>
  <c r="AE294" i="1" s="1"/>
  <c r="BJ294" i="1"/>
  <c r="K295" i="1"/>
  <c r="AL295" i="1" s="1"/>
  <c r="Z295" i="1"/>
  <c r="AB295" i="1"/>
  <c r="AC295" i="1"/>
  <c r="AF295" i="1"/>
  <c r="AG295" i="1"/>
  <c r="AH295" i="1"/>
  <c r="AJ295" i="1"/>
  <c r="AK295" i="1"/>
  <c r="AO295" i="1"/>
  <c r="AW295" i="1" s="1"/>
  <c r="AP295" i="1"/>
  <c r="AX295" i="1"/>
  <c r="BD295" i="1"/>
  <c r="BF295" i="1"/>
  <c r="BH295" i="1"/>
  <c r="AD295" i="1" s="1"/>
  <c r="BI295" i="1"/>
  <c r="AE295" i="1" s="1"/>
  <c r="BJ295" i="1"/>
  <c r="K296" i="1"/>
  <c r="Z296" i="1"/>
  <c r="AB296" i="1"/>
  <c r="AC296" i="1"/>
  <c r="AF296" i="1"/>
  <c r="AG296" i="1"/>
  <c r="AH296" i="1"/>
  <c r="AJ296" i="1"/>
  <c r="AK296" i="1"/>
  <c r="AL296" i="1"/>
  <c r="AO296" i="1"/>
  <c r="AW296" i="1" s="1"/>
  <c r="AP296" i="1"/>
  <c r="AX296" i="1" s="1"/>
  <c r="BD296" i="1"/>
  <c r="BF296" i="1"/>
  <c r="BH296" i="1"/>
  <c r="AD296" i="1" s="1"/>
  <c r="BI296" i="1"/>
  <c r="AE296" i="1" s="1"/>
  <c r="BJ296" i="1"/>
  <c r="K297" i="1"/>
  <c r="Z297" i="1"/>
  <c r="AB297" i="1"/>
  <c r="AC297" i="1"/>
  <c r="AF297" i="1"/>
  <c r="AG297" i="1"/>
  <c r="AH297" i="1"/>
  <c r="AJ297" i="1"/>
  <c r="AK297" i="1"/>
  <c r="AL297" i="1"/>
  <c r="AO297" i="1"/>
  <c r="AP297" i="1"/>
  <c r="AX297" i="1" s="1"/>
  <c r="AV297" i="1" s="1"/>
  <c r="AW297" i="1"/>
  <c r="BC297" i="1" s="1"/>
  <c r="BD297" i="1"/>
  <c r="BF297" i="1"/>
  <c r="BH297" i="1"/>
  <c r="AD297" i="1" s="1"/>
  <c r="BI297" i="1"/>
  <c r="AE297" i="1" s="1"/>
  <c r="BJ297" i="1"/>
  <c r="K298" i="1"/>
  <c r="Z298" i="1"/>
  <c r="AB298" i="1"/>
  <c r="AC298" i="1"/>
  <c r="AF298" i="1"/>
  <c r="AG298" i="1"/>
  <c r="AH298" i="1"/>
  <c r="AJ298" i="1"/>
  <c r="AK298" i="1"/>
  <c r="AL298" i="1"/>
  <c r="AO298" i="1"/>
  <c r="AP298" i="1"/>
  <c r="AW298" i="1"/>
  <c r="AV298" i="1" s="1"/>
  <c r="AX298" i="1"/>
  <c r="BD298" i="1"/>
  <c r="BF298" i="1"/>
  <c r="BH298" i="1"/>
  <c r="AD298" i="1" s="1"/>
  <c r="BI298" i="1"/>
  <c r="AE298" i="1" s="1"/>
  <c r="BJ298" i="1"/>
  <c r="K299" i="1"/>
  <c r="AL299" i="1" s="1"/>
  <c r="Z299" i="1"/>
  <c r="AB299" i="1"/>
  <c r="AC299" i="1"/>
  <c r="AF299" i="1"/>
  <c r="AG299" i="1"/>
  <c r="AH299" i="1"/>
  <c r="AJ299" i="1"/>
  <c r="AK299" i="1"/>
  <c r="AO299" i="1"/>
  <c r="AW299" i="1" s="1"/>
  <c r="AP299" i="1"/>
  <c r="AX299" i="1"/>
  <c r="BD299" i="1"/>
  <c r="BF299" i="1"/>
  <c r="BH299" i="1"/>
  <c r="AD299" i="1" s="1"/>
  <c r="BI299" i="1"/>
  <c r="AE299" i="1" s="1"/>
  <c r="BJ299" i="1"/>
  <c r="K300" i="1"/>
  <c r="Z300" i="1"/>
  <c r="AB300" i="1"/>
  <c r="AC300" i="1"/>
  <c r="AF300" i="1"/>
  <c r="AG300" i="1"/>
  <c r="AH300" i="1"/>
  <c r="AJ300" i="1"/>
  <c r="AK300" i="1"/>
  <c r="AL300" i="1"/>
  <c r="AO300" i="1"/>
  <c r="AW300" i="1" s="1"/>
  <c r="AP300" i="1"/>
  <c r="AX300" i="1" s="1"/>
  <c r="BD300" i="1"/>
  <c r="BF300" i="1"/>
  <c r="BH300" i="1"/>
  <c r="AD300" i="1" s="1"/>
  <c r="BI300" i="1"/>
  <c r="AE300" i="1" s="1"/>
  <c r="BJ300" i="1"/>
  <c r="K301" i="1"/>
  <c r="Z301" i="1"/>
  <c r="AB301" i="1"/>
  <c r="AC301" i="1"/>
  <c r="AF301" i="1"/>
  <c r="AG301" i="1"/>
  <c r="AH301" i="1"/>
  <c r="AJ301" i="1"/>
  <c r="AK301" i="1"/>
  <c r="AL301" i="1"/>
  <c r="AO301" i="1"/>
  <c r="AP301" i="1"/>
  <c r="AX301" i="1" s="1"/>
  <c r="AV301" i="1" s="1"/>
  <c r="AW301" i="1"/>
  <c r="BD301" i="1"/>
  <c r="BF301" i="1"/>
  <c r="BH301" i="1"/>
  <c r="AD301" i="1" s="1"/>
  <c r="BI301" i="1"/>
  <c r="AE301" i="1" s="1"/>
  <c r="BJ301" i="1"/>
  <c r="K302" i="1"/>
  <c r="Z302" i="1"/>
  <c r="AB302" i="1"/>
  <c r="AC302" i="1"/>
  <c r="AF302" i="1"/>
  <c r="AG302" i="1"/>
  <c r="AH302" i="1"/>
  <c r="AJ302" i="1"/>
  <c r="AK302" i="1"/>
  <c r="AL302" i="1"/>
  <c r="AO302" i="1"/>
  <c r="AP302" i="1"/>
  <c r="AW302" i="1"/>
  <c r="AV302" i="1" s="1"/>
  <c r="AX302" i="1"/>
  <c r="BD302" i="1"/>
  <c r="BF302" i="1"/>
  <c r="BH302" i="1"/>
  <c r="AD302" i="1" s="1"/>
  <c r="BI302" i="1"/>
  <c r="AE302" i="1" s="1"/>
  <c r="BJ302" i="1"/>
  <c r="K303" i="1"/>
  <c r="AL303" i="1" s="1"/>
  <c r="Z303" i="1"/>
  <c r="AB303" i="1"/>
  <c r="AC303" i="1"/>
  <c r="AF303" i="1"/>
  <c r="AG303" i="1"/>
  <c r="AH303" i="1"/>
  <c r="AJ303" i="1"/>
  <c r="AK303" i="1"/>
  <c r="AO303" i="1"/>
  <c r="AW303" i="1" s="1"/>
  <c r="AP303" i="1"/>
  <c r="AX303" i="1"/>
  <c r="BD303" i="1"/>
  <c r="BF303" i="1"/>
  <c r="BH303" i="1"/>
  <c r="AD303" i="1" s="1"/>
  <c r="BI303" i="1"/>
  <c r="AE303" i="1" s="1"/>
  <c r="BJ303" i="1"/>
  <c r="K304" i="1"/>
  <c r="Z304" i="1"/>
  <c r="AB304" i="1"/>
  <c r="AC304" i="1"/>
  <c r="AF304" i="1"/>
  <c r="AG304" i="1"/>
  <c r="AH304" i="1"/>
  <c r="AJ304" i="1"/>
  <c r="AK304" i="1"/>
  <c r="AL304" i="1"/>
  <c r="AO304" i="1"/>
  <c r="AW304" i="1" s="1"/>
  <c r="AP304" i="1"/>
  <c r="AX304" i="1" s="1"/>
  <c r="BD304" i="1"/>
  <c r="BF304" i="1"/>
  <c r="BH304" i="1"/>
  <c r="AD304" i="1" s="1"/>
  <c r="BI304" i="1"/>
  <c r="AE304" i="1" s="1"/>
  <c r="BJ304" i="1"/>
  <c r="K305" i="1"/>
  <c r="Z305" i="1"/>
  <c r="AB305" i="1"/>
  <c r="AC305" i="1"/>
  <c r="AF305" i="1"/>
  <c r="AG305" i="1"/>
  <c r="AH305" i="1"/>
  <c r="AJ305" i="1"/>
  <c r="AK305" i="1"/>
  <c r="AL305" i="1"/>
  <c r="AO305" i="1"/>
  <c r="AP305" i="1"/>
  <c r="AX305" i="1" s="1"/>
  <c r="AV305" i="1" s="1"/>
  <c r="AW305" i="1"/>
  <c r="BC305" i="1" s="1"/>
  <c r="BD305" i="1"/>
  <c r="BF305" i="1"/>
  <c r="BH305" i="1"/>
  <c r="AD305" i="1" s="1"/>
  <c r="BI305" i="1"/>
  <c r="AE305" i="1" s="1"/>
  <c r="BJ305" i="1"/>
  <c r="K306" i="1"/>
  <c r="Z306" i="1"/>
  <c r="AB306" i="1"/>
  <c r="AC306" i="1"/>
  <c r="AF306" i="1"/>
  <c r="AG306" i="1"/>
  <c r="AH306" i="1"/>
  <c r="AJ306" i="1"/>
  <c r="AK306" i="1"/>
  <c r="AL306" i="1"/>
  <c r="AO306" i="1"/>
  <c r="AP306" i="1"/>
  <c r="AW306" i="1"/>
  <c r="AV306" i="1" s="1"/>
  <c r="AX306" i="1"/>
  <c r="BD306" i="1"/>
  <c r="BF306" i="1"/>
  <c r="BH306" i="1"/>
  <c r="AD306" i="1" s="1"/>
  <c r="BI306" i="1"/>
  <c r="AE306" i="1" s="1"/>
  <c r="BJ306" i="1"/>
  <c r="K307" i="1"/>
  <c r="AL307" i="1" s="1"/>
  <c r="Z307" i="1"/>
  <c r="AB307" i="1"/>
  <c r="AC307" i="1"/>
  <c r="AF307" i="1"/>
  <c r="AG307" i="1"/>
  <c r="AH307" i="1"/>
  <c r="AJ307" i="1"/>
  <c r="AK307" i="1"/>
  <c r="AO307" i="1"/>
  <c r="AW307" i="1" s="1"/>
  <c r="AP307" i="1"/>
  <c r="AX307" i="1"/>
  <c r="BD307" i="1"/>
  <c r="BF307" i="1"/>
  <c r="BH307" i="1"/>
  <c r="AD307" i="1" s="1"/>
  <c r="BI307" i="1"/>
  <c r="AE307" i="1" s="1"/>
  <c r="BJ307" i="1"/>
  <c r="K308" i="1"/>
  <c r="AB308" i="1"/>
  <c r="AC308" i="1"/>
  <c r="AD308" i="1"/>
  <c r="AE308" i="1"/>
  <c r="AF308" i="1"/>
  <c r="AG308" i="1"/>
  <c r="AH308" i="1"/>
  <c r="AJ308" i="1"/>
  <c r="AK308" i="1"/>
  <c r="AL308" i="1"/>
  <c r="AO308" i="1"/>
  <c r="AP308" i="1"/>
  <c r="AX308" i="1" s="1"/>
  <c r="AW308" i="1"/>
  <c r="BD308" i="1"/>
  <c r="BF308" i="1"/>
  <c r="BH308" i="1"/>
  <c r="BI308" i="1"/>
  <c r="BJ308" i="1"/>
  <c r="Z308" i="1" s="1"/>
  <c r="K310" i="1"/>
  <c r="K309" i="1" s="1"/>
  <c r="Z310" i="1"/>
  <c r="AB310" i="1"/>
  <c r="AC310" i="1"/>
  <c r="AF310" i="1"/>
  <c r="AG310" i="1"/>
  <c r="AH310" i="1"/>
  <c r="AJ310" i="1"/>
  <c r="AS309" i="1" s="1"/>
  <c r="AK310" i="1"/>
  <c r="AT309" i="1" s="1"/>
  <c r="AL310" i="1"/>
  <c r="AO310" i="1"/>
  <c r="AP310" i="1"/>
  <c r="AX310" i="1" s="1"/>
  <c r="AW310" i="1"/>
  <c r="BD310" i="1"/>
  <c r="BF310" i="1"/>
  <c r="BH310" i="1"/>
  <c r="AD310" i="1" s="1"/>
  <c r="BI310" i="1"/>
  <c r="AE310" i="1" s="1"/>
  <c r="BJ310" i="1"/>
  <c r="K311" i="1"/>
  <c r="Z311" i="1"/>
  <c r="AB311" i="1"/>
  <c r="AC311" i="1"/>
  <c r="AF311" i="1"/>
  <c r="AG311" i="1"/>
  <c r="AH311" i="1"/>
  <c r="AJ311" i="1"/>
  <c r="AK311" i="1"/>
  <c r="AL311" i="1"/>
  <c r="AO311" i="1"/>
  <c r="AP311" i="1"/>
  <c r="AW311" i="1"/>
  <c r="AV311" i="1" s="1"/>
  <c r="AX311" i="1"/>
  <c r="BD311" i="1"/>
  <c r="BF311" i="1"/>
  <c r="BH311" i="1"/>
  <c r="AD311" i="1" s="1"/>
  <c r="BI311" i="1"/>
  <c r="AE311" i="1" s="1"/>
  <c r="BJ311" i="1"/>
  <c r="K312" i="1"/>
  <c r="AL312" i="1" s="1"/>
  <c r="Z312" i="1"/>
  <c r="AB312" i="1"/>
  <c r="AC312" i="1"/>
  <c r="AF312" i="1"/>
  <c r="AG312" i="1"/>
  <c r="AH312" i="1"/>
  <c r="AJ312" i="1"/>
  <c r="AK312" i="1"/>
  <c r="AO312" i="1"/>
  <c r="AW312" i="1" s="1"/>
  <c r="AP312" i="1"/>
  <c r="AX312" i="1"/>
  <c r="BD312" i="1"/>
  <c r="BF312" i="1"/>
  <c r="BH312" i="1"/>
  <c r="AD312" i="1" s="1"/>
  <c r="BI312" i="1"/>
  <c r="AE312" i="1" s="1"/>
  <c r="BJ312" i="1"/>
  <c r="K313" i="1"/>
  <c r="Z313" i="1"/>
  <c r="AB313" i="1"/>
  <c r="AC313" i="1"/>
  <c r="AF313" i="1"/>
  <c r="AG313" i="1"/>
  <c r="AH313" i="1"/>
  <c r="AJ313" i="1"/>
  <c r="AK313" i="1"/>
  <c r="AL313" i="1"/>
  <c r="AO313" i="1"/>
  <c r="AW313" i="1" s="1"/>
  <c r="AP313" i="1"/>
  <c r="AX313" i="1" s="1"/>
  <c r="BD313" i="1"/>
  <c r="BF313" i="1"/>
  <c r="BH313" i="1"/>
  <c r="AD313" i="1" s="1"/>
  <c r="BI313" i="1"/>
  <c r="AE313" i="1" s="1"/>
  <c r="BJ313" i="1"/>
  <c r="K314" i="1"/>
  <c r="Z314" i="1"/>
  <c r="AB314" i="1"/>
  <c r="AC314" i="1"/>
  <c r="AF314" i="1"/>
  <c r="AG314" i="1"/>
  <c r="AH314" i="1"/>
  <c r="AJ314" i="1"/>
  <c r="AK314" i="1"/>
  <c r="AL314" i="1"/>
  <c r="AO314" i="1"/>
  <c r="AP314" i="1"/>
  <c r="AX314" i="1" s="1"/>
  <c r="AW314" i="1"/>
  <c r="BC314" i="1" s="1"/>
  <c r="BD314" i="1"/>
  <c r="BF314" i="1"/>
  <c r="BH314" i="1"/>
  <c r="AD314" i="1" s="1"/>
  <c r="BI314" i="1"/>
  <c r="AE314" i="1" s="1"/>
  <c r="BJ314" i="1"/>
  <c r="K315" i="1"/>
  <c r="Z315" i="1"/>
  <c r="AB315" i="1"/>
  <c r="AC315" i="1"/>
  <c r="AF315" i="1"/>
  <c r="AG315" i="1"/>
  <c r="AH315" i="1"/>
  <c r="AJ315" i="1"/>
  <c r="AK315" i="1"/>
  <c r="AL315" i="1"/>
  <c r="AO315" i="1"/>
  <c r="AP315" i="1"/>
  <c r="AW315" i="1"/>
  <c r="AV315" i="1" s="1"/>
  <c r="AX315" i="1"/>
  <c r="BD315" i="1"/>
  <c r="BF315" i="1"/>
  <c r="BH315" i="1"/>
  <c r="AD315" i="1" s="1"/>
  <c r="BI315" i="1"/>
  <c r="AE315" i="1" s="1"/>
  <c r="BJ315" i="1"/>
  <c r="K316" i="1"/>
  <c r="AL316" i="1" s="1"/>
  <c r="Z316" i="1"/>
  <c r="AB316" i="1"/>
  <c r="AC316" i="1"/>
  <c r="AF316" i="1"/>
  <c r="AG316" i="1"/>
  <c r="AH316" i="1"/>
  <c r="AJ316" i="1"/>
  <c r="AK316" i="1"/>
  <c r="AO316" i="1"/>
  <c r="AW316" i="1" s="1"/>
  <c r="AP316" i="1"/>
  <c r="AX316" i="1"/>
  <c r="BD316" i="1"/>
  <c r="BF316" i="1"/>
  <c r="BH316" i="1"/>
  <c r="AD316" i="1" s="1"/>
  <c r="BI316" i="1"/>
  <c r="AE316" i="1" s="1"/>
  <c r="BJ316" i="1"/>
  <c r="K317" i="1"/>
  <c r="Z317" i="1"/>
  <c r="AB317" i="1"/>
  <c r="AC317" i="1"/>
  <c r="AF317" i="1"/>
  <c r="AG317" i="1"/>
  <c r="AH317" i="1"/>
  <c r="AJ317" i="1"/>
  <c r="AK317" i="1"/>
  <c r="AL317" i="1"/>
  <c r="AO317" i="1"/>
  <c r="AW317" i="1" s="1"/>
  <c r="AP317" i="1"/>
  <c r="AX317" i="1" s="1"/>
  <c r="BD317" i="1"/>
  <c r="BF317" i="1"/>
  <c r="BH317" i="1"/>
  <c r="AD317" i="1" s="1"/>
  <c r="BI317" i="1"/>
  <c r="AE317" i="1" s="1"/>
  <c r="BJ317" i="1"/>
  <c r="K318" i="1"/>
  <c r="AB318" i="1"/>
  <c r="AC318" i="1"/>
  <c r="AD318" i="1"/>
  <c r="AE318" i="1"/>
  <c r="AF318" i="1"/>
  <c r="AG318" i="1"/>
  <c r="AH318" i="1"/>
  <c r="AJ318" i="1"/>
  <c r="AK318" i="1"/>
  <c r="AL318" i="1"/>
  <c r="AO318" i="1"/>
  <c r="AP318" i="1"/>
  <c r="AX318" i="1" s="1"/>
  <c r="AW318" i="1"/>
  <c r="BC318" i="1" s="1"/>
  <c r="BD318" i="1"/>
  <c r="BF318" i="1"/>
  <c r="BH318" i="1"/>
  <c r="BI318" i="1"/>
  <c r="BJ318" i="1"/>
  <c r="Z318" i="1" s="1"/>
  <c r="K320" i="1"/>
  <c r="K319" i="1" s="1"/>
  <c r="Z320" i="1"/>
  <c r="AB320" i="1"/>
  <c r="AC320" i="1"/>
  <c r="AF320" i="1"/>
  <c r="AG320" i="1"/>
  <c r="AH320" i="1"/>
  <c r="AJ320" i="1"/>
  <c r="AS319" i="1" s="1"/>
  <c r="AK320" i="1"/>
  <c r="AT319" i="1" s="1"/>
  <c r="AL320" i="1"/>
  <c r="AO320" i="1"/>
  <c r="AP320" i="1"/>
  <c r="AW320" i="1"/>
  <c r="AV320" i="1" s="1"/>
  <c r="AX320" i="1"/>
  <c r="BD320" i="1"/>
  <c r="BF320" i="1"/>
  <c r="BH320" i="1"/>
  <c r="AD320" i="1" s="1"/>
  <c r="BI320" i="1"/>
  <c r="AE320" i="1" s="1"/>
  <c r="BJ320" i="1"/>
  <c r="K321" i="1"/>
  <c r="AL321" i="1" s="1"/>
  <c r="Z321" i="1"/>
  <c r="AB321" i="1"/>
  <c r="AC321" i="1"/>
  <c r="AF321" i="1"/>
  <c r="AG321" i="1"/>
  <c r="AH321" i="1"/>
  <c r="AJ321" i="1"/>
  <c r="AK321" i="1"/>
  <c r="AO321" i="1"/>
  <c r="AW321" i="1" s="1"/>
  <c r="AP321" i="1"/>
  <c r="AX321" i="1" s="1"/>
  <c r="BD321" i="1"/>
  <c r="BF321" i="1"/>
  <c r="BH321" i="1"/>
  <c r="AD321" i="1" s="1"/>
  <c r="BI321" i="1"/>
  <c r="AE321" i="1" s="1"/>
  <c r="BJ321" i="1"/>
  <c r="K322" i="1"/>
  <c r="Z322" i="1"/>
  <c r="AB322" i="1"/>
  <c r="AC322" i="1"/>
  <c r="AF322" i="1"/>
  <c r="AG322" i="1"/>
  <c r="AH322" i="1"/>
  <c r="AJ322" i="1"/>
  <c r="AK322" i="1"/>
  <c r="AL322" i="1"/>
  <c r="AO322" i="1"/>
  <c r="AW322" i="1" s="1"/>
  <c r="AP322" i="1"/>
  <c r="AX322" i="1" s="1"/>
  <c r="BD322" i="1"/>
  <c r="BF322" i="1"/>
  <c r="BH322" i="1"/>
  <c r="AD322" i="1" s="1"/>
  <c r="BI322" i="1"/>
  <c r="AE322" i="1" s="1"/>
  <c r="BJ322" i="1"/>
  <c r="K323" i="1"/>
  <c r="Z323" i="1"/>
  <c r="AB323" i="1"/>
  <c r="AC323" i="1"/>
  <c r="AF323" i="1"/>
  <c r="AG323" i="1"/>
  <c r="AH323" i="1"/>
  <c r="AJ323" i="1"/>
  <c r="AK323" i="1"/>
  <c r="AL323" i="1"/>
  <c r="AO323" i="1"/>
  <c r="AP323" i="1"/>
  <c r="AX323" i="1" s="1"/>
  <c r="AW323" i="1"/>
  <c r="BC323" i="1" s="1"/>
  <c r="BD323" i="1"/>
  <c r="BF323" i="1"/>
  <c r="BH323" i="1"/>
  <c r="AD323" i="1" s="1"/>
  <c r="BI323" i="1"/>
  <c r="AE323" i="1" s="1"/>
  <c r="BJ323" i="1"/>
  <c r="K324" i="1"/>
  <c r="Z324" i="1"/>
  <c r="AB324" i="1"/>
  <c r="AC324" i="1"/>
  <c r="AF324" i="1"/>
  <c r="AG324" i="1"/>
  <c r="AH324" i="1"/>
  <c r="AJ324" i="1"/>
  <c r="AK324" i="1"/>
  <c r="AL324" i="1"/>
  <c r="AO324" i="1"/>
  <c r="AP324" i="1"/>
  <c r="AW324" i="1"/>
  <c r="AV324" i="1" s="1"/>
  <c r="AX324" i="1"/>
  <c r="BD324" i="1"/>
  <c r="BF324" i="1"/>
  <c r="BH324" i="1"/>
  <c r="AD324" i="1" s="1"/>
  <c r="BI324" i="1"/>
  <c r="AE324" i="1" s="1"/>
  <c r="BJ324" i="1"/>
  <c r="K325" i="1"/>
  <c r="AL325" i="1" s="1"/>
  <c r="Z325" i="1"/>
  <c r="AB325" i="1"/>
  <c r="AC325" i="1"/>
  <c r="AF325" i="1"/>
  <c r="AG325" i="1"/>
  <c r="AH325" i="1"/>
  <c r="AJ325" i="1"/>
  <c r="AK325" i="1"/>
  <c r="AO325" i="1"/>
  <c r="AW325" i="1" s="1"/>
  <c r="AP325" i="1"/>
  <c r="AX325" i="1"/>
  <c r="BD325" i="1"/>
  <c r="BF325" i="1"/>
  <c r="BH325" i="1"/>
  <c r="AD325" i="1" s="1"/>
  <c r="BI325" i="1"/>
  <c r="AE325" i="1" s="1"/>
  <c r="BJ325" i="1"/>
  <c r="K326" i="1"/>
  <c r="Z326" i="1"/>
  <c r="AB326" i="1"/>
  <c r="AC326" i="1"/>
  <c r="AF326" i="1"/>
  <c r="AG326" i="1"/>
  <c r="AH326" i="1"/>
  <c r="AJ326" i="1"/>
  <c r="AK326" i="1"/>
  <c r="AL326" i="1"/>
  <c r="AO326" i="1"/>
  <c r="AP326" i="1"/>
  <c r="AX326" i="1" s="1"/>
  <c r="AW326" i="1"/>
  <c r="BD326" i="1"/>
  <c r="BF326" i="1"/>
  <c r="BH326" i="1"/>
  <c r="AD326" i="1" s="1"/>
  <c r="BI326" i="1"/>
  <c r="AE326" i="1" s="1"/>
  <c r="BJ326" i="1"/>
  <c r="K327" i="1"/>
  <c r="Z327" i="1"/>
  <c r="AB327" i="1"/>
  <c r="AC327" i="1"/>
  <c r="AF327" i="1"/>
  <c r="AG327" i="1"/>
  <c r="AH327" i="1"/>
  <c r="AJ327" i="1"/>
  <c r="AK327" i="1"/>
  <c r="AL327" i="1"/>
  <c r="AO327" i="1"/>
  <c r="AP327" i="1"/>
  <c r="AV327" i="1"/>
  <c r="AW327" i="1"/>
  <c r="BC327" i="1" s="1"/>
  <c r="AX327" i="1"/>
  <c r="BD327" i="1"/>
  <c r="BF327" i="1"/>
  <c r="BH327" i="1"/>
  <c r="AD327" i="1" s="1"/>
  <c r="BI327" i="1"/>
  <c r="AE327" i="1" s="1"/>
  <c r="BJ327" i="1"/>
  <c r="K328" i="1"/>
  <c r="Z328" i="1"/>
  <c r="AB328" i="1"/>
  <c r="AC328" i="1"/>
  <c r="AF328" i="1"/>
  <c r="AG328" i="1"/>
  <c r="AH328" i="1"/>
  <c r="AJ328" i="1"/>
  <c r="AK328" i="1"/>
  <c r="AL328" i="1"/>
  <c r="AO328" i="1"/>
  <c r="AP328" i="1"/>
  <c r="AW328" i="1"/>
  <c r="AV328" i="1" s="1"/>
  <c r="AX328" i="1"/>
  <c r="BD328" i="1"/>
  <c r="BF328" i="1"/>
  <c r="BH328" i="1"/>
  <c r="AD328" i="1" s="1"/>
  <c r="BI328" i="1"/>
  <c r="AE328" i="1" s="1"/>
  <c r="BJ328" i="1"/>
  <c r="K329" i="1"/>
  <c r="AL329" i="1" s="1"/>
  <c r="Z329" i="1"/>
  <c r="AB329" i="1"/>
  <c r="AC329" i="1"/>
  <c r="AF329" i="1"/>
  <c r="AG329" i="1"/>
  <c r="AH329" i="1"/>
  <c r="AJ329" i="1"/>
  <c r="AK329" i="1"/>
  <c r="AO329" i="1"/>
  <c r="AW329" i="1" s="1"/>
  <c r="AP329" i="1"/>
  <c r="AX329" i="1"/>
  <c r="BD329" i="1"/>
  <c r="BF329" i="1"/>
  <c r="BH329" i="1"/>
  <c r="AD329" i="1" s="1"/>
  <c r="BI329" i="1"/>
  <c r="AE329" i="1" s="1"/>
  <c r="BJ329" i="1"/>
  <c r="K330" i="1"/>
  <c r="Z330" i="1"/>
  <c r="AB330" i="1"/>
  <c r="AC330" i="1"/>
  <c r="AF330" i="1"/>
  <c r="AG330" i="1"/>
  <c r="AH330" i="1"/>
  <c r="AJ330" i="1"/>
  <c r="AK330" i="1"/>
  <c r="AL330" i="1"/>
  <c r="AO330" i="1"/>
  <c r="AP330" i="1"/>
  <c r="AX330" i="1" s="1"/>
  <c r="AW330" i="1"/>
  <c r="BD330" i="1"/>
  <c r="BF330" i="1"/>
  <c r="BH330" i="1"/>
  <c r="AD330" i="1" s="1"/>
  <c r="BI330" i="1"/>
  <c r="AE330" i="1" s="1"/>
  <c r="BJ330" i="1"/>
  <c r="K331" i="1"/>
  <c r="Z331" i="1"/>
  <c r="AB331" i="1"/>
  <c r="AC331" i="1"/>
  <c r="AF331" i="1"/>
  <c r="AG331" i="1"/>
  <c r="AH331" i="1"/>
  <c r="AJ331" i="1"/>
  <c r="AK331" i="1"/>
  <c r="AL331" i="1"/>
  <c r="AO331" i="1"/>
  <c r="AP331" i="1"/>
  <c r="AV331" i="1"/>
  <c r="AW331" i="1"/>
  <c r="BC331" i="1" s="1"/>
  <c r="AX331" i="1"/>
  <c r="BD331" i="1"/>
  <c r="BF331" i="1"/>
  <c r="BH331" i="1"/>
  <c r="AD331" i="1" s="1"/>
  <c r="BI331" i="1"/>
  <c r="AE331" i="1" s="1"/>
  <c r="BJ331" i="1"/>
  <c r="K332" i="1"/>
  <c r="Z332" i="1"/>
  <c r="AB332" i="1"/>
  <c r="AC332" i="1"/>
  <c r="AF332" i="1"/>
  <c r="AG332" i="1"/>
  <c r="AH332" i="1"/>
  <c r="AJ332" i="1"/>
  <c r="AK332" i="1"/>
  <c r="AL332" i="1"/>
  <c r="AO332" i="1"/>
  <c r="AP332" i="1"/>
  <c r="AW332" i="1"/>
  <c r="AV332" i="1" s="1"/>
  <c r="AX332" i="1"/>
  <c r="BD332" i="1"/>
  <c r="BF332" i="1"/>
  <c r="BH332" i="1"/>
  <c r="AD332" i="1" s="1"/>
  <c r="BI332" i="1"/>
  <c r="AE332" i="1" s="1"/>
  <c r="BJ332" i="1"/>
  <c r="K333" i="1"/>
  <c r="AL333" i="1" s="1"/>
  <c r="Z333" i="1"/>
  <c r="AB333" i="1"/>
  <c r="AC333" i="1"/>
  <c r="AF333" i="1"/>
  <c r="AG333" i="1"/>
  <c r="AH333" i="1"/>
  <c r="AJ333" i="1"/>
  <c r="AK333" i="1"/>
  <c r="AO333" i="1"/>
  <c r="AW333" i="1" s="1"/>
  <c r="AP333" i="1"/>
  <c r="AX333" i="1"/>
  <c r="BD333" i="1"/>
  <c r="BF333" i="1"/>
  <c r="BH333" i="1"/>
  <c r="AD333" i="1" s="1"/>
  <c r="BI333" i="1"/>
  <c r="AE333" i="1" s="1"/>
  <c r="BJ333" i="1"/>
  <c r="K334" i="1"/>
  <c r="Z334" i="1"/>
  <c r="AB334" i="1"/>
  <c r="AC334" i="1"/>
  <c r="AF334" i="1"/>
  <c r="AG334" i="1"/>
  <c r="AH334" i="1"/>
  <c r="AJ334" i="1"/>
  <c r="AK334" i="1"/>
  <c r="AL334" i="1"/>
  <c r="AO334" i="1"/>
  <c r="AP334" i="1"/>
  <c r="AX334" i="1" s="1"/>
  <c r="AW334" i="1"/>
  <c r="BD334" i="1"/>
  <c r="BF334" i="1"/>
  <c r="BH334" i="1"/>
  <c r="AD334" i="1" s="1"/>
  <c r="BI334" i="1"/>
  <c r="AE334" i="1" s="1"/>
  <c r="BJ334" i="1"/>
  <c r="K335" i="1"/>
  <c r="Z335" i="1"/>
  <c r="AB335" i="1"/>
  <c r="AC335" i="1"/>
  <c r="AF335" i="1"/>
  <c r="AG335" i="1"/>
  <c r="AH335" i="1"/>
  <c r="AJ335" i="1"/>
  <c r="AK335" i="1"/>
  <c r="AL335" i="1"/>
  <c r="AO335" i="1"/>
  <c r="AP335" i="1"/>
  <c r="AV335" i="1"/>
  <c r="AW335" i="1"/>
  <c r="BC335" i="1" s="1"/>
  <c r="AX335" i="1"/>
  <c r="BD335" i="1"/>
  <c r="BF335" i="1"/>
  <c r="BH335" i="1"/>
  <c r="AD335" i="1" s="1"/>
  <c r="BI335" i="1"/>
  <c r="AE335" i="1" s="1"/>
  <c r="BJ335" i="1"/>
  <c r="K336" i="1"/>
  <c r="Z336" i="1"/>
  <c r="AB336" i="1"/>
  <c r="AC336" i="1"/>
  <c r="AF336" i="1"/>
  <c r="AG336" i="1"/>
  <c r="AH336" i="1"/>
  <c r="AJ336" i="1"/>
  <c r="AK336" i="1"/>
  <c r="AL336" i="1"/>
  <c r="AO336" i="1"/>
  <c r="AP336" i="1"/>
  <c r="AW336" i="1"/>
  <c r="AV336" i="1" s="1"/>
  <c r="AX336" i="1"/>
  <c r="BD336" i="1"/>
  <c r="BF336" i="1"/>
  <c r="BH336" i="1"/>
  <c r="AD336" i="1" s="1"/>
  <c r="BI336" i="1"/>
  <c r="AE336" i="1" s="1"/>
  <c r="BJ336" i="1"/>
  <c r="K337" i="1"/>
  <c r="AL337" i="1" s="1"/>
  <c r="Z337" i="1"/>
  <c r="AB337" i="1"/>
  <c r="AC337" i="1"/>
  <c r="AD337" i="1"/>
  <c r="AE337" i="1"/>
  <c r="AF337" i="1"/>
  <c r="AG337" i="1"/>
  <c r="AH337" i="1"/>
  <c r="AJ337" i="1"/>
  <c r="AK337" i="1"/>
  <c r="AO337" i="1"/>
  <c r="AW337" i="1" s="1"/>
  <c r="AP337" i="1"/>
  <c r="AX337" i="1"/>
  <c r="BD337" i="1"/>
  <c r="BF337" i="1"/>
  <c r="BH337" i="1"/>
  <c r="BI337" i="1"/>
  <c r="BJ337" i="1"/>
  <c r="K339" i="1"/>
  <c r="Z339" i="1"/>
  <c r="AB339" i="1"/>
  <c r="AC339" i="1"/>
  <c r="AF339" i="1"/>
  <c r="AG339" i="1"/>
  <c r="AH339" i="1"/>
  <c r="AJ339" i="1"/>
  <c r="AK339" i="1"/>
  <c r="AL339" i="1"/>
  <c r="AO339" i="1"/>
  <c r="AP339" i="1"/>
  <c r="AX339" i="1" s="1"/>
  <c r="AW339" i="1"/>
  <c r="BD339" i="1"/>
  <c r="BF339" i="1"/>
  <c r="BH339" i="1"/>
  <c r="AD339" i="1" s="1"/>
  <c r="BI339" i="1"/>
  <c r="AE339" i="1" s="1"/>
  <c r="BJ339" i="1"/>
  <c r="K340" i="1"/>
  <c r="Z340" i="1"/>
  <c r="AB340" i="1"/>
  <c r="AC340" i="1"/>
  <c r="AF340" i="1"/>
  <c r="AG340" i="1"/>
  <c r="AH340" i="1"/>
  <c r="AJ340" i="1"/>
  <c r="AK340" i="1"/>
  <c r="AL340" i="1"/>
  <c r="AO340" i="1"/>
  <c r="AP340" i="1"/>
  <c r="AV340" i="1"/>
  <c r="AW340" i="1"/>
  <c r="BC340" i="1" s="1"/>
  <c r="AX340" i="1"/>
  <c r="BD340" i="1"/>
  <c r="BF340" i="1"/>
  <c r="BH340" i="1"/>
  <c r="AD340" i="1" s="1"/>
  <c r="BI340" i="1"/>
  <c r="AE340" i="1" s="1"/>
  <c r="BJ340" i="1"/>
  <c r="K341" i="1"/>
  <c r="Z341" i="1"/>
  <c r="AB341" i="1"/>
  <c r="AC341" i="1"/>
  <c r="AF341" i="1"/>
  <c r="AG341" i="1"/>
  <c r="AH341" i="1"/>
  <c r="AJ341" i="1"/>
  <c r="AK341" i="1"/>
  <c r="AL341" i="1"/>
  <c r="AO341" i="1"/>
  <c r="AP341" i="1"/>
  <c r="AW341" i="1"/>
  <c r="AV341" i="1" s="1"/>
  <c r="AX341" i="1"/>
  <c r="BD341" i="1"/>
  <c r="BF341" i="1"/>
  <c r="BH341" i="1"/>
  <c r="AD341" i="1" s="1"/>
  <c r="BI341" i="1"/>
  <c r="AE341" i="1" s="1"/>
  <c r="BJ341" i="1"/>
  <c r="K342" i="1"/>
  <c r="AL342" i="1" s="1"/>
  <c r="Z342" i="1"/>
  <c r="AB342" i="1"/>
  <c r="AC342" i="1"/>
  <c r="AF342" i="1"/>
  <c r="AG342" i="1"/>
  <c r="AH342" i="1"/>
  <c r="AJ342" i="1"/>
  <c r="AK342" i="1"/>
  <c r="AO342" i="1"/>
  <c r="AW342" i="1" s="1"/>
  <c r="AP342" i="1"/>
  <c r="AX342" i="1"/>
  <c r="BD342" i="1"/>
  <c r="BF342" i="1"/>
  <c r="BH342" i="1"/>
  <c r="AD342" i="1" s="1"/>
  <c r="BI342" i="1"/>
  <c r="AE342" i="1" s="1"/>
  <c r="BJ342" i="1"/>
  <c r="K343" i="1"/>
  <c r="Z343" i="1"/>
  <c r="AB343" i="1"/>
  <c r="AC343" i="1"/>
  <c r="AF343" i="1"/>
  <c r="AG343" i="1"/>
  <c r="AH343" i="1"/>
  <c r="AJ343" i="1"/>
  <c r="AK343" i="1"/>
  <c r="AL343" i="1"/>
  <c r="AO343" i="1"/>
  <c r="AP343" i="1"/>
  <c r="AX343" i="1" s="1"/>
  <c r="AW343" i="1"/>
  <c r="BD343" i="1"/>
  <c r="BF343" i="1"/>
  <c r="BH343" i="1"/>
  <c r="AD343" i="1" s="1"/>
  <c r="BI343" i="1"/>
  <c r="AE343" i="1" s="1"/>
  <c r="BJ343" i="1"/>
  <c r="K344" i="1"/>
  <c r="Z344" i="1"/>
  <c r="AB344" i="1"/>
  <c r="AC344" i="1"/>
  <c r="AF344" i="1"/>
  <c r="AG344" i="1"/>
  <c r="AH344" i="1"/>
  <c r="AJ344" i="1"/>
  <c r="AK344" i="1"/>
  <c r="AL344" i="1"/>
  <c r="AO344" i="1"/>
  <c r="AP344" i="1"/>
  <c r="AW344" i="1"/>
  <c r="BC344" i="1" s="1"/>
  <c r="AX344" i="1"/>
  <c r="BD344" i="1"/>
  <c r="BF344" i="1"/>
  <c r="BH344" i="1"/>
  <c r="AD344" i="1" s="1"/>
  <c r="BI344" i="1"/>
  <c r="AE344" i="1" s="1"/>
  <c r="BJ344" i="1"/>
  <c r="K345" i="1"/>
  <c r="Z345" i="1"/>
  <c r="AB345" i="1"/>
  <c r="AC345" i="1"/>
  <c r="AF345" i="1"/>
  <c r="AG345" i="1"/>
  <c r="AH345" i="1"/>
  <c r="AJ345" i="1"/>
  <c r="AK345" i="1"/>
  <c r="AL345" i="1"/>
  <c r="AO345" i="1"/>
  <c r="AP345" i="1"/>
  <c r="AW345" i="1"/>
  <c r="AV345" i="1" s="1"/>
  <c r="AX345" i="1"/>
  <c r="BD345" i="1"/>
  <c r="BF345" i="1"/>
  <c r="BH345" i="1"/>
  <c r="AD345" i="1" s="1"/>
  <c r="BI345" i="1"/>
  <c r="AE345" i="1" s="1"/>
  <c r="BJ345" i="1"/>
  <c r="K346" i="1"/>
  <c r="AL346" i="1" s="1"/>
  <c r="Z346" i="1"/>
  <c r="AB346" i="1"/>
  <c r="AC346" i="1"/>
  <c r="AF346" i="1"/>
  <c r="AG346" i="1"/>
  <c r="AH346" i="1"/>
  <c r="AJ346" i="1"/>
  <c r="AK346" i="1"/>
  <c r="AO346" i="1"/>
  <c r="AW346" i="1" s="1"/>
  <c r="AP346" i="1"/>
  <c r="AX346" i="1"/>
  <c r="BD346" i="1"/>
  <c r="BF346" i="1"/>
  <c r="BH346" i="1"/>
  <c r="AD346" i="1" s="1"/>
  <c r="BI346" i="1"/>
  <c r="AE346" i="1" s="1"/>
  <c r="BJ346" i="1"/>
  <c r="K347" i="1"/>
  <c r="Z347" i="1"/>
  <c r="AB347" i="1"/>
  <c r="AC347" i="1"/>
  <c r="AF347" i="1"/>
  <c r="AG347" i="1"/>
  <c r="AH347" i="1"/>
  <c r="AJ347" i="1"/>
  <c r="AK347" i="1"/>
  <c r="AL347" i="1"/>
  <c r="AO347" i="1"/>
  <c r="AP347" i="1"/>
  <c r="AX347" i="1" s="1"/>
  <c r="AW347" i="1"/>
  <c r="BD347" i="1"/>
  <c r="BF347" i="1"/>
  <c r="BH347" i="1"/>
  <c r="AD347" i="1" s="1"/>
  <c r="BI347" i="1"/>
  <c r="AE347" i="1" s="1"/>
  <c r="BJ347" i="1"/>
  <c r="K348" i="1"/>
  <c r="Z348" i="1"/>
  <c r="AB348" i="1"/>
  <c r="AC348" i="1"/>
  <c r="AF348" i="1"/>
  <c r="AG348" i="1"/>
  <c r="AH348" i="1"/>
  <c r="AJ348" i="1"/>
  <c r="AK348" i="1"/>
  <c r="AL348" i="1"/>
  <c r="AO348" i="1"/>
  <c r="AP348" i="1"/>
  <c r="AV348" i="1"/>
  <c r="AW348" i="1"/>
  <c r="BC348" i="1" s="1"/>
  <c r="AX348" i="1"/>
  <c r="BD348" i="1"/>
  <c r="BF348" i="1"/>
  <c r="BH348" i="1"/>
  <c r="AD348" i="1" s="1"/>
  <c r="BI348" i="1"/>
  <c r="AE348" i="1" s="1"/>
  <c r="BJ348" i="1"/>
  <c r="K349" i="1"/>
  <c r="Z349" i="1"/>
  <c r="AB349" i="1"/>
  <c r="AC349" i="1"/>
  <c r="AF349" i="1"/>
  <c r="AG349" i="1"/>
  <c r="AH349" i="1"/>
  <c r="AJ349" i="1"/>
  <c r="AK349" i="1"/>
  <c r="AL349" i="1"/>
  <c r="AO349" i="1"/>
  <c r="AP349" i="1"/>
  <c r="AW349" i="1"/>
  <c r="AV349" i="1" s="1"/>
  <c r="AX349" i="1"/>
  <c r="BD349" i="1"/>
  <c r="BF349" i="1"/>
  <c r="BH349" i="1"/>
  <c r="AD349" i="1" s="1"/>
  <c r="BI349" i="1"/>
  <c r="AE349" i="1" s="1"/>
  <c r="BJ349" i="1"/>
  <c r="K350" i="1"/>
  <c r="AL350" i="1" s="1"/>
  <c r="Z350" i="1"/>
  <c r="AB350" i="1"/>
  <c r="AC350" i="1"/>
  <c r="AF350" i="1"/>
  <c r="AG350" i="1"/>
  <c r="AH350" i="1"/>
  <c r="AJ350" i="1"/>
  <c r="AK350" i="1"/>
  <c r="AO350" i="1"/>
  <c r="AW350" i="1" s="1"/>
  <c r="AP350" i="1"/>
  <c r="AX350" i="1"/>
  <c r="BD350" i="1"/>
  <c r="BF350" i="1"/>
  <c r="BH350" i="1"/>
  <c r="AD350" i="1" s="1"/>
  <c r="BI350" i="1"/>
  <c r="AE350" i="1" s="1"/>
  <c r="BJ350" i="1"/>
  <c r="K351" i="1"/>
  <c r="Z351" i="1"/>
  <c r="AB351" i="1"/>
  <c r="AC351" i="1"/>
  <c r="AF351" i="1"/>
  <c r="AG351" i="1"/>
  <c r="AH351" i="1"/>
  <c r="AJ351" i="1"/>
  <c r="AK351" i="1"/>
  <c r="AL351" i="1"/>
  <c r="AO351" i="1"/>
  <c r="AP351" i="1"/>
  <c r="AX351" i="1" s="1"/>
  <c r="AW351" i="1"/>
  <c r="BD351" i="1"/>
  <c r="BF351" i="1"/>
  <c r="BH351" i="1"/>
  <c r="AD351" i="1" s="1"/>
  <c r="BI351" i="1"/>
  <c r="AE351" i="1" s="1"/>
  <c r="BJ351" i="1"/>
  <c r="K352" i="1"/>
  <c r="Z352" i="1"/>
  <c r="AB352" i="1"/>
  <c r="AC352" i="1"/>
  <c r="AF352" i="1"/>
  <c r="AG352" i="1"/>
  <c r="AH352" i="1"/>
  <c r="AJ352" i="1"/>
  <c r="AK352" i="1"/>
  <c r="AL352" i="1"/>
  <c r="AO352" i="1"/>
  <c r="AP352" i="1"/>
  <c r="AV352" i="1"/>
  <c r="AW352" i="1"/>
  <c r="BC352" i="1" s="1"/>
  <c r="AX352" i="1"/>
  <c r="BD352" i="1"/>
  <c r="BF352" i="1"/>
  <c r="BH352" i="1"/>
  <c r="AD352" i="1" s="1"/>
  <c r="BI352" i="1"/>
  <c r="AE352" i="1" s="1"/>
  <c r="BJ352" i="1"/>
  <c r="K353" i="1"/>
  <c r="Z353" i="1"/>
  <c r="AB353" i="1"/>
  <c r="AC353" i="1"/>
  <c r="AF353" i="1"/>
  <c r="AG353" i="1"/>
  <c r="AH353" i="1"/>
  <c r="AJ353" i="1"/>
  <c r="AK353" i="1"/>
  <c r="AL353" i="1"/>
  <c r="AO353" i="1"/>
  <c r="AP353" i="1"/>
  <c r="AW353" i="1"/>
  <c r="AV353" i="1" s="1"/>
  <c r="AX353" i="1"/>
  <c r="BD353" i="1"/>
  <c r="BF353" i="1"/>
  <c r="BH353" i="1"/>
  <c r="AD353" i="1" s="1"/>
  <c r="BI353" i="1"/>
  <c r="AE353" i="1" s="1"/>
  <c r="BJ353" i="1"/>
  <c r="K354" i="1"/>
  <c r="AL354" i="1" s="1"/>
  <c r="Z354" i="1"/>
  <c r="AB354" i="1"/>
  <c r="AC354" i="1"/>
  <c r="AF354" i="1"/>
  <c r="AG354" i="1"/>
  <c r="AH354" i="1"/>
  <c r="AJ354" i="1"/>
  <c r="AK354" i="1"/>
  <c r="AO354" i="1"/>
  <c r="AW354" i="1" s="1"/>
  <c r="AP354" i="1"/>
  <c r="AX354" i="1"/>
  <c r="BD354" i="1"/>
  <c r="BF354" i="1"/>
  <c r="BH354" i="1"/>
  <c r="AD354" i="1" s="1"/>
  <c r="BI354" i="1"/>
  <c r="AE354" i="1" s="1"/>
  <c r="BJ354" i="1"/>
  <c r="K355" i="1"/>
  <c r="Z355" i="1"/>
  <c r="AB355" i="1"/>
  <c r="AC355" i="1"/>
  <c r="AF355" i="1"/>
  <c r="AG355" i="1"/>
  <c r="AH355" i="1"/>
  <c r="AJ355" i="1"/>
  <c r="AK355" i="1"/>
  <c r="AL355" i="1"/>
  <c r="AO355" i="1"/>
  <c r="AP355" i="1"/>
  <c r="AX355" i="1" s="1"/>
  <c r="AW355" i="1"/>
  <c r="BD355" i="1"/>
  <c r="BF355" i="1"/>
  <c r="BH355" i="1"/>
  <c r="AD355" i="1" s="1"/>
  <c r="BI355" i="1"/>
  <c r="AE355" i="1" s="1"/>
  <c r="BJ355" i="1"/>
  <c r="K356" i="1"/>
  <c r="Z356" i="1"/>
  <c r="AB356" i="1"/>
  <c r="AC356" i="1"/>
  <c r="AF356" i="1"/>
  <c r="AG356" i="1"/>
  <c r="AH356" i="1"/>
  <c r="AJ356" i="1"/>
  <c r="AK356" i="1"/>
  <c r="AL356" i="1"/>
  <c r="AO356" i="1"/>
  <c r="AP356" i="1"/>
  <c r="AV356" i="1"/>
  <c r="AW356" i="1"/>
  <c r="BC356" i="1" s="1"/>
  <c r="AX356" i="1"/>
  <c r="BD356" i="1"/>
  <c r="BF356" i="1"/>
  <c r="BH356" i="1"/>
  <c r="AD356" i="1" s="1"/>
  <c r="BI356" i="1"/>
  <c r="AE356" i="1" s="1"/>
  <c r="BJ356" i="1"/>
  <c r="K357" i="1"/>
  <c r="Z357" i="1"/>
  <c r="AB357" i="1"/>
  <c r="AC357" i="1"/>
  <c r="AF357" i="1"/>
  <c r="AG357" i="1"/>
  <c r="AH357" i="1"/>
  <c r="AJ357" i="1"/>
  <c r="AK357" i="1"/>
  <c r="AL357" i="1"/>
  <c r="AO357" i="1"/>
  <c r="AP357" i="1"/>
  <c r="AW357" i="1"/>
  <c r="AV357" i="1" s="1"/>
  <c r="AX357" i="1"/>
  <c r="BD357" i="1"/>
  <c r="BF357" i="1"/>
  <c r="BH357" i="1"/>
  <c r="AD357" i="1" s="1"/>
  <c r="BI357" i="1"/>
  <c r="AE357" i="1" s="1"/>
  <c r="BJ357" i="1"/>
  <c r="K358" i="1"/>
  <c r="AL358" i="1" s="1"/>
  <c r="Z358" i="1"/>
  <c r="AB358" i="1"/>
  <c r="AC358" i="1"/>
  <c r="AF358" i="1"/>
  <c r="AG358" i="1"/>
  <c r="AH358" i="1"/>
  <c r="AJ358" i="1"/>
  <c r="AK358" i="1"/>
  <c r="AO358" i="1"/>
  <c r="AW358" i="1" s="1"/>
  <c r="AP358" i="1"/>
  <c r="AX358" i="1"/>
  <c r="BD358" i="1"/>
  <c r="BF358" i="1"/>
  <c r="BH358" i="1"/>
  <c r="AD358" i="1" s="1"/>
  <c r="BI358" i="1"/>
  <c r="AE358" i="1" s="1"/>
  <c r="BJ358" i="1"/>
  <c r="K359" i="1"/>
  <c r="Z359" i="1"/>
  <c r="AB359" i="1"/>
  <c r="AC359" i="1"/>
  <c r="AF359" i="1"/>
  <c r="AG359" i="1"/>
  <c r="AH359" i="1"/>
  <c r="AJ359" i="1"/>
  <c r="AK359" i="1"/>
  <c r="AL359" i="1"/>
  <c r="AO359" i="1"/>
  <c r="AP359" i="1"/>
  <c r="AX359" i="1" s="1"/>
  <c r="AW359" i="1"/>
  <c r="BD359" i="1"/>
  <c r="BF359" i="1"/>
  <c r="BH359" i="1"/>
  <c r="AD359" i="1" s="1"/>
  <c r="BI359" i="1"/>
  <c r="AE359" i="1" s="1"/>
  <c r="BJ359" i="1"/>
  <c r="K360" i="1"/>
  <c r="Z360" i="1"/>
  <c r="AB360" i="1"/>
  <c r="AC360" i="1"/>
  <c r="AF360" i="1"/>
  <c r="AG360" i="1"/>
  <c r="AH360" i="1"/>
  <c r="AJ360" i="1"/>
  <c r="AK360" i="1"/>
  <c r="AL360" i="1"/>
  <c r="AO360" i="1"/>
  <c r="AP360" i="1"/>
  <c r="AX360" i="1" s="1"/>
  <c r="AV360" i="1" s="1"/>
  <c r="AW360" i="1"/>
  <c r="BC360" i="1" s="1"/>
  <c r="BD360" i="1"/>
  <c r="BF360" i="1"/>
  <c r="BH360" i="1"/>
  <c r="AD360" i="1" s="1"/>
  <c r="BI360" i="1"/>
  <c r="AE360" i="1" s="1"/>
  <c r="BJ360" i="1"/>
  <c r="K361" i="1"/>
  <c r="Z361" i="1"/>
  <c r="AB361" i="1"/>
  <c r="AC361" i="1"/>
  <c r="AF361" i="1"/>
  <c r="AG361" i="1"/>
  <c r="AH361" i="1"/>
  <c r="AJ361" i="1"/>
  <c r="AK361" i="1"/>
  <c r="AL361" i="1"/>
  <c r="AO361" i="1"/>
  <c r="AP361" i="1"/>
  <c r="AW361" i="1"/>
  <c r="AV361" i="1" s="1"/>
  <c r="AX361" i="1"/>
  <c r="BD361" i="1"/>
  <c r="BF361" i="1"/>
  <c r="BH361" i="1"/>
  <c r="AD361" i="1" s="1"/>
  <c r="BI361" i="1"/>
  <c r="AE361" i="1" s="1"/>
  <c r="BJ361" i="1"/>
  <c r="K362" i="1"/>
  <c r="AL362" i="1" s="1"/>
  <c r="Z362" i="1"/>
  <c r="AB362" i="1"/>
  <c r="AC362" i="1"/>
  <c r="AF362" i="1"/>
  <c r="AG362" i="1"/>
  <c r="AH362" i="1"/>
  <c r="AJ362" i="1"/>
  <c r="AK362" i="1"/>
  <c r="AO362" i="1"/>
  <c r="AW362" i="1" s="1"/>
  <c r="AP362" i="1"/>
  <c r="AX362" i="1"/>
  <c r="BD362" i="1"/>
  <c r="BF362" i="1"/>
  <c r="BH362" i="1"/>
  <c r="AD362" i="1" s="1"/>
  <c r="BI362" i="1"/>
  <c r="AE362" i="1" s="1"/>
  <c r="BJ362" i="1"/>
  <c r="K363" i="1"/>
  <c r="Z363" i="1"/>
  <c r="AB363" i="1"/>
  <c r="AC363" i="1"/>
  <c r="AF363" i="1"/>
  <c r="AG363" i="1"/>
  <c r="AH363" i="1"/>
  <c r="AJ363" i="1"/>
  <c r="AK363" i="1"/>
  <c r="AL363" i="1"/>
  <c r="AO363" i="1"/>
  <c r="AW363" i="1" s="1"/>
  <c r="AP363" i="1"/>
  <c r="AX363" i="1" s="1"/>
  <c r="BD363" i="1"/>
  <c r="BF363" i="1"/>
  <c r="BH363" i="1"/>
  <c r="AD363" i="1" s="1"/>
  <c r="BI363" i="1"/>
  <c r="AE363" i="1" s="1"/>
  <c r="BJ363" i="1"/>
  <c r="K364" i="1"/>
  <c r="Z364" i="1"/>
  <c r="AB364" i="1"/>
  <c r="AC364" i="1"/>
  <c r="AF364" i="1"/>
  <c r="AG364" i="1"/>
  <c r="AH364" i="1"/>
  <c r="AJ364" i="1"/>
  <c r="AK364" i="1"/>
  <c r="AL364" i="1"/>
  <c r="AO364" i="1"/>
  <c r="AP364" i="1"/>
  <c r="AX364" i="1" s="1"/>
  <c r="AV364" i="1" s="1"/>
  <c r="AW364" i="1"/>
  <c r="BC364" i="1" s="1"/>
  <c r="BD364" i="1"/>
  <c r="BF364" i="1"/>
  <c r="BH364" i="1"/>
  <c r="AD364" i="1" s="1"/>
  <c r="BI364" i="1"/>
  <c r="AE364" i="1" s="1"/>
  <c r="BJ364" i="1"/>
  <c r="K365" i="1"/>
  <c r="Z365" i="1"/>
  <c r="AB365" i="1"/>
  <c r="AC365" i="1"/>
  <c r="AF365" i="1"/>
  <c r="AG365" i="1"/>
  <c r="AH365" i="1"/>
  <c r="AJ365" i="1"/>
  <c r="AK365" i="1"/>
  <c r="AL365" i="1"/>
  <c r="AO365" i="1"/>
  <c r="AP365" i="1"/>
  <c r="AW365" i="1"/>
  <c r="AV365" i="1" s="1"/>
  <c r="AX365" i="1"/>
  <c r="BD365" i="1"/>
  <c r="BF365" i="1"/>
  <c r="BH365" i="1"/>
  <c r="AD365" i="1" s="1"/>
  <c r="BI365" i="1"/>
  <c r="AE365" i="1" s="1"/>
  <c r="BJ365" i="1"/>
  <c r="K366" i="1"/>
  <c r="AL366" i="1" s="1"/>
  <c r="Z366" i="1"/>
  <c r="AB366" i="1"/>
  <c r="AC366" i="1"/>
  <c r="AF366" i="1"/>
  <c r="AG366" i="1"/>
  <c r="AH366" i="1"/>
  <c r="AJ366" i="1"/>
  <c r="AK366" i="1"/>
  <c r="AO366" i="1"/>
  <c r="AW366" i="1" s="1"/>
  <c r="AP366" i="1"/>
  <c r="AX366" i="1"/>
  <c r="BD366" i="1"/>
  <c r="BF366" i="1"/>
  <c r="BH366" i="1"/>
  <c r="AD366" i="1" s="1"/>
  <c r="BI366" i="1"/>
  <c r="AE366" i="1" s="1"/>
  <c r="BJ366" i="1"/>
  <c r="K367" i="1"/>
  <c r="Z367" i="1"/>
  <c r="AB367" i="1"/>
  <c r="AC367" i="1"/>
  <c r="AF367" i="1"/>
  <c r="AG367" i="1"/>
  <c r="AH367" i="1"/>
  <c r="AJ367" i="1"/>
  <c r="AK367" i="1"/>
  <c r="AL367" i="1"/>
  <c r="AO367" i="1"/>
  <c r="AP367" i="1"/>
  <c r="AX367" i="1" s="1"/>
  <c r="AW367" i="1"/>
  <c r="BD367" i="1"/>
  <c r="BF367" i="1"/>
  <c r="BH367" i="1"/>
  <c r="AD367" i="1" s="1"/>
  <c r="BI367" i="1"/>
  <c r="AE367" i="1" s="1"/>
  <c r="BJ367" i="1"/>
  <c r="K368" i="1"/>
  <c r="Z368" i="1"/>
  <c r="AB368" i="1"/>
  <c r="AC368" i="1"/>
  <c r="AF368" i="1"/>
  <c r="AG368" i="1"/>
  <c r="AH368" i="1"/>
  <c r="AJ368" i="1"/>
  <c r="AK368" i="1"/>
  <c r="AL368" i="1"/>
  <c r="AO368" i="1"/>
  <c r="AP368" i="1"/>
  <c r="AX368" i="1" s="1"/>
  <c r="AV368" i="1" s="1"/>
  <c r="AW368" i="1"/>
  <c r="BC368" i="1" s="1"/>
  <c r="BD368" i="1"/>
  <c r="BF368" i="1"/>
  <c r="BH368" i="1"/>
  <c r="AD368" i="1" s="1"/>
  <c r="BI368" i="1"/>
  <c r="AE368" i="1" s="1"/>
  <c r="BJ368" i="1"/>
  <c r="K369" i="1"/>
  <c r="Z369" i="1"/>
  <c r="AB369" i="1"/>
  <c r="AC369" i="1"/>
  <c r="AF369" i="1"/>
  <c r="AG369" i="1"/>
  <c r="AH369" i="1"/>
  <c r="AJ369" i="1"/>
  <c r="AK369" i="1"/>
  <c r="AL369" i="1"/>
  <c r="AO369" i="1"/>
  <c r="AP369" i="1"/>
  <c r="AW369" i="1"/>
  <c r="AV369" i="1" s="1"/>
  <c r="AX369" i="1"/>
  <c r="BD369" i="1"/>
  <c r="BF369" i="1"/>
  <c r="BH369" i="1"/>
  <c r="AD369" i="1" s="1"/>
  <c r="BI369" i="1"/>
  <c r="AE369" i="1" s="1"/>
  <c r="BJ369" i="1"/>
  <c r="K370" i="1"/>
  <c r="AL370" i="1" s="1"/>
  <c r="Z370" i="1"/>
  <c r="AB370" i="1"/>
  <c r="AC370" i="1"/>
  <c r="AF370" i="1"/>
  <c r="AG370" i="1"/>
  <c r="AH370" i="1"/>
  <c r="AJ370" i="1"/>
  <c r="AK370" i="1"/>
  <c r="AO370" i="1"/>
  <c r="AW370" i="1" s="1"/>
  <c r="AP370" i="1"/>
  <c r="AX370" i="1"/>
  <c r="BD370" i="1"/>
  <c r="BF370" i="1"/>
  <c r="BH370" i="1"/>
  <c r="AD370" i="1" s="1"/>
  <c r="BI370" i="1"/>
  <c r="AE370" i="1" s="1"/>
  <c r="BJ370" i="1"/>
  <c r="K371" i="1"/>
  <c r="Z371" i="1"/>
  <c r="AB371" i="1"/>
  <c r="AC371" i="1"/>
  <c r="AF371" i="1"/>
  <c r="AG371" i="1"/>
  <c r="AH371" i="1"/>
  <c r="AJ371" i="1"/>
  <c r="AK371" i="1"/>
  <c r="AL371" i="1"/>
  <c r="AO371" i="1"/>
  <c r="AP371" i="1"/>
  <c r="AX371" i="1" s="1"/>
  <c r="AW371" i="1"/>
  <c r="BD371" i="1"/>
  <c r="BF371" i="1"/>
  <c r="BH371" i="1"/>
  <c r="AD371" i="1" s="1"/>
  <c r="BI371" i="1"/>
  <c r="AE371" i="1" s="1"/>
  <c r="BJ371" i="1"/>
  <c r="K372" i="1"/>
  <c r="Z372" i="1"/>
  <c r="AB372" i="1"/>
  <c r="AC372" i="1"/>
  <c r="AF372" i="1"/>
  <c r="AG372" i="1"/>
  <c r="AH372" i="1"/>
  <c r="AJ372" i="1"/>
  <c r="AK372" i="1"/>
  <c r="AL372" i="1"/>
  <c r="AO372" i="1"/>
  <c r="AP372" i="1"/>
  <c r="AX372" i="1" s="1"/>
  <c r="AV372" i="1" s="1"/>
  <c r="AW372" i="1"/>
  <c r="BC372" i="1" s="1"/>
  <c r="BD372" i="1"/>
  <c r="BF372" i="1"/>
  <c r="BH372" i="1"/>
  <c r="AD372" i="1" s="1"/>
  <c r="BI372" i="1"/>
  <c r="AE372" i="1" s="1"/>
  <c r="BJ372" i="1"/>
  <c r="K373" i="1"/>
  <c r="Z373" i="1"/>
  <c r="AB373" i="1"/>
  <c r="AC373" i="1"/>
  <c r="AF373" i="1"/>
  <c r="AG373" i="1"/>
  <c r="AH373" i="1"/>
  <c r="AJ373" i="1"/>
  <c r="AK373" i="1"/>
  <c r="AL373" i="1"/>
  <c r="AO373" i="1"/>
  <c r="AP373" i="1"/>
  <c r="AW373" i="1"/>
  <c r="AV373" i="1" s="1"/>
  <c r="AX373" i="1"/>
  <c r="BD373" i="1"/>
  <c r="BF373" i="1"/>
  <c r="BH373" i="1"/>
  <c r="AD373" i="1" s="1"/>
  <c r="BI373" i="1"/>
  <c r="AE373" i="1" s="1"/>
  <c r="BJ373" i="1"/>
  <c r="K374" i="1"/>
  <c r="AL374" i="1" s="1"/>
  <c r="Z374" i="1"/>
  <c r="AB374" i="1"/>
  <c r="AC374" i="1"/>
  <c r="AF374" i="1"/>
  <c r="AG374" i="1"/>
  <c r="AH374" i="1"/>
  <c r="AJ374" i="1"/>
  <c r="AK374" i="1"/>
  <c r="AO374" i="1"/>
  <c r="AW374" i="1" s="1"/>
  <c r="AP374" i="1"/>
  <c r="AX374" i="1"/>
  <c r="BD374" i="1"/>
  <c r="BF374" i="1"/>
  <c r="BH374" i="1"/>
  <c r="AD374" i="1" s="1"/>
  <c r="BI374" i="1"/>
  <c r="AE374" i="1" s="1"/>
  <c r="BJ374" i="1"/>
  <c r="K375" i="1"/>
  <c r="Z375" i="1"/>
  <c r="AB375" i="1"/>
  <c r="AC375" i="1"/>
  <c r="AF375" i="1"/>
  <c r="AG375" i="1"/>
  <c r="AH375" i="1"/>
  <c r="AJ375" i="1"/>
  <c r="AK375" i="1"/>
  <c r="AL375" i="1"/>
  <c r="AO375" i="1"/>
  <c r="AP375" i="1"/>
  <c r="AX375" i="1" s="1"/>
  <c r="AW375" i="1"/>
  <c r="BD375" i="1"/>
  <c r="BF375" i="1"/>
  <c r="BH375" i="1"/>
  <c r="AD375" i="1" s="1"/>
  <c r="BI375" i="1"/>
  <c r="AE375" i="1" s="1"/>
  <c r="BJ375" i="1"/>
  <c r="K376" i="1"/>
  <c r="Z376" i="1"/>
  <c r="AB376" i="1"/>
  <c r="AC376" i="1"/>
  <c r="AF376" i="1"/>
  <c r="AG376" i="1"/>
  <c r="AH376" i="1"/>
  <c r="AJ376" i="1"/>
  <c r="AK376" i="1"/>
  <c r="AL376" i="1"/>
  <c r="AO376" i="1"/>
  <c r="AP376" i="1"/>
  <c r="AV376" i="1"/>
  <c r="AW376" i="1"/>
  <c r="BC376" i="1" s="1"/>
  <c r="AX376" i="1"/>
  <c r="BD376" i="1"/>
  <c r="BF376" i="1"/>
  <c r="BH376" i="1"/>
  <c r="AD376" i="1" s="1"/>
  <c r="BI376" i="1"/>
  <c r="AE376" i="1" s="1"/>
  <c r="BJ376" i="1"/>
  <c r="K377" i="1"/>
  <c r="Z377" i="1"/>
  <c r="AB377" i="1"/>
  <c r="AC377" i="1"/>
  <c r="AF377" i="1"/>
  <c r="AG377" i="1"/>
  <c r="AH377" i="1"/>
  <c r="AJ377" i="1"/>
  <c r="AK377" i="1"/>
  <c r="AL377" i="1"/>
  <c r="AO377" i="1"/>
  <c r="AP377" i="1"/>
  <c r="AW377" i="1"/>
  <c r="AV377" i="1" s="1"/>
  <c r="AX377" i="1"/>
  <c r="BD377" i="1"/>
  <c r="BF377" i="1"/>
  <c r="BH377" i="1"/>
  <c r="AD377" i="1" s="1"/>
  <c r="BI377" i="1"/>
  <c r="AE377" i="1" s="1"/>
  <c r="BJ377" i="1"/>
  <c r="K378" i="1"/>
  <c r="AL378" i="1" s="1"/>
  <c r="Z378" i="1"/>
  <c r="AB378" i="1"/>
  <c r="AC378" i="1"/>
  <c r="AF378" i="1"/>
  <c r="AG378" i="1"/>
  <c r="AH378" i="1"/>
  <c r="AJ378" i="1"/>
  <c r="AK378" i="1"/>
  <c r="AO378" i="1"/>
  <c r="AW378" i="1" s="1"/>
  <c r="AP378" i="1"/>
  <c r="AX378" i="1"/>
  <c r="BD378" i="1"/>
  <c r="BF378" i="1"/>
  <c r="BH378" i="1"/>
  <c r="AD378" i="1" s="1"/>
  <c r="BI378" i="1"/>
  <c r="AE378" i="1" s="1"/>
  <c r="BJ378" i="1"/>
  <c r="K379" i="1"/>
  <c r="Z379" i="1"/>
  <c r="AB379" i="1"/>
  <c r="AC379" i="1"/>
  <c r="AF379" i="1"/>
  <c r="AG379" i="1"/>
  <c r="AH379" i="1"/>
  <c r="AJ379" i="1"/>
  <c r="AK379" i="1"/>
  <c r="AL379" i="1"/>
  <c r="AO379" i="1"/>
  <c r="AP379" i="1"/>
  <c r="AX379" i="1" s="1"/>
  <c r="AW379" i="1"/>
  <c r="BD379" i="1"/>
  <c r="BF379" i="1"/>
  <c r="BH379" i="1"/>
  <c r="AD379" i="1" s="1"/>
  <c r="BI379" i="1"/>
  <c r="AE379" i="1" s="1"/>
  <c r="BJ379" i="1"/>
  <c r="K380" i="1"/>
  <c r="Z380" i="1"/>
  <c r="AB380" i="1"/>
  <c r="AC380" i="1"/>
  <c r="AF380" i="1"/>
  <c r="AG380" i="1"/>
  <c r="AH380" i="1"/>
  <c r="AJ380" i="1"/>
  <c r="AK380" i="1"/>
  <c r="AL380" i="1"/>
  <c r="AO380" i="1"/>
  <c r="AP380" i="1"/>
  <c r="AV380" i="1"/>
  <c r="AW380" i="1"/>
  <c r="BC380" i="1" s="1"/>
  <c r="AX380" i="1"/>
  <c r="BD380" i="1"/>
  <c r="BF380" i="1"/>
  <c r="BH380" i="1"/>
  <c r="AD380" i="1" s="1"/>
  <c r="BI380" i="1"/>
  <c r="AE380" i="1" s="1"/>
  <c r="BJ380" i="1"/>
  <c r="K381" i="1"/>
  <c r="Z381" i="1"/>
  <c r="AB381" i="1"/>
  <c r="AC381" i="1"/>
  <c r="AF381" i="1"/>
  <c r="AG381" i="1"/>
  <c r="AH381" i="1"/>
  <c r="AJ381" i="1"/>
  <c r="AK381" i="1"/>
  <c r="AL381" i="1"/>
  <c r="AO381" i="1"/>
  <c r="AP381" i="1"/>
  <c r="AW381" i="1"/>
  <c r="AV381" i="1" s="1"/>
  <c r="AX381" i="1"/>
  <c r="BD381" i="1"/>
  <c r="BF381" i="1"/>
  <c r="BH381" i="1"/>
  <c r="AD381" i="1" s="1"/>
  <c r="BI381" i="1"/>
  <c r="AE381" i="1" s="1"/>
  <c r="BJ381" i="1"/>
  <c r="K382" i="1"/>
  <c r="AL382" i="1" s="1"/>
  <c r="Z382" i="1"/>
  <c r="AB382" i="1"/>
  <c r="AC382" i="1"/>
  <c r="AF382" i="1"/>
  <c r="AG382" i="1"/>
  <c r="AH382" i="1"/>
  <c r="AJ382" i="1"/>
  <c r="AK382" i="1"/>
  <c r="AO382" i="1"/>
  <c r="AW382" i="1" s="1"/>
  <c r="AP382" i="1"/>
  <c r="AX382" i="1"/>
  <c r="BD382" i="1"/>
  <c r="BF382" i="1"/>
  <c r="BH382" i="1"/>
  <c r="AD382" i="1" s="1"/>
  <c r="BI382" i="1"/>
  <c r="AE382" i="1" s="1"/>
  <c r="BJ382" i="1"/>
  <c r="K383" i="1"/>
  <c r="Z383" i="1"/>
  <c r="AB383" i="1"/>
  <c r="AC383" i="1"/>
  <c r="AF383" i="1"/>
  <c r="AG383" i="1"/>
  <c r="AH383" i="1"/>
  <c r="AJ383" i="1"/>
  <c r="AK383" i="1"/>
  <c r="AL383" i="1"/>
  <c r="AO383" i="1"/>
  <c r="AP383" i="1"/>
  <c r="AX383" i="1" s="1"/>
  <c r="AW383" i="1"/>
  <c r="BD383" i="1"/>
  <c r="BF383" i="1"/>
  <c r="BH383" i="1"/>
  <c r="AD383" i="1" s="1"/>
  <c r="BI383" i="1"/>
  <c r="AE383" i="1" s="1"/>
  <c r="BJ383" i="1"/>
  <c r="K384" i="1"/>
  <c r="Z384" i="1"/>
  <c r="AB384" i="1"/>
  <c r="AC384" i="1"/>
  <c r="AF384" i="1"/>
  <c r="AG384" i="1"/>
  <c r="AH384" i="1"/>
  <c r="AJ384" i="1"/>
  <c r="AK384" i="1"/>
  <c r="AL384" i="1"/>
  <c r="AO384" i="1"/>
  <c r="AP384" i="1"/>
  <c r="AV384" i="1"/>
  <c r="AW384" i="1"/>
  <c r="BC384" i="1" s="1"/>
  <c r="AX384" i="1"/>
  <c r="BD384" i="1"/>
  <c r="BF384" i="1"/>
  <c r="BH384" i="1"/>
  <c r="AD384" i="1" s="1"/>
  <c r="BI384" i="1"/>
  <c r="AE384" i="1" s="1"/>
  <c r="BJ384" i="1"/>
  <c r="K385" i="1"/>
  <c r="Z385" i="1"/>
  <c r="AB385" i="1"/>
  <c r="AC385" i="1"/>
  <c r="AF385" i="1"/>
  <c r="AG385" i="1"/>
  <c r="AH385" i="1"/>
  <c r="AJ385" i="1"/>
  <c r="AK385" i="1"/>
  <c r="AL385" i="1"/>
  <c r="AO385" i="1"/>
  <c r="AP385" i="1"/>
  <c r="AW385" i="1"/>
  <c r="AV385" i="1" s="1"/>
  <c r="AX385" i="1"/>
  <c r="BD385" i="1"/>
  <c r="BF385" i="1"/>
  <c r="BH385" i="1"/>
  <c r="AD385" i="1" s="1"/>
  <c r="BI385" i="1"/>
  <c r="AE385" i="1" s="1"/>
  <c r="BJ385" i="1"/>
  <c r="K386" i="1"/>
  <c r="AL386" i="1" s="1"/>
  <c r="Z386" i="1"/>
  <c r="AB386" i="1"/>
  <c r="AC386" i="1"/>
  <c r="AF386" i="1"/>
  <c r="AG386" i="1"/>
  <c r="AH386" i="1"/>
  <c r="AJ386" i="1"/>
  <c r="AK386" i="1"/>
  <c r="AO386" i="1"/>
  <c r="AW386" i="1" s="1"/>
  <c r="AP386" i="1"/>
  <c r="AX386" i="1"/>
  <c r="BD386" i="1"/>
  <c r="BF386" i="1"/>
  <c r="BH386" i="1"/>
  <c r="AD386" i="1" s="1"/>
  <c r="BI386" i="1"/>
  <c r="AE386" i="1" s="1"/>
  <c r="BJ386" i="1"/>
  <c r="K387" i="1"/>
  <c r="Z387" i="1"/>
  <c r="AB387" i="1"/>
  <c r="AC387" i="1"/>
  <c r="AF387" i="1"/>
  <c r="AG387" i="1"/>
  <c r="AH387" i="1"/>
  <c r="AJ387" i="1"/>
  <c r="AK387" i="1"/>
  <c r="AL387" i="1"/>
  <c r="AO387" i="1"/>
  <c r="AP387" i="1"/>
  <c r="AX387" i="1" s="1"/>
  <c r="AW387" i="1"/>
  <c r="BD387" i="1"/>
  <c r="BF387" i="1"/>
  <c r="BH387" i="1"/>
  <c r="AD387" i="1" s="1"/>
  <c r="BI387" i="1"/>
  <c r="AE387" i="1" s="1"/>
  <c r="BJ387" i="1"/>
  <c r="K388" i="1"/>
  <c r="Z388" i="1"/>
  <c r="AB388" i="1"/>
  <c r="AC388" i="1"/>
  <c r="AF388" i="1"/>
  <c r="AG388" i="1"/>
  <c r="AH388" i="1"/>
  <c r="AJ388" i="1"/>
  <c r="AK388" i="1"/>
  <c r="AL388" i="1"/>
  <c r="AO388" i="1"/>
  <c r="AP388" i="1"/>
  <c r="AV388" i="1"/>
  <c r="AW388" i="1"/>
  <c r="BC388" i="1" s="1"/>
  <c r="AX388" i="1"/>
  <c r="BD388" i="1"/>
  <c r="BF388" i="1"/>
  <c r="BH388" i="1"/>
  <c r="AD388" i="1" s="1"/>
  <c r="BI388" i="1"/>
  <c r="AE388" i="1" s="1"/>
  <c r="BJ388" i="1"/>
  <c r="K389" i="1"/>
  <c r="Z389" i="1"/>
  <c r="AB389" i="1"/>
  <c r="AC389" i="1"/>
  <c r="AF389" i="1"/>
  <c r="AG389" i="1"/>
  <c r="AH389" i="1"/>
  <c r="AJ389" i="1"/>
  <c r="AK389" i="1"/>
  <c r="AL389" i="1"/>
  <c r="AO389" i="1"/>
  <c r="AP389" i="1"/>
  <c r="AW389" i="1"/>
  <c r="AV389" i="1" s="1"/>
  <c r="AX389" i="1"/>
  <c r="BD389" i="1"/>
  <c r="BF389" i="1"/>
  <c r="BH389" i="1"/>
  <c r="AD389" i="1" s="1"/>
  <c r="BI389" i="1"/>
  <c r="AE389" i="1" s="1"/>
  <c r="BJ389" i="1"/>
  <c r="K390" i="1"/>
  <c r="AL390" i="1" s="1"/>
  <c r="Z390" i="1"/>
  <c r="AB390" i="1"/>
  <c r="AC390" i="1"/>
  <c r="AF390" i="1"/>
  <c r="AG390" i="1"/>
  <c r="AH390" i="1"/>
  <c r="AJ390" i="1"/>
  <c r="AK390" i="1"/>
  <c r="AO390" i="1"/>
  <c r="AW390" i="1" s="1"/>
  <c r="AP390" i="1"/>
  <c r="AX390" i="1"/>
  <c r="BD390" i="1"/>
  <c r="BF390" i="1"/>
  <c r="BH390" i="1"/>
  <c r="AD390" i="1" s="1"/>
  <c r="BI390" i="1"/>
  <c r="AE390" i="1" s="1"/>
  <c r="BJ390" i="1"/>
  <c r="K391" i="1"/>
  <c r="Z391" i="1"/>
  <c r="AB391" i="1"/>
  <c r="AC391" i="1"/>
  <c r="AF391" i="1"/>
  <c r="AG391" i="1"/>
  <c r="AH391" i="1"/>
  <c r="AJ391" i="1"/>
  <c r="AK391" i="1"/>
  <c r="AL391" i="1"/>
  <c r="AO391" i="1"/>
  <c r="AP391" i="1"/>
  <c r="AX391" i="1" s="1"/>
  <c r="AW391" i="1"/>
  <c r="BD391" i="1"/>
  <c r="BF391" i="1"/>
  <c r="BH391" i="1"/>
  <c r="AD391" i="1" s="1"/>
  <c r="BI391" i="1"/>
  <c r="AE391" i="1" s="1"/>
  <c r="BJ391" i="1"/>
  <c r="K392" i="1"/>
  <c r="Z392" i="1"/>
  <c r="AB392" i="1"/>
  <c r="AC392" i="1"/>
  <c r="AF392" i="1"/>
  <c r="AG392" i="1"/>
  <c r="AH392" i="1"/>
  <c r="AJ392" i="1"/>
  <c r="AK392" i="1"/>
  <c r="AL392" i="1"/>
  <c r="AO392" i="1"/>
  <c r="AP392" i="1"/>
  <c r="AV392" i="1"/>
  <c r="AW392" i="1"/>
  <c r="BC392" i="1" s="1"/>
  <c r="AX392" i="1"/>
  <c r="BD392" i="1"/>
  <c r="BF392" i="1"/>
  <c r="BH392" i="1"/>
  <c r="AD392" i="1" s="1"/>
  <c r="BI392" i="1"/>
  <c r="AE392" i="1" s="1"/>
  <c r="BJ392" i="1"/>
  <c r="K393" i="1"/>
  <c r="Z393" i="1"/>
  <c r="AB393" i="1"/>
  <c r="AC393" i="1"/>
  <c r="AF393" i="1"/>
  <c r="AG393" i="1"/>
  <c r="AH393" i="1"/>
  <c r="AJ393" i="1"/>
  <c r="AK393" i="1"/>
  <c r="AL393" i="1"/>
  <c r="AO393" i="1"/>
  <c r="AP393" i="1"/>
  <c r="AW393" i="1"/>
  <c r="AV393" i="1" s="1"/>
  <c r="AX393" i="1"/>
  <c r="BD393" i="1"/>
  <c r="BF393" i="1"/>
  <c r="BH393" i="1"/>
  <c r="AD393" i="1" s="1"/>
  <c r="BI393" i="1"/>
  <c r="AE393" i="1" s="1"/>
  <c r="BJ393" i="1"/>
  <c r="K394" i="1"/>
  <c r="AL394" i="1" s="1"/>
  <c r="Z394" i="1"/>
  <c r="AB394" i="1"/>
  <c r="AC394" i="1"/>
  <c r="AF394" i="1"/>
  <c r="AG394" i="1"/>
  <c r="AH394" i="1"/>
  <c r="AJ394" i="1"/>
  <c r="AK394" i="1"/>
  <c r="AO394" i="1"/>
  <c r="AW394" i="1" s="1"/>
  <c r="AP394" i="1"/>
  <c r="AX394" i="1"/>
  <c r="BD394" i="1"/>
  <c r="BF394" i="1"/>
  <c r="BH394" i="1"/>
  <c r="AD394" i="1" s="1"/>
  <c r="BI394" i="1"/>
  <c r="AE394" i="1" s="1"/>
  <c r="BJ394" i="1"/>
  <c r="K395" i="1"/>
  <c r="Z395" i="1"/>
  <c r="AB395" i="1"/>
  <c r="AC395" i="1"/>
  <c r="AF395" i="1"/>
  <c r="AG395" i="1"/>
  <c r="AH395" i="1"/>
  <c r="AJ395" i="1"/>
  <c r="AK395" i="1"/>
  <c r="AL395" i="1"/>
  <c r="AO395" i="1"/>
  <c r="AP395" i="1"/>
  <c r="AX395" i="1" s="1"/>
  <c r="AW395" i="1"/>
  <c r="BD395" i="1"/>
  <c r="BF395" i="1"/>
  <c r="BH395" i="1"/>
  <c r="AD395" i="1" s="1"/>
  <c r="BI395" i="1"/>
  <c r="AE395" i="1" s="1"/>
  <c r="BJ395" i="1"/>
  <c r="K396" i="1"/>
  <c r="Z396" i="1"/>
  <c r="AB396" i="1"/>
  <c r="AC396" i="1"/>
  <c r="AF396" i="1"/>
  <c r="AG396" i="1"/>
  <c r="AH396" i="1"/>
  <c r="AJ396" i="1"/>
  <c r="AK396" i="1"/>
  <c r="AL396" i="1"/>
  <c r="AO396" i="1"/>
  <c r="AP396" i="1"/>
  <c r="AW396" i="1"/>
  <c r="BC396" i="1" s="1"/>
  <c r="AX396" i="1"/>
  <c r="BD396" i="1"/>
  <c r="BF396" i="1"/>
  <c r="BH396" i="1"/>
  <c r="AD396" i="1" s="1"/>
  <c r="BI396" i="1"/>
  <c r="AE396" i="1" s="1"/>
  <c r="BJ396" i="1"/>
  <c r="K397" i="1"/>
  <c r="Z397" i="1"/>
  <c r="AB397" i="1"/>
  <c r="AC397" i="1"/>
  <c r="AF397" i="1"/>
  <c r="AG397" i="1"/>
  <c r="AH397" i="1"/>
  <c r="AJ397" i="1"/>
  <c r="AK397" i="1"/>
  <c r="AL397" i="1"/>
  <c r="AO397" i="1"/>
  <c r="AP397" i="1"/>
  <c r="AW397" i="1"/>
  <c r="AV397" i="1" s="1"/>
  <c r="AX397" i="1"/>
  <c r="BD397" i="1"/>
  <c r="BF397" i="1"/>
  <c r="BH397" i="1"/>
  <c r="AD397" i="1" s="1"/>
  <c r="BI397" i="1"/>
  <c r="AE397" i="1" s="1"/>
  <c r="BJ397" i="1"/>
  <c r="K398" i="1"/>
  <c r="AL398" i="1" s="1"/>
  <c r="Z398" i="1"/>
  <c r="AB398" i="1"/>
  <c r="AC398" i="1"/>
  <c r="AF398" i="1"/>
  <c r="AG398" i="1"/>
  <c r="AH398" i="1"/>
  <c r="AJ398" i="1"/>
  <c r="AK398" i="1"/>
  <c r="AO398" i="1"/>
  <c r="AW398" i="1" s="1"/>
  <c r="AP398" i="1"/>
  <c r="AX398" i="1"/>
  <c r="BD398" i="1"/>
  <c r="BF398" i="1"/>
  <c r="BH398" i="1"/>
  <c r="AD398" i="1" s="1"/>
  <c r="BI398" i="1"/>
  <c r="AE398" i="1" s="1"/>
  <c r="BJ398" i="1"/>
  <c r="K399" i="1"/>
  <c r="Z399" i="1"/>
  <c r="AB399" i="1"/>
  <c r="AC399" i="1"/>
  <c r="AF399" i="1"/>
  <c r="AG399" i="1"/>
  <c r="AH399" i="1"/>
  <c r="AJ399" i="1"/>
  <c r="AK399" i="1"/>
  <c r="AL399" i="1"/>
  <c r="AO399" i="1"/>
  <c r="AP399" i="1"/>
  <c r="AX399" i="1" s="1"/>
  <c r="BC399" i="1" s="1"/>
  <c r="AV399" i="1"/>
  <c r="AW399" i="1"/>
  <c r="BD399" i="1"/>
  <c r="BF399" i="1"/>
  <c r="BH399" i="1"/>
  <c r="AD399" i="1" s="1"/>
  <c r="BJ399" i="1"/>
  <c r="K400" i="1"/>
  <c r="Z400" i="1"/>
  <c r="AB400" i="1"/>
  <c r="AC400" i="1"/>
  <c r="AF400" i="1"/>
  <c r="AG400" i="1"/>
  <c r="AH400" i="1"/>
  <c r="AJ400" i="1"/>
  <c r="AK400" i="1"/>
  <c r="AL400" i="1"/>
  <c r="AO400" i="1"/>
  <c r="AP400" i="1"/>
  <c r="AV400" i="1"/>
  <c r="AW400" i="1"/>
  <c r="BC400" i="1" s="1"/>
  <c r="AX400" i="1"/>
  <c r="BD400" i="1"/>
  <c r="BF400" i="1"/>
  <c r="BH400" i="1"/>
  <c r="AD400" i="1" s="1"/>
  <c r="BI400" i="1"/>
  <c r="AE400" i="1" s="1"/>
  <c r="BJ400" i="1"/>
  <c r="K401" i="1"/>
  <c r="AL401" i="1" s="1"/>
  <c r="Z401" i="1"/>
  <c r="AB401" i="1"/>
  <c r="AC401" i="1"/>
  <c r="AD401" i="1"/>
  <c r="AF401" i="1"/>
  <c r="AG401" i="1"/>
  <c r="AH401" i="1"/>
  <c r="AJ401" i="1"/>
  <c r="AK401" i="1"/>
  <c r="AO401" i="1"/>
  <c r="AP401" i="1"/>
  <c r="AW401" i="1"/>
  <c r="AX401" i="1"/>
  <c r="BD401" i="1"/>
  <c r="BF401" i="1"/>
  <c r="BH401" i="1"/>
  <c r="BI401" i="1"/>
  <c r="AE401" i="1" s="1"/>
  <c r="BJ401" i="1"/>
  <c r="K402" i="1"/>
  <c r="AL402" i="1" s="1"/>
  <c r="Z402" i="1"/>
  <c r="AB402" i="1"/>
  <c r="AC402" i="1"/>
  <c r="AD402" i="1"/>
  <c r="AF402" i="1"/>
  <c r="AG402" i="1"/>
  <c r="AH402" i="1"/>
  <c r="AJ402" i="1"/>
  <c r="AK402" i="1"/>
  <c r="AO402" i="1"/>
  <c r="AW402" i="1" s="1"/>
  <c r="AP402" i="1"/>
  <c r="BI402" i="1" s="1"/>
  <c r="AE402" i="1" s="1"/>
  <c r="BD402" i="1"/>
  <c r="BF402" i="1"/>
  <c r="BH402" i="1"/>
  <c r="BJ402" i="1"/>
  <c r="K403" i="1"/>
  <c r="Z403" i="1"/>
  <c r="AB403" i="1"/>
  <c r="AC403" i="1"/>
  <c r="AF403" i="1"/>
  <c r="AG403" i="1"/>
  <c r="AH403" i="1"/>
  <c r="AJ403" i="1"/>
  <c r="AK403" i="1"/>
  <c r="AL403" i="1"/>
  <c r="AO403" i="1"/>
  <c r="AP403" i="1"/>
  <c r="AX403" i="1" s="1"/>
  <c r="BC403" i="1" s="1"/>
  <c r="AW403" i="1"/>
  <c r="BD403" i="1"/>
  <c r="BF403" i="1"/>
  <c r="BH403" i="1"/>
  <c r="AD403" i="1" s="1"/>
  <c r="BJ403" i="1"/>
  <c r="K404" i="1"/>
  <c r="Z404" i="1"/>
  <c r="AB404" i="1"/>
  <c r="AC404" i="1"/>
  <c r="AF404" i="1"/>
  <c r="AG404" i="1"/>
  <c r="AH404" i="1"/>
  <c r="AJ404" i="1"/>
  <c r="AK404" i="1"/>
  <c r="AL404" i="1"/>
  <c r="AO404" i="1"/>
  <c r="AP404" i="1"/>
  <c r="AV404" i="1"/>
  <c r="AW404" i="1"/>
  <c r="BC404" i="1" s="1"/>
  <c r="AX404" i="1"/>
  <c r="BD404" i="1"/>
  <c r="BF404" i="1"/>
  <c r="BH404" i="1"/>
  <c r="AD404" i="1" s="1"/>
  <c r="BI404" i="1"/>
  <c r="AE404" i="1" s="1"/>
  <c r="BJ404" i="1"/>
  <c r="K405" i="1"/>
  <c r="AL405" i="1" s="1"/>
  <c r="Z405" i="1"/>
  <c r="AB405" i="1"/>
  <c r="AC405" i="1"/>
  <c r="AF405" i="1"/>
  <c r="AG405" i="1"/>
  <c r="AH405" i="1"/>
  <c r="AJ405" i="1"/>
  <c r="AK405" i="1"/>
  <c r="AO405" i="1"/>
  <c r="AW405" i="1" s="1"/>
  <c r="AP405" i="1"/>
  <c r="AX405" i="1"/>
  <c r="BD405" i="1"/>
  <c r="BF405" i="1"/>
  <c r="BI405" i="1"/>
  <c r="AE405" i="1" s="1"/>
  <c r="BJ405" i="1"/>
  <c r="K406" i="1"/>
  <c r="AL406" i="1" s="1"/>
  <c r="Z406" i="1"/>
  <c r="AB406" i="1"/>
  <c r="AC406" i="1"/>
  <c r="AF406" i="1"/>
  <c r="AG406" i="1"/>
  <c r="AH406" i="1"/>
  <c r="AJ406" i="1"/>
  <c r="AK406" i="1"/>
  <c r="AO406" i="1"/>
  <c r="AW406" i="1" s="1"/>
  <c r="AP406" i="1"/>
  <c r="AX406" i="1" s="1"/>
  <c r="BD406" i="1"/>
  <c r="BF406" i="1"/>
  <c r="BJ406" i="1"/>
  <c r="K407" i="1"/>
  <c r="Z407" i="1"/>
  <c r="AB407" i="1"/>
  <c r="AC407" i="1"/>
  <c r="AF407" i="1"/>
  <c r="AG407" i="1"/>
  <c r="AH407" i="1"/>
  <c r="AJ407" i="1"/>
  <c r="AK407" i="1"/>
  <c r="AL407" i="1"/>
  <c r="AO407" i="1"/>
  <c r="AP407" i="1"/>
  <c r="AX407" i="1" s="1"/>
  <c r="AV407" i="1" s="1"/>
  <c r="AW407" i="1"/>
  <c r="BC407" i="1"/>
  <c r="BD407" i="1"/>
  <c r="BF407" i="1"/>
  <c r="BH407" i="1"/>
  <c r="AD407" i="1" s="1"/>
  <c r="BI407" i="1"/>
  <c r="AE407" i="1" s="1"/>
  <c r="BJ407" i="1"/>
  <c r="K408" i="1"/>
  <c r="Z408" i="1"/>
  <c r="AB408" i="1"/>
  <c r="AC408" i="1"/>
  <c r="AF408" i="1"/>
  <c r="AG408" i="1"/>
  <c r="AH408" i="1"/>
  <c r="AJ408" i="1"/>
  <c r="AK408" i="1"/>
  <c r="AL408" i="1"/>
  <c r="AO408" i="1"/>
  <c r="AW408" i="1" s="1"/>
  <c r="AP408" i="1"/>
  <c r="AX408" i="1"/>
  <c r="BD408" i="1"/>
  <c r="BF408" i="1"/>
  <c r="BH408" i="1"/>
  <c r="AD408" i="1" s="1"/>
  <c r="BI408" i="1"/>
  <c r="AE408" i="1" s="1"/>
  <c r="BJ408" i="1"/>
  <c r="K409" i="1"/>
  <c r="AL409" i="1" s="1"/>
  <c r="Z409" i="1"/>
  <c r="AB409" i="1"/>
  <c r="AC409" i="1"/>
  <c r="AF409" i="1"/>
  <c r="AG409" i="1"/>
  <c r="AH409" i="1"/>
  <c r="AJ409" i="1"/>
  <c r="AK409" i="1"/>
  <c r="AO409" i="1"/>
  <c r="AW409" i="1" s="1"/>
  <c r="AP409" i="1"/>
  <c r="AX409" i="1" s="1"/>
  <c r="BD409" i="1"/>
  <c r="BF409" i="1"/>
  <c r="BH409" i="1"/>
  <c r="AD409" i="1" s="1"/>
  <c r="BI409" i="1"/>
  <c r="AE409" i="1" s="1"/>
  <c r="BJ409" i="1"/>
  <c r="K410" i="1"/>
  <c r="Z410" i="1"/>
  <c r="AB410" i="1"/>
  <c r="AC410" i="1"/>
  <c r="AF410" i="1"/>
  <c r="AG410" i="1"/>
  <c r="AH410" i="1"/>
  <c r="AJ410" i="1"/>
  <c r="AK410" i="1"/>
  <c r="AL410" i="1"/>
  <c r="AO410" i="1"/>
  <c r="AP410" i="1"/>
  <c r="AX410" i="1" s="1"/>
  <c r="AV410" i="1" s="1"/>
  <c r="AW410" i="1"/>
  <c r="BD410" i="1"/>
  <c r="BF410" i="1"/>
  <c r="BH410" i="1"/>
  <c r="AD410" i="1" s="1"/>
  <c r="BI410" i="1"/>
  <c r="AE410" i="1" s="1"/>
  <c r="BJ410" i="1"/>
  <c r="K411" i="1"/>
  <c r="Z411" i="1"/>
  <c r="AB411" i="1"/>
  <c r="AC411" i="1"/>
  <c r="AF411" i="1"/>
  <c r="AG411" i="1"/>
  <c r="AH411" i="1"/>
  <c r="AJ411" i="1"/>
  <c r="AK411" i="1"/>
  <c r="AL411" i="1"/>
  <c r="AO411" i="1"/>
  <c r="AP411" i="1"/>
  <c r="AW411" i="1"/>
  <c r="BC411" i="1" s="1"/>
  <c r="AX411" i="1"/>
  <c r="BD411" i="1"/>
  <c r="BF411" i="1"/>
  <c r="BH411" i="1"/>
  <c r="AD411" i="1" s="1"/>
  <c r="BI411" i="1"/>
  <c r="AE411" i="1" s="1"/>
  <c r="BJ411" i="1"/>
  <c r="K412" i="1"/>
  <c r="AL412" i="1" s="1"/>
  <c r="Z412" i="1"/>
  <c r="AB412" i="1"/>
  <c r="AC412" i="1"/>
  <c r="AF412" i="1"/>
  <c r="AG412" i="1"/>
  <c r="AH412" i="1"/>
  <c r="AJ412" i="1"/>
  <c r="AK412" i="1"/>
  <c r="AO412" i="1"/>
  <c r="AW412" i="1" s="1"/>
  <c r="AP412" i="1"/>
  <c r="AX412" i="1"/>
  <c r="BD412" i="1"/>
  <c r="BF412" i="1"/>
  <c r="BH412" i="1"/>
  <c r="AD412" i="1" s="1"/>
  <c r="BI412" i="1"/>
  <c r="AE412" i="1" s="1"/>
  <c r="BJ412" i="1"/>
  <c r="K413" i="1"/>
  <c r="AL413" i="1" s="1"/>
  <c r="Z413" i="1"/>
  <c r="AB413" i="1"/>
  <c r="AC413" i="1"/>
  <c r="AF413" i="1"/>
  <c r="AG413" i="1"/>
  <c r="AH413" i="1"/>
  <c r="AJ413" i="1"/>
  <c r="AK413" i="1"/>
  <c r="AO413" i="1"/>
  <c r="AW413" i="1" s="1"/>
  <c r="AP413" i="1"/>
  <c r="AX413" i="1" s="1"/>
  <c r="BD413" i="1"/>
  <c r="BF413" i="1"/>
  <c r="BH413" i="1"/>
  <c r="AD413" i="1" s="1"/>
  <c r="BI413" i="1"/>
  <c r="AE413" i="1" s="1"/>
  <c r="BJ413" i="1"/>
  <c r="K415" i="1"/>
  <c r="Z415" i="1"/>
  <c r="AB415" i="1"/>
  <c r="AC415" i="1"/>
  <c r="AF415" i="1"/>
  <c r="AG415" i="1"/>
  <c r="AH415" i="1"/>
  <c r="AJ415" i="1"/>
  <c r="AK415" i="1"/>
  <c r="AL415" i="1"/>
  <c r="AO415" i="1"/>
  <c r="AP415" i="1"/>
  <c r="AX415" i="1" s="1"/>
  <c r="AV415" i="1" s="1"/>
  <c r="AW415" i="1"/>
  <c r="BD415" i="1"/>
  <c r="BF415" i="1"/>
  <c r="BH415" i="1"/>
  <c r="AD415" i="1" s="1"/>
  <c r="BI415" i="1"/>
  <c r="AE415" i="1" s="1"/>
  <c r="BJ415" i="1"/>
  <c r="K416" i="1"/>
  <c r="Z416" i="1"/>
  <c r="AB416" i="1"/>
  <c r="AC416" i="1"/>
  <c r="AF416" i="1"/>
  <c r="AG416" i="1"/>
  <c r="AH416" i="1"/>
  <c r="AJ416" i="1"/>
  <c r="AK416" i="1"/>
  <c r="AL416" i="1"/>
  <c r="AO416" i="1"/>
  <c r="AP416" i="1"/>
  <c r="AW416" i="1"/>
  <c r="BC416" i="1" s="1"/>
  <c r="AX416" i="1"/>
  <c r="BD416" i="1"/>
  <c r="BF416" i="1"/>
  <c r="BH416" i="1"/>
  <c r="AD416" i="1" s="1"/>
  <c r="BI416" i="1"/>
  <c r="AE416" i="1" s="1"/>
  <c r="BJ416" i="1"/>
  <c r="K417" i="1"/>
  <c r="AL417" i="1" s="1"/>
  <c r="Z417" i="1"/>
  <c r="AB417" i="1"/>
  <c r="AC417" i="1"/>
  <c r="AF417" i="1"/>
  <c r="AG417" i="1"/>
  <c r="AH417" i="1"/>
  <c r="AJ417" i="1"/>
  <c r="AK417" i="1"/>
  <c r="AO417" i="1"/>
  <c r="AW417" i="1" s="1"/>
  <c r="AP417" i="1"/>
  <c r="AX417" i="1"/>
  <c r="BD417" i="1"/>
  <c r="BF417" i="1"/>
  <c r="BH417" i="1"/>
  <c r="AD417" i="1" s="1"/>
  <c r="BI417" i="1"/>
  <c r="AE417" i="1" s="1"/>
  <c r="BJ417" i="1"/>
  <c r="K418" i="1"/>
  <c r="AL418" i="1" s="1"/>
  <c r="Z418" i="1"/>
  <c r="AB418" i="1"/>
  <c r="AC418" i="1"/>
  <c r="AF418" i="1"/>
  <c r="AG418" i="1"/>
  <c r="AH418" i="1"/>
  <c r="AJ418" i="1"/>
  <c r="AK418" i="1"/>
  <c r="AO418" i="1"/>
  <c r="AW418" i="1" s="1"/>
  <c r="AP418" i="1"/>
  <c r="AX418" i="1" s="1"/>
  <c r="BD418" i="1"/>
  <c r="BF418" i="1"/>
  <c r="BH418" i="1"/>
  <c r="AD418" i="1" s="1"/>
  <c r="BI418" i="1"/>
  <c r="AE418" i="1" s="1"/>
  <c r="BJ418" i="1"/>
  <c r="K419" i="1"/>
  <c r="Z419" i="1"/>
  <c r="AB419" i="1"/>
  <c r="AC419" i="1"/>
  <c r="AF419" i="1"/>
  <c r="AG419" i="1"/>
  <c r="AH419" i="1"/>
  <c r="AJ419" i="1"/>
  <c r="AK419" i="1"/>
  <c r="AL419" i="1"/>
  <c r="AO419" i="1"/>
  <c r="AP419" i="1"/>
  <c r="AX419" i="1" s="1"/>
  <c r="AV419" i="1" s="1"/>
  <c r="AW419" i="1"/>
  <c r="BD419" i="1"/>
  <c r="BF419" i="1"/>
  <c r="BH419" i="1"/>
  <c r="AD419" i="1" s="1"/>
  <c r="BI419" i="1"/>
  <c r="AE419" i="1" s="1"/>
  <c r="BJ419" i="1"/>
  <c r="K420" i="1"/>
  <c r="Z420" i="1"/>
  <c r="AB420" i="1"/>
  <c r="AC420" i="1"/>
  <c r="AF420" i="1"/>
  <c r="AG420" i="1"/>
  <c r="AH420" i="1"/>
  <c r="AJ420" i="1"/>
  <c r="AK420" i="1"/>
  <c r="AL420" i="1"/>
  <c r="AO420" i="1"/>
  <c r="AP420" i="1"/>
  <c r="AW420" i="1"/>
  <c r="BC420" i="1" s="1"/>
  <c r="AX420" i="1"/>
  <c r="BD420" i="1"/>
  <c r="BF420" i="1"/>
  <c r="BH420" i="1"/>
  <c r="AD420" i="1" s="1"/>
  <c r="BI420" i="1"/>
  <c r="AE420" i="1" s="1"/>
  <c r="BJ420" i="1"/>
  <c r="K421" i="1"/>
  <c r="AL421" i="1" s="1"/>
  <c r="Z421" i="1"/>
  <c r="AB421" i="1"/>
  <c r="AC421" i="1"/>
  <c r="AF421" i="1"/>
  <c r="AG421" i="1"/>
  <c r="AH421" i="1"/>
  <c r="AJ421" i="1"/>
  <c r="AK421" i="1"/>
  <c r="AO421" i="1"/>
  <c r="AW421" i="1" s="1"/>
  <c r="AP421" i="1"/>
  <c r="AX421" i="1"/>
  <c r="BD421" i="1"/>
  <c r="BF421" i="1"/>
  <c r="BH421" i="1"/>
  <c r="AD421" i="1" s="1"/>
  <c r="BI421" i="1"/>
  <c r="AE421" i="1" s="1"/>
  <c r="BJ421" i="1"/>
  <c r="K422" i="1"/>
  <c r="AL422" i="1" s="1"/>
  <c r="Z422" i="1"/>
  <c r="AB422" i="1"/>
  <c r="AC422" i="1"/>
  <c r="AF422" i="1"/>
  <c r="AG422" i="1"/>
  <c r="AH422" i="1"/>
  <c r="AJ422" i="1"/>
  <c r="AK422" i="1"/>
  <c r="AO422" i="1"/>
  <c r="AW422" i="1" s="1"/>
  <c r="AP422" i="1"/>
  <c r="AX422" i="1" s="1"/>
  <c r="BD422" i="1"/>
  <c r="BF422" i="1"/>
  <c r="BH422" i="1"/>
  <c r="AD422" i="1" s="1"/>
  <c r="BI422" i="1"/>
  <c r="AE422" i="1" s="1"/>
  <c r="BJ422" i="1"/>
  <c r="K423" i="1"/>
  <c r="Z423" i="1"/>
  <c r="AB423" i="1"/>
  <c r="AC423" i="1"/>
  <c r="AF423" i="1"/>
  <c r="AG423" i="1"/>
  <c r="AH423" i="1"/>
  <c r="AJ423" i="1"/>
  <c r="AK423" i="1"/>
  <c r="AL423" i="1"/>
  <c r="AO423" i="1"/>
  <c r="AP423" i="1"/>
  <c r="AX423" i="1" s="1"/>
  <c r="AV423" i="1" s="1"/>
  <c r="AW423" i="1"/>
  <c r="BD423" i="1"/>
  <c r="BF423" i="1"/>
  <c r="BH423" i="1"/>
  <c r="AD423" i="1" s="1"/>
  <c r="BI423" i="1"/>
  <c r="AE423" i="1" s="1"/>
  <c r="BJ423" i="1"/>
  <c r="K424" i="1"/>
  <c r="Z424" i="1"/>
  <c r="AB424" i="1"/>
  <c r="AC424" i="1"/>
  <c r="AF424" i="1"/>
  <c r="AG424" i="1"/>
  <c r="AH424" i="1"/>
  <c r="AJ424" i="1"/>
  <c r="AK424" i="1"/>
  <c r="AL424" i="1"/>
  <c r="AO424" i="1"/>
  <c r="AP424" i="1"/>
  <c r="AW424" i="1"/>
  <c r="BC424" i="1" s="1"/>
  <c r="AX424" i="1"/>
  <c r="BD424" i="1"/>
  <c r="BF424" i="1"/>
  <c r="BH424" i="1"/>
  <c r="AD424" i="1" s="1"/>
  <c r="BI424" i="1"/>
  <c r="AE424" i="1" s="1"/>
  <c r="BJ424" i="1"/>
  <c r="K425" i="1"/>
  <c r="AL425" i="1" s="1"/>
  <c r="Z425" i="1"/>
  <c r="AB425" i="1"/>
  <c r="AC425" i="1"/>
  <c r="AF425" i="1"/>
  <c r="AG425" i="1"/>
  <c r="AH425" i="1"/>
  <c r="AJ425" i="1"/>
  <c r="AK425" i="1"/>
  <c r="AO425" i="1"/>
  <c r="AW425" i="1" s="1"/>
  <c r="AP425" i="1"/>
  <c r="AX425" i="1"/>
  <c r="BD425" i="1"/>
  <c r="BF425" i="1"/>
  <c r="BH425" i="1"/>
  <c r="AD425" i="1" s="1"/>
  <c r="BI425" i="1"/>
  <c r="AE425" i="1" s="1"/>
  <c r="BJ425" i="1"/>
  <c r="K426" i="1"/>
  <c r="AL426" i="1" s="1"/>
  <c r="Z426" i="1"/>
  <c r="AB426" i="1"/>
  <c r="AC426" i="1"/>
  <c r="AF426" i="1"/>
  <c r="AG426" i="1"/>
  <c r="AH426" i="1"/>
  <c r="AJ426" i="1"/>
  <c r="AK426" i="1"/>
  <c r="AO426" i="1"/>
  <c r="AW426" i="1" s="1"/>
  <c r="AP426" i="1"/>
  <c r="AX426" i="1" s="1"/>
  <c r="BD426" i="1"/>
  <c r="BF426" i="1"/>
  <c r="BH426" i="1"/>
  <c r="AD426" i="1" s="1"/>
  <c r="BI426" i="1"/>
  <c r="AE426" i="1" s="1"/>
  <c r="BJ426" i="1"/>
  <c r="K427" i="1"/>
  <c r="Z427" i="1"/>
  <c r="AB427" i="1"/>
  <c r="AC427" i="1"/>
  <c r="AF427" i="1"/>
  <c r="AG427" i="1"/>
  <c r="AH427" i="1"/>
  <c r="AJ427" i="1"/>
  <c r="AK427" i="1"/>
  <c r="AL427" i="1"/>
  <c r="AO427" i="1"/>
  <c r="AP427" i="1"/>
  <c r="AX427" i="1" s="1"/>
  <c r="AV427" i="1" s="1"/>
  <c r="AW427" i="1"/>
  <c r="BD427" i="1"/>
  <c r="BF427" i="1"/>
  <c r="BH427" i="1"/>
  <c r="AD427" i="1" s="1"/>
  <c r="BI427" i="1"/>
  <c r="AE427" i="1" s="1"/>
  <c r="BJ427" i="1"/>
  <c r="K428" i="1"/>
  <c r="Z428" i="1"/>
  <c r="AB428" i="1"/>
  <c r="AC428" i="1"/>
  <c r="AF428" i="1"/>
  <c r="AG428" i="1"/>
  <c r="AH428" i="1"/>
  <c r="AJ428" i="1"/>
  <c r="AK428" i="1"/>
  <c r="AL428" i="1"/>
  <c r="AO428" i="1"/>
  <c r="AP428" i="1"/>
  <c r="AW428" i="1"/>
  <c r="BC428" i="1" s="1"/>
  <c r="AX428" i="1"/>
  <c r="BD428" i="1"/>
  <c r="BF428" i="1"/>
  <c r="BH428" i="1"/>
  <c r="AD428" i="1" s="1"/>
  <c r="BI428" i="1"/>
  <c r="AE428" i="1" s="1"/>
  <c r="BJ428" i="1"/>
  <c r="K429" i="1"/>
  <c r="AL429" i="1" s="1"/>
  <c r="Z429" i="1"/>
  <c r="AB429" i="1"/>
  <c r="AC429" i="1"/>
  <c r="AF429" i="1"/>
  <c r="AG429" i="1"/>
  <c r="AH429" i="1"/>
  <c r="AJ429" i="1"/>
  <c r="AK429" i="1"/>
  <c r="AO429" i="1"/>
  <c r="AW429" i="1" s="1"/>
  <c r="AP429" i="1"/>
  <c r="AX429" i="1"/>
  <c r="BD429" i="1"/>
  <c r="BF429" i="1"/>
  <c r="BH429" i="1"/>
  <c r="AD429" i="1" s="1"/>
  <c r="BI429" i="1"/>
  <c r="AE429" i="1" s="1"/>
  <c r="BJ429" i="1"/>
  <c r="K430" i="1"/>
  <c r="AL430" i="1" s="1"/>
  <c r="Z430" i="1"/>
  <c r="AB430" i="1"/>
  <c r="AC430" i="1"/>
  <c r="AF430" i="1"/>
  <c r="AG430" i="1"/>
  <c r="AH430" i="1"/>
  <c r="AJ430" i="1"/>
  <c r="AK430" i="1"/>
  <c r="AO430" i="1"/>
  <c r="AW430" i="1" s="1"/>
  <c r="AP430" i="1"/>
  <c r="AX430" i="1" s="1"/>
  <c r="BD430" i="1"/>
  <c r="BF430" i="1"/>
  <c r="BH430" i="1"/>
  <c r="AD430" i="1" s="1"/>
  <c r="BI430" i="1"/>
  <c r="AE430" i="1" s="1"/>
  <c r="BJ430" i="1"/>
  <c r="K431" i="1"/>
  <c r="Z431" i="1"/>
  <c r="AB431" i="1"/>
  <c r="AC431" i="1"/>
  <c r="AF431" i="1"/>
  <c r="AG431" i="1"/>
  <c r="AH431" i="1"/>
  <c r="AJ431" i="1"/>
  <c r="AK431" i="1"/>
  <c r="AL431" i="1"/>
  <c r="AO431" i="1"/>
  <c r="AP431" i="1"/>
  <c r="AX431" i="1" s="1"/>
  <c r="AV431" i="1" s="1"/>
  <c r="AW431" i="1"/>
  <c r="BD431" i="1"/>
  <c r="BF431" i="1"/>
  <c r="BH431" i="1"/>
  <c r="AD431" i="1" s="1"/>
  <c r="BI431" i="1"/>
  <c r="AE431" i="1" s="1"/>
  <c r="BJ431" i="1"/>
  <c r="K432" i="1"/>
  <c r="Z432" i="1"/>
  <c r="AB432" i="1"/>
  <c r="AC432" i="1"/>
  <c r="AF432" i="1"/>
  <c r="AG432" i="1"/>
  <c r="AH432" i="1"/>
  <c r="AJ432" i="1"/>
  <c r="AK432" i="1"/>
  <c r="AL432" i="1"/>
  <c r="AO432" i="1"/>
  <c r="AP432" i="1"/>
  <c r="AW432" i="1"/>
  <c r="BC432" i="1" s="1"/>
  <c r="AX432" i="1"/>
  <c r="BD432" i="1"/>
  <c r="BF432" i="1"/>
  <c r="BH432" i="1"/>
  <c r="AD432" i="1" s="1"/>
  <c r="BI432" i="1"/>
  <c r="AE432" i="1" s="1"/>
  <c r="BJ432" i="1"/>
  <c r="K433" i="1"/>
  <c r="AL433" i="1" s="1"/>
  <c r="Z433" i="1"/>
  <c r="AB433" i="1"/>
  <c r="AC433" i="1"/>
  <c r="AF433" i="1"/>
  <c r="AG433" i="1"/>
  <c r="AH433" i="1"/>
  <c r="AJ433" i="1"/>
  <c r="AK433" i="1"/>
  <c r="AO433" i="1"/>
  <c r="AW433" i="1" s="1"/>
  <c r="AP433" i="1"/>
  <c r="AX433" i="1"/>
  <c r="BD433" i="1"/>
  <c r="BF433" i="1"/>
  <c r="BH433" i="1"/>
  <c r="AD433" i="1" s="1"/>
  <c r="BI433" i="1"/>
  <c r="AE433" i="1" s="1"/>
  <c r="BJ433" i="1"/>
  <c r="K434" i="1"/>
  <c r="AL434" i="1" s="1"/>
  <c r="Z434" i="1"/>
  <c r="AB434" i="1"/>
  <c r="AC434" i="1"/>
  <c r="AF434" i="1"/>
  <c r="AG434" i="1"/>
  <c r="AH434" i="1"/>
  <c r="AJ434" i="1"/>
  <c r="AK434" i="1"/>
  <c r="AO434" i="1"/>
  <c r="AW434" i="1" s="1"/>
  <c r="AP434" i="1"/>
  <c r="AX434" i="1" s="1"/>
  <c r="BD434" i="1"/>
  <c r="BF434" i="1"/>
  <c r="BH434" i="1"/>
  <c r="AD434" i="1" s="1"/>
  <c r="BI434" i="1"/>
  <c r="AE434" i="1" s="1"/>
  <c r="BJ434" i="1"/>
  <c r="K435" i="1"/>
  <c r="Z435" i="1"/>
  <c r="AB435" i="1"/>
  <c r="AC435" i="1"/>
  <c r="AF435" i="1"/>
  <c r="AG435" i="1"/>
  <c r="AH435" i="1"/>
  <c r="AJ435" i="1"/>
  <c r="AK435" i="1"/>
  <c r="AL435" i="1"/>
  <c r="AO435" i="1"/>
  <c r="AP435" i="1"/>
  <c r="AX435" i="1" s="1"/>
  <c r="AV435" i="1" s="1"/>
  <c r="AW435" i="1"/>
  <c r="BD435" i="1"/>
  <c r="BF435" i="1"/>
  <c r="BH435" i="1"/>
  <c r="AD435" i="1" s="1"/>
  <c r="BI435" i="1"/>
  <c r="AE435" i="1" s="1"/>
  <c r="BJ435" i="1"/>
  <c r="K436" i="1"/>
  <c r="Z436" i="1"/>
  <c r="AB436" i="1"/>
  <c r="AC436" i="1"/>
  <c r="AF436" i="1"/>
  <c r="AG436" i="1"/>
  <c r="AH436" i="1"/>
  <c r="AJ436" i="1"/>
  <c r="AK436" i="1"/>
  <c r="AL436" i="1"/>
  <c r="AO436" i="1"/>
  <c r="AP436" i="1"/>
  <c r="AW436" i="1"/>
  <c r="BC436" i="1" s="1"/>
  <c r="AX436" i="1"/>
  <c r="BD436" i="1"/>
  <c r="BF436" i="1"/>
  <c r="BH436" i="1"/>
  <c r="AD436" i="1" s="1"/>
  <c r="BI436" i="1"/>
  <c r="AE436" i="1" s="1"/>
  <c r="BJ436" i="1"/>
  <c r="K437" i="1"/>
  <c r="AL437" i="1" s="1"/>
  <c r="Z437" i="1"/>
  <c r="AB437" i="1"/>
  <c r="AC437" i="1"/>
  <c r="AF437" i="1"/>
  <c r="AG437" i="1"/>
  <c r="AH437" i="1"/>
  <c r="AJ437" i="1"/>
  <c r="AK437" i="1"/>
  <c r="AO437" i="1"/>
  <c r="AW437" i="1" s="1"/>
  <c r="AP437" i="1"/>
  <c r="AX437" i="1"/>
  <c r="BD437" i="1"/>
  <c r="BF437" i="1"/>
  <c r="BH437" i="1"/>
  <c r="AD437" i="1" s="1"/>
  <c r="BI437" i="1"/>
  <c r="AE437" i="1" s="1"/>
  <c r="BJ437" i="1"/>
  <c r="K438" i="1"/>
  <c r="AL438" i="1" s="1"/>
  <c r="Z438" i="1"/>
  <c r="AB438" i="1"/>
  <c r="AC438" i="1"/>
  <c r="AF438" i="1"/>
  <c r="AG438" i="1"/>
  <c r="AH438" i="1"/>
  <c r="AJ438" i="1"/>
  <c r="AK438" i="1"/>
  <c r="AO438" i="1"/>
  <c r="AW438" i="1" s="1"/>
  <c r="AP438" i="1"/>
  <c r="AX438" i="1" s="1"/>
  <c r="BD438" i="1"/>
  <c r="BF438" i="1"/>
  <c r="BH438" i="1"/>
  <c r="AD438" i="1" s="1"/>
  <c r="BI438" i="1"/>
  <c r="AE438" i="1" s="1"/>
  <c r="BJ438" i="1"/>
  <c r="K439" i="1"/>
  <c r="Z439" i="1"/>
  <c r="AB439" i="1"/>
  <c r="AC439" i="1"/>
  <c r="AF439" i="1"/>
  <c r="AG439" i="1"/>
  <c r="AH439" i="1"/>
  <c r="AJ439" i="1"/>
  <c r="AK439" i="1"/>
  <c r="AL439" i="1"/>
  <c r="AO439" i="1"/>
  <c r="AP439" i="1"/>
  <c r="AX439" i="1" s="1"/>
  <c r="AV439" i="1" s="1"/>
  <c r="AW439" i="1"/>
  <c r="BD439" i="1"/>
  <c r="BF439" i="1"/>
  <c r="BH439" i="1"/>
  <c r="AD439" i="1" s="1"/>
  <c r="BI439" i="1"/>
  <c r="AE439" i="1" s="1"/>
  <c r="BJ439" i="1"/>
  <c r="K440" i="1"/>
  <c r="Z440" i="1"/>
  <c r="AB440" i="1"/>
  <c r="AC440" i="1"/>
  <c r="AF440" i="1"/>
  <c r="AG440" i="1"/>
  <c r="AH440" i="1"/>
  <c r="AJ440" i="1"/>
  <c r="AK440" i="1"/>
  <c r="AL440" i="1"/>
  <c r="AO440" i="1"/>
  <c r="AP440" i="1"/>
  <c r="AW440" i="1"/>
  <c r="BC440" i="1" s="1"/>
  <c r="AX440" i="1"/>
  <c r="BD440" i="1"/>
  <c r="BF440" i="1"/>
  <c r="BH440" i="1"/>
  <c r="AD440" i="1" s="1"/>
  <c r="BI440" i="1"/>
  <c r="AE440" i="1" s="1"/>
  <c r="BJ440" i="1"/>
  <c r="K441" i="1"/>
  <c r="AL441" i="1" s="1"/>
  <c r="Z441" i="1"/>
  <c r="AB441" i="1"/>
  <c r="AC441" i="1"/>
  <c r="AF441" i="1"/>
  <c r="AG441" i="1"/>
  <c r="AH441" i="1"/>
  <c r="AJ441" i="1"/>
  <c r="AK441" i="1"/>
  <c r="AO441" i="1"/>
  <c r="AW441" i="1" s="1"/>
  <c r="AP441" i="1"/>
  <c r="AX441" i="1"/>
  <c r="BD441" i="1"/>
  <c r="BF441" i="1"/>
  <c r="BH441" i="1"/>
  <c r="AD441" i="1" s="1"/>
  <c r="BI441" i="1"/>
  <c r="AE441" i="1" s="1"/>
  <c r="BJ441" i="1"/>
  <c r="K442" i="1"/>
  <c r="AL442" i="1" s="1"/>
  <c r="Z442" i="1"/>
  <c r="AB442" i="1"/>
  <c r="AC442" i="1"/>
  <c r="AF442" i="1"/>
  <c r="AG442" i="1"/>
  <c r="AH442" i="1"/>
  <c r="AJ442" i="1"/>
  <c r="AK442" i="1"/>
  <c r="AO442" i="1"/>
  <c r="AW442" i="1" s="1"/>
  <c r="AP442" i="1"/>
  <c r="AX442" i="1" s="1"/>
  <c r="BD442" i="1"/>
  <c r="BF442" i="1"/>
  <c r="BH442" i="1"/>
  <c r="AD442" i="1" s="1"/>
  <c r="BI442" i="1"/>
  <c r="AE442" i="1" s="1"/>
  <c r="BJ442" i="1"/>
  <c r="K443" i="1"/>
  <c r="Z443" i="1"/>
  <c r="AB443" i="1"/>
  <c r="AC443" i="1"/>
  <c r="AF443" i="1"/>
  <c r="AG443" i="1"/>
  <c r="AH443" i="1"/>
  <c r="AJ443" i="1"/>
  <c r="AK443" i="1"/>
  <c r="AL443" i="1"/>
  <c r="AO443" i="1"/>
  <c r="AP443" i="1"/>
  <c r="AX443" i="1" s="1"/>
  <c r="AW443" i="1"/>
  <c r="BD443" i="1"/>
  <c r="BF443" i="1"/>
  <c r="BH443" i="1"/>
  <c r="AD443" i="1" s="1"/>
  <c r="BI443" i="1"/>
  <c r="AE443" i="1" s="1"/>
  <c r="BJ443" i="1"/>
  <c r="K444" i="1"/>
  <c r="Z444" i="1"/>
  <c r="AB444" i="1"/>
  <c r="AC444" i="1"/>
  <c r="AF444" i="1"/>
  <c r="AG444" i="1"/>
  <c r="AH444" i="1"/>
  <c r="AJ444" i="1"/>
  <c r="AK444" i="1"/>
  <c r="AL444" i="1"/>
  <c r="AO444" i="1"/>
  <c r="AP444" i="1"/>
  <c r="AW444" i="1"/>
  <c r="BC444" i="1" s="1"/>
  <c r="AX444" i="1"/>
  <c r="BD444" i="1"/>
  <c r="BF444" i="1"/>
  <c r="BH444" i="1"/>
  <c r="AD444" i="1" s="1"/>
  <c r="BI444" i="1"/>
  <c r="AE444" i="1" s="1"/>
  <c r="BJ444" i="1"/>
  <c r="K445" i="1"/>
  <c r="AL445" i="1" s="1"/>
  <c r="Z445" i="1"/>
  <c r="AB445" i="1"/>
  <c r="AC445" i="1"/>
  <c r="AF445" i="1"/>
  <c r="AG445" i="1"/>
  <c r="AH445" i="1"/>
  <c r="AJ445" i="1"/>
  <c r="AK445" i="1"/>
  <c r="AO445" i="1"/>
  <c r="AW445" i="1" s="1"/>
  <c r="AP445" i="1"/>
  <c r="AX445" i="1"/>
  <c r="BD445" i="1"/>
  <c r="BF445" i="1"/>
  <c r="BH445" i="1"/>
  <c r="AD445" i="1" s="1"/>
  <c r="BI445" i="1"/>
  <c r="AE445" i="1" s="1"/>
  <c r="BJ445" i="1"/>
  <c r="K446" i="1"/>
  <c r="AL446" i="1" s="1"/>
  <c r="Z446" i="1"/>
  <c r="AB446" i="1"/>
  <c r="AC446" i="1"/>
  <c r="AF446" i="1"/>
  <c r="AG446" i="1"/>
  <c r="AH446" i="1"/>
  <c r="AJ446" i="1"/>
  <c r="AK446" i="1"/>
  <c r="AO446" i="1"/>
  <c r="AW446" i="1" s="1"/>
  <c r="AP446" i="1"/>
  <c r="AX446" i="1" s="1"/>
  <c r="BD446" i="1"/>
  <c r="BF446" i="1"/>
  <c r="BH446" i="1"/>
  <c r="AD446" i="1" s="1"/>
  <c r="BI446" i="1"/>
  <c r="AE446" i="1" s="1"/>
  <c r="BJ446" i="1"/>
  <c r="K447" i="1"/>
  <c r="Z447" i="1"/>
  <c r="AB447" i="1"/>
  <c r="AC447" i="1"/>
  <c r="AF447" i="1"/>
  <c r="AG447" i="1"/>
  <c r="AH447" i="1"/>
  <c r="AJ447" i="1"/>
  <c r="AK447" i="1"/>
  <c r="AL447" i="1"/>
  <c r="AO447" i="1"/>
  <c r="AP447" i="1"/>
  <c r="AX447" i="1" s="1"/>
  <c r="AW447" i="1"/>
  <c r="BD447" i="1"/>
  <c r="BF447" i="1"/>
  <c r="BH447" i="1"/>
  <c r="AD447" i="1" s="1"/>
  <c r="BI447" i="1"/>
  <c r="AE447" i="1" s="1"/>
  <c r="BJ447" i="1"/>
  <c r="K448" i="1"/>
  <c r="Z448" i="1"/>
  <c r="AB448" i="1"/>
  <c r="AC448" i="1"/>
  <c r="AF448" i="1"/>
  <c r="AG448" i="1"/>
  <c r="AH448" i="1"/>
  <c r="AJ448" i="1"/>
  <c r="AK448" i="1"/>
  <c r="AL448" i="1"/>
  <c r="AO448" i="1"/>
  <c r="AP448" i="1"/>
  <c r="AW448" i="1"/>
  <c r="BC448" i="1" s="1"/>
  <c r="AX448" i="1"/>
  <c r="BD448" i="1"/>
  <c r="BF448" i="1"/>
  <c r="BH448" i="1"/>
  <c r="AD448" i="1" s="1"/>
  <c r="BI448" i="1"/>
  <c r="AE448" i="1" s="1"/>
  <c r="BJ448" i="1"/>
  <c r="K449" i="1"/>
  <c r="AL449" i="1" s="1"/>
  <c r="Z449" i="1"/>
  <c r="AB449" i="1"/>
  <c r="AC449" i="1"/>
  <c r="AF449" i="1"/>
  <c r="AG449" i="1"/>
  <c r="AH449" i="1"/>
  <c r="AJ449" i="1"/>
  <c r="AK449" i="1"/>
  <c r="AO449" i="1"/>
  <c r="AW449" i="1" s="1"/>
  <c r="AP449" i="1"/>
  <c r="AX449" i="1"/>
  <c r="BD449" i="1"/>
  <c r="BF449" i="1"/>
  <c r="BH449" i="1"/>
  <c r="AD449" i="1" s="1"/>
  <c r="BI449" i="1"/>
  <c r="AE449" i="1" s="1"/>
  <c r="BJ449" i="1"/>
  <c r="K450" i="1"/>
  <c r="AL450" i="1" s="1"/>
  <c r="Z450" i="1"/>
  <c r="AB450" i="1"/>
  <c r="AC450" i="1"/>
  <c r="AF450" i="1"/>
  <c r="AG450" i="1"/>
  <c r="AH450" i="1"/>
  <c r="AJ450" i="1"/>
  <c r="AK450" i="1"/>
  <c r="AO450" i="1"/>
  <c r="AW450" i="1" s="1"/>
  <c r="AP450" i="1"/>
  <c r="AX450" i="1" s="1"/>
  <c r="BD450" i="1"/>
  <c r="BF450" i="1"/>
  <c r="BH450" i="1"/>
  <c r="AD450" i="1" s="1"/>
  <c r="BI450" i="1"/>
  <c r="AE450" i="1" s="1"/>
  <c r="BJ450" i="1"/>
  <c r="K451" i="1"/>
  <c r="Z451" i="1"/>
  <c r="AB451" i="1"/>
  <c r="AC451" i="1"/>
  <c r="AF451" i="1"/>
  <c r="AG451" i="1"/>
  <c r="AH451" i="1"/>
  <c r="AJ451" i="1"/>
  <c r="AK451" i="1"/>
  <c r="AL451" i="1"/>
  <c r="AO451" i="1"/>
  <c r="AP451" i="1"/>
  <c r="AX451" i="1" s="1"/>
  <c r="AW451" i="1"/>
  <c r="BD451" i="1"/>
  <c r="BF451" i="1"/>
  <c r="BH451" i="1"/>
  <c r="AD451" i="1" s="1"/>
  <c r="BI451" i="1"/>
  <c r="AE451" i="1" s="1"/>
  <c r="BJ451" i="1"/>
  <c r="K452" i="1"/>
  <c r="Z452" i="1"/>
  <c r="AB452" i="1"/>
  <c r="AC452" i="1"/>
  <c r="AF452" i="1"/>
  <c r="AG452" i="1"/>
  <c r="AH452" i="1"/>
  <c r="AJ452" i="1"/>
  <c r="AK452" i="1"/>
  <c r="AL452" i="1"/>
  <c r="AO452" i="1"/>
  <c r="AP452" i="1"/>
  <c r="AW452" i="1"/>
  <c r="BC452" i="1" s="1"/>
  <c r="AX452" i="1"/>
  <c r="BD452" i="1"/>
  <c r="BF452" i="1"/>
  <c r="BH452" i="1"/>
  <c r="AD452" i="1" s="1"/>
  <c r="BI452" i="1"/>
  <c r="AE452" i="1" s="1"/>
  <c r="BJ452" i="1"/>
  <c r="K453" i="1"/>
  <c r="AL453" i="1" s="1"/>
  <c r="Z453" i="1"/>
  <c r="AB453" i="1"/>
  <c r="AC453" i="1"/>
  <c r="AF453" i="1"/>
  <c r="AG453" i="1"/>
  <c r="AH453" i="1"/>
  <c r="AJ453" i="1"/>
  <c r="AK453" i="1"/>
  <c r="AO453" i="1"/>
  <c r="AW453" i="1" s="1"/>
  <c r="AP453" i="1"/>
  <c r="AX453" i="1"/>
  <c r="BD453" i="1"/>
  <c r="BF453" i="1"/>
  <c r="BH453" i="1"/>
  <c r="AD453" i="1" s="1"/>
  <c r="BI453" i="1"/>
  <c r="AE453" i="1" s="1"/>
  <c r="BJ453" i="1"/>
  <c r="K454" i="1"/>
  <c r="AL454" i="1" s="1"/>
  <c r="Z454" i="1"/>
  <c r="AB454" i="1"/>
  <c r="AC454" i="1"/>
  <c r="AF454" i="1"/>
  <c r="AG454" i="1"/>
  <c r="AH454" i="1"/>
  <c r="AJ454" i="1"/>
  <c r="AK454" i="1"/>
  <c r="AO454" i="1"/>
  <c r="AW454" i="1" s="1"/>
  <c r="AP454" i="1"/>
  <c r="AX454" i="1" s="1"/>
  <c r="BD454" i="1"/>
  <c r="BF454" i="1"/>
  <c r="BH454" i="1"/>
  <c r="AD454" i="1" s="1"/>
  <c r="BI454" i="1"/>
  <c r="AE454" i="1" s="1"/>
  <c r="BJ454" i="1"/>
  <c r="K455" i="1"/>
  <c r="Z455" i="1"/>
  <c r="AB455" i="1"/>
  <c r="AC455" i="1"/>
  <c r="AF455" i="1"/>
  <c r="AG455" i="1"/>
  <c r="AH455" i="1"/>
  <c r="AJ455" i="1"/>
  <c r="AK455" i="1"/>
  <c r="AL455" i="1"/>
  <c r="AO455" i="1"/>
  <c r="AP455" i="1"/>
  <c r="AX455" i="1" s="1"/>
  <c r="AW455" i="1"/>
  <c r="BD455" i="1"/>
  <c r="BF455" i="1"/>
  <c r="BH455" i="1"/>
  <c r="AD455" i="1" s="1"/>
  <c r="BI455" i="1"/>
  <c r="AE455" i="1" s="1"/>
  <c r="BJ455" i="1"/>
  <c r="K456" i="1"/>
  <c r="Z456" i="1"/>
  <c r="AB456" i="1"/>
  <c r="AC456" i="1"/>
  <c r="AF456" i="1"/>
  <c r="AG456" i="1"/>
  <c r="AH456" i="1"/>
  <c r="AJ456" i="1"/>
  <c r="AK456" i="1"/>
  <c r="AL456" i="1"/>
  <c r="AO456" i="1"/>
  <c r="AP456" i="1"/>
  <c r="AW456" i="1"/>
  <c r="BC456" i="1" s="1"/>
  <c r="AX456" i="1"/>
  <c r="BD456" i="1"/>
  <c r="BF456" i="1"/>
  <c r="BH456" i="1"/>
  <c r="AD456" i="1" s="1"/>
  <c r="BI456" i="1"/>
  <c r="AE456" i="1" s="1"/>
  <c r="BJ456" i="1"/>
  <c r="K457" i="1"/>
  <c r="AL457" i="1" s="1"/>
  <c r="Z457" i="1"/>
  <c r="AB457" i="1"/>
  <c r="AC457" i="1"/>
  <c r="AF457" i="1"/>
  <c r="AG457" i="1"/>
  <c r="AH457" i="1"/>
  <c r="AJ457" i="1"/>
  <c r="AK457" i="1"/>
  <c r="AO457" i="1"/>
  <c r="AW457" i="1" s="1"/>
  <c r="AP457" i="1"/>
  <c r="AX457" i="1"/>
  <c r="BD457" i="1"/>
  <c r="BF457" i="1"/>
  <c r="BH457" i="1"/>
  <c r="AD457" i="1" s="1"/>
  <c r="BI457" i="1"/>
  <c r="AE457" i="1" s="1"/>
  <c r="BJ457" i="1"/>
  <c r="K458" i="1"/>
  <c r="AL458" i="1" s="1"/>
  <c r="Z458" i="1"/>
  <c r="AB458" i="1"/>
  <c r="AC458" i="1"/>
  <c r="AF458" i="1"/>
  <c r="AG458" i="1"/>
  <c r="AH458" i="1"/>
  <c r="AJ458" i="1"/>
  <c r="AK458" i="1"/>
  <c r="AO458" i="1"/>
  <c r="AW458" i="1" s="1"/>
  <c r="AP458" i="1"/>
  <c r="AX458" i="1" s="1"/>
  <c r="BD458" i="1"/>
  <c r="BF458" i="1"/>
  <c r="BH458" i="1"/>
  <c r="AD458" i="1" s="1"/>
  <c r="BI458" i="1"/>
  <c r="AE458" i="1" s="1"/>
  <c r="BJ458" i="1"/>
  <c r="K459" i="1"/>
  <c r="Z459" i="1"/>
  <c r="AB459" i="1"/>
  <c r="AC459" i="1"/>
  <c r="AF459" i="1"/>
  <c r="AG459" i="1"/>
  <c r="AH459" i="1"/>
  <c r="AJ459" i="1"/>
  <c r="AK459" i="1"/>
  <c r="AL459" i="1"/>
  <c r="AO459" i="1"/>
  <c r="AP459" i="1"/>
  <c r="AX459" i="1" s="1"/>
  <c r="AW459" i="1"/>
  <c r="BD459" i="1"/>
  <c r="BF459" i="1"/>
  <c r="BH459" i="1"/>
  <c r="AD459" i="1" s="1"/>
  <c r="BI459" i="1"/>
  <c r="AE459" i="1" s="1"/>
  <c r="BJ459" i="1"/>
  <c r="K460" i="1"/>
  <c r="Z460" i="1"/>
  <c r="AB460" i="1"/>
  <c r="AC460" i="1"/>
  <c r="AF460" i="1"/>
  <c r="AG460" i="1"/>
  <c r="AH460" i="1"/>
  <c r="AJ460" i="1"/>
  <c r="AK460" i="1"/>
  <c r="AL460" i="1"/>
  <c r="AO460" i="1"/>
  <c r="AP460" i="1"/>
  <c r="AW460" i="1"/>
  <c r="BC460" i="1" s="1"/>
  <c r="AX460" i="1"/>
  <c r="BD460" i="1"/>
  <c r="BF460" i="1"/>
  <c r="BH460" i="1"/>
  <c r="AD460" i="1" s="1"/>
  <c r="BI460" i="1"/>
  <c r="AE460" i="1" s="1"/>
  <c r="BJ460" i="1"/>
  <c r="K461" i="1"/>
  <c r="AL461" i="1" s="1"/>
  <c r="Z461" i="1"/>
  <c r="AB461" i="1"/>
  <c r="AC461" i="1"/>
  <c r="AF461" i="1"/>
  <c r="AG461" i="1"/>
  <c r="AH461" i="1"/>
  <c r="AJ461" i="1"/>
  <c r="AK461" i="1"/>
  <c r="AO461" i="1"/>
  <c r="AW461" i="1" s="1"/>
  <c r="AP461" i="1"/>
  <c r="AX461" i="1"/>
  <c r="BD461" i="1"/>
  <c r="BF461" i="1"/>
  <c r="BH461" i="1"/>
  <c r="AD461" i="1" s="1"/>
  <c r="BI461" i="1"/>
  <c r="AE461" i="1" s="1"/>
  <c r="BJ461" i="1"/>
  <c r="K462" i="1"/>
  <c r="AL462" i="1" s="1"/>
  <c r="Z462" i="1"/>
  <c r="AB462" i="1"/>
  <c r="AC462" i="1"/>
  <c r="AF462" i="1"/>
  <c r="AG462" i="1"/>
  <c r="AH462" i="1"/>
  <c r="AJ462" i="1"/>
  <c r="AK462" i="1"/>
  <c r="AO462" i="1"/>
  <c r="AW462" i="1" s="1"/>
  <c r="AP462" i="1"/>
  <c r="AX462" i="1" s="1"/>
  <c r="BD462" i="1"/>
  <c r="BF462" i="1"/>
  <c r="BH462" i="1"/>
  <c r="AD462" i="1" s="1"/>
  <c r="BI462" i="1"/>
  <c r="AE462" i="1" s="1"/>
  <c r="BJ462" i="1"/>
  <c r="K463" i="1"/>
  <c r="Z463" i="1"/>
  <c r="AB463" i="1"/>
  <c r="AC463" i="1"/>
  <c r="AF463" i="1"/>
  <c r="AG463" i="1"/>
  <c r="AH463" i="1"/>
  <c r="AJ463" i="1"/>
  <c r="AK463" i="1"/>
  <c r="AL463" i="1"/>
  <c r="AO463" i="1"/>
  <c r="AP463" i="1"/>
  <c r="AX463" i="1" s="1"/>
  <c r="AW463" i="1"/>
  <c r="BD463" i="1"/>
  <c r="BF463" i="1"/>
  <c r="BH463" i="1"/>
  <c r="AD463" i="1" s="1"/>
  <c r="BI463" i="1"/>
  <c r="AE463" i="1" s="1"/>
  <c r="BJ463" i="1"/>
  <c r="K464" i="1"/>
  <c r="Z464" i="1"/>
  <c r="AB464" i="1"/>
  <c r="AC464" i="1"/>
  <c r="AF464" i="1"/>
  <c r="AG464" i="1"/>
  <c r="AH464" i="1"/>
  <c r="AJ464" i="1"/>
  <c r="AK464" i="1"/>
  <c r="AL464" i="1"/>
  <c r="AO464" i="1"/>
  <c r="AP464" i="1"/>
  <c r="AW464" i="1"/>
  <c r="BC464" i="1" s="1"/>
  <c r="AX464" i="1"/>
  <c r="BD464" i="1"/>
  <c r="BF464" i="1"/>
  <c r="BH464" i="1"/>
  <c r="AD464" i="1" s="1"/>
  <c r="BI464" i="1"/>
  <c r="AE464" i="1" s="1"/>
  <c r="BJ464" i="1"/>
  <c r="K465" i="1"/>
  <c r="AL465" i="1" s="1"/>
  <c r="Z465" i="1"/>
  <c r="AB465" i="1"/>
  <c r="AC465" i="1"/>
  <c r="AF465" i="1"/>
  <c r="AG465" i="1"/>
  <c r="AH465" i="1"/>
  <c r="AJ465" i="1"/>
  <c r="AK465" i="1"/>
  <c r="AO465" i="1"/>
  <c r="AW465" i="1" s="1"/>
  <c r="AP465" i="1"/>
  <c r="AX465" i="1"/>
  <c r="BD465" i="1"/>
  <c r="BF465" i="1"/>
  <c r="BH465" i="1"/>
  <c r="AD465" i="1" s="1"/>
  <c r="BI465" i="1"/>
  <c r="AE465" i="1" s="1"/>
  <c r="BJ465" i="1"/>
  <c r="K466" i="1"/>
  <c r="AL466" i="1" s="1"/>
  <c r="Z466" i="1"/>
  <c r="AB466" i="1"/>
  <c r="AC466" i="1"/>
  <c r="AF466" i="1"/>
  <c r="AG466" i="1"/>
  <c r="AH466" i="1"/>
  <c r="AJ466" i="1"/>
  <c r="AK466" i="1"/>
  <c r="AO466" i="1"/>
  <c r="AW466" i="1" s="1"/>
  <c r="AP466" i="1"/>
  <c r="AX466" i="1" s="1"/>
  <c r="BD466" i="1"/>
  <c r="BF466" i="1"/>
  <c r="BH466" i="1"/>
  <c r="AD466" i="1" s="1"/>
  <c r="BI466" i="1"/>
  <c r="AE466" i="1" s="1"/>
  <c r="BJ466" i="1"/>
  <c r="K467" i="1"/>
  <c r="Z467" i="1"/>
  <c r="AB467" i="1"/>
  <c r="AC467" i="1"/>
  <c r="AF467" i="1"/>
  <c r="AG467" i="1"/>
  <c r="AH467" i="1"/>
  <c r="AJ467" i="1"/>
  <c r="AK467" i="1"/>
  <c r="AL467" i="1"/>
  <c r="AO467" i="1"/>
  <c r="AP467" i="1"/>
  <c r="AX467" i="1" s="1"/>
  <c r="AW467" i="1"/>
  <c r="BD467" i="1"/>
  <c r="BF467" i="1"/>
  <c r="BH467" i="1"/>
  <c r="AD467" i="1" s="1"/>
  <c r="BI467" i="1"/>
  <c r="AE467" i="1" s="1"/>
  <c r="BJ467" i="1"/>
  <c r="K468" i="1"/>
  <c r="Z468" i="1"/>
  <c r="AB468" i="1"/>
  <c r="AC468" i="1"/>
  <c r="AF468" i="1"/>
  <c r="AG468" i="1"/>
  <c r="AH468" i="1"/>
  <c r="AJ468" i="1"/>
  <c r="AK468" i="1"/>
  <c r="AL468" i="1"/>
  <c r="AO468" i="1"/>
  <c r="AP468" i="1"/>
  <c r="AW468" i="1"/>
  <c r="BC468" i="1" s="1"/>
  <c r="AX468" i="1"/>
  <c r="BD468" i="1"/>
  <c r="BF468" i="1"/>
  <c r="BH468" i="1"/>
  <c r="AD468" i="1" s="1"/>
  <c r="BI468" i="1"/>
  <c r="AE468" i="1" s="1"/>
  <c r="BJ468" i="1"/>
  <c r="K469" i="1"/>
  <c r="AL469" i="1" s="1"/>
  <c r="Z469" i="1"/>
  <c r="AB469" i="1"/>
  <c r="AC469" i="1"/>
  <c r="AF469" i="1"/>
  <c r="AG469" i="1"/>
  <c r="AH469" i="1"/>
  <c r="AJ469" i="1"/>
  <c r="AK469" i="1"/>
  <c r="AO469" i="1"/>
  <c r="AW469" i="1" s="1"/>
  <c r="AP469" i="1"/>
  <c r="AX469" i="1"/>
  <c r="BD469" i="1"/>
  <c r="BF469" i="1"/>
  <c r="BH469" i="1"/>
  <c r="AD469" i="1" s="1"/>
  <c r="BI469" i="1"/>
  <c r="AE469" i="1" s="1"/>
  <c r="BJ469" i="1"/>
  <c r="K470" i="1"/>
  <c r="AL470" i="1" s="1"/>
  <c r="Z470" i="1"/>
  <c r="AB470" i="1"/>
  <c r="AC470" i="1"/>
  <c r="AF470" i="1"/>
  <c r="AG470" i="1"/>
  <c r="AH470" i="1"/>
  <c r="AJ470" i="1"/>
  <c r="AK470" i="1"/>
  <c r="AO470" i="1"/>
  <c r="AW470" i="1" s="1"/>
  <c r="AP470" i="1"/>
  <c r="AX470" i="1" s="1"/>
  <c r="BD470" i="1"/>
  <c r="BF470" i="1"/>
  <c r="BH470" i="1"/>
  <c r="AD470" i="1" s="1"/>
  <c r="BI470" i="1"/>
  <c r="AE470" i="1" s="1"/>
  <c r="BJ470" i="1"/>
  <c r="K471" i="1"/>
  <c r="Z471" i="1"/>
  <c r="AB471" i="1"/>
  <c r="AC471" i="1"/>
  <c r="AF471" i="1"/>
  <c r="AG471" i="1"/>
  <c r="AH471" i="1"/>
  <c r="AJ471" i="1"/>
  <c r="AK471" i="1"/>
  <c r="AL471" i="1"/>
  <c r="AO471" i="1"/>
  <c r="AP471" i="1"/>
  <c r="AX471" i="1" s="1"/>
  <c r="AW471" i="1"/>
  <c r="BD471" i="1"/>
  <c r="BF471" i="1"/>
  <c r="BH471" i="1"/>
  <c r="AD471" i="1" s="1"/>
  <c r="BI471" i="1"/>
  <c r="AE471" i="1" s="1"/>
  <c r="BJ471" i="1"/>
  <c r="K472" i="1"/>
  <c r="Z472" i="1"/>
  <c r="AB472" i="1"/>
  <c r="AC472" i="1"/>
  <c r="AF472" i="1"/>
  <c r="AG472" i="1"/>
  <c r="AH472" i="1"/>
  <c r="AJ472" i="1"/>
  <c r="AK472" i="1"/>
  <c r="AL472" i="1"/>
  <c r="AO472" i="1"/>
  <c r="AP472" i="1"/>
  <c r="AW472" i="1"/>
  <c r="BC472" i="1" s="1"/>
  <c r="AX472" i="1"/>
  <c r="BD472" i="1"/>
  <c r="BF472" i="1"/>
  <c r="BH472" i="1"/>
  <c r="AD472" i="1" s="1"/>
  <c r="BI472" i="1"/>
  <c r="AE472" i="1" s="1"/>
  <c r="BJ472" i="1"/>
  <c r="K473" i="1"/>
  <c r="AL473" i="1" s="1"/>
  <c r="Z473" i="1"/>
  <c r="AB473" i="1"/>
  <c r="AC473" i="1"/>
  <c r="AF473" i="1"/>
  <c r="AG473" i="1"/>
  <c r="AH473" i="1"/>
  <c r="AJ473" i="1"/>
  <c r="AK473" i="1"/>
  <c r="AO473" i="1"/>
  <c r="AW473" i="1" s="1"/>
  <c r="AP473" i="1"/>
  <c r="AX473" i="1"/>
  <c r="BD473" i="1"/>
  <c r="BF473" i="1"/>
  <c r="BH473" i="1"/>
  <c r="AD473" i="1" s="1"/>
  <c r="BI473" i="1"/>
  <c r="AE473" i="1" s="1"/>
  <c r="BJ473" i="1"/>
  <c r="K474" i="1"/>
  <c r="AL474" i="1" s="1"/>
  <c r="Z474" i="1"/>
  <c r="AB474" i="1"/>
  <c r="AC474" i="1"/>
  <c r="AF474" i="1"/>
  <c r="AG474" i="1"/>
  <c r="AH474" i="1"/>
  <c r="AJ474" i="1"/>
  <c r="AK474" i="1"/>
  <c r="AO474" i="1"/>
  <c r="AW474" i="1" s="1"/>
  <c r="AP474" i="1"/>
  <c r="AX474" i="1" s="1"/>
  <c r="BD474" i="1"/>
  <c r="BF474" i="1"/>
  <c r="BH474" i="1"/>
  <c r="AD474" i="1" s="1"/>
  <c r="BI474" i="1"/>
  <c r="AE474" i="1" s="1"/>
  <c r="BJ474" i="1"/>
  <c r="K475" i="1"/>
  <c r="Z475" i="1"/>
  <c r="AB475" i="1"/>
  <c r="AC475" i="1"/>
  <c r="AF475" i="1"/>
  <c r="AG475" i="1"/>
  <c r="AH475" i="1"/>
  <c r="AJ475" i="1"/>
  <c r="AK475" i="1"/>
  <c r="AL475" i="1"/>
  <c r="AO475" i="1"/>
  <c r="AP475" i="1"/>
  <c r="AX475" i="1" s="1"/>
  <c r="AW475" i="1"/>
  <c r="BD475" i="1"/>
  <c r="BF475" i="1"/>
  <c r="BH475" i="1"/>
  <c r="AD475" i="1" s="1"/>
  <c r="BI475" i="1"/>
  <c r="AE475" i="1" s="1"/>
  <c r="BJ475" i="1"/>
  <c r="K476" i="1"/>
  <c r="Z476" i="1"/>
  <c r="AB476" i="1"/>
  <c r="AC476" i="1"/>
  <c r="AF476" i="1"/>
  <c r="AG476" i="1"/>
  <c r="AH476" i="1"/>
  <c r="AJ476" i="1"/>
  <c r="AK476" i="1"/>
  <c r="AL476" i="1"/>
  <c r="AO476" i="1"/>
  <c r="AP476" i="1"/>
  <c r="AW476" i="1"/>
  <c r="BC476" i="1" s="1"/>
  <c r="AX476" i="1"/>
  <c r="BD476" i="1"/>
  <c r="BF476" i="1"/>
  <c r="BH476" i="1"/>
  <c r="AD476" i="1" s="1"/>
  <c r="BI476" i="1"/>
  <c r="AE476" i="1" s="1"/>
  <c r="BJ476" i="1"/>
  <c r="K477" i="1"/>
  <c r="AL477" i="1" s="1"/>
  <c r="Z477" i="1"/>
  <c r="AB477" i="1"/>
  <c r="AC477" i="1"/>
  <c r="AF477" i="1"/>
  <c r="AG477" i="1"/>
  <c r="AH477" i="1"/>
  <c r="AJ477" i="1"/>
  <c r="AK477" i="1"/>
  <c r="AO477" i="1"/>
  <c r="AW477" i="1" s="1"/>
  <c r="AP477" i="1"/>
  <c r="AX477" i="1"/>
  <c r="BD477" i="1"/>
  <c r="BF477" i="1"/>
  <c r="BH477" i="1"/>
  <c r="AD477" i="1" s="1"/>
  <c r="BI477" i="1"/>
  <c r="AE477" i="1" s="1"/>
  <c r="BJ477" i="1"/>
  <c r="K478" i="1"/>
  <c r="AL478" i="1" s="1"/>
  <c r="Z478" i="1"/>
  <c r="AB478" i="1"/>
  <c r="AC478" i="1"/>
  <c r="AF478" i="1"/>
  <c r="AG478" i="1"/>
  <c r="AH478" i="1"/>
  <c r="AJ478" i="1"/>
  <c r="AK478" i="1"/>
  <c r="AO478" i="1"/>
  <c r="AW478" i="1" s="1"/>
  <c r="AP478" i="1"/>
  <c r="AX478" i="1" s="1"/>
  <c r="BD478" i="1"/>
  <c r="BF478" i="1"/>
  <c r="BH478" i="1"/>
  <c r="AD478" i="1" s="1"/>
  <c r="BI478" i="1"/>
  <c r="AE478" i="1" s="1"/>
  <c r="BJ478" i="1"/>
  <c r="K479" i="1"/>
  <c r="Z479" i="1"/>
  <c r="AB479" i="1"/>
  <c r="AC479" i="1"/>
  <c r="AF479" i="1"/>
  <c r="AG479" i="1"/>
  <c r="AH479" i="1"/>
  <c r="AJ479" i="1"/>
  <c r="AK479" i="1"/>
  <c r="AL479" i="1"/>
  <c r="AO479" i="1"/>
  <c r="AP479" i="1"/>
  <c r="AX479" i="1" s="1"/>
  <c r="AW479" i="1"/>
  <c r="BD479" i="1"/>
  <c r="BF479" i="1"/>
  <c r="BH479" i="1"/>
  <c r="AD479" i="1" s="1"/>
  <c r="BI479" i="1"/>
  <c r="AE479" i="1" s="1"/>
  <c r="BJ479" i="1"/>
  <c r="K480" i="1"/>
  <c r="Z480" i="1"/>
  <c r="AB480" i="1"/>
  <c r="AC480" i="1"/>
  <c r="AF480" i="1"/>
  <c r="AG480" i="1"/>
  <c r="AH480" i="1"/>
  <c r="AJ480" i="1"/>
  <c r="AK480" i="1"/>
  <c r="AL480" i="1"/>
  <c r="AO480" i="1"/>
  <c r="AP480" i="1"/>
  <c r="AW480" i="1"/>
  <c r="BC480" i="1" s="1"/>
  <c r="AX480" i="1"/>
  <c r="BD480" i="1"/>
  <c r="BF480" i="1"/>
  <c r="BH480" i="1"/>
  <c r="AD480" i="1" s="1"/>
  <c r="BI480" i="1"/>
  <c r="AE480" i="1" s="1"/>
  <c r="BJ480" i="1"/>
  <c r="K481" i="1"/>
  <c r="AL481" i="1" s="1"/>
  <c r="Z481" i="1"/>
  <c r="AB481" i="1"/>
  <c r="AC481" i="1"/>
  <c r="AF481" i="1"/>
  <c r="AG481" i="1"/>
  <c r="AH481" i="1"/>
  <c r="AJ481" i="1"/>
  <c r="AK481" i="1"/>
  <c r="AO481" i="1"/>
  <c r="AW481" i="1" s="1"/>
  <c r="AP481" i="1"/>
  <c r="AX481" i="1"/>
  <c r="BD481" i="1"/>
  <c r="BF481" i="1"/>
  <c r="BH481" i="1"/>
  <c r="AD481" i="1" s="1"/>
  <c r="BI481" i="1"/>
  <c r="AE481" i="1" s="1"/>
  <c r="BJ481" i="1"/>
  <c r="K482" i="1"/>
  <c r="AL482" i="1" s="1"/>
  <c r="Z482" i="1"/>
  <c r="AB482" i="1"/>
  <c r="AC482" i="1"/>
  <c r="AF482" i="1"/>
  <c r="AG482" i="1"/>
  <c r="AH482" i="1"/>
  <c r="AJ482" i="1"/>
  <c r="AK482" i="1"/>
  <c r="AO482" i="1"/>
  <c r="AW482" i="1" s="1"/>
  <c r="AP482" i="1"/>
  <c r="AX482" i="1" s="1"/>
  <c r="BD482" i="1"/>
  <c r="BF482" i="1"/>
  <c r="BH482" i="1"/>
  <c r="AD482" i="1" s="1"/>
  <c r="BI482" i="1"/>
  <c r="AE482" i="1" s="1"/>
  <c r="BJ482" i="1"/>
  <c r="K483" i="1"/>
  <c r="Z483" i="1"/>
  <c r="AB483" i="1"/>
  <c r="AC483" i="1"/>
  <c r="AF483" i="1"/>
  <c r="AG483" i="1"/>
  <c r="AH483" i="1"/>
  <c r="AJ483" i="1"/>
  <c r="AK483" i="1"/>
  <c r="AL483" i="1"/>
  <c r="AO483" i="1"/>
  <c r="AP483" i="1"/>
  <c r="AX483" i="1" s="1"/>
  <c r="AW483" i="1"/>
  <c r="BD483" i="1"/>
  <c r="BF483" i="1"/>
  <c r="BH483" i="1"/>
  <c r="AD483" i="1" s="1"/>
  <c r="BI483" i="1"/>
  <c r="AE483" i="1" s="1"/>
  <c r="BJ483" i="1"/>
  <c r="K484" i="1"/>
  <c r="Z484" i="1"/>
  <c r="AB484" i="1"/>
  <c r="AC484" i="1"/>
  <c r="AF484" i="1"/>
  <c r="AG484" i="1"/>
  <c r="AH484" i="1"/>
  <c r="AJ484" i="1"/>
  <c r="AK484" i="1"/>
  <c r="AL484" i="1"/>
  <c r="AO484" i="1"/>
  <c r="AP484" i="1"/>
  <c r="AW484" i="1"/>
  <c r="BC484" i="1" s="1"/>
  <c r="AX484" i="1"/>
  <c r="BD484" i="1"/>
  <c r="BF484" i="1"/>
  <c r="BH484" i="1"/>
  <c r="AD484" i="1" s="1"/>
  <c r="BI484" i="1"/>
  <c r="AE484" i="1" s="1"/>
  <c r="BJ484" i="1"/>
  <c r="K485" i="1"/>
  <c r="AL485" i="1" s="1"/>
  <c r="Z485" i="1"/>
  <c r="AB485" i="1"/>
  <c r="AC485" i="1"/>
  <c r="AF485" i="1"/>
  <c r="AG485" i="1"/>
  <c r="AH485" i="1"/>
  <c r="AJ485" i="1"/>
  <c r="AK485" i="1"/>
  <c r="AO485" i="1"/>
  <c r="AW485" i="1" s="1"/>
  <c r="AP485" i="1"/>
  <c r="AX485" i="1"/>
  <c r="BD485" i="1"/>
  <c r="BF485" i="1"/>
  <c r="BH485" i="1"/>
  <c r="AD485" i="1" s="1"/>
  <c r="BI485" i="1"/>
  <c r="AE485" i="1" s="1"/>
  <c r="BJ485" i="1"/>
  <c r="K486" i="1"/>
  <c r="AL486" i="1" s="1"/>
  <c r="Z486" i="1"/>
  <c r="AB486" i="1"/>
  <c r="AC486" i="1"/>
  <c r="AF486" i="1"/>
  <c r="AG486" i="1"/>
  <c r="AH486" i="1"/>
  <c r="AJ486" i="1"/>
  <c r="AK486" i="1"/>
  <c r="AO486" i="1"/>
  <c r="AW486" i="1" s="1"/>
  <c r="AP486" i="1"/>
  <c r="AX486" i="1" s="1"/>
  <c r="BD486" i="1"/>
  <c r="BF486" i="1"/>
  <c r="BH486" i="1"/>
  <c r="AD486" i="1" s="1"/>
  <c r="BI486" i="1"/>
  <c r="AE486" i="1" s="1"/>
  <c r="BJ486" i="1"/>
  <c r="K487" i="1"/>
  <c r="Z487" i="1"/>
  <c r="AB487" i="1"/>
  <c r="AC487" i="1"/>
  <c r="AF487" i="1"/>
  <c r="AG487" i="1"/>
  <c r="AH487" i="1"/>
  <c r="AJ487" i="1"/>
  <c r="AK487" i="1"/>
  <c r="AL487" i="1"/>
  <c r="AO487" i="1"/>
  <c r="AP487" i="1"/>
  <c r="AX487" i="1" s="1"/>
  <c r="AW487" i="1"/>
  <c r="BD487" i="1"/>
  <c r="BF487" i="1"/>
  <c r="BH487" i="1"/>
  <c r="AD487" i="1" s="1"/>
  <c r="BI487" i="1"/>
  <c r="AE487" i="1" s="1"/>
  <c r="BJ487" i="1"/>
  <c r="K488" i="1"/>
  <c r="Z488" i="1"/>
  <c r="AB488" i="1"/>
  <c r="AC488" i="1"/>
  <c r="AF488" i="1"/>
  <c r="AG488" i="1"/>
  <c r="AH488" i="1"/>
  <c r="AJ488" i="1"/>
  <c r="AK488" i="1"/>
  <c r="AL488" i="1"/>
  <c r="AO488" i="1"/>
  <c r="AP488" i="1"/>
  <c r="AW488" i="1"/>
  <c r="BC488" i="1" s="1"/>
  <c r="AX488" i="1"/>
  <c r="BD488" i="1"/>
  <c r="BF488" i="1"/>
  <c r="BH488" i="1"/>
  <c r="AD488" i="1" s="1"/>
  <c r="BI488" i="1"/>
  <c r="AE488" i="1" s="1"/>
  <c r="BJ488" i="1"/>
  <c r="K489" i="1"/>
  <c r="AL489" i="1" s="1"/>
  <c r="Z489" i="1"/>
  <c r="AB489" i="1"/>
  <c r="AC489" i="1"/>
  <c r="AF489" i="1"/>
  <c r="AG489" i="1"/>
  <c r="AH489" i="1"/>
  <c r="AJ489" i="1"/>
  <c r="AK489" i="1"/>
  <c r="AO489" i="1"/>
  <c r="AW489" i="1" s="1"/>
  <c r="AP489" i="1"/>
  <c r="AX489" i="1"/>
  <c r="BD489" i="1"/>
  <c r="BF489" i="1"/>
  <c r="BH489" i="1"/>
  <c r="AD489" i="1" s="1"/>
  <c r="BI489" i="1"/>
  <c r="AE489" i="1" s="1"/>
  <c r="BJ489" i="1"/>
  <c r="K490" i="1"/>
  <c r="AL490" i="1" s="1"/>
  <c r="Z490" i="1"/>
  <c r="AB490" i="1"/>
  <c r="AC490" i="1"/>
  <c r="AF490" i="1"/>
  <c r="AG490" i="1"/>
  <c r="AH490" i="1"/>
  <c r="AJ490" i="1"/>
  <c r="AK490" i="1"/>
  <c r="AO490" i="1"/>
  <c r="AW490" i="1" s="1"/>
  <c r="AP490" i="1"/>
  <c r="AX490" i="1" s="1"/>
  <c r="BD490" i="1"/>
  <c r="BF490" i="1"/>
  <c r="BH490" i="1"/>
  <c r="AD490" i="1" s="1"/>
  <c r="BI490" i="1"/>
  <c r="AE490" i="1" s="1"/>
  <c r="BJ490" i="1"/>
  <c r="K491" i="1"/>
  <c r="Z491" i="1"/>
  <c r="AB491" i="1"/>
  <c r="AC491" i="1"/>
  <c r="AF491" i="1"/>
  <c r="AG491" i="1"/>
  <c r="AH491" i="1"/>
  <c r="AJ491" i="1"/>
  <c r="AK491" i="1"/>
  <c r="AL491" i="1"/>
  <c r="AO491" i="1"/>
  <c r="AP491" i="1"/>
  <c r="AX491" i="1" s="1"/>
  <c r="AW491" i="1"/>
  <c r="BD491" i="1"/>
  <c r="BF491" i="1"/>
  <c r="BH491" i="1"/>
  <c r="AD491" i="1" s="1"/>
  <c r="BI491" i="1"/>
  <c r="AE491" i="1" s="1"/>
  <c r="BJ491" i="1"/>
  <c r="K492" i="1"/>
  <c r="Z492" i="1"/>
  <c r="AB492" i="1"/>
  <c r="AC492" i="1"/>
  <c r="AF492" i="1"/>
  <c r="AG492" i="1"/>
  <c r="AH492" i="1"/>
  <c r="AJ492" i="1"/>
  <c r="AK492" i="1"/>
  <c r="AL492" i="1"/>
  <c r="AO492" i="1"/>
  <c r="AP492" i="1"/>
  <c r="AW492" i="1"/>
  <c r="BC492" i="1" s="1"/>
  <c r="AX492" i="1"/>
  <c r="BD492" i="1"/>
  <c r="BF492" i="1"/>
  <c r="BH492" i="1"/>
  <c r="AD492" i="1" s="1"/>
  <c r="BI492" i="1"/>
  <c r="AE492" i="1" s="1"/>
  <c r="BJ492" i="1"/>
  <c r="K493" i="1"/>
  <c r="AL493" i="1" s="1"/>
  <c r="Z493" i="1"/>
  <c r="AB493" i="1"/>
  <c r="AC493" i="1"/>
  <c r="AF493" i="1"/>
  <c r="AG493" i="1"/>
  <c r="AH493" i="1"/>
  <c r="AJ493" i="1"/>
  <c r="AK493" i="1"/>
  <c r="AO493" i="1"/>
  <c r="AW493" i="1" s="1"/>
  <c r="AP493" i="1"/>
  <c r="AX493" i="1"/>
  <c r="BD493" i="1"/>
  <c r="BF493" i="1"/>
  <c r="BH493" i="1"/>
  <c r="AD493" i="1" s="1"/>
  <c r="BI493" i="1"/>
  <c r="AE493" i="1" s="1"/>
  <c r="BJ493" i="1"/>
  <c r="K494" i="1"/>
  <c r="AL494" i="1" s="1"/>
  <c r="Z494" i="1"/>
  <c r="AB494" i="1"/>
  <c r="AC494" i="1"/>
  <c r="AF494" i="1"/>
  <c r="AG494" i="1"/>
  <c r="AH494" i="1"/>
  <c r="AJ494" i="1"/>
  <c r="AK494" i="1"/>
  <c r="AO494" i="1"/>
  <c r="AW494" i="1" s="1"/>
  <c r="AP494" i="1"/>
  <c r="AX494" i="1" s="1"/>
  <c r="BD494" i="1"/>
  <c r="BF494" i="1"/>
  <c r="BH494" i="1"/>
  <c r="AD494" i="1" s="1"/>
  <c r="BI494" i="1"/>
  <c r="AE494" i="1" s="1"/>
  <c r="BJ494" i="1"/>
  <c r="K495" i="1"/>
  <c r="Z495" i="1"/>
  <c r="AB495" i="1"/>
  <c r="AC495" i="1"/>
  <c r="AF495" i="1"/>
  <c r="AG495" i="1"/>
  <c r="AH495" i="1"/>
  <c r="AJ495" i="1"/>
  <c r="AK495" i="1"/>
  <c r="AL495" i="1"/>
  <c r="AO495" i="1"/>
  <c r="AP495" i="1"/>
  <c r="AX495" i="1" s="1"/>
  <c r="AW495" i="1"/>
  <c r="BD495" i="1"/>
  <c r="BF495" i="1"/>
  <c r="BH495" i="1"/>
  <c r="AD495" i="1" s="1"/>
  <c r="BI495" i="1"/>
  <c r="AE495" i="1" s="1"/>
  <c r="BJ495" i="1"/>
  <c r="K496" i="1"/>
  <c r="Z496" i="1"/>
  <c r="AB496" i="1"/>
  <c r="AC496" i="1"/>
  <c r="AF496" i="1"/>
  <c r="AG496" i="1"/>
  <c r="AH496" i="1"/>
  <c r="AJ496" i="1"/>
  <c r="AK496" i="1"/>
  <c r="AL496" i="1"/>
  <c r="AO496" i="1"/>
  <c r="AP496" i="1"/>
  <c r="AW496" i="1"/>
  <c r="AX496" i="1"/>
  <c r="BD496" i="1"/>
  <c r="BF496" i="1"/>
  <c r="BH496" i="1"/>
  <c r="AD496" i="1" s="1"/>
  <c r="BI496" i="1"/>
  <c r="AE496" i="1" s="1"/>
  <c r="BJ496" i="1"/>
  <c r="K497" i="1"/>
  <c r="AL497" i="1" s="1"/>
  <c r="Z497" i="1"/>
  <c r="AB497" i="1"/>
  <c r="AC497" i="1"/>
  <c r="AF497" i="1"/>
  <c r="AG497" i="1"/>
  <c r="AH497" i="1"/>
  <c r="AJ497" i="1"/>
  <c r="AK497" i="1"/>
  <c r="AO497" i="1"/>
  <c r="AW497" i="1" s="1"/>
  <c r="AP497" i="1"/>
  <c r="AX497" i="1"/>
  <c r="BD497" i="1"/>
  <c r="BF497" i="1"/>
  <c r="BI497" i="1"/>
  <c r="AE497" i="1" s="1"/>
  <c r="BJ497" i="1"/>
  <c r="K498" i="1"/>
  <c r="AL498" i="1" s="1"/>
  <c r="Z498" i="1"/>
  <c r="AB498" i="1"/>
  <c r="AC498" i="1"/>
  <c r="AE498" i="1"/>
  <c r="AF498" i="1"/>
  <c r="AG498" i="1"/>
  <c r="AH498" i="1"/>
  <c r="AJ498" i="1"/>
  <c r="AK498" i="1"/>
  <c r="AO498" i="1"/>
  <c r="AW498" i="1" s="1"/>
  <c r="AP498" i="1"/>
  <c r="AX498" i="1"/>
  <c r="BC498" i="1" s="1"/>
  <c r="BD498" i="1"/>
  <c r="BF498" i="1"/>
  <c r="BH498" i="1"/>
  <c r="AD498" i="1" s="1"/>
  <c r="BI498" i="1"/>
  <c r="BJ498" i="1"/>
  <c r="K499" i="1"/>
  <c r="Z499" i="1"/>
  <c r="AB499" i="1"/>
  <c r="AC499" i="1"/>
  <c r="AF499" i="1"/>
  <c r="AG499" i="1"/>
  <c r="AH499" i="1"/>
  <c r="AJ499" i="1"/>
  <c r="AK499" i="1"/>
  <c r="AL499" i="1"/>
  <c r="AO499" i="1"/>
  <c r="AP499" i="1"/>
  <c r="AX499" i="1" s="1"/>
  <c r="AV499" i="1"/>
  <c r="AW499" i="1"/>
  <c r="BC499" i="1"/>
  <c r="BD499" i="1"/>
  <c r="BF499" i="1"/>
  <c r="BH499" i="1"/>
  <c r="AD499" i="1" s="1"/>
  <c r="BI499" i="1"/>
  <c r="AE499" i="1" s="1"/>
  <c r="BJ499" i="1"/>
  <c r="K501" i="1"/>
  <c r="Z501" i="1"/>
  <c r="AB501" i="1"/>
  <c r="AC501" i="1"/>
  <c r="AF501" i="1"/>
  <c r="AG501" i="1"/>
  <c r="AH501" i="1"/>
  <c r="AJ501" i="1"/>
  <c r="AK501" i="1"/>
  <c r="AL501" i="1"/>
  <c r="AO501" i="1"/>
  <c r="AP501" i="1"/>
  <c r="AV501" i="1"/>
  <c r="AW501" i="1"/>
  <c r="BC501" i="1" s="1"/>
  <c r="AX501" i="1"/>
  <c r="BD501" i="1"/>
  <c r="BF501" i="1"/>
  <c r="BH501" i="1"/>
  <c r="AD501" i="1" s="1"/>
  <c r="BI501" i="1"/>
  <c r="AE501" i="1" s="1"/>
  <c r="BJ501" i="1"/>
  <c r="K502" i="1"/>
  <c r="Z502" i="1"/>
  <c r="AB502" i="1"/>
  <c r="AC502" i="1"/>
  <c r="AF502" i="1"/>
  <c r="AG502" i="1"/>
  <c r="AH502" i="1"/>
  <c r="AJ502" i="1"/>
  <c r="AK502" i="1"/>
  <c r="AL502" i="1"/>
  <c r="AO502" i="1"/>
  <c r="AW502" i="1" s="1"/>
  <c r="AP502" i="1"/>
  <c r="AX502" i="1"/>
  <c r="BD502" i="1"/>
  <c r="BF502" i="1"/>
  <c r="BI502" i="1"/>
  <c r="AE502" i="1" s="1"/>
  <c r="BJ502" i="1"/>
  <c r="K503" i="1"/>
  <c r="AL503" i="1" s="1"/>
  <c r="Z503" i="1"/>
  <c r="AB503" i="1"/>
  <c r="AC503" i="1"/>
  <c r="AF503" i="1"/>
  <c r="AG503" i="1"/>
  <c r="AH503" i="1"/>
  <c r="AJ503" i="1"/>
  <c r="AK503" i="1"/>
  <c r="AO503" i="1"/>
  <c r="AW503" i="1" s="1"/>
  <c r="AP503" i="1"/>
  <c r="AX503" i="1" s="1"/>
  <c r="BC503" i="1" s="1"/>
  <c r="BD503" i="1"/>
  <c r="BF503" i="1"/>
  <c r="BI503" i="1"/>
  <c r="AE503" i="1" s="1"/>
  <c r="BJ503" i="1"/>
  <c r="K504" i="1"/>
  <c r="Z504" i="1"/>
  <c r="AB504" i="1"/>
  <c r="AC504" i="1"/>
  <c r="AF504" i="1"/>
  <c r="AG504" i="1"/>
  <c r="AH504" i="1"/>
  <c r="AJ504" i="1"/>
  <c r="AK504" i="1"/>
  <c r="AL504" i="1"/>
  <c r="AO504" i="1"/>
  <c r="AP504" i="1"/>
  <c r="AX504" i="1" s="1"/>
  <c r="AW504" i="1"/>
  <c r="BC504" i="1" s="1"/>
  <c r="BD504" i="1"/>
  <c r="BF504" i="1"/>
  <c r="BH504" i="1"/>
  <c r="AD504" i="1" s="1"/>
  <c r="BI504" i="1"/>
  <c r="AE504" i="1" s="1"/>
  <c r="BJ504" i="1"/>
  <c r="K505" i="1"/>
  <c r="Z505" i="1"/>
  <c r="AB505" i="1"/>
  <c r="AC505" i="1"/>
  <c r="AF505" i="1"/>
  <c r="AG505" i="1"/>
  <c r="AH505" i="1"/>
  <c r="AJ505" i="1"/>
  <c r="AK505" i="1"/>
  <c r="AT500" i="1" s="1"/>
  <c r="AL505" i="1"/>
  <c r="AO505" i="1"/>
  <c r="AP505" i="1"/>
  <c r="AV505" i="1"/>
  <c r="AW505" i="1"/>
  <c r="BC505" i="1" s="1"/>
  <c r="AX505" i="1"/>
  <c r="BD505" i="1"/>
  <c r="BF505" i="1"/>
  <c r="BH505" i="1"/>
  <c r="AD505" i="1" s="1"/>
  <c r="BI505" i="1"/>
  <c r="AE505" i="1" s="1"/>
  <c r="BJ505" i="1"/>
  <c r="K506" i="1"/>
  <c r="AL506" i="1" s="1"/>
  <c r="Z506" i="1"/>
  <c r="AB506" i="1"/>
  <c r="AC506" i="1"/>
  <c r="AF506" i="1"/>
  <c r="AG506" i="1"/>
  <c r="AH506" i="1"/>
  <c r="AJ506" i="1"/>
  <c r="AK506" i="1"/>
  <c r="AO506" i="1"/>
  <c r="AW506" i="1" s="1"/>
  <c r="AP506" i="1"/>
  <c r="AX506" i="1" s="1"/>
  <c r="BD506" i="1"/>
  <c r="BF506" i="1"/>
  <c r="BI506" i="1"/>
  <c r="AE506" i="1" s="1"/>
  <c r="BJ506" i="1"/>
  <c r="K507" i="1"/>
  <c r="AL507" i="1" s="1"/>
  <c r="Z507" i="1"/>
  <c r="AB507" i="1"/>
  <c r="AC507" i="1"/>
  <c r="AF507" i="1"/>
  <c r="AG507" i="1"/>
  <c r="AH507" i="1"/>
  <c r="AJ507" i="1"/>
  <c r="AK507" i="1"/>
  <c r="AO507" i="1"/>
  <c r="AW507" i="1" s="1"/>
  <c r="AV507" i="1" s="1"/>
  <c r="AP507" i="1"/>
  <c r="AX507" i="1"/>
  <c r="BC507" i="1" s="1"/>
  <c r="BD507" i="1"/>
  <c r="BF507" i="1"/>
  <c r="BH507" i="1"/>
  <c r="AD507" i="1" s="1"/>
  <c r="BI507" i="1"/>
  <c r="AE507" i="1" s="1"/>
  <c r="BJ507" i="1"/>
  <c r="K508" i="1"/>
  <c r="Z508" i="1"/>
  <c r="AB508" i="1"/>
  <c r="AC508" i="1"/>
  <c r="AF508" i="1"/>
  <c r="AG508" i="1"/>
  <c r="AH508" i="1"/>
  <c r="AJ508" i="1"/>
  <c r="AK508" i="1"/>
  <c r="AL508" i="1"/>
  <c r="AO508" i="1"/>
  <c r="AP508" i="1"/>
  <c r="AX508" i="1" s="1"/>
  <c r="AV508" i="1"/>
  <c r="AW508" i="1"/>
  <c r="BC508" i="1" s="1"/>
  <c r="BD508" i="1"/>
  <c r="BF508" i="1"/>
  <c r="BH508" i="1"/>
  <c r="AD508" i="1" s="1"/>
  <c r="BI508" i="1"/>
  <c r="AE508" i="1" s="1"/>
  <c r="BJ508" i="1"/>
  <c r="K509" i="1"/>
  <c r="AL509" i="1" s="1"/>
  <c r="Z509" i="1"/>
  <c r="AB509" i="1"/>
  <c r="AC509" i="1"/>
  <c r="AD509" i="1"/>
  <c r="AF509" i="1"/>
  <c r="AG509" i="1"/>
  <c r="AH509" i="1"/>
  <c r="AJ509" i="1"/>
  <c r="AK509" i="1"/>
  <c r="AO509" i="1"/>
  <c r="AP509" i="1"/>
  <c r="AX509" i="1" s="1"/>
  <c r="AW509" i="1"/>
  <c r="BD509" i="1"/>
  <c r="BF509" i="1"/>
  <c r="BH509" i="1"/>
  <c r="BI509" i="1"/>
  <c r="AE509" i="1" s="1"/>
  <c r="BJ509" i="1"/>
  <c r="K510" i="1"/>
  <c r="Z510" i="1"/>
  <c r="AB510" i="1"/>
  <c r="AC510" i="1"/>
  <c r="AF510" i="1"/>
  <c r="AG510" i="1"/>
  <c r="AH510" i="1"/>
  <c r="AJ510" i="1"/>
  <c r="AK510" i="1"/>
  <c r="AL510" i="1"/>
  <c r="AO510" i="1"/>
  <c r="AP510" i="1"/>
  <c r="AV510" i="1"/>
  <c r="AW510" i="1"/>
  <c r="BC510" i="1" s="1"/>
  <c r="AX510" i="1"/>
  <c r="BD510" i="1"/>
  <c r="BF510" i="1"/>
  <c r="BH510" i="1"/>
  <c r="AD510" i="1" s="1"/>
  <c r="BI510" i="1"/>
  <c r="AE510" i="1" s="1"/>
  <c r="BJ510" i="1"/>
  <c r="K511" i="1"/>
  <c r="Z511" i="1"/>
  <c r="AB511" i="1"/>
  <c r="AC511" i="1"/>
  <c r="AF511" i="1"/>
  <c r="AG511" i="1"/>
  <c r="AH511" i="1"/>
  <c r="AJ511" i="1"/>
  <c r="AK511" i="1"/>
  <c r="AL511" i="1"/>
  <c r="AO511" i="1"/>
  <c r="AP511" i="1"/>
  <c r="AW511" i="1"/>
  <c r="BC511" i="1" s="1"/>
  <c r="AX511" i="1"/>
  <c r="BD511" i="1"/>
  <c r="BF511" i="1"/>
  <c r="BH511" i="1"/>
  <c r="AD511" i="1" s="1"/>
  <c r="BI511" i="1"/>
  <c r="AE511" i="1" s="1"/>
  <c r="BJ511" i="1"/>
  <c r="K512" i="1"/>
  <c r="AL512" i="1" s="1"/>
  <c r="Z512" i="1"/>
  <c r="AB512" i="1"/>
  <c r="AC512" i="1"/>
  <c r="AF512" i="1"/>
  <c r="AG512" i="1"/>
  <c r="AH512" i="1"/>
  <c r="AJ512" i="1"/>
  <c r="AK512" i="1"/>
  <c r="AO512" i="1"/>
  <c r="AW512" i="1" s="1"/>
  <c r="AP512" i="1"/>
  <c r="AX512" i="1"/>
  <c r="BD512" i="1"/>
  <c r="BF512" i="1"/>
  <c r="BH512" i="1"/>
  <c r="AD512" i="1" s="1"/>
  <c r="BI512" i="1"/>
  <c r="AE512" i="1" s="1"/>
  <c r="BJ512" i="1"/>
  <c r="K513" i="1"/>
  <c r="Z513" i="1"/>
  <c r="AB513" i="1"/>
  <c r="AC513" i="1"/>
  <c r="AF513" i="1"/>
  <c r="AG513" i="1"/>
  <c r="AH513" i="1"/>
  <c r="AJ513" i="1"/>
  <c r="AK513" i="1"/>
  <c r="AL513" i="1"/>
  <c r="AO513" i="1"/>
  <c r="AP513" i="1"/>
  <c r="AX513" i="1" s="1"/>
  <c r="AW513" i="1"/>
  <c r="BD513" i="1"/>
  <c r="BF513" i="1"/>
  <c r="BH513" i="1"/>
  <c r="AD513" i="1" s="1"/>
  <c r="BI513" i="1"/>
  <c r="AE513" i="1" s="1"/>
  <c r="BJ513" i="1"/>
  <c r="K514" i="1"/>
  <c r="Z514" i="1"/>
  <c r="AB514" i="1"/>
  <c r="AC514" i="1"/>
  <c r="AF514" i="1"/>
  <c r="AG514" i="1"/>
  <c r="AH514" i="1"/>
  <c r="AJ514" i="1"/>
  <c r="AK514" i="1"/>
  <c r="AL514" i="1"/>
  <c r="AO514" i="1"/>
  <c r="AP514" i="1"/>
  <c r="AV514" i="1"/>
  <c r="AW514" i="1"/>
  <c r="BC514" i="1" s="1"/>
  <c r="AX514" i="1"/>
  <c r="BD514" i="1"/>
  <c r="BF514" i="1"/>
  <c r="BH514" i="1"/>
  <c r="AD514" i="1" s="1"/>
  <c r="BI514" i="1"/>
  <c r="AE514" i="1" s="1"/>
  <c r="BJ514" i="1"/>
  <c r="K515" i="1"/>
  <c r="Z515" i="1"/>
  <c r="AB515" i="1"/>
  <c r="AC515" i="1"/>
  <c r="AF515" i="1"/>
  <c r="AG515" i="1"/>
  <c r="AH515" i="1"/>
  <c r="AJ515" i="1"/>
  <c r="AK515" i="1"/>
  <c r="AL515" i="1"/>
  <c r="AO515" i="1"/>
  <c r="AP515" i="1"/>
  <c r="AW515" i="1"/>
  <c r="BC515" i="1" s="1"/>
  <c r="AX515" i="1"/>
  <c r="BD515" i="1"/>
  <c r="BF515" i="1"/>
  <c r="BH515" i="1"/>
  <c r="AD515" i="1" s="1"/>
  <c r="BI515" i="1"/>
  <c r="AE515" i="1" s="1"/>
  <c r="BJ515" i="1"/>
  <c r="K516" i="1"/>
  <c r="AL516" i="1" s="1"/>
  <c r="Z516" i="1"/>
  <c r="AB516" i="1"/>
  <c r="AC516" i="1"/>
  <c r="AF516" i="1"/>
  <c r="AG516" i="1"/>
  <c r="AH516" i="1"/>
  <c r="AJ516" i="1"/>
  <c r="AK516" i="1"/>
  <c r="AO516" i="1"/>
  <c r="AW516" i="1" s="1"/>
  <c r="AP516" i="1"/>
  <c r="AX516" i="1"/>
  <c r="BD516" i="1"/>
  <c r="BF516" i="1"/>
  <c r="BH516" i="1"/>
  <c r="AD516" i="1" s="1"/>
  <c r="BI516" i="1"/>
  <c r="AE516" i="1" s="1"/>
  <c r="BJ516" i="1"/>
  <c r="K517" i="1"/>
  <c r="Z517" i="1"/>
  <c r="AB517" i="1"/>
  <c r="AC517" i="1"/>
  <c r="AF517" i="1"/>
  <c r="AG517" i="1"/>
  <c r="AH517" i="1"/>
  <c r="AJ517" i="1"/>
  <c r="AK517" i="1"/>
  <c r="AL517" i="1"/>
  <c r="AO517" i="1"/>
  <c r="AP517" i="1"/>
  <c r="AX517" i="1" s="1"/>
  <c r="AW517" i="1"/>
  <c r="BD517" i="1"/>
  <c r="BF517" i="1"/>
  <c r="BH517" i="1"/>
  <c r="AD517" i="1" s="1"/>
  <c r="BI517" i="1"/>
  <c r="AE517" i="1" s="1"/>
  <c r="BJ517" i="1"/>
  <c r="K518" i="1"/>
  <c r="Z518" i="1"/>
  <c r="AB518" i="1"/>
  <c r="AC518" i="1"/>
  <c r="AF518" i="1"/>
  <c r="AG518" i="1"/>
  <c r="AH518" i="1"/>
  <c r="AJ518" i="1"/>
  <c r="AK518" i="1"/>
  <c r="AL518" i="1"/>
  <c r="AO518" i="1"/>
  <c r="AP518" i="1"/>
  <c r="AV518" i="1"/>
  <c r="AW518" i="1"/>
  <c r="BC518" i="1" s="1"/>
  <c r="AX518" i="1"/>
  <c r="BD518" i="1"/>
  <c r="BF518" i="1"/>
  <c r="BH518" i="1"/>
  <c r="AD518" i="1" s="1"/>
  <c r="BI518" i="1"/>
  <c r="AE518" i="1" s="1"/>
  <c r="BJ518" i="1"/>
  <c r="K519" i="1"/>
  <c r="Z519" i="1"/>
  <c r="AB519" i="1"/>
  <c r="AC519" i="1"/>
  <c r="AF519" i="1"/>
  <c r="AG519" i="1"/>
  <c r="AH519" i="1"/>
  <c r="AJ519" i="1"/>
  <c r="AK519" i="1"/>
  <c r="AL519" i="1"/>
  <c r="AO519" i="1"/>
  <c r="AP519" i="1"/>
  <c r="AW519" i="1"/>
  <c r="BC519" i="1" s="1"/>
  <c r="AX519" i="1"/>
  <c r="BD519" i="1"/>
  <c r="BF519" i="1"/>
  <c r="BH519" i="1"/>
  <c r="AD519" i="1" s="1"/>
  <c r="BI519" i="1"/>
  <c r="AE519" i="1" s="1"/>
  <c r="BJ519" i="1"/>
  <c r="K520" i="1"/>
  <c r="AL520" i="1" s="1"/>
  <c r="Z520" i="1"/>
  <c r="AB520" i="1"/>
  <c r="AC520" i="1"/>
  <c r="AF520" i="1"/>
  <c r="AG520" i="1"/>
  <c r="AH520" i="1"/>
  <c r="AJ520" i="1"/>
  <c r="AK520" i="1"/>
  <c r="AO520" i="1"/>
  <c r="AW520" i="1" s="1"/>
  <c r="AP520" i="1"/>
  <c r="AX520" i="1"/>
  <c r="BD520" i="1"/>
  <c r="BF520" i="1"/>
  <c r="BH520" i="1"/>
  <c r="AD520" i="1" s="1"/>
  <c r="BI520" i="1"/>
  <c r="AE520" i="1" s="1"/>
  <c r="BJ520" i="1"/>
  <c r="K521" i="1"/>
  <c r="Z521" i="1"/>
  <c r="AB521" i="1"/>
  <c r="AC521" i="1"/>
  <c r="AF521" i="1"/>
  <c r="AG521" i="1"/>
  <c r="AH521" i="1"/>
  <c r="AJ521" i="1"/>
  <c r="AK521" i="1"/>
  <c r="AL521" i="1"/>
  <c r="AO521" i="1"/>
  <c r="AP521" i="1"/>
  <c r="AX521" i="1" s="1"/>
  <c r="AW521" i="1"/>
  <c r="BD521" i="1"/>
  <c r="BF521" i="1"/>
  <c r="BH521" i="1"/>
  <c r="AD521" i="1" s="1"/>
  <c r="BI521" i="1"/>
  <c r="AE521" i="1" s="1"/>
  <c r="BJ521" i="1"/>
  <c r="K522" i="1"/>
  <c r="Z522" i="1"/>
  <c r="AB522" i="1"/>
  <c r="AC522" i="1"/>
  <c r="AF522" i="1"/>
  <c r="AG522" i="1"/>
  <c r="AH522" i="1"/>
  <c r="AJ522" i="1"/>
  <c r="AK522" i="1"/>
  <c r="AL522" i="1"/>
  <c r="AO522" i="1"/>
  <c r="AP522" i="1"/>
  <c r="AV522" i="1"/>
  <c r="AW522" i="1"/>
  <c r="BC522" i="1" s="1"/>
  <c r="AX522" i="1"/>
  <c r="BD522" i="1"/>
  <c r="BF522" i="1"/>
  <c r="BH522" i="1"/>
  <c r="AD522" i="1" s="1"/>
  <c r="BI522" i="1"/>
  <c r="AE522" i="1" s="1"/>
  <c r="BJ522" i="1"/>
  <c r="K523" i="1"/>
  <c r="Z523" i="1"/>
  <c r="AB523" i="1"/>
  <c r="AC523" i="1"/>
  <c r="AF523" i="1"/>
  <c r="AG523" i="1"/>
  <c r="AH523" i="1"/>
  <c r="AJ523" i="1"/>
  <c r="AK523" i="1"/>
  <c r="AL523" i="1"/>
  <c r="AO523" i="1"/>
  <c r="AP523" i="1"/>
  <c r="AW523" i="1"/>
  <c r="BC523" i="1" s="1"/>
  <c r="AX523" i="1"/>
  <c r="BD523" i="1"/>
  <c r="BF523" i="1"/>
  <c r="BH523" i="1"/>
  <c r="AD523" i="1" s="1"/>
  <c r="BI523" i="1"/>
  <c r="AE523" i="1" s="1"/>
  <c r="BJ523" i="1"/>
  <c r="K524" i="1"/>
  <c r="AL524" i="1" s="1"/>
  <c r="Z524" i="1"/>
  <c r="AB524" i="1"/>
  <c r="AC524" i="1"/>
  <c r="AF524" i="1"/>
  <c r="AG524" i="1"/>
  <c r="AH524" i="1"/>
  <c r="AJ524" i="1"/>
  <c r="AK524" i="1"/>
  <c r="AO524" i="1"/>
  <c r="AW524" i="1" s="1"/>
  <c r="AP524" i="1"/>
  <c r="AX524" i="1"/>
  <c r="BD524" i="1"/>
  <c r="BF524" i="1"/>
  <c r="BH524" i="1"/>
  <c r="AD524" i="1" s="1"/>
  <c r="BI524" i="1"/>
  <c r="AE524" i="1" s="1"/>
  <c r="BJ524" i="1"/>
  <c r="K525" i="1"/>
  <c r="Z525" i="1"/>
  <c r="AB525" i="1"/>
  <c r="AC525" i="1"/>
  <c r="AF525" i="1"/>
  <c r="AG525" i="1"/>
  <c r="AH525" i="1"/>
  <c r="AJ525" i="1"/>
  <c r="AK525" i="1"/>
  <c r="AL525" i="1"/>
  <c r="AO525" i="1"/>
  <c r="AP525" i="1"/>
  <c r="AX525" i="1" s="1"/>
  <c r="AW525" i="1"/>
  <c r="BD525" i="1"/>
  <c r="BF525" i="1"/>
  <c r="BH525" i="1"/>
  <c r="AD525" i="1" s="1"/>
  <c r="BI525" i="1"/>
  <c r="AE525" i="1" s="1"/>
  <c r="BJ525" i="1"/>
  <c r="K526" i="1"/>
  <c r="Z526" i="1"/>
  <c r="AB526" i="1"/>
  <c r="AC526" i="1"/>
  <c r="AF526" i="1"/>
  <c r="AG526" i="1"/>
  <c r="AH526" i="1"/>
  <c r="AJ526" i="1"/>
  <c r="AK526" i="1"/>
  <c r="AL526" i="1"/>
  <c r="AO526" i="1"/>
  <c r="AP526" i="1"/>
  <c r="AV526" i="1"/>
  <c r="AW526" i="1"/>
  <c r="BC526" i="1" s="1"/>
  <c r="AX526" i="1"/>
  <c r="BD526" i="1"/>
  <c r="BF526" i="1"/>
  <c r="BH526" i="1"/>
  <c r="AD526" i="1" s="1"/>
  <c r="BI526" i="1"/>
  <c r="AE526" i="1" s="1"/>
  <c r="BJ526" i="1"/>
  <c r="K527" i="1"/>
  <c r="Z527" i="1"/>
  <c r="AB527" i="1"/>
  <c r="AC527" i="1"/>
  <c r="AF527" i="1"/>
  <c r="AG527" i="1"/>
  <c r="AH527" i="1"/>
  <c r="AJ527" i="1"/>
  <c r="AK527" i="1"/>
  <c r="AL527" i="1"/>
  <c r="AO527" i="1"/>
  <c r="AP527" i="1"/>
  <c r="AW527" i="1"/>
  <c r="BC527" i="1" s="1"/>
  <c r="AX527" i="1"/>
  <c r="BD527" i="1"/>
  <c r="BF527" i="1"/>
  <c r="BH527" i="1"/>
  <c r="AD527" i="1" s="1"/>
  <c r="BI527" i="1"/>
  <c r="AE527" i="1" s="1"/>
  <c r="BJ527" i="1"/>
  <c r="K528" i="1"/>
  <c r="AL528" i="1" s="1"/>
  <c r="Z528" i="1"/>
  <c r="AB528" i="1"/>
  <c r="AC528" i="1"/>
  <c r="AF528" i="1"/>
  <c r="AG528" i="1"/>
  <c r="AH528" i="1"/>
  <c r="AJ528" i="1"/>
  <c r="AK528" i="1"/>
  <c r="AO528" i="1"/>
  <c r="AW528" i="1" s="1"/>
  <c r="AP528" i="1"/>
  <c r="AX528" i="1"/>
  <c r="BD528" i="1"/>
  <c r="BF528" i="1"/>
  <c r="BH528" i="1"/>
  <c r="AD528" i="1" s="1"/>
  <c r="BI528" i="1"/>
  <c r="AE528" i="1" s="1"/>
  <c r="BJ528" i="1"/>
  <c r="K529" i="1"/>
  <c r="Z529" i="1"/>
  <c r="AB529" i="1"/>
  <c r="AC529" i="1"/>
  <c r="AF529" i="1"/>
  <c r="AG529" i="1"/>
  <c r="AH529" i="1"/>
  <c r="AJ529" i="1"/>
  <c r="AK529" i="1"/>
  <c r="AL529" i="1"/>
  <c r="AO529" i="1"/>
  <c r="AP529" i="1"/>
  <c r="AX529" i="1" s="1"/>
  <c r="AW529" i="1"/>
  <c r="BD529" i="1"/>
  <c r="BF529" i="1"/>
  <c r="BH529" i="1"/>
  <c r="AD529" i="1" s="1"/>
  <c r="BI529" i="1"/>
  <c r="AE529" i="1" s="1"/>
  <c r="BJ529" i="1"/>
  <c r="K530" i="1"/>
  <c r="Z530" i="1"/>
  <c r="AB530" i="1"/>
  <c r="AC530" i="1"/>
  <c r="AF530" i="1"/>
  <c r="AG530" i="1"/>
  <c r="AH530" i="1"/>
  <c r="AJ530" i="1"/>
  <c r="AK530" i="1"/>
  <c r="AL530" i="1"/>
  <c r="AO530" i="1"/>
  <c r="AP530" i="1"/>
  <c r="AV530" i="1"/>
  <c r="AW530" i="1"/>
  <c r="BC530" i="1" s="1"/>
  <c r="AX530" i="1"/>
  <c r="BD530" i="1"/>
  <c r="BF530" i="1"/>
  <c r="BH530" i="1"/>
  <c r="AD530" i="1" s="1"/>
  <c r="BI530" i="1"/>
  <c r="AE530" i="1" s="1"/>
  <c r="BJ530" i="1"/>
  <c r="K531" i="1"/>
  <c r="Z531" i="1"/>
  <c r="AB531" i="1"/>
  <c r="AC531" i="1"/>
  <c r="AF531" i="1"/>
  <c r="AG531" i="1"/>
  <c r="AH531" i="1"/>
  <c r="AJ531" i="1"/>
  <c r="AK531" i="1"/>
  <c r="AL531" i="1"/>
  <c r="AO531" i="1"/>
  <c r="AP531" i="1"/>
  <c r="AW531" i="1"/>
  <c r="BC531" i="1" s="1"/>
  <c r="AX531" i="1"/>
  <c r="BD531" i="1"/>
  <c r="BF531" i="1"/>
  <c r="BH531" i="1"/>
  <c r="AD531" i="1" s="1"/>
  <c r="BI531" i="1"/>
  <c r="AE531" i="1" s="1"/>
  <c r="BJ531" i="1"/>
  <c r="K532" i="1"/>
  <c r="AL532" i="1" s="1"/>
  <c r="Z532" i="1"/>
  <c r="AB532" i="1"/>
  <c r="AC532" i="1"/>
  <c r="AF532" i="1"/>
  <c r="AG532" i="1"/>
  <c r="AH532" i="1"/>
  <c r="AJ532" i="1"/>
  <c r="AK532" i="1"/>
  <c r="AO532" i="1"/>
  <c r="AW532" i="1" s="1"/>
  <c r="AP532" i="1"/>
  <c r="AX532" i="1"/>
  <c r="BD532" i="1"/>
  <c r="BF532" i="1"/>
  <c r="BH532" i="1"/>
  <c r="AD532" i="1" s="1"/>
  <c r="BI532" i="1"/>
  <c r="AE532" i="1" s="1"/>
  <c r="BJ532" i="1"/>
  <c r="K533" i="1"/>
  <c r="Z533" i="1"/>
  <c r="AB533" i="1"/>
  <c r="AC533" i="1"/>
  <c r="AF533" i="1"/>
  <c r="AG533" i="1"/>
  <c r="AH533" i="1"/>
  <c r="AJ533" i="1"/>
  <c r="AK533" i="1"/>
  <c r="AL533" i="1"/>
  <c r="AO533" i="1"/>
  <c r="AP533" i="1"/>
  <c r="AX533" i="1" s="1"/>
  <c r="AW533" i="1"/>
  <c r="BD533" i="1"/>
  <c r="BF533" i="1"/>
  <c r="BH533" i="1"/>
  <c r="AD533" i="1" s="1"/>
  <c r="BI533" i="1"/>
  <c r="AE533" i="1" s="1"/>
  <c r="BJ533" i="1"/>
  <c r="K534" i="1"/>
  <c r="Z534" i="1"/>
  <c r="AB534" i="1"/>
  <c r="AC534" i="1"/>
  <c r="AF534" i="1"/>
  <c r="AG534" i="1"/>
  <c r="AH534" i="1"/>
  <c r="AJ534" i="1"/>
  <c r="AK534" i="1"/>
  <c r="AL534" i="1"/>
  <c r="AO534" i="1"/>
  <c r="AP534" i="1"/>
  <c r="AV534" i="1"/>
  <c r="AW534" i="1"/>
  <c r="BC534" i="1" s="1"/>
  <c r="AX534" i="1"/>
  <c r="BD534" i="1"/>
  <c r="BF534" i="1"/>
  <c r="BH534" i="1"/>
  <c r="AD534" i="1" s="1"/>
  <c r="BI534" i="1"/>
  <c r="AE534" i="1" s="1"/>
  <c r="BJ534" i="1"/>
  <c r="K535" i="1"/>
  <c r="Z535" i="1"/>
  <c r="AB535" i="1"/>
  <c r="AC535" i="1"/>
  <c r="AF535" i="1"/>
  <c r="AG535" i="1"/>
  <c r="AH535" i="1"/>
  <c r="AJ535" i="1"/>
  <c r="AK535" i="1"/>
  <c r="AL535" i="1"/>
  <c r="AO535" i="1"/>
  <c r="AP535" i="1"/>
  <c r="AW535" i="1"/>
  <c r="BC535" i="1" s="1"/>
  <c r="AX535" i="1"/>
  <c r="BD535" i="1"/>
  <c r="BF535" i="1"/>
  <c r="BH535" i="1"/>
  <c r="AD535" i="1" s="1"/>
  <c r="BI535" i="1"/>
  <c r="AE535" i="1" s="1"/>
  <c r="BJ535" i="1"/>
  <c r="K536" i="1"/>
  <c r="AL536" i="1" s="1"/>
  <c r="Z536" i="1"/>
  <c r="AB536" i="1"/>
  <c r="AC536" i="1"/>
  <c r="AF536" i="1"/>
  <c r="AG536" i="1"/>
  <c r="AH536" i="1"/>
  <c r="AJ536" i="1"/>
  <c r="AK536" i="1"/>
  <c r="AO536" i="1"/>
  <c r="AW536" i="1" s="1"/>
  <c r="AP536" i="1"/>
  <c r="AX536" i="1"/>
  <c r="BD536" i="1"/>
  <c r="BF536" i="1"/>
  <c r="BH536" i="1"/>
  <c r="AD536" i="1" s="1"/>
  <c r="BI536" i="1"/>
  <c r="AE536" i="1" s="1"/>
  <c r="BJ536" i="1"/>
  <c r="K537" i="1"/>
  <c r="Z537" i="1"/>
  <c r="AB537" i="1"/>
  <c r="AC537" i="1"/>
  <c r="AF537" i="1"/>
  <c r="AG537" i="1"/>
  <c r="AH537" i="1"/>
  <c r="AJ537" i="1"/>
  <c r="AK537" i="1"/>
  <c r="AL537" i="1"/>
  <c r="AO537" i="1"/>
  <c r="AP537" i="1"/>
  <c r="AX537" i="1" s="1"/>
  <c r="AW537" i="1"/>
  <c r="BD537" i="1"/>
  <c r="BF537" i="1"/>
  <c r="BH537" i="1"/>
  <c r="AD537" i="1" s="1"/>
  <c r="BI537" i="1"/>
  <c r="AE537" i="1" s="1"/>
  <c r="BJ537" i="1"/>
  <c r="K538" i="1"/>
  <c r="Z538" i="1"/>
  <c r="AB538" i="1"/>
  <c r="AC538" i="1"/>
  <c r="AF538" i="1"/>
  <c r="AG538" i="1"/>
  <c r="AH538" i="1"/>
  <c r="AJ538" i="1"/>
  <c r="AK538" i="1"/>
  <c r="AL538" i="1"/>
  <c r="AO538" i="1"/>
  <c r="AP538" i="1"/>
  <c r="AV538" i="1"/>
  <c r="AW538" i="1"/>
  <c r="BC538" i="1" s="1"/>
  <c r="AX538" i="1"/>
  <c r="BD538" i="1"/>
  <c r="BF538" i="1"/>
  <c r="BH538" i="1"/>
  <c r="AD538" i="1" s="1"/>
  <c r="BI538" i="1"/>
  <c r="AE538" i="1" s="1"/>
  <c r="BJ538" i="1"/>
  <c r="K539" i="1"/>
  <c r="Z539" i="1"/>
  <c r="AB539" i="1"/>
  <c r="AC539" i="1"/>
  <c r="AF539" i="1"/>
  <c r="AG539" i="1"/>
  <c r="AH539" i="1"/>
  <c r="AJ539" i="1"/>
  <c r="AK539" i="1"/>
  <c r="AL539" i="1"/>
  <c r="AO539" i="1"/>
  <c r="AP539" i="1"/>
  <c r="AW539" i="1"/>
  <c r="BC539" i="1" s="1"/>
  <c r="AX539" i="1"/>
  <c r="BD539" i="1"/>
  <c r="BF539" i="1"/>
  <c r="BH539" i="1"/>
  <c r="AD539" i="1" s="1"/>
  <c r="BI539" i="1"/>
  <c r="AE539" i="1" s="1"/>
  <c r="BJ539" i="1"/>
  <c r="K540" i="1"/>
  <c r="AL540" i="1" s="1"/>
  <c r="Z540" i="1"/>
  <c r="AB540" i="1"/>
  <c r="AC540" i="1"/>
  <c r="AF540" i="1"/>
  <c r="AG540" i="1"/>
  <c r="AH540" i="1"/>
  <c r="AJ540" i="1"/>
  <c r="AK540" i="1"/>
  <c r="AO540" i="1"/>
  <c r="AW540" i="1" s="1"/>
  <c r="AP540" i="1"/>
  <c r="AX540" i="1"/>
  <c r="BD540" i="1"/>
  <c r="BF540" i="1"/>
  <c r="BH540" i="1"/>
  <c r="AD540" i="1" s="1"/>
  <c r="BI540" i="1"/>
  <c r="AE540" i="1" s="1"/>
  <c r="BJ540" i="1"/>
  <c r="K541" i="1"/>
  <c r="Z541" i="1"/>
  <c r="AB541" i="1"/>
  <c r="AC541" i="1"/>
  <c r="AF541" i="1"/>
  <c r="AG541" i="1"/>
  <c r="AH541" i="1"/>
  <c r="AJ541" i="1"/>
  <c r="AK541" i="1"/>
  <c r="AL541" i="1"/>
  <c r="AO541" i="1"/>
  <c r="AP541" i="1"/>
  <c r="AX541" i="1" s="1"/>
  <c r="AW541" i="1"/>
  <c r="BD541" i="1"/>
  <c r="BF541" i="1"/>
  <c r="BH541" i="1"/>
  <c r="AD541" i="1" s="1"/>
  <c r="BI541" i="1"/>
  <c r="AE541" i="1" s="1"/>
  <c r="BJ541" i="1"/>
  <c r="K542" i="1"/>
  <c r="Z542" i="1"/>
  <c r="AB542" i="1"/>
  <c r="AC542" i="1"/>
  <c r="AF542" i="1"/>
  <c r="AG542" i="1"/>
  <c r="AH542" i="1"/>
  <c r="AJ542" i="1"/>
  <c r="AK542" i="1"/>
  <c r="AL542" i="1"/>
  <c r="AO542" i="1"/>
  <c r="AP542" i="1"/>
  <c r="AV542" i="1"/>
  <c r="AW542" i="1"/>
  <c r="BC542" i="1" s="1"/>
  <c r="AX542" i="1"/>
  <c r="BD542" i="1"/>
  <c r="BF542" i="1"/>
  <c r="BH542" i="1"/>
  <c r="AD542" i="1" s="1"/>
  <c r="BI542" i="1"/>
  <c r="AE542" i="1" s="1"/>
  <c r="BJ542" i="1"/>
  <c r="K543" i="1"/>
  <c r="Z543" i="1"/>
  <c r="AB543" i="1"/>
  <c r="AC543" i="1"/>
  <c r="AF543" i="1"/>
  <c r="AG543" i="1"/>
  <c r="AH543" i="1"/>
  <c r="AJ543" i="1"/>
  <c r="AK543" i="1"/>
  <c r="AL543" i="1"/>
  <c r="AO543" i="1"/>
  <c r="AP543" i="1"/>
  <c r="AW543" i="1"/>
  <c r="BC543" i="1" s="1"/>
  <c r="AX543" i="1"/>
  <c r="BD543" i="1"/>
  <c r="BF543" i="1"/>
  <c r="BH543" i="1"/>
  <c r="AD543" i="1" s="1"/>
  <c r="BI543" i="1"/>
  <c r="AE543" i="1" s="1"/>
  <c r="BJ543" i="1"/>
  <c r="K544" i="1"/>
  <c r="AL544" i="1" s="1"/>
  <c r="Z544" i="1"/>
  <c r="AB544" i="1"/>
  <c r="AC544" i="1"/>
  <c r="AF544" i="1"/>
  <c r="AG544" i="1"/>
  <c r="AH544" i="1"/>
  <c r="AJ544" i="1"/>
  <c r="AK544" i="1"/>
  <c r="AO544" i="1"/>
  <c r="AW544" i="1" s="1"/>
  <c r="AP544" i="1"/>
  <c r="AX544" i="1"/>
  <c r="BD544" i="1"/>
  <c r="BF544" i="1"/>
  <c r="BH544" i="1"/>
  <c r="AD544" i="1" s="1"/>
  <c r="BI544" i="1"/>
  <c r="AE544" i="1" s="1"/>
  <c r="BJ544" i="1"/>
  <c r="K545" i="1"/>
  <c r="Z545" i="1"/>
  <c r="AB545" i="1"/>
  <c r="AC545" i="1"/>
  <c r="AF545" i="1"/>
  <c r="AG545" i="1"/>
  <c r="AH545" i="1"/>
  <c r="AJ545" i="1"/>
  <c r="AK545" i="1"/>
  <c r="AL545" i="1"/>
  <c r="AO545" i="1"/>
  <c r="AP545" i="1"/>
  <c r="AX545" i="1" s="1"/>
  <c r="AW545" i="1"/>
  <c r="BD545" i="1"/>
  <c r="BF545" i="1"/>
  <c r="BH545" i="1"/>
  <c r="AD545" i="1" s="1"/>
  <c r="BI545" i="1"/>
  <c r="AE545" i="1" s="1"/>
  <c r="BJ545" i="1"/>
  <c r="K546" i="1"/>
  <c r="Z546" i="1"/>
  <c r="AB546" i="1"/>
  <c r="AC546" i="1"/>
  <c r="AF546" i="1"/>
  <c r="AG546" i="1"/>
  <c r="AH546" i="1"/>
  <c r="AJ546" i="1"/>
  <c r="AK546" i="1"/>
  <c r="AL546" i="1"/>
  <c r="AO546" i="1"/>
  <c r="AP546" i="1"/>
  <c r="AV546" i="1"/>
  <c r="AW546" i="1"/>
  <c r="BC546" i="1" s="1"/>
  <c r="AX546" i="1"/>
  <c r="BD546" i="1"/>
  <c r="BF546" i="1"/>
  <c r="BH546" i="1"/>
  <c r="AD546" i="1" s="1"/>
  <c r="BI546" i="1"/>
  <c r="AE546" i="1" s="1"/>
  <c r="BJ546" i="1"/>
  <c r="K547" i="1"/>
  <c r="Z547" i="1"/>
  <c r="AB547" i="1"/>
  <c r="AC547" i="1"/>
  <c r="AF547" i="1"/>
  <c r="AG547" i="1"/>
  <c r="AH547" i="1"/>
  <c r="AJ547" i="1"/>
  <c r="AK547" i="1"/>
  <c r="AL547" i="1"/>
  <c r="AO547" i="1"/>
  <c r="AP547" i="1"/>
  <c r="AW547" i="1"/>
  <c r="BC547" i="1" s="1"/>
  <c r="AX547" i="1"/>
  <c r="BD547" i="1"/>
  <c r="BF547" i="1"/>
  <c r="BH547" i="1"/>
  <c r="AD547" i="1" s="1"/>
  <c r="BI547" i="1"/>
  <c r="AE547" i="1" s="1"/>
  <c r="BJ547" i="1"/>
  <c r="K548" i="1"/>
  <c r="AL548" i="1" s="1"/>
  <c r="Z548" i="1"/>
  <c r="AB548" i="1"/>
  <c r="AC548" i="1"/>
  <c r="AF548" i="1"/>
  <c r="AG548" i="1"/>
  <c r="AH548" i="1"/>
  <c r="AJ548" i="1"/>
  <c r="AK548" i="1"/>
  <c r="AO548" i="1"/>
  <c r="AW548" i="1" s="1"/>
  <c r="AP548" i="1"/>
  <c r="AX548" i="1"/>
  <c r="BD548" i="1"/>
  <c r="BF548" i="1"/>
  <c r="BH548" i="1"/>
  <c r="AD548" i="1" s="1"/>
  <c r="BI548" i="1"/>
  <c r="AE548" i="1" s="1"/>
  <c r="BJ548" i="1"/>
  <c r="K549" i="1"/>
  <c r="Z549" i="1"/>
  <c r="AB549" i="1"/>
  <c r="AC549" i="1"/>
  <c r="AF549" i="1"/>
  <c r="AG549" i="1"/>
  <c r="AH549" i="1"/>
  <c r="AJ549" i="1"/>
  <c r="AK549" i="1"/>
  <c r="AL549" i="1"/>
  <c r="AO549" i="1"/>
  <c r="AP549" i="1"/>
  <c r="AX549" i="1" s="1"/>
  <c r="AW549" i="1"/>
  <c r="BD549" i="1"/>
  <c r="BF549" i="1"/>
  <c r="BH549" i="1"/>
  <c r="AD549" i="1" s="1"/>
  <c r="BI549" i="1"/>
  <c r="AE549" i="1" s="1"/>
  <c r="BJ549" i="1"/>
  <c r="K550" i="1"/>
  <c r="Z550" i="1"/>
  <c r="AB550" i="1"/>
  <c r="AC550" i="1"/>
  <c r="AF550" i="1"/>
  <c r="AG550" i="1"/>
  <c r="AH550" i="1"/>
  <c r="AJ550" i="1"/>
  <c r="AK550" i="1"/>
  <c r="AL550" i="1"/>
  <c r="AO550" i="1"/>
  <c r="AP550" i="1"/>
  <c r="AV550" i="1"/>
  <c r="AW550" i="1"/>
  <c r="BC550" i="1" s="1"/>
  <c r="AX550" i="1"/>
  <c r="BD550" i="1"/>
  <c r="BF550" i="1"/>
  <c r="BH550" i="1"/>
  <c r="AD550" i="1" s="1"/>
  <c r="BI550" i="1"/>
  <c r="AE550" i="1" s="1"/>
  <c r="BJ550" i="1"/>
  <c r="K551" i="1"/>
  <c r="Z551" i="1"/>
  <c r="AB551" i="1"/>
  <c r="AC551" i="1"/>
  <c r="AF551" i="1"/>
  <c r="AG551" i="1"/>
  <c r="AH551" i="1"/>
  <c r="AJ551" i="1"/>
  <c r="AK551" i="1"/>
  <c r="AL551" i="1"/>
  <c r="AO551" i="1"/>
  <c r="AP551" i="1"/>
  <c r="AW551" i="1"/>
  <c r="BC551" i="1" s="1"/>
  <c r="AX551" i="1"/>
  <c r="BD551" i="1"/>
  <c r="BF551" i="1"/>
  <c r="BH551" i="1"/>
  <c r="AD551" i="1" s="1"/>
  <c r="BI551" i="1"/>
  <c r="AE551" i="1" s="1"/>
  <c r="BJ551" i="1"/>
  <c r="K552" i="1"/>
  <c r="AL552" i="1" s="1"/>
  <c r="Z552" i="1"/>
  <c r="AB552" i="1"/>
  <c r="AC552" i="1"/>
  <c r="AF552" i="1"/>
  <c r="AG552" i="1"/>
  <c r="AH552" i="1"/>
  <c r="AJ552" i="1"/>
  <c r="AK552" i="1"/>
  <c r="AO552" i="1"/>
  <c r="AW552" i="1" s="1"/>
  <c r="AP552" i="1"/>
  <c r="AX552" i="1"/>
  <c r="BD552" i="1"/>
  <c r="BF552" i="1"/>
  <c r="BH552" i="1"/>
  <c r="AD552" i="1" s="1"/>
  <c r="BI552" i="1"/>
  <c r="AE552" i="1" s="1"/>
  <c r="BJ552" i="1"/>
  <c r="K553" i="1"/>
  <c r="Z553" i="1"/>
  <c r="AB553" i="1"/>
  <c r="AC553" i="1"/>
  <c r="AF553" i="1"/>
  <c r="AG553" i="1"/>
  <c r="AH553" i="1"/>
  <c r="AJ553" i="1"/>
  <c r="AK553" i="1"/>
  <c r="AL553" i="1"/>
  <c r="AO553" i="1"/>
  <c r="AP553" i="1"/>
  <c r="AX553" i="1" s="1"/>
  <c r="AW553" i="1"/>
  <c r="BD553" i="1"/>
  <c r="BF553" i="1"/>
  <c r="BH553" i="1"/>
  <c r="AD553" i="1" s="1"/>
  <c r="BI553" i="1"/>
  <c r="AE553" i="1" s="1"/>
  <c r="BJ553" i="1"/>
  <c r="K554" i="1"/>
  <c r="Z554" i="1"/>
  <c r="AB554" i="1"/>
  <c r="AC554" i="1"/>
  <c r="AF554" i="1"/>
  <c r="AG554" i="1"/>
  <c r="AH554" i="1"/>
  <c r="AJ554" i="1"/>
  <c r="AK554" i="1"/>
  <c r="AL554" i="1"/>
  <c r="AO554" i="1"/>
  <c r="AP554" i="1"/>
  <c r="AV554" i="1"/>
  <c r="AW554" i="1"/>
  <c r="BC554" i="1" s="1"/>
  <c r="AX554" i="1"/>
  <c r="BD554" i="1"/>
  <c r="BF554" i="1"/>
  <c r="BH554" i="1"/>
  <c r="AD554" i="1" s="1"/>
  <c r="BI554" i="1"/>
  <c r="AE554" i="1" s="1"/>
  <c r="BJ554" i="1"/>
  <c r="K555" i="1"/>
  <c r="Z555" i="1"/>
  <c r="AB555" i="1"/>
  <c r="AC555" i="1"/>
  <c r="AF555" i="1"/>
  <c r="AG555" i="1"/>
  <c r="AH555" i="1"/>
  <c r="AJ555" i="1"/>
  <c r="AK555" i="1"/>
  <c r="AL555" i="1"/>
  <c r="AO555" i="1"/>
  <c r="AP555" i="1"/>
  <c r="AW555" i="1"/>
  <c r="BC555" i="1" s="1"/>
  <c r="AX555" i="1"/>
  <c r="BD555" i="1"/>
  <c r="BF555" i="1"/>
  <c r="BH555" i="1"/>
  <c r="AD555" i="1" s="1"/>
  <c r="BI555" i="1"/>
  <c r="AE555" i="1" s="1"/>
  <c r="BJ555" i="1"/>
  <c r="K556" i="1"/>
  <c r="AL556" i="1" s="1"/>
  <c r="Z556" i="1"/>
  <c r="AB556" i="1"/>
  <c r="AC556" i="1"/>
  <c r="AF556" i="1"/>
  <c r="AG556" i="1"/>
  <c r="AH556" i="1"/>
  <c r="AJ556" i="1"/>
  <c r="AK556" i="1"/>
  <c r="AO556" i="1"/>
  <c r="AW556" i="1" s="1"/>
  <c r="AP556" i="1"/>
  <c r="AX556" i="1"/>
  <c r="BD556" i="1"/>
  <c r="BF556" i="1"/>
  <c r="BH556" i="1"/>
  <c r="AD556" i="1" s="1"/>
  <c r="BI556" i="1"/>
  <c r="AE556" i="1" s="1"/>
  <c r="BJ556" i="1"/>
  <c r="K557" i="1"/>
  <c r="Z557" i="1"/>
  <c r="AB557" i="1"/>
  <c r="AC557" i="1"/>
  <c r="AF557" i="1"/>
  <c r="AG557" i="1"/>
  <c r="AH557" i="1"/>
  <c r="AJ557" i="1"/>
  <c r="AK557" i="1"/>
  <c r="AL557" i="1"/>
  <c r="AO557" i="1"/>
  <c r="AP557" i="1"/>
  <c r="AX557" i="1" s="1"/>
  <c r="AW557" i="1"/>
  <c r="BD557" i="1"/>
  <c r="BF557" i="1"/>
  <c r="BH557" i="1"/>
  <c r="AD557" i="1" s="1"/>
  <c r="BI557" i="1"/>
  <c r="AE557" i="1" s="1"/>
  <c r="BJ557" i="1"/>
  <c r="K558" i="1"/>
  <c r="Z558" i="1"/>
  <c r="AB558" i="1"/>
  <c r="AC558" i="1"/>
  <c r="AF558" i="1"/>
  <c r="AG558" i="1"/>
  <c r="AH558" i="1"/>
  <c r="AJ558" i="1"/>
  <c r="AK558" i="1"/>
  <c r="AL558" i="1"/>
  <c r="AO558" i="1"/>
  <c r="AP558" i="1"/>
  <c r="AW558" i="1"/>
  <c r="AV558" i="1" s="1"/>
  <c r="AX558" i="1"/>
  <c r="BD558" i="1"/>
  <c r="BF558" i="1"/>
  <c r="BH558" i="1"/>
  <c r="AD558" i="1" s="1"/>
  <c r="BI558" i="1"/>
  <c r="AE558" i="1" s="1"/>
  <c r="BJ558" i="1"/>
  <c r="K559" i="1"/>
  <c r="Z559" i="1"/>
  <c r="AB559" i="1"/>
  <c r="AC559" i="1"/>
  <c r="AF559" i="1"/>
  <c r="AG559" i="1"/>
  <c r="AH559" i="1"/>
  <c r="AJ559" i="1"/>
  <c r="AK559" i="1"/>
  <c r="AL559" i="1"/>
  <c r="AO559" i="1"/>
  <c r="AP559" i="1"/>
  <c r="AW559" i="1"/>
  <c r="BC559" i="1" s="1"/>
  <c r="AX559" i="1"/>
  <c r="BD559" i="1"/>
  <c r="BF559" i="1"/>
  <c r="BH559" i="1"/>
  <c r="AD559" i="1" s="1"/>
  <c r="BI559" i="1"/>
  <c r="AE559" i="1" s="1"/>
  <c r="BJ559" i="1"/>
  <c r="K560" i="1"/>
  <c r="AL560" i="1" s="1"/>
  <c r="Z560" i="1"/>
  <c r="AB560" i="1"/>
  <c r="AC560" i="1"/>
  <c r="AF560" i="1"/>
  <c r="AG560" i="1"/>
  <c r="AH560" i="1"/>
  <c r="AJ560" i="1"/>
  <c r="AK560" i="1"/>
  <c r="AO560" i="1"/>
  <c r="AW560" i="1" s="1"/>
  <c r="AP560" i="1"/>
  <c r="AX560" i="1" s="1"/>
  <c r="BD560" i="1"/>
  <c r="BF560" i="1"/>
  <c r="BH560" i="1"/>
  <c r="AD560" i="1" s="1"/>
  <c r="BI560" i="1"/>
  <c r="AE560" i="1" s="1"/>
  <c r="BJ560" i="1"/>
  <c r="K561" i="1"/>
  <c r="Z561" i="1"/>
  <c r="AB561" i="1"/>
  <c r="AC561" i="1"/>
  <c r="AF561" i="1"/>
  <c r="AG561" i="1"/>
  <c r="AH561" i="1"/>
  <c r="AJ561" i="1"/>
  <c r="AK561" i="1"/>
  <c r="AL561" i="1"/>
  <c r="AO561" i="1"/>
  <c r="AP561" i="1"/>
  <c r="AX561" i="1" s="1"/>
  <c r="AW561" i="1"/>
  <c r="BD561" i="1"/>
  <c r="BF561" i="1"/>
  <c r="BH561" i="1"/>
  <c r="AD561" i="1" s="1"/>
  <c r="BI561" i="1"/>
  <c r="AE561" i="1" s="1"/>
  <c r="BJ561" i="1"/>
  <c r="K562" i="1"/>
  <c r="Z562" i="1"/>
  <c r="AB562" i="1"/>
  <c r="AC562" i="1"/>
  <c r="AF562" i="1"/>
  <c r="AG562" i="1"/>
  <c r="AH562" i="1"/>
  <c r="AJ562" i="1"/>
  <c r="AK562" i="1"/>
  <c r="AL562" i="1"/>
  <c r="AO562" i="1"/>
  <c r="AP562" i="1"/>
  <c r="AW562" i="1"/>
  <c r="AV562" i="1" s="1"/>
  <c r="AX562" i="1"/>
  <c r="BD562" i="1"/>
  <c r="BF562" i="1"/>
  <c r="BH562" i="1"/>
  <c r="AD562" i="1" s="1"/>
  <c r="BI562" i="1"/>
  <c r="AE562" i="1" s="1"/>
  <c r="BJ562" i="1"/>
  <c r="K563" i="1"/>
  <c r="Z563" i="1"/>
  <c r="AB563" i="1"/>
  <c r="AC563" i="1"/>
  <c r="AF563" i="1"/>
  <c r="AG563" i="1"/>
  <c r="AH563" i="1"/>
  <c r="AJ563" i="1"/>
  <c r="AK563" i="1"/>
  <c r="AL563" i="1"/>
  <c r="AO563" i="1"/>
  <c r="AW563" i="1" s="1"/>
  <c r="AP563" i="1"/>
  <c r="AX563" i="1"/>
  <c r="BD563" i="1"/>
  <c r="BF563" i="1"/>
  <c r="BH563" i="1"/>
  <c r="AD563" i="1" s="1"/>
  <c r="BI563" i="1"/>
  <c r="AE563" i="1" s="1"/>
  <c r="BJ563" i="1"/>
  <c r="K564" i="1"/>
  <c r="AL564" i="1" s="1"/>
  <c r="Z564" i="1"/>
  <c r="AB564" i="1"/>
  <c r="AC564" i="1"/>
  <c r="AF564" i="1"/>
  <c r="AG564" i="1"/>
  <c r="AH564" i="1"/>
  <c r="AJ564" i="1"/>
  <c r="AK564" i="1"/>
  <c r="AO564" i="1"/>
  <c r="AW564" i="1" s="1"/>
  <c r="AP564" i="1"/>
  <c r="AX564" i="1" s="1"/>
  <c r="BD564" i="1"/>
  <c r="BF564" i="1"/>
  <c r="BH564" i="1"/>
  <c r="AD564" i="1" s="1"/>
  <c r="BI564" i="1"/>
  <c r="AE564" i="1" s="1"/>
  <c r="BJ564" i="1"/>
  <c r="K565" i="1"/>
  <c r="Z565" i="1"/>
  <c r="AB565" i="1"/>
  <c r="AC565" i="1"/>
  <c r="AF565" i="1"/>
  <c r="AG565" i="1"/>
  <c r="AH565" i="1"/>
  <c r="AJ565" i="1"/>
  <c r="AK565" i="1"/>
  <c r="AL565" i="1"/>
  <c r="AO565" i="1"/>
  <c r="AP565" i="1"/>
  <c r="AX565" i="1" s="1"/>
  <c r="AV565" i="1" s="1"/>
  <c r="AW565" i="1"/>
  <c r="BC565" i="1" s="1"/>
  <c r="BD565" i="1"/>
  <c r="BF565" i="1"/>
  <c r="BH565" i="1"/>
  <c r="AD565" i="1" s="1"/>
  <c r="BI565" i="1"/>
  <c r="AE565" i="1" s="1"/>
  <c r="BJ565" i="1"/>
  <c r="K566" i="1"/>
  <c r="Z566" i="1"/>
  <c r="AB566" i="1"/>
  <c r="AC566" i="1"/>
  <c r="AF566" i="1"/>
  <c r="AG566" i="1"/>
  <c r="AH566" i="1"/>
  <c r="AJ566" i="1"/>
  <c r="AK566" i="1"/>
  <c r="AL566" i="1"/>
  <c r="AO566" i="1"/>
  <c r="AP566" i="1"/>
  <c r="AW566" i="1"/>
  <c r="AV566" i="1" s="1"/>
  <c r="AX566" i="1"/>
  <c r="BD566" i="1"/>
  <c r="BF566" i="1"/>
  <c r="BH566" i="1"/>
  <c r="AD566" i="1" s="1"/>
  <c r="BI566" i="1"/>
  <c r="AE566" i="1" s="1"/>
  <c r="BJ566" i="1"/>
  <c r="K567" i="1"/>
  <c r="AL567" i="1" s="1"/>
  <c r="Z567" i="1"/>
  <c r="AB567" i="1"/>
  <c r="AC567" i="1"/>
  <c r="AF567" i="1"/>
  <c r="AG567" i="1"/>
  <c r="AH567" i="1"/>
  <c r="AJ567" i="1"/>
  <c r="AK567" i="1"/>
  <c r="AO567" i="1"/>
  <c r="AW567" i="1" s="1"/>
  <c r="AP567" i="1"/>
  <c r="AX567" i="1"/>
  <c r="BD567" i="1"/>
  <c r="BF567" i="1"/>
  <c r="BH567" i="1"/>
  <c r="AD567" i="1" s="1"/>
  <c r="BI567" i="1"/>
  <c r="AE567" i="1" s="1"/>
  <c r="BJ567" i="1"/>
  <c r="K568" i="1"/>
  <c r="AL568" i="1" s="1"/>
  <c r="Z568" i="1"/>
  <c r="AB568" i="1"/>
  <c r="AC568" i="1"/>
  <c r="AF568" i="1"/>
  <c r="AG568" i="1"/>
  <c r="AH568" i="1"/>
  <c r="AJ568" i="1"/>
  <c r="AK568" i="1"/>
  <c r="AO568" i="1"/>
  <c r="AW568" i="1" s="1"/>
  <c r="AP568" i="1"/>
  <c r="AX568" i="1" s="1"/>
  <c r="BD568" i="1"/>
  <c r="BF568" i="1"/>
  <c r="BH568" i="1"/>
  <c r="AD568" i="1" s="1"/>
  <c r="BI568" i="1"/>
  <c r="AE568" i="1" s="1"/>
  <c r="BJ568" i="1"/>
  <c r="K569" i="1"/>
  <c r="Z569" i="1"/>
  <c r="AB569" i="1"/>
  <c r="AC569" i="1"/>
  <c r="AF569" i="1"/>
  <c r="AG569" i="1"/>
  <c r="AH569" i="1"/>
  <c r="AJ569" i="1"/>
  <c r="AK569" i="1"/>
  <c r="AL569" i="1"/>
  <c r="AO569" i="1"/>
  <c r="AP569" i="1"/>
  <c r="AX569" i="1" s="1"/>
  <c r="AW569" i="1"/>
  <c r="BC569" i="1" s="1"/>
  <c r="BD569" i="1"/>
  <c r="BF569" i="1"/>
  <c r="BH569" i="1"/>
  <c r="AD569" i="1" s="1"/>
  <c r="BI569" i="1"/>
  <c r="AE569" i="1" s="1"/>
  <c r="BJ569" i="1"/>
  <c r="K570" i="1"/>
  <c r="Z570" i="1"/>
  <c r="AB570" i="1"/>
  <c r="AC570" i="1"/>
  <c r="AF570" i="1"/>
  <c r="AG570" i="1"/>
  <c r="AH570" i="1"/>
  <c r="AJ570" i="1"/>
  <c r="AK570" i="1"/>
  <c r="AL570" i="1"/>
  <c r="AO570" i="1"/>
  <c r="AP570" i="1"/>
  <c r="AW570" i="1"/>
  <c r="AV570" i="1" s="1"/>
  <c r="AX570" i="1"/>
  <c r="BD570" i="1"/>
  <c r="BF570" i="1"/>
  <c r="BH570" i="1"/>
  <c r="AD570" i="1" s="1"/>
  <c r="BI570" i="1"/>
  <c r="AE570" i="1" s="1"/>
  <c r="BJ570" i="1"/>
  <c r="K571" i="1"/>
  <c r="AL571" i="1" s="1"/>
  <c r="Z571" i="1"/>
  <c r="AB571" i="1"/>
  <c r="AC571" i="1"/>
  <c r="AF571" i="1"/>
  <c r="AG571" i="1"/>
  <c r="AH571" i="1"/>
  <c r="AJ571" i="1"/>
  <c r="AK571" i="1"/>
  <c r="AO571" i="1"/>
  <c r="AW571" i="1" s="1"/>
  <c r="AP571" i="1"/>
  <c r="AX571" i="1"/>
  <c r="BD571" i="1"/>
  <c r="BF571" i="1"/>
  <c r="BH571" i="1"/>
  <c r="AD571" i="1" s="1"/>
  <c r="BI571" i="1"/>
  <c r="AE571" i="1" s="1"/>
  <c r="BJ571" i="1"/>
  <c r="K572" i="1"/>
  <c r="AL572" i="1" s="1"/>
  <c r="Z572" i="1"/>
  <c r="AB572" i="1"/>
  <c r="AC572" i="1"/>
  <c r="AF572" i="1"/>
  <c r="AG572" i="1"/>
  <c r="AH572" i="1"/>
  <c r="AJ572" i="1"/>
  <c r="AK572" i="1"/>
  <c r="AO572" i="1"/>
  <c r="AW572" i="1" s="1"/>
  <c r="AP572" i="1"/>
  <c r="AX572" i="1" s="1"/>
  <c r="BD572" i="1"/>
  <c r="BF572" i="1"/>
  <c r="BH572" i="1"/>
  <c r="AD572" i="1" s="1"/>
  <c r="BI572" i="1"/>
  <c r="AE572" i="1" s="1"/>
  <c r="BJ572" i="1"/>
  <c r="K573" i="1"/>
  <c r="Z573" i="1"/>
  <c r="AB573" i="1"/>
  <c r="AC573" i="1"/>
  <c r="AF573" i="1"/>
  <c r="AG573" i="1"/>
  <c r="AH573" i="1"/>
  <c r="AJ573" i="1"/>
  <c r="AK573" i="1"/>
  <c r="AL573" i="1"/>
  <c r="AO573" i="1"/>
  <c r="AP573" i="1"/>
  <c r="AX573" i="1" s="1"/>
  <c r="AW573" i="1"/>
  <c r="BC573" i="1" s="1"/>
  <c r="BD573" i="1"/>
  <c r="BF573" i="1"/>
  <c r="BH573" i="1"/>
  <c r="AD573" i="1" s="1"/>
  <c r="BI573" i="1"/>
  <c r="AE573" i="1" s="1"/>
  <c r="BJ573" i="1"/>
  <c r="K574" i="1"/>
  <c r="Z574" i="1"/>
  <c r="AB574" i="1"/>
  <c r="AC574" i="1"/>
  <c r="AF574" i="1"/>
  <c r="AG574" i="1"/>
  <c r="AH574" i="1"/>
  <c r="AJ574" i="1"/>
  <c r="AK574" i="1"/>
  <c r="AL574" i="1"/>
  <c r="AO574" i="1"/>
  <c r="AP574" i="1"/>
  <c r="AW574" i="1"/>
  <c r="AV574" i="1" s="1"/>
  <c r="AX574" i="1"/>
  <c r="BD574" i="1"/>
  <c r="BF574" i="1"/>
  <c r="BH574" i="1"/>
  <c r="AD574" i="1" s="1"/>
  <c r="BI574" i="1"/>
  <c r="AE574" i="1" s="1"/>
  <c r="BJ574" i="1"/>
  <c r="K575" i="1"/>
  <c r="AL575" i="1" s="1"/>
  <c r="Z575" i="1"/>
  <c r="AB575" i="1"/>
  <c r="AC575" i="1"/>
  <c r="AF575" i="1"/>
  <c r="AG575" i="1"/>
  <c r="AH575" i="1"/>
  <c r="AJ575" i="1"/>
  <c r="AK575" i="1"/>
  <c r="AO575" i="1"/>
  <c r="AW575" i="1" s="1"/>
  <c r="AP575" i="1"/>
  <c r="AX575" i="1"/>
  <c r="BD575" i="1"/>
  <c r="BF575" i="1"/>
  <c r="BH575" i="1"/>
  <c r="AD575" i="1" s="1"/>
  <c r="BI575" i="1"/>
  <c r="AE575" i="1" s="1"/>
  <c r="BJ575" i="1"/>
  <c r="K576" i="1"/>
  <c r="AL576" i="1" s="1"/>
  <c r="Z576" i="1"/>
  <c r="AB576" i="1"/>
  <c r="AC576" i="1"/>
  <c r="AF576" i="1"/>
  <c r="AG576" i="1"/>
  <c r="AH576" i="1"/>
  <c r="AJ576" i="1"/>
  <c r="AK576" i="1"/>
  <c r="AO576" i="1"/>
  <c r="AW576" i="1" s="1"/>
  <c r="AP576" i="1"/>
  <c r="AX576" i="1" s="1"/>
  <c r="BD576" i="1"/>
  <c r="BF576" i="1"/>
  <c r="BH576" i="1"/>
  <c r="AD576" i="1" s="1"/>
  <c r="BI576" i="1"/>
  <c r="AE576" i="1" s="1"/>
  <c r="BJ576" i="1"/>
  <c r="K577" i="1"/>
  <c r="Z577" i="1"/>
  <c r="AB577" i="1"/>
  <c r="AC577" i="1"/>
  <c r="AF577" i="1"/>
  <c r="AG577" i="1"/>
  <c r="AH577" i="1"/>
  <c r="AJ577" i="1"/>
  <c r="AK577" i="1"/>
  <c r="AL577" i="1"/>
  <c r="AO577" i="1"/>
  <c r="AP577" i="1"/>
  <c r="AX577" i="1" s="1"/>
  <c r="AW577" i="1"/>
  <c r="BC577" i="1" s="1"/>
  <c r="BD577" i="1"/>
  <c r="BF577" i="1"/>
  <c r="BH577" i="1"/>
  <c r="AD577" i="1" s="1"/>
  <c r="BI577" i="1"/>
  <c r="AE577" i="1" s="1"/>
  <c r="BJ577" i="1"/>
  <c r="K578" i="1"/>
  <c r="Z578" i="1"/>
  <c r="AB578" i="1"/>
  <c r="AC578" i="1"/>
  <c r="AF578" i="1"/>
  <c r="AG578" i="1"/>
  <c r="AH578" i="1"/>
  <c r="AJ578" i="1"/>
  <c r="AK578" i="1"/>
  <c r="AL578" i="1"/>
  <c r="AO578" i="1"/>
  <c r="AP578" i="1"/>
  <c r="AW578" i="1"/>
  <c r="AV578" i="1" s="1"/>
  <c r="AX578" i="1"/>
  <c r="BD578" i="1"/>
  <c r="BF578" i="1"/>
  <c r="BH578" i="1"/>
  <c r="AD578" i="1" s="1"/>
  <c r="BI578" i="1"/>
  <c r="AE578" i="1" s="1"/>
  <c r="BJ578" i="1"/>
  <c r="K579" i="1"/>
  <c r="AL579" i="1" s="1"/>
  <c r="Z579" i="1"/>
  <c r="AB579" i="1"/>
  <c r="AC579" i="1"/>
  <c r="AF579" i="1"/>
  <c r="AG579" i="1"/>
  <c r="AH579" i="1"/>
  <c r="AJ579" i="1"/>
  <c r="AK579" i="1"/>
  <c r="AO579" i="1"/>
  <c r="AW579" i="1" s="1"/>
  <c r="AP579" i="1"/>
  <c r="AX579" i="1"/>
  <c r="BD579" i="1"/>
  <c r="BF579" i="1"/>
  <c r="BH579" i="1"/>
  <c r="AD579" i="1" s="1"/>
  <c r="BI579" i="1"/>
  <c r="AE579" i="1" s="1"/>
  <c r="BJ579" i="1"/>
  <c r="K580" i="1"/>
  <c r="AL580" i="1" s="1"/>
  <c r="Z580" i="1"/>
  <c r="AB580" i="1"/>
  <c r="AC580" i="1"/>
  <c r="AF580" i="1"/>
  <c r="AG580" i="1"/>
  <c r="AH580" i="1"/>
  <c r="AJ580" i="1"/>
  <c r="AK580" i="1"/>
  <c r="AO580" i="1"/>
  <c r="AW580" i="1" s="1"/>
  <c r="AP580" i="1"/>
  <c r="AX580" i="1" s="1"/>
  <c r="BD580" i="1"/>
  <c r="BF580" i="1"/>
  <c r="BH580" i="1"/>
  <c r="AD580" i="1" s="1"/>
  <c r="BI580" i="1"/>
  <c r="AE580" i="1" s="1"/>
  <c r="BJ580" i="1"/>
  <c r="K581" i="1"/>
  <c r="Z581" i="1"/>
  <c r="AB581" i="1"/>
  <c r="AC581" i="1"/>
  <c r="AF581" i="1"/>
  <c r="AG581" i="1"/>
  <c r="AH581" i="1"/>
  <c r="AJ581" i="1"/>
  <c r="AK581" i="1"/>
  <c r="AL581" i="1"/>
  <c r="AO581" i="1"/>
  <c r="AP581" i="1"/>
  <c r="AX581" i="1" s="1"/>
  <c r="AV581" i="1" s="1"/>
  <c r="AW581" i="1"/>
  <c r="BC581" i="1" s="1"/>
  <c r="BD581" i="1"/>
  <c r="BF581" i="1"/>
  <c r="BH581" i="1"/>
  <c r="AD581" i="1" s="1"/>
  <c r="BI581" i="1"/>
  <c r="AE581" i="1" s="1"/>
  <c r="BJ581" i="1"/>
  <c r="K582" i="1"/>
  <c r="Z582" i="1"/>
  <c r="AB582" i="1"/>
  <c r="AC582" i="1"/>
  <c r="AF582" i="1"/>
  <c r="AG582" i="1"/>
  <c r="AH582" i="1"/>
  <c r="AJ582" i="1"/>
  <c r="AK582" i="1"/>
  <c r="AL582" i="1"/>
  <c r="AO582" i="1"/>
  <c r="AP582" i="1"/>
  <c r="AW582" i="1"/>
  <c r="AV582" i="1" s="1"/>
  <c r="AX582" i="1"/>
  <c r="BD582" i="1"/>
  <c r="BF582" i="1"/>
  <c r="BH582" i="1"/>
  <c r="AD582" i="1" s="1"/>
  <c r="BI582" i="1"/>
  <c r="AE582" i="1" s="1"/>
  <c r="BJ582" i="1"/>
  <c r="K583" i="1"/>
  <c r="AL583" i="1" s="1"/>
  <c r="Z583" i="1"/>
  <c r="AB583" i="1"/>
  <c r="AC583" i="1"/>
  <c r="AF583" i="1"/>
  <c r="AG583" i="1"/>
  <c r="AH583" i="1"/>
  <c r="AJ583" i="1"/>
  <c r="AK583" i="1"/>
  <c r="AO583" i="1"/>
  <c r="AW583" i="1" s="1"/>
  <c r="AP583" i="1"/>
  <c r="AX583" i="1"/>
  <c r="BD583" i="1"/>
  <c r="BF583" i="1"/>
  <c r="BH583" i="1"/>
  <c r="AD583" i="1" s="1"/>
  <c r="BI583" i="1"/>
  <c r="AE583" i="1" s="1"/>
  <c r="BJ583" i="1"/>
  <c r="K584" i="1"/>
  <c r="AL584" i="1" s="1"/>
  <c r="Z584" i="1"/>
  <c r="AB584" i="1"/>
  <c r="AC584" i="1"/>
  <c r="AF584" i="1"/>
  <c r="AG584" i="1"/>
  <c r="AH584" i="1"/>
  <c r="AJ584" i="1"/>
  <c r="AK584" i="1"/>
  <c r="AO584" i="1"/>
  <c r="AW584" i="1" s="1"/>
  <c r="AP584" i="1"/>
  <c r="AX584" i="1" s="1"/>
  <c r="BD584" i="1"/>
  <c r="BF584" i="1"/>
  <c r="BH584" i="1"/>
  <c r="AD584" i="1" s="1"/>
  <c r="BI584" i="1"/>
  <c r="AE584" i="1" s="1"/>
  <c r="BJ584" i="1"/>
  <c r="K585" i="1"/>
  <c r="Z585" i="1"/>
  <c r="AB585" i="1"/>
  <c r="AC585" i="1"/>
  <c r="AF585" i="1"/>
  <c r="AG585" i="1"/>
  <c r="AH585" i="1"/>
  <c r="AJ585" i="1"/>
  <c r="AK585" i="1"/>
  <c r="AL585" i="1"/>
  <c r="AO585" i="1"/>
  <c r="AP585" i="1"/>
  <c r="AX585" i="1" s="1"/>
  <c r="AW585" i="1"/>
  <c r="BC585" i="1" s="1"/>
  <c r="BD585" i="1"/>
  <c r="BF585" i="1"/>
  <c r="BH585" i="1"/>
  <c r="AD585" i="1" s="1"/>
  <c r="BI585" i="1"/>
  <c r="AE585" i="1" s="1"/>
  <c r="BJ585" i="1"/>
  <c r="K586" i="1"/>
  <c r="Z586" i="1"/>
  <c r="AB586" i="1"/>
  <c r="AC586" i="1"/>
  <c r="AF586" i="1"/>
  <c r="AG586" i="1"/>
  <c r="AH586" i="1"/>
  <c r="AJ586" i="1"/>
  <c r="AK586" i="1"/>
  <c r="AL586" i="1"/>
  <c r="AO586" i="1"/>
  <c r="AP586" i="1"/>
  <c r="AW586" i="1"/>
  <c r="AV586" i="1" s="1"/>
  <c r="AX586" i="1"/>
  <c r="BD586" i="1"/>
  <c r="BF586" i="1"/>
  <c r="BH586" i="1"/>
  <c r="AD586" i="1" s="1"/>
  <c r="BI586" i="1"/>
  <c r="AE586" i="1" s="1"/>
  <c r="BJ586" i="1"/>
  <c r="K587" i="1"/>
  <c r="AL587" i="1" s="1"/>
  <c r="Z587" i="1"/>
  <c r="AB587" i="1"/>
  <c r="AC587" i="1"/>
  <c r="AF587" i="1"/>
  <c r="AG587" i="1"/>
  <c r="AH587" i="1"/>
  <c r="AJ587" i="1"/>
  <c r="AK587" i="1"/>
  <c r="AO587" i="1"/>
  <c r="AW587" i="1" s="1"/>
  <c r="AP587" i="1"/>
  <c r="AX587" i="1"/>
  <c r="BD587" i="1"/>
  <c r="BF587" i="1"/>
  <c r="BH587" i="1"/>
  <c r="AD587" i="1" s="1"/>
  <c r="BI587" i="1"/>
  <c r="AE587" i="1" s="1"/>
  <c r="BJ587" i="1"/>
  <c r="K588" i="1"/>
  <c r="AL588" i="1" s="1"/>
  <c r="Z588" i="1"/>
  <c r="AB588" i="1"/>
  <c r="AC588" i="1"/>
  <c r="AF588" i="1"/>
  <c r="AG588" i="1"/>
  <c r="AH588" i="1"/>
  <c r="AJ588" i="1"/>
  <c r="AK588" i="1"/>
  <c r="AO588" i="1"/>
  <c r="AW588" i="1" s="1"/>
  <c r="AP588" i="1"/>
  <c r="AX588" i="1" s="1"/>
  <c r="BD588" i="1"/>
  <c r="BF588" i="1"/>
  <c r="BH588" i="1"/>
  <c r="AD588" i="1" s="1"/>
  <c r="BI588" i="1"/>
  <c r="AE588" i="1" s="1"/>
  <c r="BJ588" i="1"/>
  <c r="K589" i="1"/>
  <c r="Z589" i="1"/>
  <c r="AB589" i="1"/>
  <c r="AC589" i="1"/>
  <c r="AF589" i="1"/>
  <c r="AG589" i="1"/>
  <c r="AH589" i="1"/>
  <c r="AJ589" i="1"/>
  <c r="AK589" i="1"/>
  <c r="AL589" i="1"/>
  <c r="AO589" i="1"/>
  <c r="AP589" i="1"/>
  <c r="AX589" i="1" s="1"/>
  <c r="AV589" i="1" s="1"/>
  <c r="AW589" i="1"/>
  <c r="BC589" i="1" s="1"/>
  <c r="BD589" i="1"/>
  <c r="BF589" i="1"/>
  <c r="BH589" i="1"/>
  <c r="AD589" i="1" s="1"/>
  <c r="BI589" i="1"/>
  <c r="AE589" i="1" s="1"/>
  <c r="BJ589" i="1"/>
  <c r="K590" i="1"/>
  <c r="Z590" i="1"/>
  <c r="AB590" i="1"/>
  <c r="AC590" i="1"/>
  <c r="AF590" i="1"/>
  <c r="AG590" i="1"/>
  <c r="AH590" i="1"/>
  <c r="AJ590" i="1"/>
  <c r="AK590" i="1"/>
  <c r="AL590" i="1"/>
  <c r="AO590" i="1"/>
  <c r="AP590" i="1"/>
  <c r="AW590" i="1"/>
  <c r="AV590" i="1" s="1"/>
  <c r="AX590" i="1"/>
  <c r="BD590" i="1"/>
  <c r="BF590" i="1"/>
  <c r="BH590" i="1"/>
  <c r="AD590" i="1" s="1"/>
  <c r="BI590" i="1"/>
  <c r="AE590" i="1" s="1"/>
  <c r="BJ590" i="1"/>
  <c r="K591" i="1"/>
  <c r="AL591" i="1" s="1"/>
  <c r="Z591" i="1"/>
  <c r="AB591" i="1"/>
  <c r="AC591" i="1"/>
  <c r="AF591" i="1"/>
  <c r="AG591" i="1"/>
  <c r="AH591" i="1"/>
  <c r="AJ591" i="1"/>
  <c r="AK591" i="1"/>
  <c r="AO591" i="1"/>
  <c r="AW591" i="1" s="1"/>
  <c r="AP591" i="1"/>
  <c r="AX591" i="1"/>
  <c r="BD591" i="1"/>
  <c r="BF591" i="1"/>
  <c r="BH591" i="1"/>
  <c r="AD591" i="1" s="1"/>
  <c r="BI591" i="1"/>
  <c r="AE591" i="1" s="1"/>
  <c r="BJ591" i="1"/>
  <c r="K592" i="1"/>
  <c r="AL592" i="1" s="1"/>
  <c r="Z592" i="1"/>
  <c r="AB592" i="1"/>
  <c r="AC592" i="1"/>
  <c r="AF592" i="1"/>
  <c r="AG592" i="1"/>
  <c r="AH592" i="1"/>
  <c r="AJ592" i="1"/>
  <c r="AK592" i="1"/>
  <c r="AO592" i="1"/>
  <c r="AW592" i="1" s="1"/>
  <c r="AP592" i="1"/>
  <c r="AX592" i="1" s="1"/>
  <c r="BD592" i="1"/>
  <c r="BF592" i="1"/>
  <c r="BH592" i="1"/>
  <c r="AD592" i="1" s="1"/>
  <c r="BI592" i="1"/>
  <c r="AE592" i="1" s="1"/>
  <c r="BJ592" i="1"/>
  <c r="K593" i="1"/>
  <c r="Z593" i="1"/>
  <c r="AB593" i="1"/>
  <c r="AC593" i="1"/>
  <c r="AF593" i="1"/>
  <c r="AG593" i="1"/>
  <c r="AH593" i="1"/>
  <c r="AJ593" i="1"/>
  <c r="AK593" i="1"/>
  <c r="AL593" i="1"/>
  <c r="AO593" i="1"/>
  <c r="AP593" i="1"/>
  <c r="AX593" i="1" s="1"/>
  <c r="AV593" i="1" s="1"/>
  <c r="AW593" i="1"/>
  <c r="BC593" i="1" s="1"/>
  <c r="BD593" i="1"/>
  <c r="BF593" i="1"/>
  <c r="BH593" i="1"/>
  <c r="AD593" i="1" s="1"/>
  <c r="BI593" i="1"/>
  <c r="AE593" i="1" s="1"/>
  <c r="BJ593" i="1"/>
  <c r="K594" i="1"/>
  <c r="Z594" i="1"/>
  <c r="AB594" i="1"/>
  <c r="AC594" i="1"/>
  <c r="AF594" i="1"/>
  <c r="AG594" i="1"/>
  <c r="AH594" i="1"/>
  <c r="AJ594" i="1"/>
  <c r="AK594" i="1"/>
  <c r="AL594" i="1"/>
  <c r="AO594" i="1"/>
  <c r="AP594" i="1"/>
  <c r="AW594" i="1"/>
  <c r="AV594" i="1" s="1"/>
  <c r="AX594" i="1"/>
  <c r="BD594" i="1"/>
  <c r="BF594" i="1"/>
  <c r="BH594" i="1"/>
  <c r="AD594" i="1" s="1"/>
  <c r="BI594" i="1"/>
  <c r="AE594" i="1" s="1"/>
  <c r="BJ594" i="1"/>
  <c r="K595" i="1"/>
  <c r="AL595" i="1" s="1"/>
  <c r="Z595" i="1"/>
  <c r="AB595" i="1"/>
  <c r="AC595" i="1"/>
  <c r="AF595" i="1"/>
  <c r="AG595" i="1"/>
  <c r="AH595" i="1"/>
  <c r="AJ595" i="1"/>
  <c r="AK595" i="1"/>
  <c r="AO595" i="1"/>
  <c r="AW595" i="1" s="1"/>
  <c r="AP595" i="1"/>
  <c r="AX595" i="1"/>
  <c r="BD595" i="1"/>
  <c r="BF595" i="1"/>
  <c r="BH595" i="1"/>
  <c r="AD595" i="1" s="1"/>
  <c r="BI595" i="1"/>
  <c r="AE595" i="1" s="1"/>
  <c r="BJ595" i="1"/>
  <c r="K597" i="1"/>
  <c r="Z597" i="1"/>
  <c r="AB597" i="1"/>
  <c r="AC597" i="1"/>
  <c r="AF597" i="1"/>
  <c r="AG597" i="1"/>
  <c r="AH597" i="1"/>
  <c r="AJ597" i="1"/>
  <c r="AK597" i="1"/>
  <c r="AO597" i="1"/>
  <c r="AW597" i="1" s="1"/>
  <c r="AP597" i="1"/>
  <c r="AX597" i="1" s="1"/>
  <c r="BD597" i="1"/>
  <c r="BF597" i="1"/>
  <c r="BH597" i="1"/>
  <c r="AD597" i="1" s="1"/>
  <c r="BI597" i="1"/>
  <c r="AE597" i="1" s="1"/>
  <c r="BJ597" i="1"/>
  <c r="K598" i="1"/>
  <c r="Z598" i="1"/>
  <c r="AB598" i="1"/>
  <c r="AC598" i="1"/>
  <c r="AF598" i="1"/>
  <c r="AG598" i="1"/>
  <c r="AH598" i="1"/>
  <c r="AJ598" i="1"/>
  <c r="AK598" i="1"/>
  <c r="AL598" i="1"/>
  <c r="AO598" i="1"/>
  <c r="AP598" i="1"/>
  <c r="AX598" i="1" s="1"/>
  <c r="AV598" i="1" s="1"/>
  <c r="AW598" i="1"/>
  <c r="BC598" i="1" s="1"/>
  <c r="BD598" i="1"/>
  <c r="BF598" i="1"/>
  <c r="BH598" i="1"/>
  <c r="AD598" i="1" s="1"/>
  <c r="BI598" i="1"/>
  <c r="AE598" i="1" s="1"/>
  <c r="BJ598" i="1"/>
  <c r="K599" i="1"/>
  <c r="Z599" i="1"/>
  <c r="AB599" i="1"/>
  <c r="AC599" i="1"/>
  <c r="AF599" i="1"/>
  <c r="AG599" i="1"/>
  <c r="AH599" i="1"/>
  <c r="AJ599" i="1"/>
  <c r="AK599" i="1"/>
  <c r="AL599" i="1"/>
  <c r="AO599" i="1"/>
  <c r="AP599" i="1"/>
  <c r="AW599" i="1"/>
  <c r="AV599" i="1" s="1"/>
  <c r="AX599" i="1"/>
  <c r="BD599" i="1"/>
  <c r="BF599" i="1"/>
  <c r="BH599" i="1"/>
  <c r="AD599" i="1" s="1"/>
  <c r="BI599" i="1"/>
  <c r="AE599" i="1" s="1"/>
  <c r="BJ599" i="1"/>
  <c r="K600" i="1"/>
  <c r="AL600" i="1" s="1"/>
  <c r="Z600" i="1"/>
  <c r="AB600" i="1"/>
  <c r="AC600" i="1"/>
  <c r="AF600" i="1"/>
  <c r="AG600" i="1"/>
  <c r="AH600" i="1"/>
  <c r="AJ600" i="1"/>
  <c r="AK600" i="1"/>
  <c r="AO600" i="1"/>
  <c r="AW600" i="1" s="1"/>
  <c r="AP600" i="1"/>
  <c r="AX600" i="1"/>
  <c r="BD600" i="1"/>
  <c r="BF600" i="1"/>
  <c r="BH600" i="1"/>
  <c r="AD600" i="1" s="1"/>
  <c r="BI600" i="1"/>
  <c r="AE600" i="1" s="1"/>
  <c r="BJ600" i="1"/>
  <c r="K601" i="1"/>
  <c r="AL601" i="1" s="1"/>
  <c r="Z601" i="1"/>
  <c r="AB601" i="1"/>
  <c r="AC601" i="1"/>
  <c r="AF601" i="1"/>
  <c r="AG601" i="1"/>
  <c r="AH601" i="1"/>
  <c r="AJ601" i="1"/>
  <c r="AK601" i="1"/>
  <c r="AO601" i="1"/>
  <c r="AW601" i="1" s="1"/>
  <c r="AP601" i="1"/>
  <c r="AX601" i="1" s="1"/>
  <c r="BD601" i="1"/>
  <c r="BF601" i="1"/>
  <c r="BH601" i="1"/>
  <c r="AD601" i="1" s="1"/>
  <c r="BI601" i="1"/>
  <c r="AE601" i="1" s="1"/>
  <c r="BJ601" i="1"/>
  <c r="K602" i="1"/>
  <c r="Z602" i="1"/>
  <c r="AB602" i="1"/>
  <c r="AC602" i="1"/>
  <c r="AF602" i="1"/>
  <c r="AG602" i="1"/>
  <c r="AH602" i="1"/>
  <c r="AJ602" i="1"/>
  <c r="AK602" i="1"/>
  <c r="AL602" i="1"/>
  <c r="AO602" i="1"/>
  <c r="AP602" i="1"/>
  <c r="AX602" i="1" s="1"/>
  <c r="AV602" i="1" s="1"/>
  <c r="AW602" i="1"/>
  <c r="BC602" i="1" s="1"/>
  <c r="BD602" i="1"/>
  <c r="BF602" i="1"/>
  <c r="BH602" i="1"/>
  <c r="AD602" i="1" s="1"/>
  <c r="BI602" i="1"/>
  <c r="AE602" i="1" s="1"/>
  <c r="BJ602" i="1"/>
  <c r="K603" i="1"/>
  <c r="Z603" i="1"/>
  <c r="AB603" i="1"/>
  <c r="AC603" i="1"/>
  <c r="AF603" i="1"/>
  <c r="AG603" i="1"/>
  <c r="AH603" i="1"/>
  <c r="AJ603" i="1"/>
  <c r="AK603" i="1"/>
  <c r="AL603" i="1"/>
  <c r="AO603" i="1"/>
  <c r="AP603" i="1"/>
  <c r="AW603" i="1"/>
  <c r="AV603" i="1" s="1"/>
  <c r="AX603" i="1"/>
  <c r="BD603" i="1"/>
  <c r="BF603" i="1"/>
  <c r="BH603" i="1"/>
  <c r="AD603" i="1" s="1"/>
  <c r="BI603" i="1"/>
  <c r="AE603" i="1" s="1"/>
  <c r="BJ603" i="1"/>
  <c r="K604" i="1"/>
  <c r="AL604" i="1" s="1"/>
  <c r="Z604" i="1"/>
  <c r="AB604" i="1"/>
  <c r="AC604" i="1"/>
  <c r="AF604" i="1"/>
  <c r="AG604" i="1"/>
  <c r="AH604" i="1"/>
  <c r="AJ604" i="1"/>
  <c r="AK604" i="1"/>
  <c r="AO604" i="1"/>
  <c r="AW604" i="1" s="1"/>
  <c r="AP604" i="1"/>
  <c r="AX604" i="1"/>
  <c r="BD604" i="1"/>
  <c r="BF604" i="1"/>
  <c r="BH604" i="1"/>
  <c r="AD604" i="1" s="1"/>
  <c r="BI604" i="1"/>
  <c r="AE604" i="1" s="1"/>
  <c r="BJ604" i="1"/>
  <c r="K605" i="1"/>
  <c r="AL605" i="1" s="1"/>
  <c r="Z605" i="1"/>
  <c r="AB605" i="1"/>
  <c r="AC605" i="1"/>
  <c r="AF605" i="1"/>
  <c r="AG605" i="1"/>
  <c r="AH605" i="1"/>
  <c r="AJ605" i="1"/>
  <c r="AK605" i="1"/>
  <c r="AO605" i="1"/>
  <c r="AW605" i="1" s="1"/>
  <c r="AP605" i="1"/>
  <c r="AX605" i="1" s="1"/>
  <c r="BD605" i="1"/>
  <c r="BF605" i="1"/>
  <c r="BH605" i="1"/>
  <c r="AD605" i="1" s="1"/>
  <c r="BI605" i="1"/>
  <c r="AE605" i="1" s="1"/>
  <c r="BJ605" i="1"/>
  <c r="K606" i="1"/>
  <c r="Z606" i="1"/>
  <c r="AB606" i="1"/>
  <c r="AC606" i="1"/>
  <c r="AF606" i="1"/>
  <c r="AG606" i="1"/>
  <c r="AH606" i="1"/>
  <c r="AJ606" i="1"/>
  <c r="AK606" i="1"/>
  <c r="AL606" i="1"/>
  <c r="AO606" i="1"/>
  <c r="AP606" i="1"/>
  <c r="AX606" i="1" s="1"/>
  <c r="AV606" i="1" s="1"/>
  <c r="AW606" i="1"/>
  <c r="BC606" i="1" s="1"/>
  <c r="BD606" i="1"/>
  <c r="BF606" i="1"/>
  <c r="BH606" i="1"/>
  <c r="AD606" i="1" s="1"/>
  <c r="BI606" i="1"/>
  <c r="AE606" i="1" s="1"/>
  <c r="BJ606" i="1"/>
  <c r="K607" i="1"/>
  <c r="Z607" i="1"/>
  <c r="AB607" i="1"/>
  <c r="AC607" i="1"/>
  <c r="AF607" i="1"/>
  <c r="AG607" i="1"/>
  <c r="AH607" i="1"/>
  <c r="AJ607" i="1"/>
  <c r="AK607" i="1"/>
  <c r="AL607" i="1"/>
  <c r="AO607" i="1"/>
  <c r="AP607" i="1"/>
  <c r="AW607" i="1"/>
  <c r="AV607" i="1" s="1"/>
  <c r="AX607" i="1"/>
  <c r="BD607" i="1"/>
  <c r="BF607" i="1"/>
  <c r="BH607" i="1"/>
  <c r="AD607" i="1" s="1"/>
  <c r="BI607" i="1"/>
  <c r="AE607" i="1" s="1"/>
  <c r="BJ607" i="1"/>
  <c r="K608" i="1"/>
  <c r="AL608" i="1" s="1"/>
  <c r="Z608" i="1"/>
  <c r="AB608" i="1"/>
  <c r="AC608" i="1"/>
  <c r="AF608" i="1"/>
  <c r="AG608" i="1"/>
  <c r="AH608" i="1"/>
  <c r="AJ608" i="1"/>
  <c r="AK608" i="1"/>
  <c r="AO608" i="1"/>
  <c r="AW608" i="1" s="1"/>
  <c r="AP608" i="1"/>
  <c r="AX608" i="1"/>
  <c r="BD608" i="1"/>
  <c r="BF608" i="1"/>
  <c r="BH608" i="1"/>
  <c r="AD608" i="1" s="1"/>
  <c r="BI608" i="1"/>
  <c r="AE608" i="1" s="1"/>
  <c r="BJ608" i="1"/>
  <c r="K609" i="1"/>
  <c r="AL609" i="1" s="1"/>
  <c r="Z609" i="1"/>
  <c r="AB609" i="1"/>
  <c r="AC609" i="1"/>
  <c r="AF609" i="1"/>
  <c r="AG609" i="1"/>
  <c r="AH609" i="1"/>
  <c r="AJ609" i="1"/>
  <c r="AK609" i="1"/>
  <c r="AO609" i="1"/>
  <c r="AW609" i="1" s="1"/>
  <c r="AP609" i="1"/>
  <c r="AX609" i="1" s="1"/>
  <c r="BD609" i="1"/>
  <c r="BF609" i="1"/>
  <c r="BH609" i="1"/>
  <c r="AD609" i="1" s="1"/>
  <c r="BI609" i="1"/>
  <c r="AE609" i="1" s="1"/>
  <c r="BJ609" i="1"/>
  <c r="K610" i="1"/>
  <c r="Z610" i="1"/>
  <c r="AB610" i="1"/>
  <c r="AC610" i="1"/>
  <c r="AF610" i="1"/>
  <c r="AG610" i="1"/>
  <c r="AH610" i="1"/>
  <c r="AJ610" i="1"/>
  <c r="AK610" i="1"/>
  <c r="AL610" i="1"/>
  <c r="AO610" i="1"/>
  <c r="AP610" i="1"/>
  <c r="AX610" i="1" s="1"/>
  <c r="AV610" i="1" s="1"/>
  <c r="AW610" i="1"/>
  <c r="BC610" i="1" s="1"/>
  <c r="BD610" i="1"/>
  <c r="BF610" i="1"/>
  <c r="BH610" i="1"/>
  <c r="AD610" i="1" s="1"/>
  <c r="BI610" i="1"/>
  <c r="AE610" i="1" s="1"/>
  <c r="BJ610" i="1"/>
  <c r="K611" i="1"/>
  <c r="Z611" i="1"/>
  <c r="AB611" i="1"/>
  <c r="AC611" i="1"/>
  <c r="AF611" i="1"/>
  <c r="AG611" i="1"/>
  <c r="AH611" i="1"/>
  <c r="AJ611" i="1"/>
  <c r="AK611" i="1"/>
  <c r="AL611" i="1"/>
  <c r="AO611" i="1"/>
  <c r="AP611" i="1"/>
  <c r="AW611" i="1"/>
  <c r="AV611" i="1" s="1"/>
  <c r="AX611" i="1"/>
  <c r="BD611" i="1"/>
  <c r="BF611" i="1"/>
  <c r="BH611" i="1"/>
  <c r="AD611" i="1" s="1"/>
  <c r="BI611" i="1"/>
  <c r="AE611" i="1" s="1"/>
  <c r="BJ611" i="1"/>
  <c r="K612" i="1"/>
  <c r="AL612" i="1" s="1"/>
  <c r="Z612" i="1"/>
  <c r="AB612" i="1"/>
  <c r="AC612" i="1"/>
  <c r="AF612" i="1"/>
  <c r="AG612" i="1"/>
  <c r="AH612" i="1"/>
  <c r="AJ612" i="1"/>
  <c r="AK612" i="1"/>
  <c r="AO612" i="1"/>
  <c r="AW612" i="1" s="1"/>
  <c r="AP612" i="1"/>
  <c r="AX612" i="1"/>
  <c r="BD612" i="1"/>
  <c r="BF612" i="1"/>
  <c r="BH612" i="1"/>
  <c r="AD612" i="1" s="1"/>
  <c r="BI612" i="1"/>
  <c r="AE612" i="1" s="1"/>
  <c r="BJ612" i="1"/>
  <c r="K613" i="1"/>
  <c r="AL613" i="1" s="1"/>
  <c r="Z613" i="1"/>
  <c r="AB613" i="1"/>
  <c r="AC613" i="1"/>
  <c r="AF613" i="1"/>
  <c r="AG613" i="1"/>
  <c r="AH613" i="1"/>
  <c r="AJ613" i="1"/>
  <c r="AK613" i="1"/>
  <c r="AO613" i="1"/>
  <c r="AW613" i="1" s="1"/>
  <c r="AP613" i="1"/>
  <c r="AX613" i="1" s="1"/>
  <c r="BD613" i="1"/>
  <c r="BF613" i="1"/>
  <c r="BH613" i="1"/>
  <c r="AD613" i="1" s="1"/>
  <c r="BI613" i="1"/>
  <c r="AE613" i="1" s="1"/>
  <c r="BJ613" i="1"/>
  <c r="K614" i="1"/>
  <c r="Z614" i="1"/>
  <c r="AB614" i="1"/>
  <c r="AC614" i="1"/>
  <c r="AF614" i="1"/>
  <c r="AG614" i="1"/>
  <c r="AH614" i="1"/>
  <c r="AJ614" i="1"/>
  <c r="AK614" i="1"/>
  <c r="AL614" i="1"/>
  <c r="AO614" i="1"/>
  <c r="AP614" i="1"/>
  <c r="AX614" i="1" s="1"/>
  <c r="AW614" i="1"/>
  <c r="BC614" i="1" s="1"/>
  <c r="BD614" i="1"/>
  <c r="BF614" i="1"/>
  <c r="BH614" i="1"/>
  <c r="AD614" i="1" s="1"/>
  <c r="BI614" i="1"/>
  <c r="AE614" i="1" s="1"/>
  <c r="BJ614" i="1"/>
  <c r="K615" i="1"/>
  <c r="Z615" i="1"/>
  <c r="AB615" i="1"/>
  <c r="AC615" i="1"/>
  <c r="AF615" i="1"/>
  <c r="AG615" i="1"/>
  <c r="AH615" i="1"/>
  <c r="AJ615" i="1"/>
  <c r="AK615" i="1"/>
  <c r="AL615" i="1"/>
  <c r="AO615" i="1"/>
  <c r="AW615" i="1" s="1"/>
  <c r="AP615" i="1"/>
  <c r="AX615" i="1"/>
  <c r="BD615" i="1"/>
  <c r="BF615" i="1"/>
  <c r="BH615" i="1"/>
  <c r="AD615" i="1" s="1"/>
  <c r="BI615" i="1"/>
  <c r="AE615" i="1" s="1"/>
  <c r="BJ615" i="1"/>
  <c r="K616" i="1"/>
  <c r="AL616" i="1" s="1"/>
  <c r="Z616" i="1"/>
  <c r="AB616" i="1"/>
  <c r="AC616" i="1"/>
  <c r="AF616" i="1"/>
  <c r="AG616" i="1"/>
  <c r="AH616" i="1"/>
  <c r="AJ616" i="1"/>
  <c r="AK616" i="1"/>
  <c r="AO616" i="1"/>
  <c r="AW616" i="1" s="1"/>
  <c r="AP616" i="1"/>
  <c r="AX616" i="1" s="1"/>
  <c r="BD616" i="1"/>
  <c r="BF616" i="1"/>
  <c r="BH616" i="1"/>
  <c r="AD616" i="1" s="1"/>
  <c r="BI616" i="1"/>
  <c r="AE616" i="1" s="1"/>
  <c r="BJ616" i="1"/>
  <c r="K617" i="1"/>
  <c r="AL617" i="1" s="1"/>
  <c r="Z617" i="1"/>
  <c r="AB617" i="1"/>
  <c r="AC617" i="1"/>
  <c r="AF617" i="1"/>
  <c r="AG617" i="1"/>
  <c r="AH617" i="1"/>
  <c r="AJ617" i="1"/>
  <c r="AK617" i="1"/>
  <c r="AO617" i="1"/>
  <c r="AW617" i="1" s="1"/>
  <c r="AP617" i="1"/>
  <c r="AX617" i="1" s="1"/>
  <c r="BD617" i="1"/>
  <c r="BF617" i="1"/>
  <c r="BH617" i="1"/>
  <c r="AD617" i="1" s="1"/>
  <c r="BI617" i="1"/>
  <c r="AE617" i="1" s="1"/>
  <c r="BJ617" i="1"/>
  <c r="K618" i="1"/>
  <c r="Z618" i="1"/>
  <c r="AB618" i="1"/>
  <c r="AC618" i="1"/>
  <c r="AF618" i="1"/>
  <c r="AG618" i="1"/>
  <c r="AH618" i="1"/>
  <c r="AJ618" i="1"/>
  <c r="AK618" i="1"/>
  <c r="AL618" i="1"/>
  <c r="AO618" i="1"/>
  <c r="AP618" i="1"/>
  <c r="AX618" i="1" s="1"/>
  <c r="AW618" i="1"/>
  <c r="BC618" i="1" s="1"/>
  <c r="BD618" i="1"/>
  <c r="BF618" i="1"/>
  <c r="BH618" i="1"/>
  <c r="AD618" i="1" s="1"/>
  <c r="BI618" i="1"/>
  <c r="AE618" i="1" s="1"/>
  <c r="BJ618" i="1"/>
  <c r="K619" i="1"/>
  <c r="Z619" i="1"/>
  <c r="AB619" i="1"/>
  <c r="AC619" i="1"/>
  <c r="AF619" i="1"/>
  <c r="AG619" i="1"/>
  <c r="AH619" i="1"/>
  <c r="AJ619" i="1"/>
  <c r="AK619" i="1"/>
  <c r="AL619" i="1"/>
  <c r="AO619" i="1"/>
  <c r="AP619" i="1"/>
  <c r="AW619" i="1"/>
  <c r="AV619" i="1" s="1"/>
  <c r="AX619" i="1"/>
  <c r="BD619" i="1"/>
  <c r="BF619" i="1"/>
  <c r="BH619" i="1"/>
  <c r="AD619" i="1" s="1"/>
  <c r="BI619" i="1"/>
  <c r="AE619" i="1" s="1"/>
  <c r="BJ619" i="1"/>
  <c r="K620" i="1"/>
  <c r="AL620" i="1" s="1"/>
  <c r="Z620" i="1"/>
  <c r="AB620" i="1"/>
  <c r="AC620" i="1"/>
  <c r="AF620" i="1"/>
  <c r="AG620" i="1"/>
  <c r="AH620" i="1"/>
  <c r="AJ620" i="1"/>
  <c r="AK620" i="1"/>
  <c r="AO620" i="1"/>
  <c r="AW620" i="1" s="1"/>
  <c r="AP620" i="1"/>
  <c r="AX620" i="1" s="1"/>
  <c r="BD620" i="1"/>
  <c r="BF620" i="1"/>
  <c r="BH620" i="1"/>
  <c r="AD620" i="1" s="1"/>
  <c r="BI620" i="1"/>
  <c r="AE620" i="1" s="1"/>
  <c r="BJ620" i="1"/>
  <c r="K621" i="1"/>
  <c r="AL621" i="1" s="1"/>
  <c r="Z621" i="1"/>
  <c r="AB621" i="1"/>
  <c r="AC621" i="1"/>
  <c r="AF621" i="1"/>
  <c r="AG621" i="1"/>
  <c r="AH621" i="1"/>
  <c r="AJ621" i="1"/>
  <c r="AK621" i="1"/>
  <c r="AO621" i="1"/>
  <c r="AW621" i="1" s="1"/>
  <c r="AP621" i="1"/>
  <c r="AX621" i="1" s="1"/>
  <c r="BD621" i="1"/>
  <c r="BF621" i="1"/>
  <c r="BH621" i="1"/>
  <c r="AD621" i="1" s="1"/>
  <c r="BI621" i="1"/>
  <c r="AE621" i="1" s="1"/>
  <c r="BJ621" i="1"/>
  <c r="K622" i="1"/>
  <c r="Z622" i="1"/>
  <c r="AB622" i="1"/>
  <c r="AC622" i="1"/>
  <c r="AF622" i="1"/>
  <c r="AG622" i="1"/>
  <c r="AH622" i="1"/>
  <c r="AJ622" i="1"/>
  <c r="AK622" i="1"/>
  <c r="AL622" i="1"/>
  <c r="AO622" i="1"/>
  <c r="AP622" i="1"/>
  <c r="AX622" i="1" s="1"/>
  <c r="AW622" i="1"/>
  <c r="BD622" i="1"/>
  <c r="BF622" i="1"/>
  <c r="BH622" i="1"/>
  <c r="AD622" i="1" s="1"/>
  <c r="BI622" i="1"/>
  <c r="AE622" i="1" s="1"/>
  <c r="BJ622" i="1"/>
  <c r="K623" i="1"/>
  <c r="Z623" i="1"/>
  <c r="AB623" i="1"/>
  <c r="AC623" i="1"/>
  <c r="AF623" i="1"/>
  <c r="AG623" i="1"/>
  <c r="AH623" i="1"/>
  <c r="AJ623" i="1"/>
  <c r="AK623" i="1"/>
  <c r="AL623" i="1"/>
  <c r="AO623" i="1"/>
  <c r="AP623" i="1"/>
  <c r="AW623" i="1"/>
  <c r="AV623" i="1" s="1"/>
  <c r="AX623" i="1"/>
  <c r="BD623" i="1"/>
  <c r="BF623" i="1"/>
  <c r="BH623" i="1"/>
  <c r="AD623" i="1" s="1"/>
  <c r="BI623" i="1"/>
  <c r="AE623" i="1" s="1"/>
  <c r="BJ623" i="1"/>
  <c r="K624" i="1"/>
  <c r="AL624" i="1" s="1"/>
  <c r="Z624" i="1"/>
  <c r="AB624" i="1"/>
  <c r="AC624" i="1"/>
  <c r="AF624" i="1"/>
  <c r="AG624" i="1"/>
  <c r="AH624" i="1"/>
  <c r="AJ624" i="1"/>
  <c r="AK624" i="1"/>
  <c r="AO624" i="1"/>
  <c r="AW624" i="1" s="1"/>
  <c r="AP624" i="1"/>
  <c r="AX624" i="1" s="1"/>
  <c r="BD624" i="1"/>
  <c r="BF624" i="1"/>
  <c r="BH624" i="1"/>
  <c r="AD624" i="1" s="1"/>
  <c r="BI624" i="1"/>
  <c r="AE624" i="1" s="1"/>
  <c r="BJ624" i="1"/>
  <c r="K625" i="1"/>
  <c r="AL625" i="1" s="1"/>
  <c r="Z625" i="1"/>
  <c r="AB625" i="1"/>
  <c r="AC625" i="1"/>
  <c r="AF625" i="1"/>
  <c r="AG625" i="1"/>
  <c r="AH625" i="1"/>
  <c r="AJ625" i="1"/>
  <c r="AK625" i="1"/>
  <c r="AO625" i="1"/>
  <c r="AW625" i="1" s="1"/>
  <c r="AP625" i="1"/>
  <c r="AX625" i="1" s="1"/>
  <c r="BD625" i="1"/>
  <c r="BF625" i="1"/>
  <c r="BH625" i="1"/>
  <c r="AD625" i="1" s="1"/>
  <c r="BI625" i="1"/>
  <c r="AE625" i="1" s="1"/>
  <c r="BJ625" i="1"/>
  <c r="K626" i="1"/>
  <c r="Z626" i="1"/>
  <c r="AB626" i="1"/>
  <c r="AC626" i="1"/>
  <c r="AF626" i="1"/>
  <c r="AG626" i="1"/>
  <c r="AH626" i="1"/>
  <c r="AJ626" i="1"/>
  <c r="AK626" i="1"/>
  <c r="AL626" i="1"/>
  <c r="AO626" i="1"/>
  <c r="AP626" i="1"/>
  <c r="AX626" i="1" s="1"/>
  <c r="AW626" i="1"/>
  <c r="BC626" i="1" s="1"/>
  <c r="BD626" i="1"/>
  <c r="BF626" i="1"/>
  <c r="BH626" i="1"/>
  <c r="AD626" i="1" s="1"/>
  <c r="BI626" i="1"/>
  <c r="AE626" i="1" s="1"/>
  <c r="BJ626" i="1"/>
  <c r="K627" i="1"/>
  <c r="Z627" i="1"/>
  <c r="AB627" i="1"/>
  <c r="AC627" i="1"/>
  <c r="AF627" i="1"/>
  <c r="AG627" i="1"/>
  <c r="AH627" i="1"/>
  <c r="AJ627" i="1"/>
  <c r="AK627" i="1"/>
  <c r="AL627" i="1"/>
  <c r="AO627" i="1"/>
  <c r="AP627" i="1"/>
  <c r="AW627" i="1"/>
  <c r="AV627" i="1" s="1"/>
  <c r="AX627" i="1"/>
  <c r="BD627" i="1"/>
  <c r="BF627" i="1"/>
  <c r="BH627" i="1"/>
  <c r="AD627" i="1" s="1"/>
  <c r="BI627" i="1"/>
  <c r="AE627" i="1" s="1"/>
  <c r="BJ627" i="1"/>
  <c r="K628" i="1"/>
  <c r="AL628" i="1" s="1"/>
  <c r="Z628" i="1"/>
  <c r="AB628" i="1"/>
  <c r="AC628" i="1"/>
  <c r="AF628" i="1"/>
  <c r="AG628" i="1"/>
  <c r="AH628" i="1"/>
  <c r="AJ628" i="1"/>
  <c r="AK628" i="1"/>
  <c r="AO628" i="1"/>
  <c r="AW628" i="1" s="1"/>
  <c r="AP628" i="1"/>
  <c r="AX628" i="1" s="1"/>
  <c r="BD628" i="1"/>
  <c r="BF628" i="1"/>
  <c r="BH628" i="1"/>
  <c r="AD628" i="1" s="1"/>
  <c r="BI628" i="1"/>
  <c r="AE628" i="1" s="1"/>
  <c r="BJ628" i="1"/>
  <c r="K629" i="1"/>
  <c r="AL629" i="1" s="1"/>
  <c r="Z629" i="1"/>
  <c r="AB629" i="1"/>
  <c r="AC629" i="1"/>
  <c r="AF629" i="1"/>
  <c r="AG629" i="1"/>
  <c r="AH629" i="1"/>
  <c r="AJ629" i="1"/>
  <c r="AK629" i="1"/>
  <c r="AO629" i="1"/>
  <c r="AW629" i="1" s="1"/>
  <c r="AP629" i="1"/>
  <c r="AX629" i="1" s="1"/>
  <c r="BD629" i="1"/>
  <c r="BF629" i="1"/>
  <c r="BH629" i="1"/>
  <c r="AD629" i="1" s="1"/>
  <c r="BI629" i="1"/>
  <c r="AE629" i="1" s="1"/>
  <c r="BJ629" i="1"/>
  <c r="K630" i="1"/>
  <c r="Z630" i="1"/>
  <c r="AB630" i="1"/>
  <c r="AC630" i="1"/>
  <c r="AF630" i="1"/>
  <c r="AG630" i="1"/>
  <c r="AH630" i="1"/>
  <c r="AJ630" i="1"/>
  <c r="AK630" i="1"/>
  <c r="AL630" i="1"/>
  <c r="AO630" i="1"/>
  <c r="AP630" i="1"/>
  <c r="AX630" i="1" s="1"/>
  <c r="AW630" i="1"/>
  <c r="BD630" i="1"/>
  <c r="BF630" i="1"/>
  <c r="BH630" i="1"/>
  <c r="AD630" i="1" s="1"/>
  <c r="BI630" i="1"/>
  <c r="AE630" i="1" s="1"/>
  <c r="BJ630" i="1"/>
  <c r="K631" i="1"/>
  <c r="Z631" i="1"/>
  <c r="AB631" i="1"/>
  <c r="AC631" i="1"/>
  <c r="AF631" i="1"/>
  <c r="AG631" i="1"/>
  <c r="AH631" i="1"/>
  <c r="AJ631" i="1"/>
  <c r="AK631" i="1"/>
  <c r="AL631" i="1"/>
  <c r="AO631" i="1"/>
  <c r="AP631" i="1"/>
  <c r="AW631" i="1"/>
  <c r="AV631" i="1" s="1"/>
  <c r="AX631" i="1"/>
  <c r="BD631" i="1"/>
  <c r="BF631" i="1"/>
  <c r="BH631" i="1"/>
  <c r="AD631" i="1" s="1"/>
  <c r="BI631" i="1"/>
  <c r="AE631" i="1" s="1"/>
  <c r="BJ631" i="1"/>
  <c r="K632" i="1"/>
  <c r="AL632" i="1" s="1"/>
  <c r="Z632" i="1"/>
  <c r="AB632" i="1"/>
  <c r="AC632" i="1"/>
  <c r="AF632" i="1"/>
  <c r="AG632" i="1"/>
  <c r="AH632" i="1"/>
  <c r="AJ632" i="1"/>
  <c r="AK632" i="1"/>
  <c r="AO632" i="1"/>
  <c r="AW632" i="1" s="1"/>
  <c r="AP632" i="1"/>
  <c r="AX632" i="1" s="1"/>
  <c r="BD632" i="1"/>
  <c r="BF632" i="1"/>
  <c r="BH632" i="1"/>
  <c r="AD632" i="1" s="1"/>
  <c r="BI632" i="1"/>
  <c r="AE632" i="1" s="1"/>
  <c r="BJ632" i="1"/>
  <c r="K633" i="1"/>
  <c r="AL633" i="1" s="1"/>
  <c r="Z633" i="1"/>
  <c r="AB633" i="1"/>
  <c r="AC633" i="1"/>
  <c r="AF633" i="1"/>
  <c r="AG633" i="1"/>
  <c r="AH633" i="1"/>
  <c r="AJ633" i="1"/>
  <c r="AK633" i="1"/>
  <c r="AO633" i="1"/>
  <c r="AW633" i="1" s="1"/>
  <c r="AP633" i="1"/>
  <c r="AX633" i="1" s="1"/>
  <c r="BD633" i="1"/>
  <c r="BF633" i="1"/>
  <c r="BH633" i="1"/>
  <c r="AD633" i="1" s="1"/>
  <c r="BI633" i="1"/>
  <c r="AE633" i="1" s="1"/>
  <c r="BJ633" i="1"/>
  <c r="K634" i="1"/>
  <c r="Z634" i="1"/>
  <c r="AB634" i="1"/>
  <c r="AC634" i="1"/>
  <c r="AF634" i="1"/>
  <c r="AG634" i="1"/>
  <c r="AH634" i="1"/>
  <c r="AJ634" i="1"/>
  <c r="AK634" i="1"/>
  <c r="AL634" i="1"/>
  <c r="AO634" i="1"/>
  <c r="AP634" i="1"/>
  <c r="AX634" i="1" s="1"/>
  <c r="AW634" i="1"/>
  <c r="BC634" i="1" s="1"/>
  <c r="BD634" i="1"/>
  <c r="BF634" i="1"/>
  <c r="BH634" i="1"/>
  <c r="AD634" i="1" s="1"/>
  <c r="BI634" i="1"/>
  <c r="AE634" i="1" s="1"/>
  <c r="BJ634" i="1"/>
  <c r="K635" i="1"/>
  <c r="Z635" i="1"/>
  <c r="AB635" i="1"/>
  <c r="AC635" i="1"/>
  <c r="AF635" i="1"/>
  <c r="AG635" i="1"/>
  <c r="AH635" i="1"/>
  <c r="AJ635" i="1"/>
  <c r="AK635" i="1"/>
  <c r="AL635" i="1"/>
  <c r="AO635" i="1"/>
  <c r="AW635" i="1" s="1"/>
  <c r="AP635" i="1"/>
  <c r="AX635" i="1"/>
  <c r="BD635" i="1"/>
  <c r="BF635" i="1"/>
  <c r="BH635" i="1"/>
  <c r="AD635" i="1" s="1"/>
  <c r="BI635" i="1"/>
  <c r="AE635" i="1" s="1"/>
  <c r="BJ635" i="1"/>
  <c r="K636" i="1"/>
  <c r="AL636" i="1" s="1"/>
  <c r="Z636" i="1"/>
  <c r="AB636" i="1"/>
  <c r="AC636" i="1"/>
  <c r="AF636" i="1"/>
  <c r="AG636" i="1"/>
  <c r="AH636" i="1"/>
  <c r="AJ636" i="1"/>
  <c r="AK636" i="1"/>
  <c r="AO636" i="1"/>
  <c r="AW636" i="1" s="1"/>
  <c r="AP636" i="1"/>
  <c r="AX636" i="1" s="1"/>
  <c r="BD636" i="1"/>
  <c r="BF636" i="1"/>
  <c r="BH636" i="1"/>
  <c r="AD636" i="1" s="1"/>
  <c r="BI636" i="1"/>
  <c r="AE636" i="1" s="1"/>
  <c r="BJ636" i="1"/>
  <c r="K637" i="1"/>
  <c r="AL637" i="1" s="1"/>
  <c r="Z637" i="1"/>
  <c r="AB637" i="1"/>
  <c r="AC637" i="1"/>
  <c r="AF637" i="1"/>
  <c r="AG637" i="1"/>
  <c r="AH637" i="1"/>
  <c r="AJ637" i="1"/>
  <c r="AK637" i="1"/>
  <c r="AO637" i="1"/>
  <c r="AW637" i="1" s="1"/>
  <c r="AP637" i="1"/>
  <c r="AX637" i="1" s="1"/>
  <c r="BD637" i="1"/>
  <c r="BF637" i="1"/>
  <c r="BH637" i="1"/>
  <c r="AD637" i="1" s="1"/>
  <c r="BI637" i="1"/>
  <c r="AE637" i="1" s="1"/>
  <c r="BJ637" i="1"/>
  <c r="K638" i="1"/>
  <c r="Z638" i="1"/>
  <c r="AB638" i="1"/>
  <c r="AC638" i="1"/>
  <c r="AF638" i="1"/>
  <c r="AG638" i="1"/>
  <c r="AH638" i="1"/>
  <c r="AJ638" i="1"/>
  <c r="AK638" i="1"/>
  <c r="AL638" i="1"/>
  <c r="AO638" i="1"/>
  <c r="AP638" i="1"/>
  <c r="AX638" i="1" s="1"/>
  <c r="AW638" i="1"/>
  <c r="BC638" i="1" s="1"/>
  <c r="BD638" i="1"/>
  <c r="BF638" i="1"/>
  <c r="BH638" i="1"/>
  <c r="AD638" i="1" s="1"/>
  <c r="BI638" i="1"/>
  <c r="AE638" i="1" s="1"/>
  <c r="BJ638" i="1"/>
  <c r="K639" i="1"/>
  <c r="Z639" i="1"/>
  <c r="AB639" i="1"/>
  <c r="AC639" i="1"/>
  <c r="AF639" i="1"/>
  <c r="AG639" i="1"/>
  <c r="AH639" i="1"/>
  <c r="AJ639" i="1"/>
  <c r="AK639" i="1"/>
  <c r="AL639" i="1"/>
  <c r="AO639" i="1"/>
  <c r="AW639" i="1" s="1"/>
  <c r="AP639" i="1"/>
  <c r="AX639" i="1"/>
  <c r="BD639" i="1"/>
  <c r="BF639" i="1"/>
  <c r="BH639" i="1"/>
  <c r="AD639" i="1" s="1"/>
  <c r="BI639" i="1"/>
  <c r="AE639" i="1" s="1"/>
  <c r="BJ639" i="1"/>
  <c r="K640" i="1"/>
  <c r="AL640" i="1" s="1"/>
  <c r="Z640" i="1"/>
  <c r="AB640" i="1"/>
  <c r="AC640" i="1"/>
  <c r="AF640" i="1"/>
  <c r="AG640" i="1"/>
  <c r="AH640" i="1"/>
  <c r="AJ640" i="1"/>
  <c r="AK640" i="1"/>
  <c r="AO640" i="1"/>
  <c r="AW640" i="1" s="1"/>
  <c r="AP640" i="1"/>
  <c r="AX640" i="1" s="1"/>
  <c r="BD640" i="1"/>
  <c r="BF640" i="1"/>
  <c r="BH640" i="1"/>
  <c r="AD640" i="1" s="1"/>
  <c r="BI640" i="1"/>
  <c r="AE640" i="1" s="1"/>
  <c r="BJ640" i="1"/>
  <c r="K641" i="1"/>
  <c r="AL641" i="1" s="1"/>
  <c r="Z641" i="1"/>
  <c r="AB641" i="1"/>
  <c r="AC641" i="1"/>
  <c r="AF641" i="1"/>
  <c r="AG641" i="1"/>
  <c r="AH641" i="1"/>
  <c r="AJ641" i="1"/>
  <c r="AK641" i="1"/>
  <c r="AO641" i="1"/>
  <c r="AW641" i="1" s="1"/>
  <c r="AP641" i="1"/>
  <c r="AX641" i="1" s="1"/>
  <c r="BD641" i="1"/>
  <c r="BF641" i="1"/>
  <c r="BH641" i="1"/>
  <c r="AD641" i="1" s="1"/>
  <c r="BI641" i="1"/>
  <c r="AE641" i="1" s="1"/>
  <c r="BJ641" i="1"/>
  <c r="K642" i="1"/>
  <c r="Z642" i="1"/>
  <c r="AB642" i="1"/>
  <c r="AC642" i="1"/>
  <c r="AF642" i="1"/>
  <c r="AG642" i="1"/>
  <c r="AH642" i="1"/>
  <c r="AJ642" i="1"/>
  <c r="AK642" i="1"/>
  <c r="AL642" i="1"/>
  <c r="AO642" i="1"/>
  <c r="AP642" i="1"/>
  <c r="AX642" i="1" s="1"/>
  <c r="AW642" i="1"/>
  <c r="BC642" i="1" s="1"/>
  <c r="BD642" i="1"/>
  <c r="BF642" i="1"/>
  <c r="BH642" i="1"/>
  <c r="AD642" i="1" s="1"/>
  <c r="BI642" i="1"/>
  <c r="AE642" i="1" s="1"/>
  <c r="BJ642" i="1"/>
  <c r="K643" i="1"/>
  <c r="Z643" i="1"/>
  <c r="AB643" i="1"/>
  <c r="AC643" i="1"/>
  <c r="AF643" i="1"/>
  <c r="AG643" i="1"/>
  <c r="AH643" i="1"/>
  <c r="AJ643" i="1"/>
  <c r="AK643" i="1"/>
  <c r="AL643" i="1"/>
  <c r="AO643" i="1"/>
  <c r="AW643" i="1" s="1"/>
  <c r="AP643" i="1"/>
  <c r="AX643" i="1"/>
  <c r="BD643" i="1"/>
  <c r="BF643" i="1"/>
  <c r="BH643" i="1"/>
  <c r="AD643" i="1" s="1"/>
  <c r="BI643" i="1"/>
  <c r="AE643" i="1" s="1"/>
  <c r="BJ643" i="1"/>
  <c r="K644" i="1"/>
  <c r="AL644" i="1" s="1"/>
  <c r="Z644" i="1"/>
  <c r="AB644" i="1"/>
  <c r="AC644" i="1"/>
  <c r="AF644" i="1"/>
  <c r="AG644" i="1"/>
  <c r="AH644" i="1"/>
  <c r="AJ644" i="1"/>
  <c r="AK644" i="1"/>
  <c r="AO644" i="1"/>
  <c r="AW644" i="1" s="1"/>
  <c r="AP644" i="1"/>
  <c r="AX644" i="1" s="1"/>
  <c r="BD644" i="1"/>
  <c r="BF644" i="1"/>
  <c r="BH644" i="1"/>
  <c r="AD644" i="1" s="1"/>
  <c r="BI644" i="1"/>
  <c r="AE644" i="1" s="1"/>
  <c r="BJ644" i="1"/>
  <c r="K645" i="1"/>
  <c r="AL645" i="1" s="1"/>
  <c r="Z645" i="1"/>
  <c r="AB645" i="1"/>
  <c r="AC645" i="1"/>
  <c r="AF645" i="1"/>
  <c r="AG645" i="1"/>
  <c r="AH645" i="1"/>
  <c r="AJ645" i="1"/>
  <c r="AK645" i="1"/>
  <c r="AO645" i="1"/>
  <c r="AW645" i="1" s="1"/>
  <c r="AP645" i="1"/>
  <c r="AX645" i="1" s="1"/>
  <c r="BD645" i="1"/>
  <c r="BF645" i="1"/>
  <c r="BH645" i="1"/>
  <c r="AD645" i="1" s="1"/>
  <c r="BI645" i="1"/>
  <c r="AE645" i="1" s="1"/>
  <c r="BJ645" i="1"/>
  <c r="K646" i="1"/>
  <c r="Z646" i="1"/>
  <c r="AB646" i="1"/>
  <c r="AC646" i="1"/>
  <c r="AF646" i="1"/>
  <c r="AG646" i="1"/>
  <c r="AH646" i="1"/>
  <c r="AJ646" i="1"/>
  <c r="AK646" i="1"/>
  <c r="AL646" i="1"/>
  <c r="AO646" i="1"/>
  <c r="AP646" i="1"/>
  <c r="AX646" i="1" s="1"/>
  <c r="AW646" i="1"/>
  <c r="BC646" i="1" s="1"/>
  <c r="BD646" i="1"/>
  <c r="BF646" i="1"/>
  <c r="BH646" i="1"/>
  <c r="AD646" i="1" s="1"/>
  <c r="BI646" i="1"/>
  <c r="AE646" i="1" s="1"/>
  <c r="BJ646" i="1"/>
  <c r="K647" i="1"/>
  <c r="Z647" i="1"/>
  <c r="AB647" i="1"/>
  <c r="AC647" i="1"/>
  <c r="AF647" i="1"/>
  <c r="AG647" i="1"/>
  <c r="AH647" i="1"/>
  <c r="AJ647" i="1"/>
  <c r="AK647" i="1"/>
  <c r="AL647" i="1"/>
  <c r="AO647" i="1"/>
  <c r="AW647" i="1" s="1"/>
  <c r="AP647" i="1"/>
  <c r="AX647" i="1"/>
  <c r="BD647" i="1"/>
  <c r="BF647" i="1"/>
  <c r="BH647" i="1"/>
  <c r="AD647" i="1" s="1"/>
  <c r="BI647" i="1"/>
  <c r="AE647" i="1" s="1"/>
  <c r="BJ647" i="1"/>
  <c r="K648" i="1"/>
  <c r="AL648" i="1" s="1"/>
  <c r="Z648" i="1"/>
  <c r="AB648" i="1"/>
  <c r="AC648" i="1"/>
  <c r="AF648" i="1"/>
  <c r="AG648" i="1"/>
  <c r="AH648" i="1"/>
  <c r="AJ648" i="1"/>
  <c r="AK648" i="1"/>
  <c r="AO648" i="1"/>
  <c r="AW648" i="1" s="1"/>
  <c r="AP648" i="1"/>
  <c r="AX648" i="1" s="1"/>
  <c r="BD648" i="1"/>
  <c r="BF648" i="1"/>
  <c r="BH648" i="1"/>
  <c r="AD648" i="1" s="1"/>
  <c r="BI648" i="1"/>
  <c r="AE648" i="1" s="1"/>
  <c r="BJ648" i="1"/>
  <c r="K649" i="1"/>
  <c r="AL649" i="1" s="1"/>
  <c r="Z649" i="1"/>
  <c r="AB649" i="1"/>
  <c r="AC649" i="1"/>
  <c r="AF649" i="1"/>
  <c r="AG649" i="1"/>
  <c r="AH649" i="1"/>
  <c r="AJ649" i="1"/>
  <c r="AK649" i="1"/>
  <c r="AO649" i="1"/>
  <c r="AW649" i="1" s="1"/>
  <c r="AP649" i="1"/>
  <c r="AX649" i="1" s="1"/>
  <c r="BD649" i="1"/>
  <c r="BF649" i="1"/>
  <c r="BH649" i="1"/>
  <c r="AD649" i="1" s="1"/>
  <c r="BI649" i="1"/>
  <c r="AE649" i="1" s="1"/>
  <c r="BJ649" i="1"/>
  <c r="K650" i="1"/>
  <c r="Z650" i="1"/>
  <c r="AB650" i="1"/>
  <c r="AC650" i="1"/>
  <c r="AF650" i="1"/>
  <c r="AG650" i="1"/>
  <c r="AH650" i="1"/>
  <c r="AJ650" i="1"/>
  <c r="AK650" i="1"/>
  <c r="AL650" i="1"/>
  <c r="AO650" i="1"/>
  <c r="AP650" i="1"/>
  <c r="AX650" i="1" s="1"/>
  <c r="AW650" i="1"/>
  <c r="BC650" i="1" s="1"/>
  <c r="BD650" i="1"/>
  <c r="BF650" i="1"/>
  <c r="BH650" i="1"/>
  <c r="AD650" i="1" s="1"/>
  <c r="BI650" i="1"/>
  <c r="AE650" i="1" s="1"/>
  <c r="BJ650" i="1"/>
  <c r="K651" i="1"/>
  <c r="Z651" i="1"/>
  <c r="AB651" i="1"/>
  <c r="AC651" i="1"/>
  <c r="AF651" i="1"/>
  <c r="AG651" i="1"/>
  <c r="AH651" i="1"/>
  <c r="AJ651" i="1"/>
  <c r="AK651" i="1"/>
  <c r="AL651" i="1"/>
  <c r="AO651" i="1"/>
  <c r="AW651" i="1" s="1"/>
  <c r="AP651" i="1"/>
  <c r="AX651" i="1"/>
  <c r="BD651" i="1"/>
  <c r="BF651" i="1"/>
  <c r="BH651" i="1"/>
  <c r="AD651" i="1" s="1"/>
  <c r="BI651" i="1"/>
  <c r="AE651" i="1" s="1"/>
  <c r="BJ651" i="1"/>
  <c r="K652" i="1"/>
  <c r="AL652" i="1" s="1"/>
  <c r="Z652" i="1"/>
  <c r="AB652" i="1"/>
  <c r="AC652" i="1"/>
  <c r="AF652" i="1"/>
  <c r="AG652" i="1"/>
  <c r="AH652" i="1"/>
  <c r="AJ652" i="1"/>
  <c r="AK652" i="1"/>
  <c r="AO652" i="1"/>
  <c r="AW652" i="1" s="1"/>
  <c r="AP652" i="1"/>
  <c r="AX652" i="1" s="1"/>
  <c r="BD652" i="1"/>
  <c r="BF652" i="1"/>
  <c r="BH652" i="1"/>
  <c r="AD652" i="1" s="1"/>
  <c r="BI652" i="1"/>
  <c r="AE652" i="1" s="1"/>
  <c r="BJ652" i="1"/>
  <c r="K653" i="1"/>
  <c r="AL653" i="1" s="1"/>
  <c r="Z653" i="1"/>
  <c r="AB653" i="1"/>
  <c r="AC653" i="1"/>
  <c r="AF653" i="1"/>
  <c r="AG653" i="1"/>
  <c r="AH653" i="1"/>
  <c r="AJ653" i="1"/>
  <c r="AK653" i="1"/>
  <c r="AO653" i="1"/>
  <c r="AW653" i="1" s="1"/>
  <c r="AP653" i="1"/>
  <c r="AX653" i="1" s="1"/>
  <c r="BD653" i="1"/>
  <c r="BF653" i="1"/>
  <c r="BH653" i="1"/>
  <c r="AD653" i="1" s="1"/>
  <c r="BI653" i="1"/>
  <c r="AE653" i="1" s="1"/>
  <c r="BJ653" i="1"/>
  <c r="K654" i="1"/>
  <c r="Z654" i="1"/>
  <c r="AB654" i="1"/>
  <c r="AC654" i="1"/>
  <c r="AF654" i="1"/>
  <c r="AG654" i="1"/>
  <c r="AH654" i="1"/>
  <c r="AJ654" i="1"/>
  <c r="AK654" i="1"/>
  <c r="AL654" i="1"/>
  <c r="AO654" i="1"/>
  <c r="AP654" i="1"/>
  <c r="AX654" i="1" s="1"/>
  <c r="AW654" i="1"/>
  <c r="BC654" i="1" s="1"/>
  <c r="BD654" i="1"/>
  <c r="BF654" i="1"/>
  <c r="BH654" i="1"/>
  <c r="AD654" i="1" s="1"/>
  <c r="BI654" i="1"/>
  <c r="AE654" i="1" s="1"/>
  <c r="BJ654" i="1"/>
  <c r="K655" i="1"/>
  <c r="Z655" i="1"/>
  <c r="AB655" i="1"/>
  <c r="AC655" i="1"/>
  <c r="AF655" i="1"/>
  <c r="AG655" i="1"/>
  <c r="AH655" i="1"/>
  <c r="AJ655" i="1"/>
  <c r="AK655" i="1"/>
  <c r="AL655" i="1"/>
  <c r="AO655" i="1"/>
  <c r="AW655" i="1" s="1"/>
  <c r="AP655" i="1"/>
  <c r="AX655" i="1"/>
  <c r="BD655" i="1"/>
  <c r="BF655" i="1"/>
  <c r="BH655" i="1"/>
  <c r="AD655" i="1" s="1"/>
  <c r="BI655" i="1"/>
  <c r="AE655" i="1" s="1"/>
  <c r="BJ655" i="1"/>
  <c r="K656" i="1"/>
  <c r="AL656" i="1" s="1"/>
  <c r="Z656" i="1"/>
  <c r="AB656" i="1"/>
  <c r="AC656" i="1"/>
  <c r="AF656" i="1"/>
  <c r="AG656" i="1"/>
  <c r="AH656" i="1"/>
  <c r="AJ656" i="1"/>
  <c r="AK656" i="1"/>
  <c r="AO656" i="1"/>
  <c r="AW656" i="1" s="1"/>
  <c r="AP656" i="1"/>
  <c r="AX656" i="1" s="1"/>
  <c r="BD656" i="1"/>
  <c r="BF656" i="1"/>
  <c r="BH656" i="1"/>
  <c r="AD656" i="1" s="1"/>
  <c r="BI656" i="1"/>
  <c r="AE656" i="1" s="1"/>
  <c r="BJ656" i="1"/>
  <c r="K657" i="1"/>
  <c r="AL657" i="1" s="1"/>
  <c r="Z657" i="1"/>
  <c r="AB657" i="1"/>
  <c r="AC657" i="1"/>
  <c r="AF657" i="1"/>
  <c r="AG657" i="1"/>
  <c r="AH657" i="1"/>
  <c r="AJ657" i="1"/>
  <c r="AK657" i="1"/>
  <c r="AO657" i="1"/>
  <c r="AW657" i="1" s="1"/>
  <c r="AP657" i="1"/>
  <c r="AX657" i="1" s="1"/>
  <c r="BD657" i="1"/>
  <c r="BF657" i="1"/>
  <c r="BH657" i="1"/>
  <c r="AD657" i="1" s="1"/>
  <c r="BI657" i="1"/>
  <c r="AE657" i="1" s="1"/>
  <c r="BJ657" i="1"/>
  <c r="K658" i="1"/>
  <c r="Z658" i="1"/>
  <c r="AB658" i="1"/>
  <c r="AC658" i="1"/>
  <c r="AF658" i="1"/>
  <c r="AG658" i="1"/>
  <c r="AH658" i="1"/>
  <c r="AJ658" i="1"/>
  <c r="AK658" i="1"/>
  <c r="AL658" i="1"/>
  <c r="AO658" i="1"/>
  <c r="AP658" i="1"/>
  <c r="AX658" i="1" s="1"/>
  <c r="AW658" i="1"/>
  <c r="BC658" i="1" s="1"/>
  <c r="BD658" i="1"/>
  <c r="BF658" i="1"/>
  <c r="BH658" i="1"/>
  <c r="AD658" i="1" s="1"/>
  <c r="BI658" i="1"/>
  <c r="AE658" i="1" s="1"/>
  <c r="BJ658" i="1"/>
  <c r="K659" i="1"/>
  <c r="Z659" i="1"/>
  <c r="AB659" i="1"/>
  <c r="AC659" i="1"/>
  <c r="AF659" i="1"/>
  <c r="AG659" i="1"/>
  <c r="AH659" i="1"/>
  <c r="AJ659" i="1"/>
  <c r="AK659" i="1"/>
  <c r="AL659" i="1"/>
  <c r="AO659" i="1"/>
  <c r="AW659" i="1" s="1"/>
  <c r="AP659" i="1"/>
  <c r="AX659" i="1"/>
  <c r="BD659" i="1"/>
  <c r="BF659" i="1"/>
  <c r="BH659" i="1"/>
  <c r="AD659" i="1" s="1"/>
  <c r="BI659" i="1"/>
  <c r="AE659" i="1" s="1"/>
  <c r="BJ659" i="1"/>
  <c r="K660" i="1"/>
  <c r="AL660" i="1" s="1"/>
  <c r="Z660" i="1"/>
  <c r="AB660" i="1"/>
  <c r="AC660" i="1"/>
  <c r="AF660" i="1"/>
  <c r="AG660" i="1"/>
  <c r="AH660" i="1"/>
  <c r="AJ660" i="1"/>
  <c r="AK660" i="1"/>
  <c r="AO660" i="1"/>
  <c r="AW660" i="1" s="1"/>
  <c r="AP660" i="1"/>
  <c r="AX660" i="1" s="1"/>
  <c r="BD660" i="1"/>
  <c r="BF660" i="1"/>
  <c r="BH660" i="1"/>
  <c r="AD660" i="1" s="1"/>
  <c r="BI660" i="1"/>
  <c r="AE660" i="1" s="1"/>
  <c r="BJ660" i="1"/>
  <c r="K661" i="1"/>
  <c r="AL661" i="1" s="1"/>
  <c r="Z661" i="1"/>
  <c r="AB661" i="1"/>
  <c r="AC661" i="1"/>
  <c r="AF661" i="1"/>
  <c r="AG661" i="1"/>
  <c r="AH661" i="1"/>
  <c r="AJ661" i="1"/>
  <c r="AK661" i="1"/>
  <c r="AO661" i="1"/>
  <c r="AW661" i="1" s="1"/>
  <c r="AP661" i="1"/>
  <c r="AX661" i="1" s="1"/>
  <c r="BD661" i="1"/>
  <c r="BF661" i="1"/>
  <c r="BH661" i="1"/>
  <c r="AD661" i="1" s="1"/>
  <c r="BI661" i="1"/>
  <c r="AE661" i="1" s="1"/>
  <c r="BJ661" i="1"/>
  <c r="K662" i="1"/>
  <c r="Z662" i="1"/>
  <c r="AB662" i="1"/>
  <c r="AC662" i="1"/>
  <c r="AF662" i="1"/>
  <c r="AG662" i="1"/>
  <c r="AH662" i="1"/>
  <c r="AJ662" i="1"/>
  <c r="AK662" i="1"/>
  <c r="AL662" i="1"/>
  <c r="AO662" i="1"/>
  <c r="AP662" i="1"/>
  <c r="AX662" i="1" s="1"/>
  <c r="AV662" i="1"/>
  <c r="AW662" i="1"/>
  <c r="BC662" i="1" s="1"/>
  <c r="BD662" i="1"/>
  <c r="BF662" i="1"/>
  <c r="BH662" i="1"/>
  <c r="AD662" i="1" s="1"/>
  <c r="BI662" i="1"/>
  <c r="AE662" i="1" s="1"/>
  <c r="BJ662" i="1"/>
  <c r="K663" i="1"/>
  <c r="Z663" i="1"/>
  <c r="AB663" i="1"/>
  <c r="AC663" i="1"/>
  <c r="AF663" i="1"/>
  <c r="AG663" i="1"/>
  <c r="AH663" i="1"/>
  <c r="AJ663" i="1"/>
  <c r="AK663" i="1"/>
  <c r="AL663" i="1"/>
  <c r="AO663" i="1"/>
  <c r="AP663" i="1"/>
  <c r="AW663" i="1"/>
  <c r="AX663" i="1"/>
  <c r="BD663" i="1"/>
  <c r="BF663" i="1"/>
  <c r="BH663" i="1"/>
  <c r="AD663" i="1" s="1"/>
  <c r="BI663" i="1"/>
  <c r="AE663" i="1" s="1"/>
  <c r="BJ663" i="1"/>
  <c r="K664" i="1"/>
  <c r="AL664" i="1" s="1"/>
  <c r="Z664" i="1"/>
  <c r="AB664" i="1"/>
  <c r="AC664" i="1"/>
  <c r="AE664" i="1"/>
  <c r="AF664" i="1"/>
  <c r="AG664" i="1"/>
  <c r="AH664" i="1"/>
  <c r="AJ664" i="1"/>
  <c r="AK664" i="1"/>
  <c r="AO664" i="1"/>
  <c r="AW664" i="1" s="1"/>
  <c r="AP664" i="1"/>
  <c r="AX664" i="1"/>
  <c r="BD664" i="1"/>
  <c r="BF664" i="1"/>
  <c r="BH664" i="1"/>
  <c r="AD664" i="1" s="1"/>
  <c r="BI664" i="1"/>
  <c r="BJ664" i="1"/>
  <c r="K665" i="1"/>
  <c r="AL665" i="1" s="1"/>
  <c r="Z665" i="1"/>
  <c r="AB665" i="1"/>
  <c r="AC665" i="1"/>
  <c r="AF665" i="1"/>
  <c r="AG665" i="1"/>
  <c r="AH665" i="1"/>
  <c r="AJ665" i="1"/>
  <c r="AK665" i="1"/>
  <c r="AO665" i="1"/>
  <c r="AW665" i="1" s="1"/>
  <c r="AV665" i="1" s="1"/>
  <c r="AP665" i="1"/>
  <c r="AX665" i="1" s="1"/>
  <c r="BC665" i="1"/>
  <c r="BD665" i="1"/>
  <c r="BF665" i="1"/>
  <c r="BH665" i="1"/>
  <c r="AD665" i="1" s="1"/>
  <c r="BI665" i="1"/>
  <c r="AE665" i="1" s="1"/>
  <c r="BJ665" i="1"/>
  <c r="K666" i="1"/>
  <c r="Z666" i="1"/>
  <c r="AB666" i="1"/>
  <c r="AC666" i="1"/>
  <c r="AF666" i="1"/>
  <c r="AG666" i="1"/>
  <c r="AH666" i="1"/>
  <c r="AJ666" i="1"/>
  <c r="AK666" i="1"/>
  <c r="AL666" i="1"/>
  <c r="AO666" i="1"/>
  <c r="AP666" i="1"/>
  <c r="AX666" i="1" s="1"/>
  <c r="AV666" i="1"/>
  <c r="AW666" i="1"/>
  <c r="BD666" i="1"/>
  <c r="BF666" i="1"/>
  <c r="BH666" i="1"/>
  <c r="AD666" i="1" s="1"/>
  <c r="BI666" i="1"/>
  <c r="AE666" i="1" s="1"/>
  <c r="BJ666" i="1"/>
  <c r="K668" i="1"/>
  <c r="AL668" i="1" s="1"/>
  <c r="Z668" i="1"/>
  <c r="AB668" i="1"/>
  <c r="AC668" i="1"/>
  <c r="AF668" i="1"/>
  <c r="AG668" i="1"/>
  <c r="AH668" i="1"/>
  <c r="AJ668" i="1"/>
  <c r="AK668" i="1"/>
  <c r="AO668" i="1"/>
  <c r="AW668" i="1" s="1"/>
  <c r="AV668" i="1" s="1"/>
  <c r="AP668" i="1"/>
  <c r="AX668" i="1" s="1"/>
  <c r="BD668" i="1"/>
  <c r="BF668" i="1"/>
  <c r="BH668" i="1"/>
  <c r="AD668" i="1" s="1"/>
  <c r="BJ668" i="1"/>
  <c r="K669" i="1"/>
  <c r="Z669" i="1"/>
  <c r="AB669" i="1"/>
  <c r="AC669" i="1"/>
  <c r="AF669" i="1"/>
  <c r="AG669" i="1"/>
  <c r="AH669" i="1"/>
  <c r="AJ669" i="1"/>
  <c r="AK669" i="1"/>
  <c r="AL669" i="1"/>
  <c r="AO669" i="1"/>
  <c r="AP669" i="1"/>
  <c r="AX669" i="1" s="1"/>
  <c r="AW669" i="1"/>
  <c r="BD669" i="1"/>
  <c r="BF669" i="1"/>
  <c r="BH669" i="1"/>
  <c r="AD669" i="1" s="1"/>
  <c r="BI669" i="1"/>
  <c r="AE669" i="1" s="1"/>
  <c r="BJ669" i="1"/>
  <c r="K670" i="1"/>
  <c r="K667" i="1" s="1"/>
  <c r="Z670" i="1"/>
  <c r="AB670" i="1"/>
  <c r="AC670" i="1"/>
  <c r="AD670" i="1"/>
  <c r="AF670" i="1"/>
  <c r="AG670" i="1"/>
  <c r="AH670" i="1"/>
  <c r="AJ670" i="1"/>
  <c r="AK670" i="1"/>
  <c r="AO670" i="1"/>
  <c r="AP670" i="1"/>
  <c r="AW670" i="1"/>
  <c r="AX670" i="1"/>
  <c r="BD670" i="1"/>
  <c r="BF670" i="1"/>
  <c r="BH670" i="1"/>
  <c r="BI670" i="1"/>
  <c r="AE670" i="1" s="1"/>
  <c r="BJ670" i="1"/>
  <c r="K671" i="1"/>
  <c r="AL671" i="1" s="1"/>
  <c r="Z671" i="1"/>
  <c r="AB671" i="1"/>
  <c r="AC671" i="1"/>
  <c r="AD671" i="1"/>
  <c r="AF671" i="1"/>
  <c r="AG671" i="1"/>
  <c r="AH671" i="1"/>
  <c r="AJ671" i="1"/>
  <c r="AK671" i="1"/>
  <c r="AO671" i="1"/>
  <c r="AW671" i="1" s="1"/>
  <c r="AP671" i="1"/>
  <c r="AX671" i="1" s="1"/>
  <c r="BC671" i="1" s="1"/>
  <c r="BD671" i="1"/>
  <c r="BF671" i="1"/>
  <c r="BH671" i="1"/>
  <c r="BJ671" i="1"/>
  <c r="K672" i="1"/>
  <c r="AL672" i="1" s="1"/>
  <c r="Z672" i="1"/>
  <c r="AB672" i="1"/>
  <c r="AC672" i="1"/>
  <c r="AE672" i="1"/>
  <c r="AF672" i="1"/>
  <c r="AG672" i="1"/>
  <c r="AH672" i="1"/>
  <c r="AJ672" i="1"/>
  <c r="AK672" i="1"/>
  <c r="AO672" i="1"/>
  <c r="AW672" i="1" s="1"/>
  <c r="BC672" i="1" s="1"/>
  <c r="AP672" i="1"/>
  <c r="AX672" i="1" s="1"/>
  <c r="AV672" i="1"/>
  <c r="BD672" i="1"/>
  <c r="BF672" i="1"/>
  <c r="BH672" i="1"/>
  <c r="AD672" i="1" s="1"/>
  <c r="BI672" i="1"/>
  <c r="BJ672" i="1"/>
  <c r="K673" i="1"/>
  <c r="Z673" i="1"/>
  <c r="AB673" i="1"/>
  <c r="AC673" i="1"/>
  <c r="AF673" i="1"/>
  <c r="AG673" i="1"/>
  <c r="AH673" i="1"/>
  <c r="AJ673" i="1"/>
  <c r="AK673" i="1"/>
  <c r="AL673" i="1"/>
  <c r="AO673" i="1"/>
  <c r="AP673" i="1"/>
  <c r="AX673" i="1" s="1"/>
  <c r="AW673" i="1"/>
  <c r="BC673" i="1" s="1"/>
  <c r="BD673" i="1"/>
  <c r="BF673" i="1"/>
  <c r="BH673" i="1"/>
  <c r="AD673" i="1" s="1"/>
  <c r="BI673" i="1"/>
  <c r="AE673" i="1" s="1"/>
  <c r="BJ673" i="1"/>
  <c r="K674" i="1"/>
  <c r="Z674" i="1"/>
  <c r="AB674" i="1"/>
  <c r="AC674" i="1"/>
  <c r="AF674" i="1"/>
  <c r="AG674" i="1"/>
  <c r="AH674" i="1"/>
  <c r="AJ674" i="1"/>
  <c r="AK674" i="1"/>
  <c r="AL674" i="1"/>
  <c r="AO674" i="1"/>
  <c r="AW674" i="1" s="1"/>
  <c r="AP674" i="1"/>
  <c r="AX674" i="1"/>
  <c r="BD674" i="1"/>
  <c r="BF674" i="1"/>
  <c r="BI674" i="1"/>
  <c r="AE674" i="1" s="1"/>
  <c r="BJ674" i="1"/>
  <c r="K675" i="1"/>
  <c r="AB675" i="1"/>
  <c r="AC675" i="1"/>
  <c r="AD675" i="1"/>
  <c r="AE675" i="1"/>
  <c r="AF675" i="1"/>
  <c r="AG675" i="1"/>
  <c r="AH675" i="1"/>
  <c r="AJ675" i="1"/>
  <c r="AK675" i="1"/>
  <c r="AL675" i="1"/>
  <c r="AO675" i="1"/>
  <c r="AP675" i="1"/>
  <c r="AX675" i="1" s="1"/>
  <c r="AV675" i="1" s="1"/>
  <c r="AW675" i="1"/>
  <c r="BD675" i="1"/>
  <c r="BF675" i="1"/>
  <c r="BH675" i="1"/>
  <c r="BJ675" i="1"/>
  <c r="Z675" i="1" s="1"/>
  <c r="K676" i="1"/>
  <c r="Z676" i="1"/>
  <c r="AB676" i="1"/>
  <c r="AC676" i="1"/>
  <c r="AF676" i="1"/>
  <c r="AG676" i="1"/>
  <c r="AH676" i="1"/>
  <c r="AJ676" i="1"/>
  <c r="AK676" i="1"/>
  <c r="AL676" i="1"/>
  <c r="AO676" i="1"/>
  <c r="AP676" i="1"/>
  <c r="AW676" i="1"/>
  <c r="BC676" i="1" s="1"/>
  <c r="AX676" i="1"/>
  <c r="BD676" i="1"/>
  <c r="BF676" i="1"/>
  <c r="BH676" i="1"/>
  <c r="AD676" i="1" s="1"/>
  <c r="BI676" i="1"/>
  <c r="AE676" i="1" s="1"/>
  <c r="BJ676" i="1"/>
  <c r="K678" i="1"/>
  <c r="AL678" i="1" s="1"/>
  <c r="Z678" i="1"/>
  <c r="AB678" i="1"/>
  <c r="AC678" i="1"/>
  <c r="AF678" i="1"/>
  <c r="AG678" i="1"/>
  <c r="AH678" i="1"/>
  <c r="AJ678" i="1"/>
  <c r="AS677" i="1" s="1"/>
  <c r="AK678" i="1"/>
  <c r="AT677" i="1" s="1"/>
  <c r="AO678" i="1"/>
  <c r="AW678" i="1" s="1"/>
  <c r="AP678" i="1"/>
  <c r="AX678" i="1"/>
  <c r="BD678" i="1"/>
  <c r="BF678" i="1"/>
  <c r="BH678" i="1"/>
  <c r="AD678" i="1" s="1"/>
  <c r="BI678" i="1"/>
  <c r="AE678" i="1" s="1"/>
  <c r="BJ678" i="1"/>
  <c r="K679" i="1"/>
  <c r="Z679" i="1"/>
  <c r="AB679" i="1"/>
  <c r="AC679" i="1"/>
  <c r="AF679" i="1"/>
  <c r="AG679" i="1"/>
  <c r="AH679" i="1"/>
  <c r="AJ679" i="1"/>
  <c r="AK679" i="1"/>
  <c r="AL679" i="1"/>
  <c r="AO679" i="1"/>
  <c r="AP679" i="1"/>
  <c r="AX679" i="1" s="1"/>
  <c r="AW679" i="1"/>
  <c r="BD679" i="1"/>
  <c r="BF679" i="1"/>
  <c r="BH679" i="1"/>
  <c r="AD679" i="1" s="1"/>
  <c r="BI679" i="1"/>
  <c r="AE679" i="1" s="1"/>
  <c r="BJ679" i="1"/>
  <c r="K680" i="1"/>
  <c r="Z680" i="1"/>
  <c r="AB680" i="1"/>
  <c r="AC680" i="1"/>
  <c r="AF680" i="1"/>
  <c r="AG680" i="1"/>
  <c r="AH680" i="1"/>
  <c r="AJ680" i="1"/>
  <c r="AK680" i="1"/>
  <c r="AL680" i="1"/>
  <c r="AO680" i="1"/>
  <c r="AP680" i="1"/>
  <c r="AV680" i="1"/>
  <c r="AW680" i="1"/>
  <c r="BC680" i="1" s="1"/>
  <c r="AX680" i="1"/>
  <c r="BD680" i="1"/>
  <c r="BF680" i="1"/>
  <c r="BH680" i="1"/>
  <c r="AD680" i="1" s="1"/>
  <c r="BI680" i="1"/>
  <c r="AE680" i="1" s="1"/>
  <c r="BJ680" i="1"/>
  <c r="K681" i="1"/>
  <c r="Z681" i="1"/>
  <c r="AB681" i="1"/>
  <c r="AC681" i="1"/>
  <c r="AF681" i="1"/>
  <c r="AG681" i="1"/>
  <c r="AH681" i="1"/>
  <c r="AJ681" i="1"/>
  <c r="AK681" i="1"/>
  <c r="AL681" i="1"/>
  <c r="AO681" i="1"/>
  <c r="AP681" i="1"/>
  <c r="AW681" i="1"/>
  <c r="BC681" i="1" s="1"/>
  <c r="AX681" i="1"/>
  <c r="BD681" i="1"/>
  <c r="BF681" i="1"/>
  <c r="BH681" i="1"/>
  <c r="AD681" i="1" s="1"/>
  <c r="BI681" i="1"/>
  <c r="AE681" i="1" s="1"/>
  <c r="BJ681" i="1"/>
  <c r="K682" i="1"/>
  <c r="AL682" i="1" s="1"/>
  <c r="Z682" i="1"/>
  <c r="AB682" i="1"/>
  <c r="AC682" i="1"/>
  <c r="AF682" i="1"/>
  <c r="AG682" i="1"/>
  <c r="AH682" i="1"/>
  <c r="AJ682" i="1"/>
  <c r="AK682" i="1"/>
  <c r="AO682" i="1"/>
  <c r="AW682" i="1" s="1"/>
  <c r="AP682" i="1"/>
  <c r="AX682" i="1"/>
  <c r="BD682" i="1"/>
  <c r="BF682" i="1"/>
  <c r="BH682" i="1"/>
  <c r="AD682" i="1" s="1"/>
  <c r="BI682" i="1"/>
  <c r="AE682" i="1" s="1"/>
  <c r="BJ682" i="1"/>
  <c r="K683" i="1"/>
  <c r="Z683" i="1"/>
  <c r="AB683" i="1"/>
  <c r="AC683" i="1"/>
  <c r="AF683" i="1"/>
  <c r="AG683" i="1"/>
  <c r="AH683" i="1"/>
  <c r="AJ683" i="1"/>
  <c r="AK683" i="1"/>
  <c r="AL683" i="1"/>
  <c r="AO683" i="1"/>
  <c r="AP683" i="1"/>
  <c r="AX683" i="1" s="1"/>
  <c r="AW683" i="1"/>
  <c r="BD683" i="1"/>
  <c r="BF683" i="1"/>
  <c r="BH683" i="1"/>
  <c r="AD683" i="1" s="1"/>
  <c r="BI683" i="1"/>
  <c r="AE683" i="1" s="1"/>
  <c r="BJ683" i="1"/>
  <c r="K684" i="1"/>
  <c r="Z684" i="1"/>
  <c r="AB684" i="1"/>
  <c r="AC684" i="1"/>
  <c r="AF684" i="1"/>
  <c r="AG684" i="1"/>
  <c r="AH684" i="1"/>
  <c r="AJ684" i="1"/>
  <c r="AK684" i="1"/>
  <c r="AL684" i="1"/>
  <c r="AO684" i="1"/>
  <c r="AP684" i="1"/>
  <c r="AV684" i="1"/>
  <c r="AW684" i="1"/>
  <c r="BC684" i="1" s="1"/>
  <c r="AX684" i="1"/>
  <c r="BD684" i="1"/>
  <c r="BF684" i="1"/>
  <c r="BH684" i="1"/>
  <c r="AD684" i="1" s="1"/>
  <c r="BI684" i="1"/>
  <c r="AE684" i="1" s="1"/>
  <c r="BJ684" i="1"/>
  <c r="K685" i="1"/>
  <c r="Z685" i="1"/>
  <c r="AB685" i="1"/>
  <c r="AC685" i="1"/>
  <c r="AF685" i="1"/>
  <c r="AG685" i="1"/>
  <c r="AH685" i="1"/>
  <c r="AJ685" i="1"/>
  <c r="AK685" i="1"/>
  <c r="AL685" i="1"/>
  <c r="AO685" i="1"/>
  <c r="AP685" i="1"/>
  <c r="AW685" i="1"/>
  <c r="BC685" i="1" s="1"/>
  <c r="AX685" i="1"/>
  <c r="BD685" i="1"/>
  <c r="BF685" i="1"/>
  <c r="BH685" i="1"/>
  <c r="AD685" i="1" s="1"/>
  <c r="BI685" i="1"/>
  <c r="AE685" i="1" s="1"/>
  <c r="BJ685" i="1"/>
  <c r="K686" i="1"/>
  <c r="AL686" i="1" s="1"/>
  <c r="Z686" i="1"/>
  <c r="AB686" i="1"/>
  <c r="AC686" i="1"/>
  <c r="AF686" i="1"/>
  <c r="AG686" i="1"/>
  <c r="AH686" i="1"/>
  <c r="AJ686" i="1"/>
  <c r="AK686" i="1"/>
  <c r="AO686" i="1"/>
  <c r="AW686" i="1" s="1"/>
  <c r="AP686" i="1"/>
  <c r="AX686" i="1"/>
  <c r="BD686" i="1"/>
  <c r="BF686" i="1"/>
  <c r="BH686" i="1"/>
  <c r="AD686" i="1" s="1"/>
  <c r="BI686" i="1"/>
  <c r="AE686" i="1" s="1"/>
  <c r="BJ686" i="1"/>
  <c r="K687" i="1"/>
  <c r="Z687" i="1"/>
  <c r="AB687" i="1"/>
  <c r="AC687" i="1"/>
  <c r="AF687" i="1"/>
  <c r="AG687" i="1"/>
  <c r="AH687" i="1"/>
  <c r="AJ687" i="1"/>
  <c r="AK687" i="1"/>
  <c r="AL687" i="1"/>
  <c r="AO687" i="1"/>
  <c r="AP687" i="1"/>
  <c r="AX687" i="1" s="1"/>
  <c r="AW687" i="1"/>
  <c r="BD687" i="1"/>
  <c r="BF687" i="1"/>
  <c r="BH687" i="1"/>
  <c r="AD687" i="1" s="1"/>
  <c r="BI687" i="1"/>
  <c r="AE687" i="1" s="1"/>
  <c r="BJ687" i="1"/>
  <c r="K688" i="1"/>
  <c r="Z688" i="1"/>
  <c r="AB688" i="1"/>
  <c r="AC688" i="1"/>
  <c r="AF688" i="1"/>
  <c r="AG688" i="1"/>
  <c r="AH688" i="1"/>
  <c r="AJ688" i="1"/>
  <c r="AK688" i="1"/>
  <c r="AL688" i="1"/>
  <c r="AO688" i="1"/>
  <c r="AP688" i="1"/>
  <c r="AX688" i="1" s="1"/>
  <c r="AV688" i="1" s="1"/>
  <c r="AW688" i="1"/>
  <c r="BD688" i="1"/>
  <c r="BF688" i="1"/>
  <c r="BH688" i="1"/>
  <c r="AD688" i="1" s="1"/>
  <c r="BI688" i="1"/>
  <c r="AE688" i="1" s="1"/>
  <c r="BJ688" i="1"/>
  <c r="K689" i="1"/>
  <c r="Z689" i="1"/>
  <c r="AB689" i="1"/>
  <c r="AC689" i="1"/>
  <c r="AF689" i="1"/>
  <c r="AG689" i="1"/>
  <c r="AH689" i="1"/>
  <c r="AJ689" i="1"/>
  <c r="AK689" i="1"/>
  <c r="AL689" i="1"/>
  <c r="AO689" i="1"/>
  <c r="AP689" i="1"/>
  <c r="AW689" i="1"/>
  <c r="BC689" i="1" s="1"/>
  <c r="AX689" i="1"/>
  <c r="BD689" i="1"/>
  <c r="BF689" i="1"/>
  <c r="BH689" i="1"/>
  <c r="AD689" i="1" s="1"/>
  <c r="BI689" i="1"/>
  <c r="AE689" i="1" s="1"/>
  <c r="BJ689" i="1"/>
  <c r="K690" i="1"/>
  <c r="AL690" i="1" s="1"/>
  <c r="Z690" i="1"/>
  <c r="AB690" i="1"/>
  <c r="AC690" i="1"/>
  <c r="AF690" i="1"/>
  <c r="AG690" i="1"/>
  <c r="AH690" i="1"/>
  <c r="AJ690" i="1"/>
  <c r="AK690" i="1"/>
  <c r="AO690" i="1"/>
  <c r="AW690" i="1" s="1"/>
  <c r="AP690" i="1"/>
  <c r="AX690" i="1"/>
  <c r="BD690" i="1"/>
  <c r="BF690" i="1"/>
  <c r="BH690" i="1"/>
  <c r="AD690" i="1" s="1"/>
  <c r="BI690" i="1"/>
  <c r="AE690" i="1" s="1"/>
  <c r="BJ690" i="1"/>
  <c r="K691" i="1"/>
  <c r="Z691" i="1"/>
  <c r="AB691" i="1"/>
  <c r="AC691" i="1"/>
  <c r="AF691" i="1"/>
  <c r="AG691" i="1"/>
  <c r="AH691" i="1"/>
  <c r="AJ691" i="1"/>
  <c r="AK691" i="1"/>
  <c r="AL691" i="1"/>
  <c r="AO691" i="1"/>
  <c r="AW691" i="1" s="1"/>
  <c r="AP691" i="1"/>
  <c r="AX691" i="1" s="1"/>
  <c r="BD691" i="1"/>
  <c r="BF691" i="1"/>
  <c r="BH691" i="1"/>
  <c r="AD691" i="1" s="1"/>
  <c r="BI691" i="1"/>
  <c r="AE691" i="1" s="1"/>
  <c r="BJ691" i="1"/>
  <c r="K692" i="1"/>
  <c r="Z692" i="1"/>
  <c r="AB692" i="1"/>
  <c r="AC692" i="1"/>
  <c r="AF692" i="1"/>
  <c r="AG692" i="1"/>
  <c r="AH692" i="1"/>
  <c r="AJ692" i="1"/>
  <c r="AK692" i="1"/>
  <c r="AL692" i="1"/>
  <c r="AO692" i="1"/>
  <c r="AP692" i="1"/>
  <c r="AX692" i="1" s="1"/>
  <c r="AV692" i="1" s="1"/>
  <c r="AW692" i="1"/>
  <c r="BC692" i="1" s="1"/>
  <c r="BD692" i="1"/>
  <c r="BF692" i="1"/>
  <c r="BH692" i="1"/>
  <c r="AD692" i="1" s="1"/>
  <c r="BI692" i="1"/>
  <c r="AE692" i="1" s="1"/>
  <c r="BJ692" i="1"/>
  <c r="K693" i="1"/>
  <c r="AB693" i="1"/>
  <c r="AC693" i="1"/>
  <c r="AD693" i="1"/>
  <c r="AE693" i="1"/>
  <c r="AF693" i="1"/>
  <c r="AG693" i="1"/>
  <c r="AH693" i="1"/>
  <c r="AJ693" i="1"/>
  <c r="AK693" i="1"/>
  <c r="AL693" i="1"/>
  <c r="AO693" i="1"/>
  <c r="AP693" i="1"/>
  <c r="AW693" i="1"/>
  <c r="BC693" i="1" s="1"/>
  <c r="AX693" i="1"/>
  <c r="BD693" i="1"/>
  <c r="BF693" i="1"/>
  <c r="BH693" i="1"/>
  <c r="BI693" i="1"/>
  <c r="BJ693" i="1"/>
  <c r="Z693" i="1" s="1"/>
  <c r="K695" i="1"/>
  <c r="AL695" i="1" s="1"/>
  <c r="Z695" i="1"/>
  <c r="AB695" i="1"/>
  <c r="AC695" i="1"/>
  <c r="AF695" i="1"/>
  <c r="AG695" i="1"/>
  <c r="AH695" i="1"/>
  <c r="AJ695" i="1"/>
  <c r="AS694" i="1" s="1"/>
  <c r="AK695" i="1"/>
  <c r="AT694" i="1" s="1"/>
  <c r="AO695" i="1"/>
  <c r="AW695" i="1" s="1"/>
  <c r="AP695" i="1"/>
  <c r="AX695" i="1"/>
  <c r="BD695" i="1"/>
  <c r="BF695" i="1"/>
  <c r="BH695" i="1"/>
  <c r="AD695" i="1" s="1"/>
  <c r="BI695" i="1"/>
  <c r="AE695" i="1" s="1"/>
  <c r="BJ695" i="1"/>
  <c r="K696" i="1"/>
  <c r="Z696" i="1"/>
  <c r="AB696" i="1"/>
  <c r="AC696" i="1"/>
  <c r="AF696" i="1"/>
  <c r="AG696" i="1"/>
  <c r="AH696" i="1"/>
  <c r="AJ696" i="1"/>
  <c r="AK696" i="1"/>
  <c r="AL696" i="1"/>
  <c r="AO696" i="1"/>
  <c r="AW696" i="1" s="1"/>
  <c r="AP696" i="1"/>
  <c r="AX696" i="1" s="1"/>
  <c r="BD696" i="1"/>
  <c r="BF696" i="1"/>
  <c r="BH696" i="1"/>
  <c r="AD696" i="1" s="1"/>
  <c r="BI696" i="1"/>
  <c r="AE696" i="1" s="1"/>
  <c r="BJ696" i="1"/>
  <c r="K697" i="1"/>
  <c r="Z697" i="1"/>
  <c r="AB697" i="1"/>
  <c r="AC697" i="1"/>
  <c r="AF697" i="1"/>
  <c r="AG697" i="1"/>
  <c r="AH697" i="1"/>
  <c r="AJ697" i="1"/>
  <c r="AK697" i="1"/>
  <c r="AL697" i="1"/>
  <c r="AO697" i="1"/>
  <c r="AP697" i="1"/>
  <c r="AX697" i="1" s="1"/>
  <c r="AV697" i="1" s="1"/>
  <c r="AW697" i="1"/>
  <c r="BC697" i="1" s="1"/>
  <c r="BD697" i="1"/>
  <c r="BF697" i="1"/>
  <c r="BH697" i="1"/>
  <c r="AD697" i="1" s="1"/>
  <c r="BI697" i="1"/>
  <c r="AE697" i="1" s="1"/>
  <c r="BJ697" i="1"/>
  <c r="K698" i="1"/>
  <c r="Z698" i="1"/>
  <c r="AB698" i="1"/>
  <c r="AC698" i="1"/>
  <c r="AF698" i="1"/>
  <c r="AG698" i="1"/>
  <c r="AH698" i="1"/>
  <c r="AJ698" i="1"/>
  <c r="AK698" i="1"/>
  <c r="AL698" i="1"/>
  <c r="AO698" i="1"/>
  <c r="AP698" i="1"/>
  <c r="AW698" i="1"/>
  <c r="BC698" i="1" s="1"/>
  <c r="AX698" i="1"/>
  <c r="BD698" i="1"/>
  <c r="BF698" i="1"/>
  <c r="BH698" i="1"/>
  <c r="AD698" i="1" s="1"/>
  <c r="BI698" i="1"/>
  <c r="AE698" i="1" s="1"/>
  <c r="BJ698" i="1"/>
  <c r="K699" i="1"/>
  <c r="AL699" i="1" s="1"/>
  <c r="Z699" i="1"/>
  <c r="AB699" i="1"/>
  <c r="AC699" i="1"/>
  <c r="AF699" i="1"/>
  <c r="AG699" i="1"/>
  <c r="AH699" i="1"/>
  <c r="AJ699" i="1"/>
  <c r="AK699" i="1"/>
  <c r="AO699" i="1"/>
  <c r="AW699" i="1" s="1"/>
  <c r="AP699" i="1"/>
  <c r="AX699" i="1"/>
  <c r="BD699" i="1"/>
  <c r="BF699" i="1"/>
  <c r="BH699" i="1"/>
  <c r="AD699" i="1" s="1"/>
  <c r="BI699" i="1"/>
  <c r="AE699" i="1" s="1"/>
  <c r="BJ699" i="1"/>
  <c r="K700" i="1"/>
  <c r="Z700" i="1"/>
  <c r="AB700" i="1"/>
  <c r="AC700" i="1"/>
  <c r="AF700" i="1"/>
  <c r="AG700" i="1"/>
  <c r="AH700" i="1"/>
  <c r="AJ700" i="1"/>
  <c r="AK700" i="1"/>
  <c r="AL700" i="1"/>
  <c r="AO700" i="1"/>
  <c r="AW700" i="1" s="1"/>
  <c r="AP700" i="1"/>
  <c r="AX700" i="1" s="1"/>
  <c r="BD700" i="1"/>
  <c r="BF700" i="1"/>
  <c r="BH700" i="1"/>
  <c r="AD700" i="1" s="1"/>
  <c r="BI700" i="1"/>
  <c r="AE700" i="1" s="1"/>
  <c r="BJ700" i="1"/>
  <c r="K701" i="1"/>
  <c r="Z701" i="1"/>
  <c r="AB701" i="1"/>
  <c r="AC701" i="1"/>
  <c r="AF701" i="1"/>
  <c r="AG701" i="1"/>
  <c r="AH701" i="1"/>
  <c r="AJ701" i="1"/>
  <c r="AK701" i="1"/>
  <c r="AL701" i="1"/>
  <c r="AO701" i="1"/>
  <c r="AP701" i="1"/>
  <c r="AX701" i="1" s="1"/>
  <c r="AV701" i="1" s="1"/>
  <c r="AW701" i="1"/>
  <c r="BD701" i="1"/>
  <c r="BF701" i="1"/>
  <c r="BH701" i="1"/>
  <c r="AD701" i="1" s="1"/>
  <c r="BI701" i="1"/>
  <c r="AE701" i="1" s="1"/>
  <c r="BJ701" i="1"/>
  <c r="K702" i="1"/>
  <c r="Z702" i="1"/>
  <c r="AB702" i="1"/>
  <c r="AC702" i="1"/>
  <c r="AF702" i="1"/>
  <c r="AG702" i="1"/>
  <c r="AH702" i="1"/>
  <c r="AJ702" i="1"/>
  <c r="AK702" i="1"/>
  <c r="AL702" i="1"/>
  <c r="AO702" i="1"/>
  <c r="AP702" i="1"/>
  <c r="AW702" i="1"/>
  <c r="BC702" i="1" s="1"/>
  <c r="AX702" i="1"/>
  <c r="BD702" i="1"/>
  <c r="BF702" i="1"/>
  <c r="BH702" i="1"/>
  <c r="AD702" i="1" s="1"/>
  <c r="BI702" i="1"/>
  <c r="AE702" i="1" s="1"/>
  <c r="BJ702" i="1"/>
  <c r="K703" i="1"/>
  <c r="AL703" i="1" s="1"/>
  <c r="Z703" i="1"/>
  <c r="AB703" i="1"/>
  <c r="AC703" i="1"/>
  <c r="AF703" i="1"/>
  <c r="AG703" i="1"/>
  <c r="AH703" i="1"/>
  <c r="AJ703" i="1"/>
  <c r="AK703" i="1"/>
  <c r="AO703" i="1"/>
  <c r="AW703" i="1" s="1"/>
  <c r="AP703" i="1"/>
  <c r="AX703" i="1"/>
  <c r="BD703" i="1"/>
  <c r="BF703" i="1"/>
  <c r="BH703" i="1"/>
  <c r="AD703" i="1" s="1"/>
  <c r="BI703" i="1"/>
  <c r="AE703" i="1" s="1"/>
  <c r="BJ703" i="1"/>
  <c r="K704" i="1"/>
  <c r="AL704" i="1" s="1"/>
  <c r="Z704" i="1"/>
  <c r="AB704" i="1"/>
  <c r="AC704" i="1"/>
  <c r="AF704" i="1"/>
  <c r="AG704" i="1"/>
  <c r="AH704" i="1"/>
  <c r="AJ704" i="1"/>
  <c r="AK704" i="1"/>
  <c r="AO704" i="1"/>
  <c r="AW704" i="1" s="1"/>
  <c r="AP704" i="1"/>
  <c r="AX704" i="1" s="1"/>
  <c r="BD704" i="1"/>
  <c r="BF704" i="1"/>
  <c r="BH704" i="1"/>
  <c r="AD704" i="1" s="1"/>
  <c r="BI704" i="1"/>
  <c r="AE704" i="1" s="1"/>
  <c r="BJ704" i="1"/>
  <c r="K705" i="1"/>
  <c r="Z705" i="1"/>
  <c r="AB705" i="1"/>
  <c r="AC705" i="1"/>
  <c r="AF705" i="1"/>
  <c r="AG705" i="1"/>
  <c r="AH705" i="1"/>
  <c r="AJ705" i="1"/>
  <c r="AK705" i="1"/>
  <c r="AL705" i="1"/>
  <c r="AO705" i="1"/>
  <c r="AP705" i="1"/>
  <c r="AX705" i="1" s="1"/>
  <c r="AV705" i="1" s="1"/>
  <c r="AW705" i="1"/>
  <c r="BD705" i="1"/>
  <c r="BF705" i="1"/>
  <c r="BH705" i="1"/>
  <c r="AD705" i="1" s="1"/>
  <c r="BI705" i="1"/>
  <c r="AE705" i="1" s="1"/>
  <c r="BJ705" i="1"/>
  <c r="K706" i="1"/>
  <c r="Z706" i="1"/>
  <c r="AB706" i="1"/>
  <c r="AC706" i="1"/>
  <c r="AF706" i="1"/>
  <c r="AG706" i="1"/>
  <c r="AH706" i="1"/>
  <c r="AJ706" i="1"/>
  <c r="AK706" i="1"/>
  <c r="AL706" i="1"/>
  <c r="AO706" i="1"/>
  <c r="AP706" i="1"/>
  <c r="AW706" i="1"/>
  <c r="BC706" i="1" s="1"/>
  <c r="AX706" i="1"/>
  <c r="BD706" i="1"/>
  <c r="BF706" i="1"/>
  <c r="BH706" i="1"/>
  <c r="AD706" i="1" s="1"/>
  <c r="BI706" i="1"/>
  <c r="AE706" i="1" s="1"/>
  <c r="BJ706" i="1"/>
  <c r="K707" i="1"/>
  <c r="AL707" i="1" s="1"/>
  <c r="Z707" i="1"/>
  <c r="AB707" i="1"/>
  <c r="AC707" i="1"/>
  <c r="AF707" i="1"/>
  <c r="AG707" i="1"/>
  <c r="AH707" i="1"/>
  <c r="AJ707" i="1"/>
  <c r="AK707" i="1"/>
  <c r="AO707" i="1"/>
  <c r="AW707" i="1" s="1"/>
  <c r="AP707" i="1"/>
  <c r="AX707" i="1"/>
  <c r="BD707" i="1"/>
  <c r="BF707" i="1"/>
  <c r="BH707" i="1"/>
  <c r="AD707" i="1" s="1"/>
  <c r="BI707" i="1"/>
  <c r="AE707" i="1" s="1"/>
  <c r="BJ707" i="1"/>
  <c r="K708" i="1"/>
  <c r="AL708" i="1" s="1"/>
  <c r="Z708" i="1"/>
  <c r="AB708" i="1"/>
  <c r="AC708" i="1"/>
  <c r="AF708" i="1"/>
  <c r="AG708" i="1"/>
  <c r="AH708" i="1"/>
  <c r="AJ708" i="1"/>
  <c r="AK708" i="1"/>
  <c r="AO708" i="1"/>
  <c r="AW708" i="1" s="1"/>
  <c r="AP708" i="1"/>
  <c r="AX708" i="1" s="1"/>
  <c r="BD708" i="1"/>
  <c r="BF708" i="1"/>
  <c r="BH708" i="1"/>
  <c r="AD708" i="1" s="1"/>
  <c r="BI708" i="1"/>
  <c r="AE708" i="1" s="1"/>
  <c r="BJ708" i="1"/>
  <c r="K709" i="1"/>
  <c r="Z709" i="1"/>
  <c r="AB709" i="1"/>
  <c r="AC709" i="1"/>
  <c r="AF709" i="1"/>
  <c r="AG709" i="1"/>
  <c r="AH709" i="1"/>
  <c r="AJ709" i="1"/>
  <c r="AK709" i="1"/>
  <c r="AL709" i="1"/>
  <c r="AO709" i="1"/>
  <c r="AP709" i="1"/>
  <c r="AX709" i="1" s="1"/>
  <c r="AV709" i="1" s="1"/>
  <c r="AW709" i="1"/>
  <c r="BD709" i="1"/>
  <c r="BF709" i="1"/>
  <c r="BH709" i="1"/>
  <c r="AD709" i="1" s="1"/>
  <c r="BI709" i="1"/>
  <c r="AE709" i="1" s="1"/>
  <c r="BJ709" i="1"/>
  <c r="K710" i="1"/>
  <c r="Z710" i="1"/>
  <c r="AB710" i="1"/>
  <c r="AC710" i="1"/>
  <c r="AF710" i="1"/>
  <c r="AG710" i="1"/>
  <c r="AH710" i="1"/>
  <c r="AJ710" i="1"/>
  <c r="AK710" i="1"/>
  <c r="AL710" i="1"/>
  <c r="AO710" i="1"/>
  <c r="AP710" i="1"/>
  <c r="AW710" i="1"/>
  <c r="BC710" i="1" s="1"/>
  <c r="AX710" i="1"/>
  <c r="BD710" i="1"/>
  <c r="BF710" i="1"/>
  <c r="BH710" i="1"/>
  <c r="AD710" i="1" s="1"/>
  <c r="BI710" i="1"/>
  <c r="AE710" i="1" s="1"/>
  <c r="BJ710" i="1"/>
  <c r="K711" i="1"/>
  <c r="AL711" i="1" s="1"/>
  <c r="Z711" i="1"/>
  <c r="AB711" i="1"/>
  <c r="AC711" i="1"/>
  <c r="AF711" i="1"/>
  <c r="AG711" i="1"/>
  <c r="AH711" i="1"/>
  <c r="AJ711" i="1"/>
  <c r="AK711" i="1"/>
  <c r="AO711" i="1"/>
  <c r="AW711" i="1" s="1"/>
  <c r="AP711" i="1"/>
  <c r="AX711" i="1"/>
  <c r="BD711" i="1"/>
  <c r="BF711" i="1"/>
  <c r="BH711" i="1"/>
  <c r="AD711" i="1" s="1"/>
  <c r="BI711" i="1"/>
  <c r="AE711" i="1" s="1"/>
  <c r="BJ711" i="1"/>
  <c r="K712" i="1"/>
  <c r="AL712" i="1" s="1"/>
  <c r="Z712" i="1"/>
  <c r="AB712" i="1"/>
  <c r="AC712" i="1"/>
  <c r="AF712" i="1"/>
  <c r="AG712" i="1"/>
  <c r="AH712" i="1"/>
  <c r="AJ712" i="1"/>
  <c r="AK712" i="1"/>
  <c r="AO712" i="1"/>
  <c r="AW712" i="1" s="1"/>
  <c r="AP712" i="1"/>
  <c r="AX712" i="1" s="1"/>
  <c r="BD712" i="1"/>
  <c r="BF712" i="1"/>
  <c r="BH712" i="1"/>
  <c r="AD712" i="1" s="1"/>
  <c r="BI712" i="1"/>
  <c r="AE712" i="1" s="1"/>
  <c r="BJ712" i="1"/>
  <c r="K713" i="1"/>
  <c r="Z713" i="1"/>
  <c r="AB713" i="1"/>
  <c r="AC713" i="1"/>
  <c r="AF713" i="1"/>
  <c r="AG713" i="1"/>
  <c r="AH713" i="1"/>
  <c r="AJ713" i="1"/>
  <c r="AK713" i="1"/>
  <c r="AL713" i="1"/>
  <c r="AO713" i="1"/>
  <c r="AP713" i="1"/>
  <c r="AX713" i="1" s="1"/>
  <c r="AV713" i="1" s="1"/>
  <c r="AW713" i="1"/>
  <c r="BD713" i="1"/>
  <c r="BF713" i="1"/>
  <c r="BH713" i="1"/>
  <c r="AD713" i="1" s="1"/>
  <c r="BI713" i="1"/>
  <c r="AE713" i="1" s="1"/>
  <c r="BJ713" i="1"/>
  <c r="K714" i="1"/>
  <c r="Z714" i="1"/>
  <c r="AB714" i="1"/>
  <c r="AC714" i="1"/>
  <c r="AF714" i="1"/>
  <c r="AG714" i="1"/>
  <c r="AH714" i="1"/>
  <c r="AJ714" i="1"/>
  <c r="AK714" i="1"/>
  <c r="AL714" i="1"/>
  <c r="AO714" i="1"/>
  <c r="AP714" i="1"/>
  <c r="AW714" i="1"/>
  <c r="BC714" i="1" s="1"/>
  <c r="AX714" i="1"/>
  <c r="BD714" i="1"/>
  <c r="BF714" i="1"/>
  <c r="BH714" i="1"/>
  <c r="AD714" i="1" s="1"/>
  <c r="BI714" i="1"/>
  <c r="AE714" i="1" s="1"/>
  <c r="BJ714" i="1"/>
  <c r="K715" i="1"/>
  <c r="AL715" i="1" s="1"/>
  <c r="Z715" i="1"/>
  <c r="AB715" i="1"/>
  <c r="AC715" i="1"/>
  <c r="AF715" i="1"/>
  <c r="AG715" i="1"/>
  <c r="AH715" i="1"/>
  <c r="AJ715" i="1"/>
  <c r="AK715" i="1"/>
  <c r="AO715" i="1"/>
  <c r="AW715" i="1" s="1"/>
  <c r="AP715" i="1"/>
  <c r="AX715" i="1"/>
  <c r="BD715" i="1"/>
  <c r="BF715" i="1"/>
  <c r="BH715" i="1"/>
  <c r="AD715" i="1" s="1"/>
  <c r="BI715" i="1"/>
  <c r="AE715" i="1" s="1"/>
  <c r="BJ715" i="1"/>
  <c r="K716" i="1"/>
  <c r="AL716" i="1" s="1"/>
  <c r="Z716" i="1"/>
  <c r="AB716" i="1"/>
  <c r="AC716" i="1"/>
  <c r="AF716" i="1"/>
  <c r="AG716" i="1"/>
  <c r="AH716" i="1"/>
  <c r="AJ716" i="1"/>
  <c r="AK716" i="1"/>
  <c r="AO716" i="1"/>
  <c r="AW716" i="1" s="1"/>
  <c r="AP716" i="1"/>
  <c r="AX716" i="1" s="1"/>
  <c r="BD716" i="1"/>
  <c r="BF716" i="1"/>
  <c r="BH716" i="1"/>
  <c r="AD716" i="1" s="1"/>
  <c r="BI716" i="1"/>
  <c r="AE716" i="1" s="1"/>
  <c r="BJ716" i="1"/>
  <c r="K717" i="1"/>
  <c r="Z717" i="1"/>
  <c r="AB717" i="1"/>
  <c r="AC717" i="1"/>
  <c r="AF717" i="1"/>
  <c r="AG717" i="1"/>
  <c r="AH717" i="1"/>
  <c r="AJ717" i="1"/>
  <c r="AK717" i="1"/>
  <c r="AL717" i="1"/>
  <c r="AO717" i="1"/>
  <c r="AP717" i="1"/>
  <c r="AX717" i="1" s="1"/>
  <c r="AW717" i="1"/>
  <c r="BD717" i="1"/>
  <c r="BF717" i="1"/>
  <c r="BH717" i="1"/>
  <c r="AD717" i="1" s="1"/>
  <c r="BI717" i="1"/>
  <c r="AE717" i="1" s="1"/>
  <c r="BJ717" i="1"/>
  <c r="K718" i="1"/>
  <c r="Z718" i="1"/>
  <c r="AB718" i="1"/>
  <c r="AC718" i="1"/>
  <c r="AF718" i="1"/>
  <c r="AG718" i="1"/>
  <c r="AH718" i="1"/>
  <c r="AJ718" i="1"/>
  <c r="AK718" i="1"/>
  <c r="AL718" i="1"/>
  <c r="AO718" i="1"/>
  <c r="AP718" i="1"/>
  <c r="AW718" i="1"/>
  <c r="BC718" i="1" s="1"/>
  <c r="AX718" i="1"/>
  <c r="BD718" i="1"/>
  <c r="BF718" i="1"/>
  <c r="BH718" i="1"/>
  <c r="AD718" i="1" s="1"/>
  <c r="BI718" i="1"/>
  <c r="AE718" i="1" s="1"/>
  <c r="BJ718" i="1"/>
  <c r="K719" i="1"/>
  <c r="AL719" i="1" s="1"/>
  <c r="Z719" i="1"/>
  <c r="AB719" i="1"/>
  <c r="AC719" i="1"/>
  <c r="AD719" i="1"/>
  <c r="AE719" i="1"/>
  <c r="AF719" i="1"/>
  <c r="AG719" i="1"/>
  <c r="AH719" i="1"/>
  <c r="AJ719" i="1"/>
  <c r="AK719" i="1"/>
  <c r="AO719" i="1"/>
  <c r="AW719" i="1" s="1"/>
  <c r="AP719" i="1"/>
  <c r="AX719" i="1"/>
  <c r="BD719" i="1"/>
  <c r="BF719" i="1"/>
  <c r="BH719" i="1"/>
  <c r="BI719" i="1"/>
  <c r="BJ719" i="1"/>
  <c r="K721" i="1"/>
  <c r="AL721" i="1" s="1"/>
  <c r="Z721" i="1"/>
  <c r="AB721" i="1"/>
  <c r="AC721" i="1"/>
  <c r="AF721" i="1"/>
  <c r="AG721" i="1"/>
  <c r="AH721" i="1"/>
  <c r="AJ721" i="1"/>
  <c r="AS720" i="1" s="1"/>
  <c r="AK721" i="1"/>
  <c r="AT720" i="1" s="1"/>
  <c r="AO721" i="1"/>
  <c r="AW721" i="1" s="1"/>
  <c r="AP721" i="1"/>
  <c r="AX721" i="1" s="1"/>
  <c r="BD721" i="1"/>
  <c r="BF721" i="1"/>
  <c r="BH721" i="1"/>
  <c r="AD721" i="1" s="1"/>
  <c r="BI721" i="1"/>
  <c r="AE721" i="1" s="1"/>
  <c r="BJ721" i="1"/>
  <c r="K722" i="1"/>
  <c r="Z722" i="1"/>
  <c r="AB722" i="1"/>
  <c r="AC722" i="1"/>
  <c r="AF722" i="1"/>
  <c r="AG722" i="1"/>
  <c r="AH722" i="1"/>
  <c r="AJ722" i="1"/>
  <c r="AK722" i="1"/>
  <c r="AL722" i="1"/>
  <c r="AO722" i="1"/>
  <c r="AP722" i="1"/>
  <c r="AX722" i="1" s="1"/>
  <c r="AW722" i="1"/>
  <c r="BD722" i="1"/>
  <c r="BF722" i="1"/>
  <c r="BH722" i="1"/>
  <c r="AD722" i="1" s="1"/>
  <c r="BI722" i="1"/>
  <c r="AE722" i="1" s="1"/>
  <c r="BJ722" i="1"/>
  <c r="K723" i="1"/>
  <c r="Z723" i="1"/>
  <c r="AB723" i="1"/>
  <c r="AC723" i="1"/>
  <c r="AF723" i="1"/>
  <c r="AG723" i="1"/>
  <c r="AH723" i="1"/>
  <c r="AJ723" i="1"/>
  <c r="AK723" i="1"/>
  <c r="AL723" i="1"/>
  <c r="AO723" i="1"/>
  <c r="AP723" i="1"/>
  <c r="AW723" i="1"/>
  <c r="BC723" i="1" s="1"/>
  <c r="AX723" i="1"/>
  <c r="BD723" i="1"/>
  <c r="BF723" i="1"/>
  <c r="BH723" i="1"/>
  <c r="AD723" i="1" s="1"/>
  <c r="BI723" i="1"/>
  <c r="AE723" i="1" s="1"/>
  <c r="BJ723" i="1"/>
  <c r="K724" i="1"/>
  <c r="AL724" i="1" s="1"/>
  <c r="Z724" i="1"/>
  <c r="AB724" i="1"/>
  <c r="AC724" i="1"/>
  <c r="AF724" i="1"/>
  <c r="AG724" i="1"/>
  <c r="AH724" i="1"/>
  <c r="AJ724" i="1"/>
  <c r="AK724" i="1"/>
  <c r="AO724" i="1"/>
  <c r="AW724" i="1" s="1"/>
  <c r="AP724" i="1"/>
  <c r="AX724" i="1"/>
  <c r="BD724" i="1"/>
  <c r="BF724" i="1"/>
  <c r="BH724" i="1"/>
  <c r="AD724" i="1" s="1"/>
  <c r="BI724" i="1"/>
  <c r="AE724" i="1" s="1"/>
  <c r="BJ724" i="1"/>
  <c r="K725" i="1"/>
  <c r="AL725" i="1" s="1"/>
  <c r="Z725" i="1"/>
  <c r="AB725" i="1"/>
  <c r="AC725" i="1"/>
  <c r="AF725" i="1"/>
  <c r="AG725" i="1"/>
  <c r="AH725" i="1"/>
  <c r="AJ725" i="1"/>
  <c r="AK725" i="1"/>
  <c r="AO725" i="1"/>
  <c r="AW725" i="1" s="1"/>
  <c r="AP725" i="1"/>
  <c r="AX725" i="1" s="1"/>
  <c r="BD725" i="1"/>
  <c r="BF725" i="1"/>
  <c r="BH725" i="1"/>
  <c r="AD725" i="1" s="1"/>
  <c r="BI725" i="1"/>
  <c r="AE725" i="1" s="1"/>
  <c r="BJ725" i="1"/>
  <c r="K726" i="1"/>
  <c r="Z726" i="1"/>
  <c r="AB726" i="1"/>
  <c r="AC726" i="1"/>
  <c r="AF726" i="1"/>
  <c r="AG726" i="1"/>
  <c r="AH726" i="1"/>
  <c r="AJ726" i="1"/>
  <c r="AK726" i="1"/>
  <c r="AL726" i="1"/>
  <c r="AO726" i="1"/>
  <c r="AP726" i="1"/>
  <c r="AX726" i="1" s="1"/>
  <c r="AW726" i="1"/>
  <c r="BD726" i="1"/>
  <c r="BF726" i="1"/>
  <c r="BH726" i="1"/>
  <c r="AD726" i="1" s="1"/>
  <c r="BI726" i="1"/>
  <c r="AE726" i="1" s="1"/>
  <c r="BJ726" i="1"/>
  <c r="K727" i="1"/>
  <c r="Z727" i="1"/>
  <c r="AB727" i="1"/>
  <c r="AC727" i="1"/>
  <c r="AF727" i="1"/>
  <c r="AG727" i="1"/>
  <c r="AH727" i="1"/>
  <c r="AJ727" i="1"/>
  <c r="AK727" i="1"/>
  <c r="AL727" i="1"/>
  <c r="AO727" i="1"/>
  <c r="AP727" i="1"/>
  <c r="AW727" i="1"/>
  <c r="BC727" i="1" s="1"/>
  <c r="AX727" i="1"/>
  <c r="BD727" i="1"/>
  <c r="BF727" i="1"/>
  <c r="BH727" i="1"/>
  <c r="AD727" i="1" s="1"/>
  <c r="BI727" i="1"/>
  <c r="AE727" i="1" s="1"/>
  <c r="BJ727" i="1"/>
  <c r="K728" i="1"/>
  <c r="AL728" i="1" s="1"/>
  <c r="Z728" i="1"/>
  <c r="AB728" i="1"/>
  <c r="AC728" i="1"/>
  <c r="AF728" i="1"/>
  <c r="AG728" i="1"/>
  <c r="AH728" i="1"/>
  <c r="AJ728" i="1"/>
  <c r="AK728" i="1"/>
  <c r="AO728" i="1"/>
  <c r="AW728" i="1" s="1"/>
  <c r="AP728" i="1"/>
  <c r="AX728" i="1"/>
  <c r="BD728" i="1"/>
  <c r="BF728" i="1"/>
  <c r="BH728" i="1"/>
  <c r="AD728" i="1" s="1"/>
  <c r="BI728" i="1"/>
  <c r="AE728" i="1" s="1"/>
  <c r="BJ728" i="1"/>
  <c r="K729" i="1"/>
  <c r="AL729" i="1" s="1"/>
  <c r="Z729" i="1"/>
  <c r="AB729" i="1"/>
  <c r="AC729" i="1"/>
  <c r="AF729" i="1"/>
  <c r="AG729" i="1"/>
  <c r="AH729" i="1"/>
  <c r="AJ729" i="1"/>
  <c r="AK729" i="1"/>
  <c r="AO729" i="1"/>
  <c r="AW729" i="1" s="1"/>
  <c r="AP729" i="1"/>
  <c r="AX729" i="1" s="1"/>
  <c r="BD729" i="1"/>
  <c r="BF729" i="1"/>
  <c r="BH729" i="1"/>
  <c r="AD729" i="1" s="1"/>
  <c r="BI729" i="1"/>
  <c r="AE729" i="1" s="1"/>
  <c r="BJ729" i="1"/>
  <c r="K730" i="1"/>
  <c r="Z730" i="1"/>
  <c r="AB730" i="1"/>
  <c r="AC730" i="1"/>
  <c r="AF730" i="1"/>
  <c r="AG730" i="1"/>
  <c r="AH730" i="1"/>
  <c r="AJ730" i="1"/>
  <c r="AK730" i="1"/>
  <c r="AL730" i="1"/>
  <c r="AO730" i="1"/>
  <c r="AP730" i="1"/>
  <c r="AX730" i="1" s="1"/>
  <c r="AW730" i="1"/>
  <c r="BD730" i="1"/>
  <c r="BF730" i="1"/>
  <c r="BH730" i="1"/>
  <c r="AD730" i="1" s="1"/>
  <c r="BI730" i="1"/>
  <c r="AE730" i="1" s="1"/>
  <c r="BJ730" i="1"/>
  <c r="K731" i="1"/>
  <c r="Z731" i="1"/>
  <c r="AB731" i="1"/>
  <c r="AC731" i="1"/>
  <c r="AF731" i="1"/>
  <c r="AG731" i="1"/>
  <c r="AH731" i="1"/>
  <c r="AJ731" i="1"/>
  <c r="AK731" i="1"/>
  <c r="AL731" i="1"/>
  <c r="AO731" i="1"/>
  <c r="AP731" i="1"/>
  <c r="AW731" i="1"/>
  <c r="BC731" i="1" s="1"/>
  <c r="AX731" i="1"/>
  <c r="BD731" i="1"/>
  <c r="BF731" i="1"/>
  <c r="BH731" i="1"/>
  <c r="AD731" i="1" s="1"/>
  <c r="BI731" i="1"/>
  <c r="AE731" i="1" s="1"/>
  <c r="BJ731" i="1"/>
  <c r="K732" i="1"/>
  <c r="AL732" i="1" s="1"/>
  <c r="Z732" i="1"/>
  <c r="AB732" i="1"/>
  <c r="AC732" i="1"/>
  <c r="AF732" i="1"/>
  <c r="AG732" i="1"/>
  <c r="AH732" i="1"/>
  <c r="AJ732" i="1"/>
  <c r="AK732" i="1"/>
  <c r="AO732" i="1"/>
  <c r="AW732" i="1" s="1"/>
  <c r="AP732" i="1"/>
  <c r="AX732" i="1"/>
  <c r="BD732" i="1"/>
  <c r="BF732" i="1"/>
  <c r="BH732" i="1"/>
  <c r="AD732" i="1" s="1"/>
  <c r="BI732" i="1"/>
  <c r="AE732" i="1" s="1"/>
  <c r="BJ732" i="1"/>
  <c r="K733" i="1"/>
  <c r="AL733" i="1" s="1"/>
  <c r="Z733" i="1"/>
  <c r="AB733" i="1"/>
  <c r="AC733" i="1"/>
  <c r="AF733" i="1"/>
  <c r="AG733" i="1"/>
  <c r="AH733" i="1"/>
  <c r="AJ733" i="1"/>
  <c r="AK733" i="1"/>
  <c r="AO733" i="1"/>
  <c r="AW733" i="1" s="1"/>
  <c r="AP733" i="1"/>
  <c r="AX733" i="1" s="1"/>
  <c r="BD733" i="1"/>
  <c r="BF733" i="1"/>
  <c r="BH733" i="1"/>
  <c r="AD733" i="1" s="1"/>
  <c r="BI733" i="1"/>
  <c r="AE733" i="1" s="1"/>
  <c r="BJ733" i="1"/>
  <c r="K734" i="1"/>
  <c r="Z734" i="1"/>
  <c r="AB734" i="1"/>
  <c r="AC734" i="1"/>
  <c r="AF734" i="1"/>
  <c r="AG734" i="1"/>
  <c r="AH734" i="1"/>
  <c r="AJ734" i="1"/>
  <c r="AK734" i="1"/>
  <c r="AL734" i="1"/>
  <c r="AO734" i="1"/>
  <c r="AP734" i="1"/>
  <c r="AX734" i="1" s="1"/>
  <c r="AW734" i="1"/>
  <c r="BD734" i="1"/>
  <c r="BF734" i="1"/>
  <c r="BH734" i="1"/>
  <c r="AD734" i="1" s="1"/>
  <c r="BI734" i="1"/>
  <c r="AE734" i="1" s="1"/>
  <c r="BJ734" i="1"/>
  <c r="K735" i="1"/>
  <c r="Z735" i="1"/>
  <c r="AB735" i="1"/>
  <c r="AC735" i="1"/>
  <c r="AF735" i="1"/>
  <c r="AG735" i="1"/>
  <c r="AH735" i="1"/>
  <c r="AJ735" i="1"/>
  <c r="AK735" i="1"/>
  <c r="AL735" i="1"/>
  <c r="AO735" i="1"/>
  <c r="AP735" i="1"/>
  <c r="AW735" i="1"/>
  <c r="BC735" i="1" s="1"/>
  <c r="AX735" i="1"/>
  <c r="BD735" i="1"/>
  <c r="BF735" i="1"/>
  <c r="BH735" i="1"/>
  <c r="AD735" i="1" s="1"/>
  <c r="BI735" i="1"/>
  <c r="AE735" i="1" s="1"/>
  <c r="BJ735" i="1"/>
  <c r="K736" i="1"/>
  <c r="AL736" i="1" s="1"/>
  <c r="Z736" i="1"/>
  <c r="AB736" i="1"/>
  <c r="AC736" i="1"/>
  <c r="AF736" i="1"/>
  <c r="AG736" i="1"/>
  <c r="AH736" i="1"/>
  <c r="AJ736" i="1"/>
  <c r="AK736" i="1"/>
  <c r="AO736" i="1"/>
  <c r="AW736" i="1" s="1"/>
  <c r="AP736" i="1"/>
  <c r="AX736" i="1"/>
  <c r="BD736" i="1"/>
  <c r="BF736" i="1"/>
  <c r="BH736" i="1"/>
  <c r="AD736" i="1" s="1"/>
  <c r="BI736" i="1"/>
  <c r="AE736" i="1" s="1"/>
  <c r="BJ736" i="1"/>
  <c r="K737" i="1"/>
  <c r="AL737" i="1" s="1"/>
  <c r="Z737" i="1"/>
  <c r="AB737" i="1"/>
  <c r="AC737" i="1"/>
  <c r="AF737" i="1"/>
  <c r="AG737" i="1"/>
  <c r="AH737" i="1"/>
  <c r="AJ737" i="1"/>
  <c r="AK737" i="1"/>
  <c r="AO737" i="1"/>
  <c r="AW737" i="1" s="1"/>
  <c r="AP737" i="1"/>
  <c r="AX737" i="1" s="1"/>
  <c r="BD737" i="1"/>
  <c r="BF737" i="1"/>
  <c r="BH737" i="1"/>
  <c r="AD737" i="1" s="1"/>
  <c r="BI737" i="1"/>
  <c r="AE737" i="1" s="1"/>
  <c r="BJ737" i="1"/>
  <c r="K738" i="1"/>
  <c r="Z738" i="1"/>
  <c r="AB738" i="1"/>
  <c r="AC738" i="1"/>
  <c r="AF738" i="1"/>
  <c r="AG738" i="1"/>
  <c r="AH738" i="1"/>
  <c r="AJ738" i="1"/>
  <c r="AK738" i="1"/>
  <c r="AL738" i="1"/>
  <c r="AO738" i="1"/>
  <c r="AP738" i="1"/>
  <c r="AX738" i="1" s="1"/>
  <c r="AW738" i="1"/>
  <c r="BD738" i="1"/>
  <c r="BF738" i="1"/>
  <c r="BH738" i="1"/>
  <c r="AD738" i="1" s="1"/>
  <c r="BI738" i="1"/>
  <c r="AE738" i="1" s="1"/>
  <c r="BJ738" i="1"/>
  <c r="K739" i="1"/>
  <c r="Z739" i="1"/>
  <c r="AB739" i="1"/>
  <c r="AC739" i="1"/>
  <c r="AF739" i="1"/>
  <c r="AG739" i="1"/>
  <c r="AH739" i="1"/>
  <c r="AJ739" i="1"/>
  <c r="AK739" i="1"/>
  <c r="AL739" i="1"/>
  <c r="AO739" i="1"/>
  <c r="AP739" i="1"/>
  <c r="AW739" i="1"/>
  <c r="BC739" i="1" s="1"/>
  <c r="AX739" i="1"/>
  <c r="BD739" i="1"/>
  <c r="BF739" i="1"/>
  <c r="BH739" i="1"/>
  <c r="AD739" i="1" s="1"/>
  <c r="BI739" i="1"/>
  <c r="AE739" i="1" s="1"/>
  <c r="BJ739" i="1"/>
  <c r="K740" i="1"/>
  <c r="AL740" i="1" s="1"/>
  <c r="Z740" i="1"/>
  <c r="AB740" i="1"/>
  <c r="AC740" i="1"/>
  <c r="AF740" i="1"/>
  <c r="AG740" i="1"/>
  <c r="AH740" i="1"/>
  <c r="AJ740" i="1"/>
  <c r="AK740" i="1"/>
  <c r="AO740" i="1"/>
  <c r="AW740" i="1" s="1"/>
  <c r="AP740" i="1"/>
  <c r="AX740" i="1"/>
  <c r="BD740" i="1"/>
  <c r="BF740" i="1"/>
  <c r="BH740" i="1"/>
  <c r="AD740" i="1" s="1"/>
  <c r="BI740" i="1"/>
  <c r="AE740" i="1" s="1"/>
  <c r="BJ740" i="1"/>
  <c r="K741" i="1"/>
  <c r="AL741" i="1" s="1"/>
  <c r="Z741" i="1"/>
  <c r="AB741" i="1"/>
  <c r="AC741" i="1"/>
  <c r="AF741" i="1"/>
  <c r="AG741" i="1"/>
  <c r="AH741" i="1"/>
  <c r="AJ741" i="1"/>
  <c r="AK741" i="1"/>
  <c r="AO741" i="1"/>
  <c r="AW741" i="1" s="1"/>
  <c r="AP741" i="1"/>
  <c r="AX741" i="1" s="1"/>
  <c r="BD741" i="1"/>
  <c r="BF741" i="1"/>
  <c r="BH741" i="1"/>
  <c r="AD741" i="1" s="1"/>
  <c r="BI741" i="1"/>
  <c r="AE741" i="1" s="1"/>
  <c r="BJ741" i="1"/>
  <c r="K742" i="1"/>
  <c r="Z742" i="1"/>
  <c r="AB742" i="1"/>
  <c r="AC742" i="1"/>
  <c r="AF742" i="1"/>
  <c r="AG742" i="1"/>
  <c r="AH742" i="1"/>
  <c r="AJ742" i="1"/>
  <c r="AK742" i="1"/>
  <c r="AL742" i="1"/>
  <c r="AO742" i="1"/>
  <c r="AP742" i="1"/>
  <c r="AX742" i="1" s="1"/>
  <c r="AW742" i="1"/>
  <c r="BD742" i="1"/>
  <c r="BF742" i="1"/>
  <c r="BH742" i="1"/>
  <c r="AD742" i="1" s="1"/>
  <c r="BI742" i="1"/>
  <c r="AE742" i="1" s="1"/>
  <c r="BJ742" i="1"/>
  <c r="K743" i="1"/>
  <c r="Z743" i="1"/>
  <c r="AB743" i="1"/>
  <c r="AC743" i="1"/>
  <c r="AF743" i="1"/>
  <c r="AG743" i="1"/>
  <c r="AH743" i="1"/>
  <c r="AJ743" i="1"/>
  <c r="AK743" i="1"/>
  <c r="AL743" i="1"/>
  <c r="AO743" i="1"/>
  <c r="AP743" i="1"/>
  <c r="AW743" i="1"/>
  <c r="BC743" i="1" s="1"/>
  <c r="AX743" i="1"/>
  <c r="BD743" i="1"/>
  <c r="BF743" i="1"/>
  <c r="BH743" i="1"/>
  <c r="AD743" i="1" s="1"/>
  <c r="BI743" i="1"/>
  <c r="AE743" i="1" s="1"/>
  <c r="BJ743" i="1"/>
  <c r="K744" i="1"/>
  <c r="AL744" i="1" s="1"/>
  <c r="Z744" i="1"/>
  <c r="AB744" i="1"/>
  <c r="AC744" i="1"/>
  <c r="AF744" i="1"/>
  <c r="AG744" i="1"/>
  <c r="AH744" i="1"/>
  <c r="AJ744" i="1"/>
  <c r="AK744" i="1"/>
  <c r="AO744" i="1"/>
  <c r="AW744" i="1" s="1"/>
  <c r="AP744" i="1"/>
  <c r="AX744" i="1"/>
  <c r="BD744" i="1"/>
  <c r="BF744" i="1"/>
  <c r="BH744" i="1"/>
  <c r="AD744" i="1" s="1"/>
  <c r="BI744" i="1"/>
  <c r="AE744" i="1" s="1"/>
  <c r="BJ744" i="1"/>
  <c r="K745" i="1"/>
  <c r="AL745" i="1" s="1"/>
  <c r="Z745" i="1"/>
  <c r="AB745" i="1"/>
  <c r="AC745" i="1"/>
  <c r="AF745" i="1"/>
  <c r="AG745" i="1"/>
  <c r="AH745" i="1"/>
  <c r="AJ745" i="1"/>
  <c r="AK745" i="1"/>
  <c r="AO745" i="1"/>
  <c r="AW745" i="1" s="1"/>
  <c r="AP745" i="1"/>
  <c r="AX745" i="1" s="1"/>
  <c r="BD745" i="1"/>
  <c r="BF745" i="1"/>
  <c r="BH745" i="1"/>
  <c r="AD745" i="1" s="1"/>
  <c r="BI745" i="1"/>
  <c r="AE745" i="1" s="1"/>
  <c r="BJ745" i="1"/>
  <c r="K746" i="1"/>
  <c r="Z746" i="1"/>
  <c r="AB746" i="1"/>
  <c r="AC746" i="1"/>
  <c r="AF746" i="1"/>
  <c r="AG746" i="1"/>
  <c r="AH746" i="1"/>
  <c r="AJ746" i="1"/>
  <c r="AK746" i="1"/>
  <c r="AL746" i="1"/>
  <c r="AO746" i="1"/>
  <c r="AP746" i="1"/>
  <c r="AX746" i="1" s="1"/>
  <c r="AW746" i="1"/>
  <c r="BD746" i="1"/>
  <c r="BF746" i="1"/>
  <c r="BH746" i="1"/>
  <c r="AD746" i="1" s="1"/>
  <c r="BI746" i="1"/>
  <c r="AE746" i="1" s="1"/>
  <c r="BJ746" i="1"/>
  <c r="K747" i="1"/>
  <c r="Z747" i="1"/>
  <c r="AB747" i="1"/>
  <c r="AC747" i="1"/>
  <c r="AF747" i="1"/>
  <c r="AG747" i="1"/>
  <c r="AH747" i="1"/>
  <c r="AJ747" i="1"/>
  <c r="AK747" i="1"/>
  <c r="AL747" i="1"/>
  <c r="AO747" i="1"/>
  <c r="AP747" i="1"/>
  <c r="AW747" i="1"/>
  <c r="BC747" i="1" s="1"/>
  <c r="AX747" i="1"/>
  <c r="BD747" i="1"/>
  <c r="BF747" i="1"/>
  <c r="BH747" i="1"/>
  <c r="AD747" i="1" s="1"/>
  <c r="BI747" i="1"/>
  <c r="AE747" i="1" s="1"/>
  <c r="BJ747" i="1"/>
  <c r="K748" i="1"/>
  <c r="AL748" i="1" s="1"/>
  <c r="Z748" i="1"/>
  <c r="AB748" i="1"/>
  <c r="AC748" i="1"/>
  <c r="AF748" i="1"/>
  <c r="AG748" i="1"/>
  <c r="AH748" i="1"/>
  <c r="AJ748" i="1"/>
  <c r="AK748" i="1"/>
  <c r="AO748" i="1"/>
  <c r="AW748" i="1" s="1"/>
  <c r="AP748" i="1"/>
  <c r="AX748" i="1"/>
  <c r="BD748" i="1"/>
  <c r="BF748" i="1"/>
  <c r="BH748" i="1"/>
  <c r="AD748" i="1" s="1"/>
  <c r="BI748" i="1"/>
  <c r="AE748" i="1" s="1"/>
  <c r="BJ748" i="1"/>
  <c r="K749" i="1"/>
  <c r="AL749" i="1" s="1"/>
  <c r="Z749" i="1"/>
  <c r="AB749" i="1"/>
  <c r="AC749" i="1"/>
  <c r="AF749" i="1"/>
  <c r="AG749" i="1"/>
  <c r="AH749" i="1"/>
  <c r="AJ749" i="1"/>
  <c r="AK749" i="1"/>
  <c r="AO749" i="1"/>
  <c r="AW749" i="1" s="1"/>
  <c r="AP749" i="1"/>
  <c r="AX749" i="1" s="1"/>
  <c r="BD749" i="1"/>
  <c r="BF749" i="1"/>
  <c r="BH749" i="1"/>
  <c r="AD749" i="1" s="1"/>
  <c r="BI749" i="1"/>
  <c r="AE749" i="1" s="1"/>
  <c r="BJ749" i="1"/>
  <c r="K750" i="1"/>
  <c r="Z750" i="1"/>
  <c r="AB750" i="1"/>
  <c r="AC750" i="1"/>
  <c r="AF750" i="1"/>
  <c r="AG750" i="1"/>
  <c r="AH750" i="1"/>
  <c r="AJ750" i="1"/>
  <c r="AK750" i="1"/>
  <c r="AL750" i="1"/>
  <c r="AO750" i="1"/>
  <c r="AP750" i="1"/>
  <c r="AX750" i="1" s="1"/>
  <c r="AW750" i="1"/>
  <c r="BD750" i="1"/>
  <c r="BF750" i="1"/>
  <c r="BH750" i="1"/>
  <c r="AD750" i="1" s="1"/>
  <c r="BI750" i="1"/>
  <c r="AE750" i="1" s="1"/>
  <c r="BJ750" i="1"/>
  <c r="K751" i="1"/>
  <c r="Z751" i="1"/>
  <c r="AB751" i="1"/>
  <c r="AC751" i="1"/>
  <c r="AF751" i="1"/>
  <c r="AG751" i="1"/>
  <c r="AH751" i="1"/>
  <c r="AJ751" i="1"/>
  <c r="AK751" i="1"/>
  <c r="AL751" i="1"/>
  <c r="AO751" i="1"/>
  <c r="AP751" i="1"/>
  <c r="AW751" i="1"/>
  <c r="BC751" i="1" s="1"/>
  <c r="AX751" i="1"/>
  <c r="BD751" i="1"/>
  <c r="BF751" i="1"/>
  <c r="BH751" i="1"/>
  <c r="AD751" i="1" s="1"/>
  <c r="BI751" i="1"/>
  <c r="AE751" i="1" s="1"/>
  <c r="BJ751" i="1"/>
  <c r="K752" i="1"/>
  <c r="AL752" i="1" s="1"/>
  <c r="Z752" i="1"/>
  <c r="AB752" i="1"/>
  <c r="AC752" i="1"/>
  <c r="AF752" i="1"/>
  <c r="AG752" i="1"/>
  <c r="AH752" i="1"/>
  <c r="AJ752" i="1"/>
  <c r="AK752" i="1"/>
  <c r="AO752" i="1"/>
  <c r="AW752" i="1" s="1"/>
  <c r="AP752" i="1"/>
  <c r="AX752" i="1"/>
  <c r="BD752" i="1"/>
  <c r="BF752" i="1"/>
  <c r="BH752" i="1"/>
  <c r="AD752" i="1" s="1"/>
  <c r="BI752" i="1"/>
  <c r="AE752" i="1" s="1"/>
  <c r="BJ752" i="1"/>
  <c r="K753" i="1"/>
  <c r="AL753" i="1" s="1"/>
  <c r="Z753" i="1"/>
  <c r="AB753" i="1"/>
  <c r="AC753" i="1"/>
  <c r="AF753" i="1"/>
  <c r="AG753" i="1"/>
  <c r="AH753" i="1"/>
  <c r="AJ753" i="1"/>
  <c r="AK753" i="1"/>
  <c r="AO753" i="1"/>
  <c r="AW753" i="1" s="1"/>
  <c r="AP753" i="1"/>
  <c r="AX753" i="1" s="1"/>
  <c r="BD753" i="1"/>
  <c r="BF753" i="1"/>
  <c r="BH753" i="1"/>
  <c r="AD753" i="1" s="1"/>
  <c r="BI753" i="1"/>
  <c r="AE753" i="1" s="1"/>
  <c r="BJ753" i="1"/>
  <c r="K754" i="1"/>
  <c r="Z754" i="1"/>
  <c r="AB754" i="1"/>
  <c r="AC754" i="1"/>
  <c r="AF754" i="1"/>
  <c r="AG754" i="1"/>
  <c r="AH754" i="1"/>
  <c r="AJ754" i="1"/>
  <c r="AK754" i="1"/>
  <c r="AL754" i="1"/>
  <c r="AO754" i="1"/>
  <c r="AP754" i="1"/>
  <c r="AX754" i="1" s="1"/>
  <c r="AW754" i="1"/>
  <c r="BD754" i="1"/>
  <c r="BF754" i="1"/>
  <c r="BH754" i="1"/>
  <c r="AD754" i="1" s="1"/>
  <c r="BI754" i="1"/>
  <c r="AE754" i="1" s="1"/>
  <c r="BJ754" i="1"/>
  <c r="K755" i="1"/>
  <c r="Z755" i="1"/>
  <c r="AB755" i="1"/>
  <c r="AC755" i="1"/>
  <c r="AF755" i="1"/>
  <c r="AG755" i="1"/>
  <c r="AH755" i="1"/>
  <c r="AJ755" i="1"/>
  <c r="AK755" i="1"/>
  <c r="AL755" i="1"/>
  <c r="AO755" i="1"/>
  <c r="AP755" i="1"/>
  <c r="AW755" i="1"/>
  <c r="BC755" i="1" s="1"/>
  <c r="AX755" i="1"/>
  <c r="BD755" i="1"/>
  <c r="BF755" i="1"/>
  <c r="BH755" i="1"/>
  <c r="AD755" i="1" s="1"/>
  <c r="BI755" i="1"/>
  <c r="AE755" i="1" s="1"/>
  <c r="BJ755" i="1"/>
  <c r="K756" i="1"/>
  <c r="AL756" i="1" s="1"/>
  <c r="Z756" i="1"/>
  <c r="AB756" i="1"/>
  <c r="AC756" i="1"/>
  <c r="AF756" i="1"/>
  <c r="AG756" i="1"/>
  <c r="AH756" i="1"/>
  <c r="AJ756" i="1"/>
  <c r="AK756" i="1"/>
  <c r="AO756" i="1"/>
  <c r="AW756" i="1" s="1"/>
  <c r="AP756" i="1"/>
  <c r="AX756" i="1"/>
  <c r="BD756" i="1"/>
  <c r="BF756" i="1"/>
  <c r="BH756" i="1"/>
  <c r="AD756" i="1" s="1"/>
  <c r="BI756" i="1"/>
  <c r="AE756" i="1" s="1"/>
  <c r="BJ756" i="1"/>
  <c r="K757" i="1"/>
  <c r="AL757" i="1" s="1"/>
  <c r="Z757" i="1"/>
  <c r="AB757" i="1"/>
  <c r="AC757" i="1"/>
  <c r="AF757" i="1"/>
  <c r="AG757" i="1"/>
  <c r="AH757" i="1"/>
  <c r="AJ757" i="1"/>
  <c r="AK757" i="1"/>
  <c r="AO757" i="1"/>
  <c r="AW757" i="1" s="1"/>
  <c r="AP757" i="1"/>
  <c r="AX757" i="1" s="1"/>
  <c r="BD757" i="1"/>
  <c r="BF757" i="1"/>
  <c r="BH757" i="1"/>
  <c r="AD757" i="1" s="1"/>
  <c r="BI757" i="1"/>
  <c r="AE757" i="1" s="1"/>
  <c r="BJ757" i="1"/>
  <c r="K758" i="1"/>
  <c r="Z758" i="1"/>
  <c r="AB758" i="1"/>
  <c r="AC758" i="1"/>
  <c r="AF758" i="1"/>
  <c r="AG758" i="1"/>
  <c r="AH758" i="1"/>
  <c r="AJ758" i="1"/>
  <c r="AK758" i="1"/>
  <c r="AL758" i="1"/>
  <c r="AO758" i="1"/>
  <c r="AP758" i="1"/>
  <c r="AX758" i="1" s="1"/>
  <c r="AW758" i="1"/>
  <c r="BD758" i="1"/>
  <c r="BF758" i="1"/>
  <c r="BH758" i="1"/>
  <c r="AD758" i="1" s="1"/>
  <c r="BI758" i="1"/>
  <c r="AE758" i="1" s="1"/>
  <c r="BJ758" i="1"/>
  <c r="K759" i="1"/>
  <c r="Z759" i="1"/>
  <c r="AB759" i="1"/>
  <c r="AC759" i="1"/>
  <c r="AF759" i="1"/>
  <c r="AG759" i="1"/>
  <c r="AH759" i="1"/>
  <c r="AJ759" i="1"/>
  <c r="AK759" i="1"/>
  <c r="AL759" i="1"/>
  <c r="AO759" i="1"/>
  <c r="AP759" i="1"/>
  <c r="AW759" i="1"/>
  <c r="BC759" i="1" s="1"/>
  <c r="AX759" i="1"/>
  <c r="BD759" i="1"/>
  <c r="BF759" i="1"/>
  <c r="BH759" i="1"/>
  <c r="AD759" i="1" s="1"/>
  <c r="BI759" i="1"/>
  <c r="AE759" i="1" s="1"/>
  <c r="BJ759" i="1"/>
  <c r="K760" i="1"/>
  <c r="AL760" i="1" s="1"/>
  <c r="Z760" i="1"/>
  <c r="AB760" i="1"/>
  <c r="AC760" i="1"/>
  <c r="AF760" i="1"/>
  <c r="AG760" i="1"/>
  <c r="AH760" i="1"/>
  <c r="AJ760" i="1"/>
  <c r="AK760" i="1"/>
  <c r="AO760" i="1"/>
  <c r="AW760" i="1" s="1"/>
  <c r="AP760" i="1"/>
  <c r="AX760" i="1"/>
  <c r="BD760" i="1"/>
  <c r="BF760" i="1"/>
  <c r="BH760" i="1"/>
  <c r="AD760" i="1" s="1"/>
  <c r="BI760" i="1"/>
  <c r="AE760" i="1" s="1"/>
  <c r="BJ760" i="1"/>
  <c r="K761" i="1"/>
  <c r="AL761" i="1" s="1"/>
  <c r="Z761" i="1"/>
  <c r="AB761" i="1"/>
  <c r="AC761" i="1"/>
  <c r="AF761" i="1"/>
  <c r="AG761" i="1"/>
  <c r="AH761" i="1"/>
  <c r="AJ761" i="1"/>
  <c r="AK761" i="1"/>
  <c r="AO761" i="1"/>
  <c r="AW761" i="1" s="1"/>
  <c r="AP761" i="1"/>
  <c r="AX761" i="1" s="1"/>
  <c r="BD761" i="1"/>
  <c r="BF761" i="1"/>
  <c r="BH761" i="1"/>
  <c r="AD761" i="1" s="1"/>
  <c r="BI761" i="1"/>
  <c r="AE761" i="1" s="1"/>
  <c r="BJ761" i="1"/>
  <c r="K762" i="1"/>
  <c r="Z762" i="1"/>
  <c r="AB762" i="1"/>
  <c r="AC762" i="1"/>
  <c r="AF762" i="1"/>
  <c r="AG762" i="1"/>
  <c r="AH762" i="1"/>
  <c r="AJ762" i="1"/>
  <c r="AK762" i="1"/>
  <c r="AL762" i="1"/>
  <c r="AO762" i="1"/>
  <c r="AP762" i="1"/>
  <c r="AX762" i="1" s="1"/>
  <c r="AW762" i="1"/>
  <c r="BD762" i="1"/>
  <c r="BF762" i="1"/>
  <c r="BH762" i="1"/>
  <c r="AD762" i="1" s="1"/>
  <c r="BI762" i="1"/>
  <c r="AE762" i="1" s="1"/>
  <c r="BJ762" i="1"/>
  <c r="K763" i="1"/>
  <c r="Z763" i="1"/>
  <c r="AB763" i="1"/>
  <c r="AC763" i="1"/>
  <c r="AF763" i="1"/>
  <c r="AG763" i="1"/>
  <c r="AH763" i="1"/>
  <c r="AJ763" i="1"/>
  <c r="AK763" i="1"/>
  <c r="AL763" i="1"/>
  <c r="AO763" i="1"/>
  <c r="AP763" i="1"/>
  <c r="AW763" i="1"/>
  <c r="BC763" i="1" s="1"/>
  <c r="AX763" i="1"/>
  <c r="BD763" i="1"/>
  <c r="BF763" i="1"/>
  <c r="BH763" i="1"/>
  <c r="AD763" i="1" s="1"/>
  <c r="BI763" i="1"/>
  <c r="AE763" i="1" s="1"/>
  <c r="BJ763" i="1"/>
  <c r="K764" i="1"/>
  <c r="AL764" i="1" s="1"/>
  <c r="Z764" i="1"/>
  <c r="AB764" i="1"/>
  <c r="AC764" i="1"/>
  <c r="AF764" i="1"/>
  <c r="AG764" i="1"/>
  <c r="AH764" i="1"/>
  <c r="AJ764" i="1"/>
  <c r="AK764" i="1"/>
  <c r="AO764" i="1"/>
  <c r="AW764" i="1" s="1"/>
  <c r="AP764" i="1"/>
  <c r="AX764" i="1"/>
  <c r="BD764" i="1"/>
  <c r="BF764" i="1"/>
  <c r="BH764" i="1"/>
  <c r="AD764" i="1" s="1"/>
  <c r="BI764" i="1"/>
  <c r="AE764" i="1" s="1"/>
  <c r="BJ764" i="1"/>
  <c r="K765" i="1"/>
  <c r="AL765" i="1" s="1"/>
  <c r="Z765" i="1"/>
  <c r="AB765" i="1"/>
  <c r="AC765" i="1"/>
  <c r="AF765" i="1"/>
  <c r="AG765" i="1"/>
  <c r="AH765" i="1"/>
  <c r="AJ765" i="1"/>
  <c r="AK765" i="1"/>
  <c r="AO765" i="1"/>
  <c r="AW765" i="1" s="1"/>
  <c r="AP765" i="1"/>
  <c r="AX765" i="1" s="1"/>
  <c r="BD765" i="1"/>
  <c r="BF765" i="1"/>
  <c r="BH765" i="1"/>
  <c r="AD765" i="1" s="1"/>
  <c r="BI765" i="1"/>
  <c r="AE765" i="1" s="1"/>
  <c r="BJ765" i="1"/>
  <c r="K766" i="1"/>
  <c r="Z766" i="1"/>
  <c r="AB766" i="1"/>
  <c r="AC766" i="1"/>
  <c r="AF766" i="1"/>
  <c r="AG766" i="1"/>
  <c r="AH766" i="1"/>
  <c r="AJ766" i="1"/>
  <c r="AK766" i="1"/>
  <c r="AL766" i="1"/>
  <c r="AO766" i="1"/>
  <c r="AP766" i="1"/>
  <c r="AX766" i="1" s="1"/>
  <c r="AW766" i="1"/>
  <c r="BD766" i="1"/>
  <c r="BF766" i="1"/>
  <c r="BH766" i="1"/>
  <c r="AD766" i="1" s="1"/>
  <c r="BI766" i="1"/>
  <c r="AE766" i="1" s="1"/>
  <c r="BJ766" i="1"/>
  <c r="K767" i="1"/>
  <c r="Z767" i="1"/>
  <c r="AB767" i="1"/>
  <c r="AC767" i="1"/>
  <c r="AF767" i="1"/>
  <c r="AG767" i="1"/>
  <c r="AH767" i="1"/>
  <c r="AJ767" i="1"/>
  <c r="AK767" i="1"/>
  <c r="AL767" i="1"/>
  <c r="AO767" i="1"/>
  <c r="AP767" i="1"/>
  <c r="AW767" i="1"/>
  <c r="BC767" i="1" s="1"/>
  <c r="AX767" i="1"/>
  <c r="BD767" i="1"/>
  <c r="BF767" i="1"/>
  <c r="BH767" i="1"/>
  <c r="AD767" i="1" s="1"/>
  <c r="BI767" i="1"/>
  <c r="AE767" i="1" s="1"/>
  <c r="BJ767" i="1"/>
  <c r="K768" i="1"/>
  <c r="AL768" i="1" s="1"/>
  <c r="Z768" i="1"/>
  <c r="AB768" i="1"/>
  <c r="AC768" i="1"/>
  <c r="AF768" i="1"/>
  <c r="AG768" i="1"/>
  <c r="AH768" i="1"/>
  <c r="AJ768" i="1"/>
  <c r="AK768" i="1"/>
  <c r="AO768" i="1"/>
  <c r="AW768" i="1" s="1"/>
  <c r="AP768" i="1"/>
  <c r="AX768" i="1"/>
  <c r="BD768" i="1"/>
  <c r="BF768" i="1"/>
  <c r="BH768" i="1"/>
  <c r="AD768" i="1" s="1"/>
  <c r="BI768" i="1"/>
  <c r="AE768" i="1" s="1"/>
  <c r="BJ768" i="1"/>
  <c r="K769" i="1"/>
  <c r="AL769" i="1" s="1"/>
  <c r="Z769" i="1"/>
  <c r="AB769" i="1"/>
  <c r="AC769" i="1"/>
  <c r="AF769" i="1"/>
  <c r="AG769" i="1"/>
  <c r="AH769" i="1"/>
  <c r="AJ769" i="1"/>
  <c r="AK769" i="1"/>
  <c r="AO769" i="1"/>
  <c r="AW769" i="1" s="1"/>
  <c r="AP769" i="1"/>
  <c r="AX769" i="1" s="1"/>
  <c r="BD769" i="1"/>
  <c r="BF769" i="1"/>
  <c r="BH769" i="1"/>
  <c r="AD769" i="1" s="1"/>
  <c r="BI769" i="1"/>
  <c r="AE769" i="1" s="1"/>
  <c r="BJ769" i="1"/>
  <c r="K770" i="1"/>
  <c r="Z770" i="1"/>
  <c r="AB770" i="1"/>
  <c r="AC770" i="1"/>
  <c r="AF770" i="1"/>
  <c r="AG770" i="1"/>
  <c r="AH770" i="1"/>
  <c r="AJ770" i="1"/>
  <c r="AK770" i="1"/>
  <c r="AL770" i="1"/>
  <c r="AO770" i="1"/>
  <c r="AP770" i="1"/>
  <c r="AX770" i="1" s="1"/>
  <c r="AW770" i="1"/>
  <c r="BD770" i="1"/>
  <c r="BF770" i="1"/>
  <c r="BH770" i="1"/>
  <c r="AD770" i="1" s="1"/>
  <c r="BI770" i="1"/>
  <c r="AE770" i="1" s="1"/>
  <c r="BJ770" i="1"/>
  <c r="K771" i="1"/>
  <c r="Z771" i="1"/>
  <c r="AB771" i="1"/>
  <c r="AC771" i="1"/>
  <c r="AF771" i="1"/>
  <c r="AG771" i="1"/>
  <c r="AH771" i="1"/>
  <c r="AJ771" i="1"/>
  <c r="AK771" i="1"/>
  <c r="AL771" i="1"/>
  <c r="AO771" i="1"/>
  <c r="AP771" i="1"/>
  <c r="AW771" i="1"/>
  <c r="BC771" i="1" s="1"/>
  <c r="AX771" i="1"/>
  <c r="BD771" i="1"/>
  <c r="BF771" i="1"/>
  <c r="BH771" i="1"/>
  <c r="AD771" i="1" s="1"/>
  <c r="BI771" i="1"/>
  <c r="AE771" i="1" s="1"/>
  <c r="BJ771" i="1"/>
  <c r="K772" i="1"/>
  <c r="AL772" i="1" s="1"/>
  <c r="Z772" i="1"/>
  <c r="AB772" i="1"/>
  <c r="AC772" i="1"/>
  <c r="AD772" i="1"/>
  <c r="AE772" i="1"/>
  <c r="AF772" i="1"/>
  <c r="AG772" i="1"/>
  <c r="AH772" i="1"/>
  <c r="AJ772" i="1"/>
  <c r="AK772" i="1"/>
  <c r="AO772" i="1"/>
  <c r="AW772" i="1" s="1"/>
  <c r="AP772" i="1"/>
  <c r="AX772" i="1"/>
  <c r="BD772" i="1"/>
  <c r="BF772" i="1"/>
  <c r="BH772" i="1"/>
  <c r="BI772" i="1"/>
  <c r="BJ772" i="1"/>
  <c r="K774" i="1"/>
  <c r="AL774" i="1" s="1"/>
  <c r="Z774" i="1"/>
  <c r="AB774" i="1"/>
  <c r="AC774" i="1"/>
  <c r="AF774" i="1"/>
  <c r="AG774" i="1"/>
  <c r="AH774" i="1"/>
  <c r="AJ774" i="1"/>
  <c r="AS773" i="1" s="1"/>
  <c r="AK774" i="1"/>
  <c r="AT773" i="1" s="1"/>
  <c r="AO774" i="1"/>
  <c r="AW774" i="1" s="1"/>
  <c r="AP774" i="1"/>
  <c r="AX774" i="1" s="1"/>
  <c r="BD774" i="1"/>
  <c r="BF774" i="1"/>
  <c r="BH774" i="1"/>
  <c r="AD774" i="1" s="1"/>
  <c r="BI774" i="1"/>
  <c r="AE774" i="1" s="1"/>
  <c r="BJ774" i="1"/>
  <c r="K775" i="1"/>
  <c r="Z775" i="1"/>
  <c r="AB775" i="1"/>
  <c r="AC775" i="1"/>
  <c r="AF775" i="1"/>
  <c r="AG775" i="1"/>
  <c r="AH775" i="1"/>
  <c r="AJ775" i="1"/>
  <c r="AK775" i="1"/>
  <c r="AL775" i="1"/>
  <c r="AO775" i="1"/>
  <c r="AP775" i="1"/>
  <c r="AX775" i="1" s="1"/>
  <c r="AW775" i="1"/>
  <c r="BD775" i="1"/>
  <c r="BF775" i="1"/>
  <c r="BH775" i="1"/>
  <c r="AD775" i="1" s="1"/>
  <c r="BI775" i="1"/>
  <c r="AE775" i="1" s="1"/>
  <c r="BJ775" i="1"/>
  <c r="K776" i="1"/>
  <c r="Z776" i="1"/>
  <c r="AB776" i="1"/>
  <c r="AC776" i="1"/>
  <c r="AF776" i="1"/>
  <c r="AG776" i="1"/>
  <c r="AH776" i="1"/>
  <c r="AJ776" i="1"/>
  <c r="AK776" i="1"/>
  <c r="AL776" i="1"/>
  <c r="AO776" i="1"/>
  <c r="AP776" i="1"/>
  <c r="AW776" i="1"/>
  <c r="BC776" i="1" s="1"/>
  <c r="AX776" i="1"/>
  <c r="BD776" i="1"/>
  <c r="BF776" i="1"/>
  <c r="BH776" i="1"/>
  <c r="AD776" i="1" s="1"/>
  <c r="BI776" i="1"/>
  <c r="AE776" i="1" s="1"/>
  <c r="BJ776" i="1"/>
  <c r="K777" i="1"/>
  <c r="AL777" i="1" s="1"/>
  <c r="Z777" i="1"/>
  <c r="AB777" i="1"/>
  <c r="AC777" i="1"/>
  <c r="AF777" i="1"/>
  <c r="AG777" i="1"/>
  <c r="AH777" i="1"/>
  <c r="AJ777" i="1"/>
  <c r="AK777" i="1"/>
  <c r="AO777" i="1"/>
  <c r="AW777" i="1" s="1"/>
  <c r="AP777" i="1"/>
  <c r="AX777" i="1"/>
  <c r="BD777" i="1"/>
  <c r="BF777" i="1"/>
  <c r="BH777" i="1"/>
  <c r="AD777" i="1" s="1"/>
  <c r="BI777" i="1"/>
  <c r="AE777" i="1" s="1"/>
  <c r="BJ777" i="1"/>
  <c r="K778" i="1"/>
  <c r="AL778" i="1" s="1"/>
  <c r="Z778" i="1"/>
  <c r="AB778" i="1"/>
  <c r="AC778" i="1"/>
  <c r="AF778" i="1"/>
  <c r="AG778" i="1"/>
  <c r="AH778" i="1"/>
  <c r="AJ778" i="1"/>
  <c r="AK778" i="1"/>
  <c r="AO778" i="1"/>
  <c r="AW778" i="1" s="1"/>
  <c r="AP778" i="1"/>
  <c r="AX778" i="1" s="1"/>
  <c r="BD778" i="1"/>
  <c r="BF778" i="1"/>
  <c r="BH778" i="1"/>
  <c r="AD778" i="1" s="1"/>
  <c r="BI778" i="1"/>
  <c r="AE778" i="1" s="1"/>
  <c r="BJ778" i="1"/>
  <c r="K779" i="1"/>
  <c r="Z779" i="1"/>
  <c r="AB779" i="1"/>
  <c r="AC779" i="1"/>
  <c r="AF779" i="1"/>
  <c r="AG779" i="1"/>
  <c r="AH779" i="1"/>
  <c r="AJ779" i="1"/>
  <c r="AK779" i="1"/>
  <c r="AL779" i="1"/>
  <c r="AO779" i="1"/>
  <c r="AP779" i="1"/>
  <c r="AX779" i="1" s="1"/>
  <c r="AW779" i="1"/>
  <c r="BD779" i="1"/>
  <c r="BF779" i="1"/>
  <c r="BH779" i="1"/>
  <c r="AD779" i="1" s="1"/>
  <c r="BI779" i="1"/>
  <c r="AE779" i="1" s="1"/>
  <c r="BJ779" i="1"/>
  <c r="K780" i="1"/>
  <c r="Z780" i="1"/>
  <c r="AB780" i="1"/>
  <c r="AC780" i="1"/>
  <c r="AF780" i="1"/>
  <c r="AG780" i="1"/>
  <c r="AH780" i="1"/>
  <c r="AJ780" i="1"/>
  <c r="AK780" i="1"/>
  <c r="AL780" i="1"/>
  <c r="AO780" i="1"/>
  <c r="AP780" i="1"/>
  <c r="AW780" i="1"/>
  <c r="BC780" i="1" s="1"/>
  <c r="AX780" i="1"/>
  <c r="BD780" i="1"/>
  <c r="BF780" i="1"/>
  <c r="BH780" i="1"/>
  <c r="AD780" i="1" s="1"/>
  <c r="BI780" i="1"/>
  <c r="AE780" i="1" s="1"/>
  <c r="BJ780" i="1"/>
  <c r="K781" i="1"/>
  <c r="AL781" i="1" s="1"/>
  <c r="Z781" i="1"/>
  <c r="AB781" i="1"/>
  <c r="AC781" i="1"/>
  <c r="AF781" i="1"/>
  <c r="AG781" i="1"/>
  <c r="AH781" i="1"/>
  <c r="AJ781" i="1"/>
  <c r="AK781" i="1"/>
  <c r="AO781" i="1"/>
  <c r="AW781" i="1" s="1"/>
  <c r="AP781" i="1"/>
  <c r="AX781" i="1"/>
  <c r="BD781" i="1"/>
  <c r="BF781" i="1"/>
  <c r="BH781" i="1"/>
  <c r="AD781" i="1" s="1"/>
  <c r="BI781" i="1"/>
  <c r="AE781" i="1" s="1"/>
  <c r="BJ781" i="1"/>
  <c r="K782" i="1"/>
  <c r="AL782" i="1" s="1"/>
  <c r="Z782" i="1"/>
  <c r="AB782" i="1"/>
  <c r="AC782" i="1"/>
  <c r="AF782" i="1"/>
  <c r="AG782" i="1"/>
  <c r="AH782" i="1"/>
  <c r="AJ782" i="1"/>
  <c r="AK782" i="1"/>
  <c r="AO782" i="1"/>
  <c r="AW782" i="1" s="1"/>
  <c r="AP782" i="1"/>
  <c r="AX782" i="1" s="1"/>
  <c r="BD782" i="1"/>
  <c r="BF782" i="1"/>
  <c r="BH782" i="1"/>
  <c r="AD782" i="1" s="1"/>
  <c r="BI782" i="1"/>
  <c r="AE782" i="1" s="1"/>
  <c r="BJ782" i="1"/>
  <c r="K783" i="1"/>
  <c r="Z783" i="1"/>
  <c r="AB783" i="1"/>
  <c r="AC783" i="1"/>
  <c r="AF783" i="1"/>
  <c r="AG783" i="1"/>
  <c r="AH783" i="1"/>
  <c r="AJ783" i="1"/>
  <c r="AK783" i="1"/>
  <c r="AL783" i="1"/>
  <c r="AO783" i="1"/>
  <c r="AP783" i="1"/>
  <c r="AX783" i="1" s="1"/>
  <c r="AW783" i="1"/>
  <c r="BD783" i="1"/>
  <c r="BF783" i="1"/>
  <c r="BH783" i="1"/>
  <c r="AD783" i="1" s="1"/>
  <c r="BI783" i="1"/>
  <c r="AE783" i="1" s="1"/>
  <c r="BJ783" i="1"/>
  <c r="K784" i="1"/>
  <c r="Z784" i="1"/>
  <c r="AB784" i="1"/>
  <c r="AC784" i="1"/>
  <c r="AF784" i="1"/>
  <c r="AG784" i="1"/>
  <c r="AH784" i="1"/>
  <c r="AJ784" i="1"/>
  <c r="AK784" i="1"/>
  <c r="AL784" i="1"/>
  <c r="AO784" i="1"/>
  <c r="AP784" i="1"/>
  <c r="AW784" i="1"/>
  <c r="BC784" i="1" s="1"/>
  <c r="AX784" i="1"/>
  <c r="BD784" i="1"/>
  <c r="BF784" i="1"/>
  <c r="BH784" i="1"/>
  <c r="AD784" i="1" s="1"/>
  <c r="BI784" i="1"/>
  <c r="AE784" i="1" s="1"/>
  <c r="BJ784" i="1"/>
  <c r="K785" i="1"/>
  <c r="AL785" i="1" s="1"/>
  <c r="Z785" i="1"/>
  <c r="AB785" i="1"/>
  <c r="AC785" i="1"/>
  <c r="AD785" i="1"/>
  <c r="AE785" i="1"/>
  <c r="AF785" i="1"/>
  <c r="AG785" i="1"/>
  <c r="AH785" i="1"/>
  <c r="AJ785" i="1"/>
  <c r="AK785" i="1"/>
  <c r="AO785" i="1"/>
  <c r="AW785" i="1" s="1"/>
  <c r="AP785" i="1"/>
  <c r="AX785" i="1"/>
  <c r="BD785" i="1"/>
  <c r="BF785" i="1"/>
  <c r="BH785" i="1"/>
  <c r="BI785" i="1"/>
  <c r="BJ785" i="1"/>
  <c r="K787" i="1"/>
  <c r="AL787" i="1" s="1"/>
  <c r="Z787" i="1"/>
  <c r="AB787" i="1"/>
  <c r="AC787" i="1"/>
  <c r="AF787" i="1"/>
  <c r="AG787" i="1"/>
  <c r="AH787" i="1"/>
  <c r="AJ787" i="1"/>
  <c r="AS786" i="1" s="1"/>
  <c r="AK787" i="1"/>
  <c r="AT786" i="1" s="1"/>
  <c r="AO787" i="1"/>
  <c r="AW787" i="1" s="1"/>
  <c r="AP787" i="1"/>
  <c r="AX787" i="1" s="1"/>
  <c r="BD787" i="1"/>
  <c r="BF787" i="1"/>
  <c r="BH787" i="1"/>
  <c r="AD787" i="1" s="1"/>
  <c r="BI787" i="1"/>
  <c r="AE787" i="1" s="1"/>
  <c r="BJ787" i="1"/>
  <c r="K788" i="1"/>
  <c r="Z788" i="1"/>
  <c r="AB788" i="1"/>
  <c r="AC788" i="1"/>
  <c r="AF788" i="1"/>
  <c r="AG788" i="1"/>
  <c r="AH788" i="1"/>
  <c r="AJ788" i="1"/>
  <c r="AK788" i="1"/>
  <c r="AL788" i="1"/>
  <c r="AO788" i="1"/>
  <c r="AP788" i="1"/>
  <c r="AX788" i="1" s="1"/>
  <c r="AW788" i="1"/>
  <c r="BD788" i="1"/>
  <c r="BF788" i="1"/>
  <c r="BH788" i="1"/>
  <c r="AD788" i="1" s="1"/>
  <c r="BI788" i="1"/>
  <c r="AE788" i="1" s="1"/>
  <c r="BJ788" i="1"/>
  <c r="K789" i="1"/>
  <c r="Z789" i="1"/>
  <c r="AB789" i="1"/>
  <c r="AC789" i="1"/>
  <c r="AF789" i="1"/>
  <c r="AG789" i="1"/>
  <c r="AH789" i="1"/>
  <c r="AJ789" i="1"/>
  <c r="AK789" i="1"/>
  <c r="AL789" i="1"/>
  <c r="AO789" i="1"/>
  <c r="AP789" i="1"/>
  <c r="AW789" i="1"/>
  <c r="BC789" i="1" s="1"/>
  <c r="AX789" i="1"/>
  <c r="BD789" i="1"/>
  <c r="BF789" i="1"/>
  <c r="BH789" i="1"/>
  <c r="AD789" i="1" s="1"/>
  <c r="BI789" i="1"/>
  <c r="AE789" i="1" s="1"/>
  <c r="BJ789" i="1"/>
  <c r="K790" i="1"/>
  <c r="AL790" i="1" s="1"/>
  <c r="Z790" i="1"/>
  <c r="AB790" i="1"/>
  <c r="AC790" i="1"/>
  <c r="AF790" i="1"/>
  <c r="AG790" i="1"/>
  <c r="AH790" i="1"/>
  <c r="AJ790" i="1"/>
  <c r="AK790" i="1"/>
  <c r="AO790" i="1"/>
  <c r="AW790" i="1" s="1"/>
  <c r="AP790" i="1"/>
  <c r="AX790" i="1"/>
  <c r="BD790" i="1"/>
  <c r="BF790" i="1"/>
  <c r="BH790" i="1"/>
  <c r="AD790" i="1" s="1"/>
  <c r="BI790" i="1"/>
  <c r="AE790" i="1" s="1"/>
  <c r="BJ790" i="1"/>
  <c r="K791" i="1"/>
  <c r="AL791" i="1" s="1"/>
  <c r="Z791" i="1"/>
  <c r="AB791" i="1"/>
  <c r="AC791" i="1"/>
  <c r="AF791" i="1"/>
  <c r="AG791" i="1"/>
  <c r="AH791" i="1"/>
  <c r="AJ791" i="1"/>
  <c r="AK791" i="1"/>
  <c r="AO791" i="1"/>
  <c r="AW791" i="1" s="1"/>
  <c r="AP791" i="1"/>
  <c r="AX791" i="1" s="1"/>
  <c r="BD791" i="1"/>
  <c r="BF791" i="1"/>
  <c r="BH791" i="1"/>
  <c r="AD791" i="1" s="1"/>
  <c r="BI791" i="1"/>
  <c r="AE791" i="1" s="1"/>
  <c r="BJ791" i="1"/>
  <c r="K792" i="1"/>
  <c r="Z792" i="1"/>
  <c r="AB792" i="1"/>
  <c r="AC792" i="1"/>
  <c r="AF792" i="1"/>
  <c r="AG792" i="1"/>
  <c r="AH792" i="1"/>
  <c r="AJ792" i="1"/>
  <c r="AK792" i="1"/>
  <c r="AL792" i="1"/>
  <c r="AO792" i="1"/>
  <c r="AP792" i="1"/>
  <c r="AX792" i="1" s="1"/>
  <c r="AW792" i="1"/>
  <c r="BD792" i="1"/>
  <c r="BF792" i="1"/>
  <c r="BH792" i="1"/>
  <c r="AD792" i="1" s="1"/>
  <c r="BI792" i="1"/>
  <c r="AE792" i="1" s="1"/>
  <c r="BJ792" i="1"/>
  <c r="K793" i="1"/>
  <c r="Z793" i="1"/>
  <c r="AB793" i="1"/>
  <c r="AC793" i="1"/>
  <c r="AF793" i="1"/>
  <c r="AG793" i="1"/>
  <c r="AH793" i="1"/>
  <c r="AJ793" i="1"/>
  <c r="AK793" i="1"/>
  <c r="AL793" i="1"/>
  <c r="AO793" i="1"/>
  <c r="AP793" i="1"/>
  <c r="AW793" i="1"/>
  <c r="BC793" i="1" s="1"/>
  <c r="AX793" i="1"/>
  <c r="BD793" i="1"/>
  <c r="BF793" i="1"/>
  <c r="BH793" i="1"/>
  <c r="AD793" i="1" s="1"/>
  <c r="BI793" i="1"/>
  <c r="AE793" i="1" s="1"/>
  <c r="BJ793" i="1"/>
  <c r="K794" i="1"/>
  <c r="AL794" i="1" s="1"/>
  <c r="Z794" i="1"/>
  <c r="AB794" i="1"/>
  <c r="AC794" i="1"/>
  <c r="AF794" i="1"/>
  <c r="AG794" i="1"/>
  <c r="AH794" i="1"/>
  <c r="AJ794" i="1"/>
  <c r="AK794" i="1"/>
  <c r="AO794" i="1"/>
  <c r="AW794" i="1" s="1"/>
  <c r="AP794" i="1"/>
  <c r="AX794" i="1"/>
  <c r="BD794" i="1"/>
  <c r="BF794" i="1"/>
  <c r="BH794" i="1"/>
  <c r="AD794" i="1" s="1"/>
  <c r="BI794" i="1"/>
  <c r="AE794" i="1" s="1"/>
  <c r="BJ794" i="1"/>
  <c r="K795" i="1"/>
  <c r="AL795" i="1" s="1"/>
  <c r="Z795" i="1"/>
  <c r="AB795" i="1"/>
  <c r="AC795" i="1"/>
  <c r="AD795" i="1"/>
  <c r="AE795" i="1"/>
  <c r="AF795" i="1"/>
  <c r="AG795" i="1"/>
  <c r="AH795" i="1"/>
  <c r="AJ795" i="1"/>
  <c r="AK795" i="1"/>
  <c r="AO795" i="1"/>
  <c r="AW795" i="1" s="1"/>
  <c r="AP795" i="1"/>
  <c r="AX795" i="1" s="1"/>
  <c r="BD795" i="1"/>
  <c r="BF795" i="1"/>
  <c r="BH795" i="1"/>
  <c r="BI795" i="1"/>
  <c r="BJ795" i="1"/>
  <c r="K797" i="1"/>
  <c r="K796" i="1" s="1"/>
  <c r="Z797" i="1"/>
  <c r="AB797" i="1"/>
  <c r="AC797" i="1"/>
  <c r="AF797" i="1"/>
  <c r="AG797" i="1"/>
  <c r="AH797" i="1"/>
  <c r="AJ797" i="1"/>
  <c r="AS796" i="1" s="1"/>
  <c r="AK797" i="1"/>
  <c r="AT796" i="1" s="1"/>
  <c r="AL797" i="1"/>
  <c r="AO797" i="1"/>
  <c r="AP797" i="1"/>
  <c r="AX797" i="1" s="1"/>
  <c r="AW797" i="1"/>
  <c r="BD797" i="1"/>
  <c r="BF797" i="1"/>
  <c r="BH797" i="1"/>
  <c r="AD797" i="1" s="1"/>
  <c r="BI797" i="1"/>
  <c r="AE797" i="1" s="1"/>
  <c r="BJ797" i="1"/>
  <c r="K798" i="1"/>
  <c r="Z798" i="1"/>
  <c r="AB798" i="1"/>
  <c r="AC798" i="1"/>
  <c r="AF798" i="1"/>
  <c r="AG798" i="1"/>
  <c r="AH798" i="1"/>
  <c r="AJ798" i="1"/>
  <c r="AK798" i="1"/>
  <c r="AL798" i="1"/>
  <c r="AO798" i="1"/>
  <c r="AP798" i="1"/>
  <c r="AW798" i="1"/>
  <c r="BC798" i="1" s="1"/>
  <c r="AX798" i="1"/>
  <c r="BD798" i="1"/>
  <c r="BF798" i="1"/>
  <c r="BH798" i="1"/>
  <c r="AD798" i="1" s="1"/>
  <c r="BI798" i="1"/>
  <c r="AE798" i="1" s="1"/>
  <c r="BJ798" i="1"/>
  <c r="K799" i="1"/>
  <c r="AL799" i="1" s="1"/>
  <c r="Z799" i="1"/>
  <c r="AB799" i="1"/>
  <c r="AC799" i="1"/>
  <c r="AF799" i="1"/>
  <c r="AG799" i="1"/>
  <c r="AH799" i="1"/>
  <c r="AJ799" i="1"/>
  <c r="AK799" i="1"/>
  <c r="AO799" i="1"/>
  <c r="AW799" i="1" s="1"/>
  <c r="AP799" i="1"/>
  <c r="AX799" i="1"/>
  <c r="BD799" i="1"/>
  <c r="BF799" i="1"/>
  <c r="BH799" i="1"/>
  <c r="AD799" i="1" s="1"/>
  <c r="BI799" i="1"/>
  <c r="AE799" i="1" s="1"/>
  <c r="BJ799" i="1"/>
  <c r="K800" i="1"/>
  <c r="AL800" i="1" s="1"/>
  <c r="Z800" i="1"/>
  <c r="AB800" i="1"/>
  <c r="AC800" i="1"/>
  <c r="AF800" i="1"/>
  <c r="AG800" i="1"/>
  <c r="AH800" i="1"/>
  <c r="AJ800" i="1"/>
  <c r="AK800" i="1"/>
  <c r="AO800" i="1"/>
  <c r="AW800" i="1" s="1"/>
  <c r="AP800" i="1"/>
  <c r="AX800" i="1" s="1"/>
  <c r="BD800" i="1"/>
  <c r="BF800" i="1"/>
  <c r="BH800" i="1"/>
  <c r="AD800" i="1" s="1"/>
  <c r="BI800" i="1"/>
  <c r="AE800" i="1" s="1"/>
  <c r="BJ800" i="1"/>
  <c r="K801" i="1"/>
  <c r="AB801" i="1"/>
  <c r="AC801" i="1"/>
  <c r="AD801" i="1"/>
  <c r="AE801" i="1"/>
  <c r="AF801" i="1"/>
  <c r="AG801" i="1"/>
  <c r="AH801" i="1"/>
  <c r="AJ801" i="1"/>
  <c r="AK801" i="1"/>
  <c r="AL801" i="1"/>
  <c r="AO801" i="1"/>
  <c r="AP801" i="1"/>
  <c r="AX801" i="1" s="1"/>
  <c r="AW801" i="1"/>
  <c r="BD801" i="1"/>
  <c r="BF801" i="1"/>
  <c r="BH801" i="1"/>
  <c r="BI801" i="1"/>
  <c r="BJ801" i="1"/>
  <c r="Z801" i="1" s="1"/>
  <c r="K803" i="1"/>
  <c r="K802" i="1" s="1"/>
  <c r="Z803" i="1"/>
  <c r="AB803" i="1"/>
  <c r="AC803" i="1"/>
  <c r="AF803" i="1"/>
  <c r="AG803" i="1"/>
  <c r="AH803" i="1"/>
  <c r="AJ803" i="1"/>
  <c r="AS802" i="1" s="1"/>
  <c r="AK803" i="1"/>
  <c r="AT802" i="1" s="1"/>
  <c r="AL803" i="1"/>
  <c r="AO803" i="1"/>
  <c r="AP803" i="1"/>
  <c r="AW803" i="1"/>
  <c r="BC803" i="1" s="1"/>
  <c r="AX803" i="1"/>
  <c r="BD803" i="1"/>
  <c r="BF803" i="1"/>
  <c r="BH803" i="1"/>
  <c r="AD803" i="1" s="1"/>
  <c r="BI803" i="1"/>
  <c r="AE803" i="1" s="1"/>
  <c r="BJ803" i="1"/>
  <c r="K804" i="1"/>
  <c r="AL804" i="1" s="1"/>
  <c r="Z804" i="1"/>
  <c r="AB804" i="1"/>
  <c r="AC804" i="1"/>
  <c r="AF804" i="1"/>
  <c r="AG804" i="1"/>
  <c r="AH804" i="1"/>
  <c r="AJ804" i="1"/>
  <c r="AK804" i="1"/>
  <c r="AO804" i="1"/>
  <c r="AW804" i="1" s="1"/>
  <c r="AP804" i="1"/>
  <c r="AX804" i="1"/>
  <c r="BD804" i="1"/>
  <c r="BF804" i="1"/>
  <c r="BH804" i="1"/>
  <c r="AD804" i="1" s="1"/>
  <c r="BI804" i="1"/>
  <c r="AE804" i="1" s="1"/>
  <c r="BJ804" i="1"/>
  <c r="K805" i="1"/>
  <c r="AL805" i="1" s="1"/>
  <c r="Z805" i="1"/>
  <c r="AB805" i="1"/>
  <c r="AC805" i="1"/>
  <c r="AF805" i="1"/>
  <c r="AG805" i="1"/>
  <c r="AH805" i="1"/>
  <c r="AJ805" i="1"/>
  <c r="AK805" i="1"/>
  <c r="AO805" i="1"/>
  <c r="AW805" i="1" s="1"/>
  <c r="AP805" i="1"/>
  <c r="AX805" i="1" s="1"/>
  <c r="BD805" i="1"/>
  <c r="BF805" i="1"/>
  <c r="BH805" i="1"/>
  <c r="AD805" i="1" s="1"/>
  <c r="BI805" i="1"/>
  <c r="AE805" i="1" s="1"/>
  <c r="BJ805" i="1"/>
  <c r="K806" i="1"/>
  <c r="Z806" i="1"/>
  <c r="AB806" i="1"/>
  <c r="AC806" i="1"/>
  <c r="AF806" i="1"/>
  <c r="AG806" i="1"/>
  <c r="AH806" i="1"/>
  <c r="AJ806" i="1"/>
  <c r="AK806" i="1"/>
  <c r="AL806" i="1"/>
  <c r="AO806" i="1"/>
  <c r="AP806" i="1"/>
  <c r="AX806" i="1" s="1"/>
  <c r="AW806" i="1"/>
  <c r="BD806" i="1"/>
  <c r="BF806" i="1"/>
  <c r="BH806" i="1"/>
  <c r="AD806" i="1" s="1"/>
  <c r="BI806" i="1"/>
  <c r="AE806" i="1" s="1"/>
  <c r="BJ806" i="1"/>
  <c r="K807" i="1"/>
  <c r="Z807" i="1"/>
  <c r="AB807" i="1"/>
  <c r="AC807" i="1"/>
  <c r="AF807" i="1"/>
  <c r="AG807" i="1"/>
  <c r="AH807" i="1"/>
  <c r="AJ807" i="1"/>
  <c r="AK807" i="1"/>
  <c r="AL807" i="1"/>
  <c r="AO807" i="1"/>
  <c r="AP807" i="1"/>
  <c r="AW807" i="1"/>
  <c r="BC807" i="1" s="1"/>
  <c r="AX807" i="1"/>
  <c r="BD807" i="1"/>
  <c r="BF807" i="1"/>
  <c r="BH807" i="1"/>
  <c r="AD807" i="1" s="1"/>
  <c r="BI807" i="1"/>
  <c r="AE807" i="1" s="1"/>
  <c r="BJ807" i="1"/>
  <c r="K808" i="1"/>
  <c r="AL808" i="1" s="1"/>
  <c r="Z808" i="1"/>
  <c r="AB808" i="1"/>
  <c r="AC808" i="1"/>
  <c r="AF808" i="1"/>
  <c r="AG808" i="1"/>
  <c r="AH808" i="1"/>
  <c r="AJ808" i="1"/>
  <c r="AK808" i="1"/>
  <c r="AO808" i="1"/>
  <c r="AW808" i="1" s="1"/>
  <c r="AP808" i="1"/>
  <c r="AX808" i="1"/>
  <c r="BD808" i="1"/>
  <c r="BF808" i="1"/>
  <c r="BH808" i="1"/>
  <c r="AD808" i="1" s="1"/>
  <c r="BI808" i="1"/>
  <c r="AE808" i="1" s="1"/>
  <c r="BJ808" i="1"/>
  <c r="K809" i="1"/>
  <c r="AL809" i="1" s="1"/>
  <c r="Z809" i="1"/>
  <c r="AB809" i="1"/>
  <c r="AC809" i="1"/>
  <c r="AF809" i="1"/>
  <c r="AG809" i="1"/>
  <c r="AH809" i="1"/>
  <c r="AJ809" i="1"/>
  <c r="AK809" i="1"/>
  <c r="AO809" i="1"/>
  <c r="AW809" i="1" s="1"/>
  <c r="AP809" i="1"/>
  <c r="AX809" i="1" s="1"/>
  <c r="BD809" i="1"/>
  <c r="BF809" i="1"/>
  <c r="BH809" i="1"/>
  <c r="AD809" i="1" s="1"/>
  <c r="BI809" i="1"/>
  <c r="AE809" i="1" s="1"/>
  <c r="BJ809" i="1"/>
  <c r="K810" i="1"/>
  <c r="Z810" i="1"/>
  <c r="AB810" i="1"/>
  <c r="AC810" i="1"/>
  <c r="AF810" i="1"/>
  <c r="AG810" i="1"/>
  <c r="AH810" i="1"/>
  <c r="AJ810" i="1"/>
  <c r="AK810" i="1"/>
  <c r="AL810" i="1"/>
  <c r="AO810" i="1"/>
  <c r="AP810" i="1"/>
  <c r="AX810" i="1" s="1"/>
  <c r="AW810" i="1"/>
  <c r="BD810" i="1"/>
  <c r="BF810" i="1"/>
  <c r="BH810" i="1"/>
  <c r="AD810" i="1" s="1"/>
  <c r="BI810" i="1"/>
  <c r="AE810" i="1" s="1"/>
  <c r="BJ810" i="1"/>
  <c r="K811" i="1"/>
  <c r="Z811" i="1"/>
  <c r="AB811" i="1"/>
  <c r="AC811" i="1"/>
  <c r="AF811" i="1"/>
  <c r="AG811" i="1"/>
  <c r="AH811" i="1"/>
  <c r="AJ811" i="1"/>
  <c r="AK811" i="1"/>
  <c r="AL811" i="1"/>
  <c r="AO811" i="1"/>
  <c r="AP811" i="1"/>
  <c r="AW811" i="1"/>
  <c r="BC811" i="1" s="1"/>
  <c r="AX811" i="1"/>
  <c r="BD811" i="1"/>
  <c r="BF811" i="1"/>
  <c r="BH811" i="1"/>
  <c r="AD811" i="1" s="1"/>
  <c r="BI811" i="1"/>
  <c r="AE811" i="1" s="1"/>
  <c r="BJ811" i="1"/>
  <c r="K812" i="1"/>
  <c r="AL812" i="1" s="1"/>
  <c r="Z812" i="1"/>
  <c r="AB812" i="1"/>
  <c r="AC812" i="1"/>
  <c r="AD812" i="1"/>
  <c r="AE812" i="1"/>
  <c r="AF812" i="1"/>
  <c r="AG812" i="1"/>
  <c r="AH812" i="1"/>
  <c r="AJ812" i="1"/>
  <c r="AK812" i="1"/>
  <c r="AO812" i="1"/>
  <c r="AW812" i="1" s="1"/>
  <c r="AP812" i="1"/>
  <c r="AX812" i="1"/>
  <c r="BD812" i="1"/>
  <c r="BF812" i="1"/>
  <c r="BH812" i="1"/>
  <c r="BI812" i="1"/>
  <c r="BJ812" i="1"/>
  <c r="K814" i="1"/>
  <c r="AL814" i="1" s="1"/>
  <c r="Z814" i="1"/>
  <c r="AB814" i="1"/>
  <c r="AC814" i="1"/>
  <c r="AF814" i="1"/>
  <c r="AG814" i="1"/>
  <c r="AH814" i="1"/>
  <c r="AJ814" i="1"/>
  <c r="AS813" i="1" s="1"/>
  <c r="AK814" i="1"/>
  <c r="AT813" i="1" s="1"/>
  <c r="AO814" i="1"/>
  <c r="AW814" i="1" s="1"/>
  <c r="AP814" i="1"/>
  <c r="AX814" i="1" s="1"/>
  <c r="BD814" i="1"/>
  <c r="BF814" i="1"/>
  <c r="BH814" i="1"/>
  <c r="AD814" i="1" s="1"/>
  <c r="BI814" i="1"/>
  <c r="AE814" i="1" s="1"/>
  <c r="BJ814" i="1"/>
  <c r="K815" i="1"/>
  <c r="Z815" i="1"/>
  <c r="AB815" i="1"/>
  <c r="AC815" i="1"/>
  <c r="AF815" i="1"/>
  <c r="AG815" i="1"/>
  <c r="AH815" i="1"/>
  <c r="AJ815" i="1"/>
  <c r="AK815" i="1"/>
  <c r="AL815" i="1"/>
  <c r="AO815" i="1"/>
  <c r="AP815" i="1"/>
  <c r="AX815" i="1" s="1"/>
  <c r="AW815" i="1"/>
  <c r="BD815" i="1"/>
  <c r="BF815" i="1"/>
  <c r="BH815" i="1"/>
  <c r="AD815" i="1" s="1"/>
  <c r="BI815" i="1"/>
  <c r="AE815" i="1" s="1"/>
  <c r="BJ815" i="1"/>
  <c r="K816" i="1"/>
  <c r="Z816" i="1"/>
  <c r="AB816" i="1"/>
  <c r="AC816" i="1"/>
  <c r="AF816" i="1"/>
  <c r="AG816" i="1"/>
  <c r="AH816" i="1"/>
  <c r="AJ816" i="1"/>
  <c r="AK816" i="1"/>
  <c r="AL816" i="1"/>
  <c r="AO816" i="1"/>
  <c r="AP816" i="1"/>
  <c r="AW816" i="1"/>
  <c r="BC816" i="1" s="1"/>
  <c r="AX816" i="1"/>
  <c r="BD816" i="1"/>
  <c r="BF816" i="1"/>
  <c r="BH816" i="1"/>
  <c r="AD816" i="1" s="1"/>
  <c r="BI816" i="1"/>
  <c r="AE816" i="1" s="1"/>
  <c r="BJ816" i="1"/>
  <c r="K817" i="1"/>
  <c r="AL817" i="1" s="1"/>
  <c r="Z817" i="1"/>
  <c r="AB817" i="1"/>
  <c r="AC817" i="1"/>
  <c r="AF817" i="1"/>
  <c r="AG817" i="1"/>
  <c r="AH817" i="1"/>
  <c r="AJ817" i="1"/>
  <c r="AK817" i="1"/>
  <c r="AO817" i="1"/>
  <c r="AW817" i="1" s="1"/>
  <c r="AP817" i="1"/>
  <c r="AX817" i="1"/>
  <c r="BD817" i="1"/>
  <c r="BF817" i="1"/>
  <c r="BH817" i="1"/>
  <c r="AD817" i="1" s="1"/>
  <c r="BI817" i="1"/>
  <c r="AE817" i="1" s="1"/>
  <c r="BJ817" i="1"/>
  <c r="K818" i="1"/>
  <c r="AL818" i="1" s="1"/>
  <c r="Z818" i="1"/>
  <c r="AB818" i="1"/>
  <c r="AC818" i="1"/>
  <c r="AF818" i="1"/>
  <c r="AG818" i="1"/>
  <c r="AH818" i="1"/>
  <c r="AJ818" i="1"/>
  <c r="AK818" i="1"/>
  <c r="AO818" i="1"/>
  <c r="AW818" i="1" s="1"/>
  <c r="AP818" i="1"/>
  <c r="AX818" i="1" s="1"/>
  <c r="BD818" i="1"/>
  <c r="BF818" i="1"/>
  <c r="BH818" i="1"/>
  <c r="AD818" i="1" s="1"/>
  <c r="BI818" i="1"/>
  <c r="AE818" i="1" s="1"/>
  <c r="BJ818" i="1"/>
  <c r="K820" i="1"/>
  <c r="K819" i="1" s="1"/>
  <c r="Z820" i="1"/>
  <c r="AB820" i="1"/>
  <c r="AC820" i="1"/>
  <c r="AF820" i="1"/>
  <c r="AG820" i="1"/>
  <c r="AH820" i="1"/>
  <c r="AJ820" i="1"/>
  <c r="AS819" i="1" s="1"/>
  <c r="AK820" i="1"/>
  <c r="AT819" i="1" s="1"/>
  <c r="AL820" i="1"/>
  <c r="AO820" i="1"/>
  <c r="AP820" i="1"/>
  <c r="AX820" i="1" s="1"/>
  <c r="AW820" i="1"/>
  <c r="BD820" i="1"/>
  <c r="BF820" i="1"/>
  <c r="BH820" i="1"/>
  <c r="AD820" i="1" s="1"/>
  <c r="BI820" i="1"/>
  <c r="AE820" i="1" s="1"/>
  <c r="BJ820" i="1"/>
  <c r="K821" i="1"/>
  <c r="Z821" i="1"/>
  <c r="AB821" i="1"/>
  <c r="AC821" i="1"/>
  <c r="AF821" i="1"/>
  <c r="AG821" i="1"/>
  <c r="AH821" i="1"/>
  <c r="AJ821" i="1"/>
  <c r="AK821" i="1"/>
  <c r="AL821" i="1"/>
  <c r="AO821" i="1"/>
  <c r="AP821" i="1"/>
  <c r="AW821" i="1"/>
  <c r="BC821" i="1" s="1"/>
  <c r="AX821" i="1"/>
  <c r="BD821" i="1"/>
  <c r="BF821" i="1"/>
  <c r="BH821" i="1"/>
  <c r="AD821" i="1" s="1"/>
  <c r="BI821" i="1"/>
  <c r="AE821" i="1" s="1"/>
  <c r="BJ821" i="1"/>
  <c r="K822" i="1"/>
  <c r="AL822" i="1" s="1"/>
  <c r="AB822" i="1"/>
  <c r="AC822" i="1"/>
  <c r="AD822" i="1"/>
  <c r="AE822" i="1"/>
  <c r="AF822" i="1"/>
  <c r="AG822" i="1"/>
  <c r="AH822" i="1"/>
  <c r="AJ822" i="1"/>
  <c r="AK822" i="1"/>
  <c r="AO822" i="1"/>
  <c r="AW822" i="1" s="1"/>
  <c r="AP822" i="1"/>
  <c r="AX822" i="1"/>
  <c r="BD822" i="1"/>
  <c r="BF822" i="1"/>
  <c r="BH822" i="1"/>
  <c r="BI822" i="1"/>
  <c r="BJ822" i="1"/>
  <c r="Z822" i="1" s="1"/>
  <c r="K824" i="1"/>
  <c r="AL824" i="1" s="1"/>
  <c r="Z824" i="1"/>
  <c r="AB824" i="1"/>
  <c r="AC824" i="1"/>
  <c r="AF824" i="1"/>
  <c r="AG824" i="1"/>
  <c r="AH824" i="1"/>
  <c r="AJ824" i="1"/>
  <c r="AS823" i="1" s="1"/>
  <c r="AK824" i="1"/>
  <c r="AT823" i="1" s="1"/>
  <c r="AO824" i="1"/>
  <c r="AW824" i="1" s="1"/>
  <c r="AP824" i="1"/>
  <c r="AX824" i="1" s="1"/>
  <c r="BD824" i="1"/>
  <c r="BF824" i="1"/>
  <c r="BH824" i="1"/>
  <c r="AD824" i="1" s="1"/>
  <c r="BI824" i="1"/>
  <c r="AE824" i="1" s="1"/>
  <c r="BJ824" i="1"/>
  <c r="K825" i="1"/>
  <c r="Z825" i="1"/>
  <c r="AB825" i="1"/>
  <c r="AC825" i="1"/>
  <c r="AF825" i="1"/>
  <c r="AG825" i="1"/>
  <c r="AH825" i="1"/>
  <c r="AJ825" i="1"/>
  <c r="AK825" i="1"/>
  <c r="AL825" i="1"/>
  <c r="AO825" i="1"/>
  <c r="AP825" i="1"/>
  <c r="AX825" i="1" s="1"/>
  <c r="AW825" i="1"/>
  <c r="BD825" i="1"/>
  <c r="BF825" i="1"/>
  <c r="BH825" i="1"/>
  <c r="AD825" i="1" s="1"/>
  <c r="BI825" i="1"/>
  <c r="AE825" i="1" s="1"/>
  <c r="BJ825" i="1"/>
  <c r="K826" i="1"/>
  <c r="Z826" i="1"/>
  <c r="AB826" i="1"/>
  <c r="AC826" i="1"/>
  <c r="AF826" i="1"/>
  <c r="AG826" i="1"/>
  <c r="AH826" i="1"/>
  <c r="AJ826" i="1"/>
  <c r="AK826" i="1"/>
  <c r="AL826" i="1"/>
  <c r="AO826" i="1"/>
  <c r="AP826" i="1"/>
  <c r="AW826" i="1"/>
  <c r="BC826" i="1" s="1"/>
  <c r="AX826" i="1"/>
  <c r="BD826" i="1"/>
  <c r="BF826" i="1"/>
  <c r="BH826" i="1"/>
  <c r="AD826" i="1" s="1"/>
  <c r="BI826" i="1"/>
  <c r="AE826" i="1" s="1"/>
  <c r="BJ826" i="1"/>
  <c r="K827" i="1"/>
  <c r="AL827" i="1" s="1"/>
  <c r="Z827" i="1"/>
  <c r="AB827" i="1"/>
  <c r="AC827" i="1"/>
  <c r="AF827" i="1"/>
  <c r="AG827" i="1"/>
  <c r="AH827" i="1"/>
  <c r="AJ827" i="1"/>
  <c r="AK827" i="1"/>
  <c r="AO827" i="1"/>
  <c r="AW827" i="1" s="1"/>
  <c r="AP827" i="1"/>
  <c r="AX827" i="1"/>
  <c r="BD827" i="1"/>
  <c r="BF827" i="1"/>
  <c r="BH827" i="1"/>
  <c r="AD827" i="1" s="1"/>
  <c r="BI827" i="1"/>
  <c r="AE827" i="1" s="1"/>
  <c r="BJ827" i="1"/>
  <c r="K828" i="1"/>
  <c r="AL828" i="1" s="1"/>
  <c r="Z828" i="1"/>
  <c r="AB828" i="1"/>
  <c r="AC828" i="1"/>
  <c r="AF828" i="1"/>
  <c r="AG828" i="1"/>
  <c r="AH828" i="1"/>
  <c r="AJ828" i="1"/>
  <c r="AK828" i="1"/>
  <c r="AO828" i="1"/>
  <c r="AW828" i="1" s="1"/>
  <c r="AP828" i="1"/>
  <c r="AX828" i="1" s="1"/>
  <c r="BD828" i="1"/>
  <c r="BF828" i="1"/>
  <c r="BH828" i="1"/>
  <c r="AD828" i="1" s="1"/>
  <c r="BI828" i="1"/>
  <c r="AE828" i="1" s="1"/>
  <c r="BJ828" i="1"/>
  <c r="K829" i="1"/>
  <c r="Z829" i="1"/>
  <c r="AB829" i="1"/>
  <c r="AC829" i="1"/>
  <c r="AF829" i="1"/>
  <c r="AG829" i="1"/>
  <c r="AH829" i="1"/>
  <c r="AJ829" i="1"/>
  <c r="AK829" i="1"/>
  <c r="AL829" i="1"/>
  <c r="AO829" i="1"/>
  <c r="AP829" i="1"/>
  <c r="AX829" i="1" s="1"/>
  <c r="AW829" i="1"/>
  <c r="BD829" i="1"/>
  <c r="BF829" i="1"/>
  <c r="BH829" i="1"/>
  <c r="AD829" i="1" s="1"/>
  <c r="BI829" i="1"/>
  <c r="AE829" i="1" s="1"/>
  <c r="BJ829" i="1"/>
  <c r="K830" i="1"/>
  <c r="Z830" i="1"/>
  <c r="AB830" i="1"/>
  <c r="AC830" i="1"/>
  <c r="AF830" i="1"/>
  <c r="AG830" i="1"/>
  <c r="AH830" i="1"/>
  <c r="AJ830" i="1"/>
  <c r="AK830" i="1"/>
  <c r="AL830" i="1"/>
  <c r="AO830" i="1"/>
  <c r="AP830" i="1"/>
  <c r="AW830" i="1"/>
  <c r="BC830" i="1" s="1"/>
  <c r="AX830" i="1"/>
  <c r="BD830" i="1"/>
  <c r="BF830" i="1"/>
  <c r="BH830" i="1"/>
  <c r="AD830" i="1" s="1"/>
  <c r="BI830" i="1"/>
  <c r="AE830" i="1" s="1"/>
  <c r="BJ830" i="1"/>
  <c r="K831" i="1"/>
  <c r="AL831" i="1" s="1"/>
  <c r="Z831" i="1"/>
  <c r="AB831" i="1"/>
  <c r="AC831" i="1"/>
  <c r="AF831" i="1"/>
  <c r="AG831" i="1"/>
  <c r="AH831" i="1"/>
  <c r="AJ831" i="1"/>
  <c r="AK831" i="1"/>
  <c r="AO831" i="1"/>
  <c r="AW831" i="1" s="1"/>
  <c r="AP831" i="1"/>
  <c r="AX831" i="1"/>
  <c r="BD831" i="1"/>
  <c r="BF831" i="1"/>
  <c r="BH831" i="1"/>
  <c r="AD831" i="1" s="1"/>
  <c r="BI831" i="1"/>
  <c r="AE831" i="1" s="1"/>
  <c r="BJ831" i="1"/>
  <c r="K832" i="1"/>
  <c r="AL832" i="1" s="1"/>
  <c r="Z832" i="1"/>
  <c r="AB832" i="1"/>
  <c r="AC832" i="1"/>
  <c r="AF832" i="1"/>
  <c r="AG832" i="1"/>
  <c r="AH832" i="1"/>
  <c r="AJ832" i="1"/>
  <c r="AK832" i="1"/>
  <c r="AO832" i="1"/>
  <c r="AW832" i="1" s="1"/>
  <c r="AP832" i="1"/>
  <c r="AX832" i="1" s="1"/>
  <c r="BD832" i="1"/>
  <c r="BF832" i="1"/>
  <c r="BH832" i="1"/>
  <c r="AD832" i="1" s="1"/>
  <c r="BI832" i="1"/>
  <c r="AE832" i="1" s="1"/>
  <c r="BJ832" i="1"/>
  <c r="K833" i="1"/>
  <c r="Z833" i="1"/>
  <c r="AB833" i="1"/>
  <c r="AC833" i="1"/>
  <c r="AF833" i="1"/>
  <c r="AG833" i="1"/>
  <c r="AH833" i="1"/>
  <c r="AJ833" i="1"/>
  <c r="AK833" i="1"/>
  <c r="AL833" i="1"/>
  <c r="AO833" i="1"/>
  <c r="AP833" i="1"/>
  <c r="AX833" i="1" s="1"/>
  <c r="AW833" i="1"/>
  <c r="BD833" i="1"/>
  <c r="BF833" i="1"/>
  <c r="BH833" i="1"/>
  <c r="AD833" i="1" s="1"/>
  <c r="BI833" i="1"/>
  <c r="AE833" i="1" s="1"/>
  <c r="BJ833" i="1"/>
  <c r="K834" i="1"/>
  <c r="Z834" i="1"/>
  <c r="AB834" i="1"/>
  <c r="AC834" i="1"/>
  <c r="AF834" i="1"/>
  <c r="AG834" i="1"/>
  <c r="AH834" i="1"/>
  <c r="AJ834" i="1"/>
  <c r="AK834" i="1"/>
  <c r="AL834" i="1"/>
  <c r="AO834" i="1"/>
  <c r="AP834" i="1"/>
  <c r="AW834" i="1"/>
  <c r="BC834" i="1" s="1"/>
  <c r="AX834" i="1"/>
  <c r="BD834" i="1"/>
  <c r="BF834" i="1"/>
  <c r="BH834" i="1"/>
  <c r="AD834" i="1" s="1"/>
  <c r="BI834" i="1"/>
  <c r="AE834" i="1" s="1"/>
  <c r="BJ834" i="1"/>
  <c r="K835" i="1"/>
  <c r="AL835" i="1" s="1"/>
  <c r="Z835" i="1"/>
  <c r="AB835" i="1"/>
  <c r="AC835" i="1"/>
  <c r="AF835" i="1"/>
  <c r="AG835" i="1"/>
  <c r="AH835" i="1"/>
  <c r="AJ835" i="1"/>
  <c r="AK835" i="1"/>
  <c r="AO835" i="1"/>
  <c r="AW835" i="1" s="1"/>
  <c r="AP835" i="1"/>
  <c r="AX835" i="1"/>
  <c r="BD835" i="1"/>
  <c r="BF835" i="1"/>
  <c r="BH835" i="1"/>
  <c r="AD835" i="1" s="1"/>
  <c r="BI835" i="1"/>
  <c r="AE835" i="1" s="1"/>
  <c r="BJ835" i="1"/>
  <c r="K836" i="1"/>
  <c r="AL836" i="1" s="1"/>
  <c r="Z836" i="1"/>
  <c r="AB836" i="1"/>
  <c r="AC836" i="1"/>
  <c r="AF836" i="1"/>
  <c r="AG836" i="1"/>
  <c r="AH836" i="1"/>
  <c r="AJ836" i="1"/>
  <c r="AK836" i="1"/>
  <c r="AO836" i="1"/>
  <c r="AW836" i="1" s="1"/>
  <c r="AP836" i="1"/>
  <c r="AX836" i="1" s="1"/>
  <c r="BD836" i="1"/>
  <c r="BF836" i="1"/>
  <c r="BH836" i="1"/>
  <c r="AD836" i="1" s="1"/>
  <c r="BI836" i="1"/>
  <c r="AE836" i="1" s="1"/>
  <c r="BJ836" i="1"/>
  <c r="K837" i="1"/>
  <c r="Z837" i="1"/>
  <c r="AB837" i="1"/>
  <c r="AC837" i="1"/>
  <c r="AF837" i="1"/>
  <c r="AG837" i="1"/>
  <c r="AH837" i="1"/>
  <c r="AJ837" i="1"/>
  <c r="AK837" i="1"/>
  <c r="AL837" i="1"/>
  <c r="AO837" i="1"/>
  <c r="AP837" i="1"/>
  <c r="AX837" i="1" s="1"/>
  <c r="AW837" i="1"/>
  <c r="BD837" i="1"/>
  <c r="BF837" i="1"/>
  <c r="BH837" i="1"/>
  <c r="AD837" i="1" s="1"/>
  <c r="BI837" i="1"/>
  <c r="AE837" i="1" s="1"/>
  <c r="BJ837" i="1"/>
  <c r="K838" i="1"/>
  <c r="Z838" i="1"/>
  <c r="AB838" i="1"/>
  <c r="AC838" i="1"/>
  <c r="AF838" i="1"/>
  <c r="AG838" i="1"/>
  <c r="AH838" i="1"/>
  <c r="AJ838" i="1"/>
  <c r="AK838" i="1"/>
  <c r="AL838" i="1"/>
  <c r="AO838" i="1"/>
  <c r="AP838" i="1"/>
  <c r="AX838" i="1" s="1"/>
  <c r="AW838" i="1"/>
  <c r="BD838" i="1"/>
  <c r="BF838" i="1"/>
  <c r="BH838" i="1"/>
  <c r="AD838" i="1" s="1"/>
  <c r="BI838" i="1"/>
  <c r="AE838" i="1" s="1"/>
  <c r="BJ838" i="1"/>
  <c r="K839" i="1"/>
  <c r="AL839" i="1" s="1"/>
  <c r="Z839" i="1"/>
  <c r="AB839" i="1"/>
  <c r="AC839" i="1"/>
  <c r="AF839" i="1"/>
  <c r="AG839" i="1"/>
  <c r="AH839" i="1"/>
  <c r="AJ839" i="1"/>
  <c r="AK839" i="1"/>
  <c r="AO839" i="1"/>
  <c r="AW839" i="1" s="1"/>
  <c r="AP839" i="1"/>
  <c r="AX839" i="1"/>
  <c r="BD839" i="1"/>
  <c r="BF839" i="1"/>
  <c r="BH839" i="1"/>
  <c r="AD839" i="1" s="1"/>
  <c r="BI839" i="1"/>
  <c r="AE839" i="1" s="1"/>
  <c r="BJ839" i="1"/>
  <c r="K840" i="1"/>
  <c r="AL840" i="1" s="1"/>
  <c r="Z840" i="1"/>
  <c r="AB840" i="1"/>
  <c r="AC840" i="1"/>
  <c r="AF840" i="1"/>
  <c r="AG840" i="1"/>
  <c r="AH840" i="1"/>
  <c r="AJ840" i="1"/>
  <c r="AK840" i="1"/>
  <c r="AO840" i="1"/>
  <c r="AW840" i="1" s="1"/>
  <c r="AP840" i="1"/>
  <c r="AX840" i="1" s="1"/>
  <c r="BD840" i="1"/>
  <c r="BF840" i="1"/>
  <c r="BH840" i="1"/>
  <c r="AD840" i="1" s="1"/>
  <c r="BI840" i="1"/>
  <c r="AE840" i="1" s="1"/>
  <c r="BJ840" i="1"/>
  <c r="K841" i="1"/>
  <c r="Z841" i="1"/>
  <c r="AB841" i="1"/>
  <c r="AC841" i="1"/>
  <c r="AF841" i="1"/>
  <c r="AG841" i="1"/>
  <c r="AH841" i="1"/>
  <c r="AJ841" i="1"/>
  <c r="AK841" i="1"/>
  <c r="AL841" i="1"/>
  <c r="AO841" i="1"/>
  <c r="AP841" i="1"/>
  <c r="AX841" i="1" s="1"/>
  <c r="AW841" i="1"/>
  <c r="BD841" i="1"/>
  <c r="BF841" i="1"/>
  <c r="BH841" i="1"/>
  <c r="AD841" i="1" s="1"/>
  <c r="BI841" i="1"/>
  <c r="AE841" i="1" s="1"/>
  <c r="BJ841" i="1"/>
  <c r="K842" i="1"/>
  <c r="Z842" i="1"/>
  <c r="AB842" i="1"/>
  <c r="AC842" i="1"/>
  <c r="AF842" i="1"/>
  <c r="AG842" i="1"/>
  <c r="AH842" i="1"/>
  <c r="AJ842" i="1"/>
  <c r="AK842" i="1"/>
  <c r="AL842" i="1"/>
  <c r="AO842" i="1"/>
  <c r="AP842" i="1"/>
  <c r="AX842" i="1" s="1"/>
  <c r="AW842" i="1"/>
  <c r="BC842" i="1" s="1"/>
  <c r="BD842" i="1"/>
  <c r="BF842" i="1"/>
  <c r="BH842" i="1"/>
  <c r="AD842" i="1" s="1"/>
  <c r="BI842" i="1"/>
  <c r="AE842" i="1" s="1"/>
  <c r="BJ842" i="1"/>
  <c r="K843" i="1"/>
  <c r="AL843" i="1" s="1"/>
  <c r="Z843" i="1"/>
  <c r="AB843" i="1"/>
  <c r="AC843" i="1"/>
  <c r="AF843" i="1"/>
  <c r="AG843" i="1"/>
  <c r="AH843" i="1"/>
  <c r="AJ843" i="1"/>
  <c r="AK843" i="1"/>
  <c r="AO843" i="1"/>
  <c r="AW843" i="1" s="1"/>
  <c r="AP843" i="1"/>
  <c r="AX843" i="1"/>
  <c r="BD843" i="1"/>
  <c r="BF843" i="1"/>
  <c r="BH843" i="1"/>
  <c r="AD843" i="1" s="1"/>
  <c r="BI843" i="1"/>
  <c r="AE843" i="1" s="1"/>
  <c r="BJ843" i="1"/>
  <c r="K844" i="1"/>
  <c r="AL844" i="1" s="1"/>
  <c r="Z844" i="1"/>
  <c r="AB844" i="1"/>
  <c r="AC844" i="1"/>
  <c r="AF844" i="1"/>
  <c r="AG844" i="1"/>
  <c r="AH844" i="1"/>
  <c r="AJ844" i="1"/>
  <c r="AK844" i="1"/>
  <c r="AO844" i="1"/>
  <c r="AW844" i="1" s="1"/>
  <c r="AP844" i="1"/>
  <c r="AX844" i="1" s="1"/>
  <c r="BD844" i="1"/>
  <c r="BF844" i="1"/>
  <c r="BH844" i="1"/>
  <c r="AD844" i="1" s="1"/>
  <c r="BI844" i="1"/>
  <c r="AE844" i="1" s="1"/>
  <c r="BJ844" i="1"/>
  <c r="K845" i="1"/>
  <c r="Z845" i="1"/>
  <c r="AB845" i="1"/>
  <c r="AC845" i="1"/>
  <c r="AF845" i="1"/>
  <c r="AG845" i="1"/>
  <c r="AH845" i="1"/>
  <c r="AJ845" i="1"/>
  <c r="AK845" i="1"/>
  <c r="AL845" i="1"/>
  <c r="AO845" i="1"/>
  <c r="AW845" i="1" s="1"/>
  <c r="AP845" i="1"/>
  <c r="AX845" i="1" s="1"/>
  <c r="BD845" i="1"/>
  <c r="BF845" i="1"/>
  <c r="BH845" i="1"/>
  <c r="AD845" i="1" s="1"/>
  <c r="BI845" i="1"/>
  <c r="AE845" i="1" s="1"/>
  <c r="BJ845" i="1"/>
  <c r="K846" i="1"/>
  <c r="Z846" i="1"/>
  <c r="AB846" i="1"/>
  <c r="AC846" i="1"/>
  <c r="AF846" i="1"/>
  <c r="AG846" i="1"/>
  <c r="AH846" i="1"/>
  <c r="AJ846" i="1"/>
  <c r="AK846" i="1"/>
  <c r="AL846" i="1"/>
  <c r="AO846" i="1"/>
  <c r="AP846" i="1"/>
  <c r="AX846" i="1" s="1"/>
  <c r="AW846" i="1"/>
  <c r="BC846" i="1" s="1"/>
  <c r="BD846" i="1"/>
  <c r="BF846" i="1"/>
  <c r="BH846" i="1"/>
  <c r="AD846" i="1" s="1"/>
  <c r="BI846" i="1"/>
  <c r="AE846" i="1" s="1"/>
  <c r="BJ846" i="1"/>
  <c r="K847" i="1"/>
  <c r="AL847" i="1" s="1"/>
  <c r="Z847" i="1"/>
  <c r="AB847" i="1"/>
  <c r="AC847" i="1"/>
  <c r="AF847" i="1"/>
  <c r="AG847" i="1"/>
  <c r="AH847" i="1"/>
  <c r="AJ847" i="1"/>
  <c r="AK847" i="1"/>
  <c r="AO847" i="1"/>
  <c r="AW847" i="1" s="1"/>
  <c r="AP847" i="1"/>
  <c r="AX847" i="1"/>
  <c r="BD847" i="1"/>
  <c r="BF847" i="1"/>
  <c r="BH847" i="1"/>
  <c r="AD847" i="1" s="1"/>
  <c r="BI847" i="1"/>
  <c r="AE847" i="1" s="1"/>
  <c r="BJ847" i="1"/>
  <c r="K848" i="1"/>
  <c r="AL848" i="1" s="1"/>
  <c r="Z848" i="1"/>
  <c r="AB848" i="1"/>
  <c r="AC848" i="1"/>
  <c r="AF848" i="1"/>
  <c r="AG848" i="1"/>
  <c r="AH848" i="1"/>
  <c r="AJ848" i="1"/>
  <c r="AK848" i="1"/>
  <c r="AO848" i="1"/>
  <c r="AW848" i="1" s="1"/>
  <c r="AP848" i="1"/>
  <c r="AX848" i="1" s="1"/>
  <c r="BD848" i="1"/>
  <c r="BF848" i="1"/>
  <c r="BH848" i="1"/>
  <c r="AD848" i="1" s="1"/>
  <c r="BI848" i="1"/>
  <c r="AE848" i="1" s="1"/>
  <c r="BJ848" i="1"/>
  <c r="K850" i="1"/>
  <c r="Z850" i="1"/>
  <c r="AB850" i="1"/>
  <c r="AD850" i="1"/>
  <c r="AE850" i="1"/>
  <c r="AF850" i="1"/>
  <c r="AG850" i="1"/>
  <c r="AH850" i="1"/>
  <c r="AJ850" i="1"/>
  <c r="AK850" i="1"/>
  <c r="AL850" i="1"/>
  <c r="AO850" i="1"/>
  <c r="AP850" i="1"/>
  <c r="AX850" i="1" s="1"/>
  <c r="AW850" i="1"/>
  <c r="BD850" i="1"/>
  <c r="BF850" i="1"/>
  <c r="BH850" i="1"/>
  <c r="BI850" i="1"/>
  <c r="AC850" i="1" s="1"/>
  <c r="BJ850" i="1"/>
  <c r="K851" i="1"/>
  <c r="Z851" i="1"/>
  <c r="AB851" i="1"/>
  <c r="AC851" i="1"/>
  <c r="AD851" i="1"/>
  <c r="AE851" i="1"/>
  <c r="AF851" i="1"/>
  <c r="AG851" i="1"/>
  <c r="AH851" i="1"/>
  <c r="AJ851" i="1"/>
  <c r="AK851" i="1"/>
  <c r="AL851" i="1"/>
  <c r="AO851" i="1"/>
  <c r="AP851" i="1"/>
  <c r="AW851" i="1"/>
  <c r="BC851" i="1" s="1"/>
  <c r="AX851" i="1"/>
  <c r="BD851" i="1"/>
  <c r="BF851" i="1"/>
  <c r="BH851" i="1"/>
  <c r="BI851" i="1"/>
  <c r="BJ851" i="1"/>
  <c r="K852" i="1"/>
  <c r="AL852" i="1" s="1"/>
  <c r="Z852" i="1"/>
  <c r="AC852" i="1"/>
  <c r="AD852" i="1"/>
  <c r="AE852" i="1"/>
  <c r="AF852" i="1"/>
  <c r="AG852" i="1"/>
  <c r="AH852" i="1"/>
  <c r="AJ852" i="1"/>
  <c r="AK852" i="1"/>
  <c r="AO852" i="1"/>
  <c r="AW852" i="1" s="1"/>
  <c r="AP852" i="1"/>
  <c r="AX852" i="1"/>
  <c r="BD852" i="1"/>
  <c r="BF852" i="1"/>
  <c r="BH852" i="1"/>
  <c r="AB852" i="1" s="1"/>
  <c r="BI852" i="1"/>
  <c r="BJ852" i="1"/>
  <c r="K853" i="1"/>
  <c r="AL853" i="1" s="1"/>
  <c r="Z853" i="1"/>
  <c r="AD853" i="1"/>
  <c r="AE853" i="1"/>
  <c r="AF853" i="1"/>
  <c r="AG853" i="1"/>
  <c r="AH853" i="1"/>
  <c r="AJ853" i="1"/>
  <c r="AK853" i="1"/>
  <c r="AO853" i="1"/>
  <c r="AW853" i="1" s="1"/>
  <c r="AP853" i="1"/>
  <c r="AX853" i="1" s="1"/>
  <c r="BD853" i="1"/>
  <c r="BF853" i="1"/>
  <c r="BH853" i="1"/>
  <c r="AB853" i="1" s="1"/>
  <c r="BI853" i="1"/>
  <c r="AC853" i="1" s="1"/>
  <c r="BJ853" i="1"/>
  <c r="K854" i="1"/>
  <c r="Z854" i="1"/>
  <c r="AB854" i="1"/>
  <c r="AD854" i="1"/>
  <c r="AE854" i="1"/>
  <c r="AF854" i="1"/>
  <c r="AG854" i="1"/>
  <c r="AH854" i="1"/>
  <c r="AJ854" i="1"/>
  <c r="AK854" i="1"/>
  <c r="AL854" i="1"/>
  <c r="AO854" i="1"/>
  <c r="AP854" i="1"/>
  <c r="AX854" i="1" s="1"/>
  <c r="AW854" i="1"/>
  <c r="BD854" i="1"/>
  <c r="BF854" i="1"/>
  <c r="BH854" i="1"/>
  <c r="BI854" i="1"/>
  <c r="AC854" i="1" s="1"/>
  <c r="BJ854" i="1"/>
  <c r="K855" i="1"/>
  <c r="Z855" i="1"/>
  <c r="AB855" i="1"/>
  <c r="AC855" i="1"/>
  <c r="AD855" i="1"/>
  <c r="AE855" i="1"/>
  <c r="AF855" i="1"/>
  <c r="AG855" i="1"/>
  <c r="AH855" i="1"/>
  <c r="AJ855" i="1"/>
  <c r="AK855" i="1"/>
  <c r="AL855" i="1"/>
  <c r="AO855" i="1"/>
  <c r="AP855" i="1"/>
  <c r="AX855" i="1" s="1"/>
  <c r="AW855" i="1"/>
  <c r="BC855" i="1" s="1"/>
  <c r="BD855" i="1"/>
  <c r="BF855" i="1"/>
  <c r="BH855" i="1"/>
  <c r="BI855" i="1"/>
  <c r="BJ855" i="1"/>
  <c r="K856" i="1"/>
  <c r="AL856" i="1" s="1"/>
  <c r="Z856" i="1"/>
  <c r="AC856" i="1"/>
  <c r="AD856" i="1"/>
  <c r="AE856" i="1"/>
  <c r="AF856" i="1"/>
  <c r="AG856" i="1"/>
  <c r="AH856" i="1"/>
  <c r="AJ856" i="1"/>
  <c r="AK856" i="1"/>
  <c r="AO856" i="1"/>
  <c r="AW856" i="1" s="1"/>
  <c r="AP856" i="1"/>
  <c r="AX856" i="1"/>
  <c r="BD856" i="1"/>
  <c r="BF856" i="1"/>
  <c r="BH856" i="1"/>
  <c r="AB856" i="1" s="1"/>
  <c r="BI856" i="1"/>
  <c r="BJ856" i="1"/>
  <c r="K857" i="1"/>
  <c r="AL857" i="1" s="1"/>
  <c r="Z857" i="1"/>
  <c r="AD857" i="1"/>
  <c r="AE857" i="1"/>
  <c r="AF857" i="1"/>
  <c r="AG857" i="1"/>
  <c r="AH857" i="1"/>
  <c r="AJ857" i="1"/>
  <c r="AK857" i="1"/>
  <c r="AO857" i="1"/>
  <c r="AW857" i="1" s="1"/>
  <c r="AP857" i="1"/>
  <c r="AX857" i="1" s="1"/>
  <c r="BD857" i="1"/>
  <c r="BF857" i="1"/>
  <c r="BH857" i="1"/>
  <c r="AB857" i="1" s="1"/>
  <c r="BI857" i="1"/>
  <c r="AC857" i="1" s="1"/>
  <c r="BJ857" i="1"/>
  <c r="K858" i="1"/>
  <c r="Z858" i="1"/>
  <c r="AB858" i="1"/>
  <c r="AD858" i="1"/>
  <c r="AE858" i="1"/>
  <c r="AF858" i="1"/>
  <c r="AG858" i="1"/>
  <c r="AH858" i="1"/>
  <c r="AJ858" i="1"/>
  <c r="AK858" i="1"/>
  <c r="AL858" i="1"/>
  <c r="AO858" i="1"/>
  <c r="AP858" i="1"/>
  <c r="AX858" i="1" s="1"/>
  <c r="AW858" i="1"/>
  <c r="BD858" i="1"/>
  <c r="BF858" i="1"/>
  <c r="BH858" i="1"/>
  <c r="BI858" i="1"/>
  <c r="AC858" i="1" s="1"/>
  <c r="BJ858" i="1"/>
  <c r="K859" i="1"/>
  <c r="Z859" i="1"/>
  <c r="AB859" i="1"/>
  <c r="AC859" i="1"/>
  <c r="AD859" i="1"/>
  <c r="AE859" i="1"/>
  <c r="AF859" i="1"/>
  <c r="AG859" i="1"/>
  <c r="AH859" i="1"/>
  <c r="AJ859" i="1"/>
  <c r="AK859" i="1"/>
  <c r="AL859" i="1"/>
  <c r="AO859" i="1"/>
  <c r="AP859" i="1"/>
  <c r="AX859" i="1" s="1"/>
  <c r="AW859" i="1"/>
  <c r="BD859" i="1"/>
  <c r="BF859" i="1"/>
  <c r="BH859" i="1"/>
  <c r="BI859" i="1"/>
  <c r="BJ859" i="1"/>
  <c r="K860" i="1"/>
  <c r="AL860" i="1" s="1"/>
  <c r="Z860" i="1"/>
  <c r="AC860" i="1"/>
  <c r="AD860" i="1"/>
  <c r="AE860" i="1"/>
  <c r="AF860" i="1"/>
  <c r="AG860" i="1"/>
  <c r="AH860" i="1"/>
  <c r="AJ860" i="1"/>
  <c r="AK860" i="1"/>
  <c r="AO860" i="1"/>
  <c r="AW860" i="1" s="1"/>
  <c r="AP860" i="1"/>
  <c r="AX860" i="1"/>
  <c r="BD860" i="1"/>
  <c r="BF860" i="1"/>
  <c r="BH860" i="1"/>
  <c r="AB860" i="1" s="1"/>
  <c r="BI860" i="1"/>
  <c r="BJ860" i="1"/>
  <c r="K861" i="1"/>
  <c r="AL861" i="1" s="1"/>
  <c r="Z861" i="1"/>
  <c r="AD861" i="1"/>
  <c r="AE861" i="1"/>
  <c r="AF861" i="1"/>
  <c r="AG861" i="1"/>
  <c r="AH861" i="1"/>
  <c r="AJ861" i="1"/>
  <c r="AK861" i="1"/>
  <c r="AO861" i="1"/>
  <c r="AW861" i="1" s="1"/>
  <c r="AV861" i="1" s="1"/>
  <c r="AP861" i="1"/>
  <c r="AX861" i="1" s="1"/>
  <c r="BD861" i="1"/>
  <c r="BF861" i="1"/>
  <c r="BH861" i="1"/>
  <c r="AB861" i="1" s="1"/>
  <c r="BI861" i="1"/>
  <c r="AC861" i="1" s="1"/>
  <c r="BJ861" i="1"/>
  <c r="K862" i="1"/>
  <c r="Z862" i="1"/>
  <c r="AB862" i="1"/>
  <c r="AD862" i="1"/>
  <c r="AE862" i="1"/>
  <c r="AF862" i="1"/>
  <c r="AG862" i="1"/>
  <c r="AH862" i="1"/>
  <c r="AJ862" i="1"/>
  <c r="AK862" i="1"/>
  <c r="AL862" i="1"/>
  <c r="AO862" i="1"/>
  <c r="AP862" i="1"/>
  <c r="AX862" i="1" s="1"/>
  <c r="BC862" i="1" s="1"/>
  <c r="AW862" i="1"/>
  <c r="BD862" i="1"/>
  <c r="BF862" i="1"/>
  <c r="BH862" i="1"/>
  <c r="BI862" i="1"/>
  <c r="AC862" i="1" s="1"/>
  <c r="BJ862" i="1"/>
  <c r="K863" i="1"/>
  <c r="Z863" i="1"/>
  <c r="AB863" i="1"/>
  <c r="AC863" i="1"/>
  <c r="AD863" i="1"/>
  <c r="AE863" i="1"/>
  <c r="AF863" i="1"/>
  <c r="AG863" i="1"/>
  <c r="AH863" i="1"/>
  <c r="AJ863" i="1"/>
  <c r="AK863" i="1"/>
  <c r="AL863" i="1"/>
  <c r="AO863" i="1"/>
  <c r="AP863" i="1"/>
  <c r="AW863" i="1"/>
  <c r="AX863" i="1"/>
  <c r="BD863" i="1"/>
  <c r="BF863" i="1"/>
  <c r="BH863" i="1"/>
  <c r="BI863" i="1"/>
  <c r="BJ863" i="1"/>
  <c r="K864" i="1"/>
  <c r="AL864" i="1" s="1"/>
  <c r="Z864" i="1"/>
  <c r="AC864" i="1"/>
  <c r="AD864" i="1"/>
  <c r="AE864" i="1"/>
  <c r="AF864" i="1"/>
  <c r="AG864" i="1"/>
  <c r="AH864" i="1"/>
  <c r="AJ864" i="1"/>
  <c r="AK864" i="1"/>
  <c r="AO864" i="1"/>
  <c r="AW864" i="1" s="1"/>
  <c r="AP864" i="1"/>
  <c r="AX864" i="1"/>
  <c r="BD864" i="1"/>
  <c r="BF864" i="1"/>
  <c r="BH864" i="1"/>
  <c r="AB864" i="1" s="1"/>
  <c r="BI864" i="1"/>
  <c r="BJ864" i="1"/>
  <c r="K865" i="1"/>
  <c r="AL865" i="1" s="1"/>
  <c r="Z865" i="1"/>
  <c r="AD865" i="1"/>
  <c r="AE865" i="1"/>
  <c r="AF865" i="1"/>
  <c r="AG865" i="1"/>
  <c r="AH865" i="1"/>
  <c r="AJ865" i="1"/>
  <c r="AK865" i="1"/>
  <c r="AO865" i="1"/>
  <c r="AW865" i="1" s="1"/>
  <c r="AV865" i="1" s="1"/>
  <c r="AP865" i="1"/>
  <c r="AX865" i="1" s="1"/>
  <c r="BD865" i="1"/>
  <c r="BF865" i="1"/>
  <c r="BH865" i="1"/>
  <c r="AB865" i="1" s="1"/>
  <c r="BI865" i="1"/>
  <c r="AC865" i="1" s="1"/>
  <c r="BJ865" i="1"/>
  <c r="K866" i="1"/>
  <c r="Z866" i="1"/>
  <c r="AB866" i="1"/>
  <c r="AD866" i="1"/>
  <c r="AE866" i="1"/>
  <c r="AF866" i="1"/>
  <c r="AG866" i="1"/>
  <c r="AH866" i="1"/>
  <c r="AJ866" i="1"/>
  <c r="AK866" i="1"/>
  <c r="AL866" i="1"/>
  <c r="AO866" i="1"/>
  <c r="AP866" i="1"/>
  <c r="AX866" i="1" s="1"/>
  <c r="BC866" i="1" s="1"/>
  <c r="AW866" i="1"/>
  <c r="BD866" i="1"/>
  <c r="BF866" i="1"/>
  <c r="BH866" i="1"/>
  <c r="BI866" i="1"/>
  <c r="AC866" i="1" s="1"/>
  <c r="BJ866" i="1"/>
  <c r="K867" i="1"/>
  <c r="Z867" i="1"/>
  <c r="AB867" i="1"/>
  <c r="AC867" i="1"/>
  <c r="AD867" i="1"/>
  <c r="AE867" i="1"/>
  <c r="AF867" i="1"/>
  <c r="AG867" i="1"/>
  <c r="AH867" i="1"/>
  <c r="AJ867" i="1"/>
  <c r="AK867" i="1"/>
  <c r="AL867" i="1"/>
  <c r="AO867" i="1"/>
  <c r="AP867" i="1"/>
  <c r="AW867" i="1"/>
  <c r="AX867" i="1"/>
  <c r="BD867" i="1"/>
  <c r="BF867" i="1"/>
  <c r="BH867" i="1"/>
  <c r="BI867" i="1"/>
  <c r="BJ867" i="1"/>
  <c r="K868" i="1"/>
  <c r="AL868" i="1" s="1"/>
  <c r="Z868" i="1"/>
  <c r="AC868" i="1"/>
  <c r="AD868" i="1"/>
  <c r="AE868" i="1"/>
  <c r="AF868" i="1"/>
  <c r="AG868" i="1"/>
  <c r="AH868" i="1"/>
  <c r="AJ868" i="1"/>
  <c r="AK868" i="1"/>
  <c r="AO868" i="1"/>
  <c r="AW868" i="1" s="1"/>
  <c r="AP868" i="1"/>
  <c r="AX868" i="1"/>
  <c r="BD868" i="1"/>
  <c r="BF868" i="1"/>
  <c r="BI868" i="1"/>
  <c r="BJ868" i="1"/>
  <c r="K869" i="1"/>
  <c r="AL869" i="1" s="1"/>
  <c r="Z869" i="1"/>
  <c r="AD869" i="1"/>
  <c r="AE869" i="1"/>
  <c r="AF869" i="1"/>
  <c r="AG869" i="1"/>
  <c r="AH869" i="1"/>
  <c r="AJ869" i="1"/>
  <c r="AK869" i="1"/>
  <c r="AO869" i="1"/>
  <c r="AW869" i="1" s="1"/>
  <c r="AP869" i="1"/>
  <c r="AX869" i="1" s="1"/>
  <c r="BC869" i="1" s="1"/>
  <c r="BD869" i="1"/>
  <c r="BF869" i="1"/>
  <c r="BH869" i="1"/>
  <c r="AB869" i="1" s="1"/>
  <c r="BI869" i="1"/>
  <c r="AC869" i="1" s="1"/>
  <c r="BJ869" i="1"/>
  <c r="K870" i="1"/>
  <c r="Z870" i="1"/>
  <c r="AB870" i="1"/>
  <c r="AD870" i="1"/>
  <c r="AE870" i="1"/>
  <c r="AF870" i="1"/>
  <c r="AG870" i="1"/>
  <c r="AH870" i="1"/>
  <c r="AJ870" i="1"/>
  <c r="AK870" i="1"/>
  <c r="AL870" i="1"/>
  <c r="AO870" i="1"/>
  <c r="AP870" i="1"/>
  <c r="AX870" i="1" s="1"/>
  <c r="AV870" i="1" s="1"/>
  <c r="AW870" i="1"/>
  <c r="BD870" i="1"/>
  <c r="BF870" i="1"/>
  <c r="BH870" i="1"/>
  <c r="BJ870" i="1"/>
  <c r="K871" i="1"/>
  <c r="Z871" i="1"/>
  <c r="AB871" i="1"/>
  <c r="AC871" i="1"/>
  <c r="AD871" i="1"/>
  <c r="AE871" i="1"/>
  <c r="AF871" i="1"/>
  <c r="AG871" i="1"/>
  <c r="AH871" i="1"/>
  <c r="AJ871" i="1"/>
  <c r="AK871" i="1"/>
  <c r="AL871" i="1"/>
  <c r="AO871" i="1"/>
  <c r="AP871" i="1"/>
  <c r="AW871" i="1"/>
  <c r="BC871" i="1" s="1"/>
  <c r="AX871" i="1"/>
  <c r="BD871" i="1"/>
  <c r="BF871" i="1"/>
  <c r="BH871" i="1"/>
  <c r="BI871" i="1"/>
  <c r="BJ871" i="1"/>
  <c r="K872" i="1"/>
  <c r="Z872" i="1"/>
  <c r="AC872" i="1"/>
  <c r="AD872" i="1"/>
  <c r="AE872" i="1"/>
  <c r="AF872" i="1"/>
  <c r="AG872" i="1"/>
  <c r="AH872" i="1"/>
  <c r="AJ872" i="1"/>
  <c r="AK872" i="1"/>
  <c r="AL872" i="1"/>
  <c r="AO872" i="1"/>
  <c r="AW872" i="1" s="1"/>
  <c r="AP872" i="1"/>
  <c r="AX872" i="1"/>
  <c r="BD872" i="1"/>
  <c r="BF872" i="1"/>
  <c r="BI872" i="1"/>
  <c r="BJ872" i="1"/>
  <c r="K873" i="1"/>
  <c r="AL873" i="1" s="1"/>
  <c r="Z873" i="1"/>
  <c r="AD873" i="1"/>
  <c r="AE873" i="1"/>
  <c r="AF873" i="1"/>
  <c r="AG873" i="1"/>
  <c r="AH873" i="1"/>
  <c r="AJ873" i="1"/>
  <c r="AK873" i="1"/>
  <c r="AO873" i="1"/>
  <c r="AW873" i="1" s="1"/>
  <c r="BC873" i="1" s="1"/>
  <c r="AP873" i="1"/>
  <c r="BI873" i="1" s="1"/>
  <c r="AC873" i="1" s="1"/>
  <c r="AX873" i="1"/>
  <c r="BD873" i="1"/>
  <c r="BF873" i="1"/>
  <c r="BH873" i="1"/>
  <c r="AB873" i="1" s="1"/>
  <c r="BJ873" i="1"/>
  <c r="K874" i="1"/>
  <c r="Z874" i="1"/>
  <c r="AB874" i="1"/>
  <c r="AD874" i="1"/>
  <c r="AE874" i="1"/>
  <c r="AF874" i="1"/>
  <c r="AG874" i="1"/>
  <c r="AH874" i="1"/>
  <c r="AJ874" i="1"/>
  <c r="AK874" i="1"/>
  <c r="AL874" i="1"/>
  <c r="AO874" i="1"/>
  <c r="AP874" i="1"/>
  <c r="AX874" i="1" s="1"/>
  <c r="AV874" i="1"/>
  <c r="AW874" i="1"/>
  <c r="BC874" i="1"/>
  <c r="BD874" i="1"/>
  <c r="BF874" i="1"/>
  <c r="BH874" i="1"/>
  <c r="BI874" i="1"/>
  <c r="AC874" i="1" s="1"/>
  <c r="BJ874" i="1"/>
  <c r="K875" i="1"/>
  <c r="Z875" i="1"/>
  <c r="AC875" i="1"/>
  <c r="AD875" i="1"/>
  <c r="AE875" i="1"/>
  <c r="AF875" i="1"/>
  <c r="AG875" i="1"/>
  <c r="AH875" i="1"/>
  <c r="AJ875" i="1"/>
  <c r="AK875" i="1"/>
  <c r="AL875" i="1"/>
  <c r="AO875" i="1"/>
  <c r="AW875" i="1" s="1"/>
  <c r="AP875" i="1"/>
  <c r="AX875" i="1"/>
  <c r="BD875" i="1"/>
  <c r="BF875" i="1"/>
  <c r="BH875" i="1"/>
  <c r="AB875" i="1" s="1"/>
  <c r="BI875" i="1"/>
  <c r="BJ875" i="1"/>
  <c r="K876" i="1"/>
  <c r="Z876" i="1"/>
  <c r="AD876" i="1"/>
  <c r="AE876" i="1"/>
  <c r="AF876" i="1"/>
  <c r="AG876" i="1"/>
  <c r="AH876" i="1"/>
  <c r="AJ876" i="1"/>
  <c r="AK876" i="1"/>
  <c r="AL876" i="1"/>
  <c r="AO876" i="1"/>
  <c r="AP876" i="1"/>
  <c r="AX876" i="1" s="1"/>
  <c r="BC876" i="1" s="1"/>
  <c r="AW876" i="1"/>
  <c r="BD876" i="1"/>
  <c r="BF876" i="1"/>
  <c r="BH876" i="1"/>
  <c r="AB876" i="1" s="1"/>
  <c r="BI876" i="1"/>
  <c r="AC876" i="1" s="1"/>
  <c r="BJ876" i="1"/>
  <c r="K877" i="1"/>
  <c r="AL877" i="1" s="1"/>
  <c r="Z877" i="1"/>
  <c r="AB877" i="1"/>
  <c r="AD877" i="1"/>
  <c r="AE877" i="1"/>
  <c r="AF877" i="1"/>
  <c r="AG877" i="1"/>
  <c r="AH877" i="1"/>
  <c r="AJ877" i="1"/>
  <c r="AK877" i="1"/>
  <c r="AO877" i="1"/>
  <c r="AW877" i="1" s="1"/>
  <c r="AP877" i="1"/>
  <c r="AX877" i="1"/>
  <c r="BD877" i="1"/>
  <c r="BF877" i="1"/>
  <c r="BH877" i="1"/>
  <c r="BI877" i="1"/>
  <c r="AC877" i="1" s="1"/>
  <c r="BJ877" i="1"/>
  <c r="K878" i="1"/>
  <c r="Z878" i="1"/>
  <c r="AB878" i="1"/>
  <c r="AC878" i="1"/>
  <c r="AD878" i="1"/>
  <c r="AE878" i="1"/>
  <c r="AF878" i="1"/>
  <c r="AG878" i="1"/>
  <c r="AH878" i="1"/>
  <c r="AJ878" i="1"/>
  <c r="AK878" i="1"/>
  <c r="AL878" i="1"/>
  <c r="AO878" i="1"/>
  <c r="AP878" i="1"/>
  <c r="AX878" i="1" s="1"/>
  <c r="AW878" i="1"/>
  <c r="BC878" i="1" s="1"/>
  <c r="BD878" i="1"/>
  <c r="BF878" i="1"/>
  <c r="BH878" i="1"/>
  <c r="BI878" i="1"/>
  <c r="BJ878" i="1"/>
  <c r="K879" i="1"/>
  <c r="AL879" i="1" s="1"/>
  <c r="Z879" i="1"/>
  <c r="AC879" i="1"/>
  <c r="AD879" i="1"/>
  <c r="AE879" i="1"/>
  <c r="AF879" i="1"/>
  <c r="AG879" i="1"/>
  <c r="AH879" i="1"/>
  <c r="AJ879" i="1"/>
  <c r="AK879" i="1"/>
  <c r="AO879" i="1"/>
  <c r="AW879" i="1" s="1"/>
  <c r="AP879" i="1"/>
  <c r="AX879" i="1"/>
  <c r="BD879" i="1"/>
  <c r="BF879" i="1"/>
  <c r="BH879" i="1"/>
  <c r="AB879" i="1" s="1"/>
  <c r="BI879" i="1"/>
  <c r="BJ879" i="1"/>
  <c r="K880" i="1"/>
  <c r="Z880" i="1"/>
  <c r="AD880" i="1"/>
  <c r="AE880" i="1"/>
  <c r="AF880" i="1"/>
  <c r="AG880" i="1"/>
  <c r="AH880" i="1"/>
  <c r="AJ880" i="1"/>
  <c r="AK880" i="1"/>
  <c r="AL880" i="1"/>
  <c r="AO880" i="1"/>
  <c r="AP880" i="1"/>
  <c r="AX880" i="1" s="1"/>
  <c r="BC880" i="1" s="1"/>
  <c r="AW880" i="1"/>
  <c r="AV880" i="1" s="1"/>
  <c r="BD880" i="1"/>
  <c r="BF880" i="1"/>
  <c r="BH880" i="1"/>
  <c r="AB880" i="1" s="1"/>
  <c r="BI880" i="1"/>
  <c r="AC880" i="1" s="1"/>
  <c r="BJ880" i="1"/>
  <c r="K881" i="1"/>
  <c r="AL881" i="1" s="1"/>
  <c r="Z881" i="1"/>
  <c r="AB881" i="1"/>
  <c r="AD881" i="1"/>
  <c r="AE881" i="1"/>
  <c r="AF881" i="1"/>
  <c r="AG881" i="1"/>
  <c r="AH881" i="1"/>
  <c r="AJ881" i="1"/>
  <c r="AK881" i="1"/>
  <c r="AO881" i="1"/>
  <c r="AW881" i="1" s="1"/>
  <c r="AP881" i="1"/>
  <c r="AX881" i="1"/>
  <c r="BD881" i="1"/>
  <c r="BF881" i="1"/>
  <c r="BH881" i="1"/>
  <c r="BI881" i="1"/>
  <c r="AC881" i="1" s="1"/>
  <c r="BJ881" i="1"/>
  <c r="K882" i="1"/>
  <c r="Z882" i="1"/>
  <c r="AB882" i="1"/>
  <c r="AC882" i="1"/>
  <c r="AD882" i="1"/>
  <c r="AE882" i="1"/>
  <c r="AF882" i="1"/>
  <c r="AG882" i="1"/>
  <c r="AH882" i="1"/>
  <c r="AJ882" i="1"/>
  <c r="AK882" i="1"/>
  <c r="AL882" i="1"/>
  <c r="AO882" i="1"/>
  <c r="AP882" i="1"/>
  <c r="AX882" i="1" s="1"/>
  <c r="AW882" i="1"/>
  <c r="BD882" i="1"/>
  <c r="BF882" i="1"/>
  <c r="BH882" i="1"/>
  <c r="BI882" i="1"/>
  <c r="BJ882" i="1"/>
  <c r="K883" i="1"/>
  <c r="AL883" i="1" s="1"/>
  <c r="Z883" i="1"/>
  <c r="AC883" i="1"/>
  <c r="AD883" i="1"/>
  <c r="AE883" i="1"/>
  <c r="AF883" i="1"/>
  <c r="AG883" i="1"/>
  <c r="AH883" i="1"/>
  <c r="AJ883" i="1"/>
  <c r="AK883" i="1"/>
  <c r="AO883" i="1"/>
  <c r="AW883" i="1" s="1"/>
  <c r="AP883" i="1"/>
  <c r="AX883" i="1"/>
  <c r="BD883" i="1"/>
  <c r="BF883" i="1"/>
  <c r="BH883" i="1"/>
  <c r="AB883" i="1" s="1"/>
  <c r="BI883" i="1"/>
  <c r="BJ883" i="1"/>
  <c r="K884" i="1"/>
  <c r="Z884" i="1"/>
  <c r="AD884" i="1"/>
  <c r="AE884" i="1"/>
  <c r="AF884" i="1"/>
  <c r="AG884" i="1"/>
  <c r="AH884" i="1"/>
  <c r="AJ884" i="1"/>
  <c r="AK884" i="1"/>
  <c r="AL884" i="1"/>
  <c r="AO884" i="1"/>
  <c r="AP884" i="1"/>
  <c r="AX884" i="1" s="1"/>
  <c r="BC884" i="1" s="1"/>
  <c r="AW884" i="1"/>
  <c r="BD884" i="1"/>
  <c r="BF884" i="1"/>
  <c r="BH884" i="1"/>
  <c r="AB884" i="1" s="1"/>
  <c r="BI884" i="1"/>
  <c r="AC884" i="1" s="1"/>
  <c r="BJ884" i="1"/>
  <c r="K885" i="1"/>
  <c r="AL885" i="1" s="1"/>
  <c r="Z885" i="1"/>
  <c r="AB885" i="1"/>
  <c r="AD885" i="1"/>
  <c r="AE885" i="1"/>
  <c r="AF885" i="1"/>
  <c r="AG885" i="1"/>
  <c r="AH885" i="1"/>
  <c r="AJ885" i="1"/>
  <c r="AK885" i="1"/>
  <c r="AO885" i="1"/>
  <c r="AW885" i="1" s="1"/>
  <c r="AP885" i="1"/>
  <c r="AX885" i="1"/>
  <c r="BD885" i="1"/>
  <c r="BF885" i="1"/>
  <c r="BH885" i="1"/>
  <c r="BI885" i="1"/>
  <c r="AC885" i="1" s="1"/>
  <c r="BJ885" i="1"/>
  <c r="K886" i="1"/>
  <c r="Z886" i="1"/>
  <c r="AB886" i="1"/>
  <c r="AC886" i="1"/>
  <c r="AD886" i="1"/>
  <c r="AE886" i="1"/>
  <c r="AF886" i="1"/>
  <c r="AG886" i="1"/>
  <c r="AH886" i="1"/>
  <c r="AJ886" i="1"/>
  <c r="AK886" i="1"/>
  <c r="AL886" i="1"/>
  <c r="AO886" i="1"/>
  <c r="AP886" i="1"/>
  <c r="AX886" i="1" s="1"/>
  <c r="AW886" i="1"/>
  <c r="BC886" i="1" s="1"/>
  <c r="BD886" i="1"/>
  <c r="BF886" i="1"/>
  <c r="BH886" i="1"/>
  <c r="BI886" i="1"/>
  <c r="BJ886" i="1"/>
  <c r="K887" i="1"/>
  <c r="AL887" i="1" s="1"/>
  <c r="Z887" i="1"/>
  <c r="AC887" i="1"/>
  <c r="AD887" i="1"/>
  <c r="AE887" i="1"/>
  <c r="AF887" i="1"/>
  <c r="AG887" i="1"/>
  <c r="AH887" i="1"/>
  <c r="AJ887" i="1"/>
  <c r="AK887" i="1"/>
  <c r="AO887" i="1"/>
  <c r="AW887" i="1" s="1"/>
  <c r="AP887" i="1"/>
  <c r="AX887" i="1"/>
  <c r="BD887" i="1"/>
  <c r="BF887" i="1"/>
  <c r="BH887" i="1"/>
  <c r="AB887" i="1" s="1"/>
  <c r="BI887" i="1"/>
  <c r="BJ887" i="1"/>
  <c r="K888" i="1"/>
  <c r="Z888" i="1"/>
  <c r="AD888" i="1"/>
  <c r="AE888" i="1"/>
  <c r="AF888" i="1"/>
  <c r="AG888" i="1"/>
  <c r="AH888" i="1"/>
  <c r="AJ888" i="1"/>
  <c r="AK888" i="1"/>
  <c r="AL888" i="1"/>
  <c r="AO888" i="1"/>
  <c r="AP888" i="1"/>
  <c r="AX888" i="1" s="1"/>
  <c r="BC888" i="1" s="1"/>
  <c r="AW888" i="1"/>
  <c r="AV888" i="1" s="1"/>
  <c r="BD888" i="1"/>
  <c r="BF888" i="1"/>
  <c r="BH888" i="1"/>
  <c r="AB888" i="1" s="1"/>
  <c r="BI888" i="1"/>
  <c r="AC888" i="1" s="1"/>
  <c r="BJ888" i="1"/>
  <c r="K889" i="1"/>
  <c r="AL889" i="1" s="1"/>
  <c r="Z889" i="1"/>
  <c r="AB889" i="1"/>
  <c r="AD889" i="1"/>
  <c r="AE889" i="1"/>
  <c r="AF889" i="1"/>
  <c r="AG889" i="1"/>
  <c r="AH889" i="1"/>
  <c r="AJ889" i="1"/>
  <c r="AK889" i="1"/>
  <c r="AO889" i="1"/>
  <c r="AW889" i="1" s="1"/>
  <c r="AP889" i="1"/>
  <c r="AX889" i="1"/>
  <c r="BD889" i="1"/>
  <c r="BF889" i="1"/>
  <c r="BH889" i="1"/>
  <c r="BI889" i="1"/>
  <c r="AC889" i="1" s="1"/>
  <c r="BJ889" i="1"/>
  <c r="K890" i="1"/>
  <c r="Z890" i="1"/>
  <c r="AB890" i="1"/>
  <c r="AC890" i="1"/>
  <c r="AD890" i="1"/>
  <c r="AE890" i="1"/>
  <c r="AF890" i="1"/>
  <c r="AG890" i="1"/>
  <c r="AH890" i="1"/>
  <c r="AJ890" i="1"/>
  <c r="AK890" i="1"/>
  <c r="AL890" i="1"/>
  <c r="AO890" i="1"/>
  <c r="AP890" i="1"/>
  <c r="AX890" i="1" s="1"/>
  <c r="AW890" i="1"/>
  <c r="BD890" i="1"/>
  <c r="BF890" i="1"/>
  <c r="BH890" i="1"/>
  <c r="BI890" i="1"/>
  <c r="BJ890" i="1"/>
  <c r="K891" i="1"/>
  <c r="AL891" i="1" s="1"/>
  <c r="Z891" i="1"/>
  <c r="AC891" i="1"/>
  <c r="AD891" i="1"/>
  <c r="AE891" i="1"/>
  <c r="AF891" i="1"/>
  <c r="AG891" i="1"/>
  <c r="AH891" i="1"/>
  <c r="AJ891" i="1"/>
  <c r="AK891" i="1"/>
  <c r="AO891" i="1"/>
  <c r="AW891" i="1" s="1"/>
  <c r="AP891" i="1"/>
  <c r="AX891" i="1"/>
  <c r="BD891" i="1"/>
  <c r="BF891" i="1"/>
  <c r="BH891" i="1"/>
  <c r="AB891" i="1" s="1"/>
  <c r="BI891" i="1"/>
  <c r="BJ891" i="1"/>
  <c r="K893" i="1"/>
  <c r="Z893" i="1"/>
  <c r="AD893" i="1"/>
  <c r="AE893" i="1"/>
  <c r="AF893" i="1"/>
  <c r="AG893" i="1"/>
  <c r="AH893" i="1"/>
  <c r="AJ893" i="1"/>
  <c r="AK893" i="1"/>
  <c r="AL893" i="1"/>
  <c r="AO893" i="1"/>
  <c r="AP893" i="1"/>
  <c r="AX893" i="1" s="1"/>
  <c r="BC893" i="1" s="1"/>
  <c r="AW893" i="1"/>
  <c r="BD893" i="1"/>
  <c r="BF893" i="1"/>
  <c r="BH893" i="1"/>
  <c r="AB893" i="1" s="1"/>
  <c r="BI893" i="1"/>
  <c r="AC893" i="1" s="1"/>
  <c r="BJ893" i="1"/>
  <c r="K894" i="1"/>
  <c r="AL894" i="1" s="1"/>
  <c r="Z894" i="1"/>
  <c r="AB894" i="1"/>
  <c r="AD894" i="1"/>
  <c r="AE894" i="1"/>
  <c r="AF894" i="1"/>
  <c r="AG894" i="1"/>
  <c r="AH894" i="1"/>
  <c r="AJ894" i="1"/>
  <c r="AK894" i="1"/>
  <c r="AO894" i="1"/>
  <c r="AW894" i="1" s="1"/>
  <c r="AP894" i="1"/>
  <c r="AX894" i="1"/>
  <c r="BD894" i="1"/>
  <c r="BF894" i="1"/>
  <c r="BH894" i="1"/>
  <c r="BI894" i="1"/>
  <c r="AC894" i="1" s="1"/>
  <c r="BJ894" i="1"/>
  <c r="K895" i="1"/>
  <c r="Z895" i="1"/>
  <c r="AB895" i="1"/>
  <c r="AC895" i="1"/>
  <c r="AD895" i="1"/>
  <c r="AE895" i="1"/>
  <c r="AF895" i="1"/>
  <c r="AG895" i="1"/>
  <c r="AH895" i="1"/>
  <c r="AJ895" i="1"/>
  <c r="AK895" i="1"/>
  <c r="AL895" i="1"/>
  <c r="AO895" i="1"/>
  <c r="AP895" i="1"/>
  <c r="AX895" i="1" s="1"/>
  <c r="AW895" i="1"/>
  <c r="BC895" i="1" s="1"/>
  <c r="BD895" i="1"/>
  <c r="BF895" i="1"/>
  <c r="BH895" i="1"/>
  <c r="BI895" i="1"/>
  <c r="BJ895" i="1"/>
  <c r="K896" i="1"/>
  <c r="AL896" i="1" s="1"/>
  <c r="Z896" i="1"/>
  <c r="AC896" i="1"/>
  <c r="AD896" i="1"/>
  <c r="AE896" i="1"/>
  <c r="AF896" i="1"/>
  <c r="AG896" i="1"/>
  <c r="AH896" i="1"/>
  <c r="AJ896" i="1"/>
  <c r="AK896" i="1"/>
  <c r="AO896" i="1"/>
  <c r="AW896" i="1" s="1"/>
  <c r="AP896" i="1"/>
  <c r="AX896" i="1"/>
  <c r="BD896" i="1"/>
  <c r="BF896" i="1"/>
  <c r="BH896" i="1"/>
  <c r="AB896" i="1" s="1"/>
  <c r="BI896" i="1"/>
  <c r="BJ896" i="1"/>
  <c r="K897" i="1"/>
  <c r="Z897" i="1"/>
  <c r="AD897" i="1"/>
  <c r="AE897" i="1"/>
  <c r="AF897" i="1"/>
  <c r="AG897" i="1"/>
  <c r="AH897" i="1"/>
  <c r="AJ897" i="1"/>
  <c r="AK897" i="1"/>
  <c r="AL897" i="1"/>
  <c r="AO897" i="1"/>
  <c r="AP897" i="1"/>
  <c r="AX897" i="1" s="1"/>
  <c r="BC897" i="1" s="1"/>
  <c r="AW897" i="1"/>
  <c r="AV897" i="1" s="1"/>
  <c r="BD897" i="1"/>
  <c r="BF897" i="1"/>
  <c r="BH897" i="1"/>
  <c r="AB897" i="1" s="1"/>
  <c r="BI897" i="1"/>
  <c r="AC897" i="1" s="1"/>
  <c r="BJ897" i="1"/>
  <c r="K898" i="1"/>
  <c r="AL898" i="1" s="1"/>
  <c r="Z898" i="1"/>
  <c r="AB898" i="1"/>
  <c r="AD898" i="1"/>
  <c r="AE898" i="1"/>
  <c r="AF898" i="1"/>
  <c r="AG898" i="1"/>
  <c r="AH898" i="1"/>
  <c r="AJ898" i="1"/>
  <c r="AK898" i="1"/>
  <c r="AO898" i="1"/>
  <c r="AW898" i="1" s="1"/>
  <c r="AP898" i="1"/>
  <c r="AX898" i="1"/>
  <c r="BD898" i="1"/>
  <c r="BF898" i="1"/>
  <c r="BH898" i="1"/>
  <c r="BI898" i="1"/>
  <c r="AC898" i="1" s="1"/>
  <c r="BJ898" i="1"/>
  <c r="K899" i="1"/>
  <c r="Z899" i="1"/>
  <c r="AB899" i="1"/>
  <c r="AC899" i="1"/>
  <c r="AD899" i="1"/>
  <c r="AE899" i="1"/>
  <c r="AF899" i="1"/>
  <c r="AG899" i="1"/>
  <c r="AH899" i="1"/>
  <c r="AJ899" i="1"/>
  <c r="AK899" i="1"/>
  <c r="AL899" i="1"/>
  <c r="AO899" i="1"/>
  <c r="AP899" i="1"/>
  <c r="AX899" i="1" s="1"/>
  <c r="AW899" i="1"/>
  <c r="BD899" i="1"/>
  <c r="BF899" i="1"/>
  <c r="BH899" i="1"/>
  <c r="BI899" i="1"/>
  <c r="BJ899" i="1"/>
  <c r="K900" i="1"/>
  <c r="AL900" i="1" s="1"/>
  <c r="Z900" i="1"/>
  <c r="AC900" i="1"/>
  <c r="AD900" i="1"/>
  <c r="AE900" i="1"/>
  <c r="AF900" i="1"/>
  <c r="AG900" i="1"/>
  <c r="AH900" i="1"/>
  <c r="AJ900" i="1"/>
  <c r="AK900" i="1"/>
  <c r="AO900" i="1"/>
  <c r="AW900" i="1" s="1"/>
  <c r="AP900" i="1"/>
  <c r="AX900" i="1"/>
  <c r="BD900" i="1"/>
  <c r="BF900" i="1"/>
  <c r="BH900" i="1"/>
  <c r="AB900" i="1" s="1"/>
  <c r="BI900" i="1"/>
  <c r="BJ900" i="1"/>
  <c r="K901" i="1"/>
  <c r="Z901" i="1"/>
  <c r="AD901" i="1"/>
  <c r="AE901" i="1"/>
  <c r="AF901" i="1"/>
  <c r="AG901" i="1"/>
  <c r="AH901" i="1"/>
  <c r="AJ901" i="1"/>
  <c r="AK901" i="1"/>
  <c r="AL901" i="1"/>
  <c r="AO901" i="1"/>
  <c r="AP901" i="1"/>
  <c r="AX901" i="1" s="1"/>
  <c r="BC901" i="1" s="1"/>
  <c r="AW901" i="1"/>
  <c r="BD901" i="1"/>
  <c r="BF901" i="1"/>
  <c r="BH901" i="1"/>
  <c r="AB901" i="1" s="1"/>
  <c r="BI901" i="1"/>
  <c r="AC901" i="1" s="1"/>
  <c r="BJ901" i="1"/>
  <c r="K902" i="1"/>
  <c r="AL902" i="1" s="1"/>
  <c r="Z902" i="1"/>
  <c r="AB902" i="1"/>
  <c r="AD902" i="1"/>
  <c r="AE902" i="1"/>
  <c r="AF902" i="1"/>
  <c r="AG902" i="1"/>
  <c r="AH902" i="1"/>
  <c r="AJ902" i="1"/>
  <c r="AK902" i="1"/>
  <c r="AO902" i="1"/>
  <c r="AW902" i="1" s="1"/>
  <c r="AP902" i="1"/>
  <c r="AX902" i="1"/>
  <c r="BD902" i="1"/>
  <c r="BF902" i="1"/>
  <c r="BH902" i="1"/>
  <c r="BI902" i="1"/>
  <c r="AC902" i="1" s="1"/>
  <c r="BJ902" i="1"/>
  <c r="K903" i="1"/>
  <c r="Z903" i="1"/>
  <c r="AB903" i="1"/>
  <c r="AC903" i="1"/>
  <c r="AD903" i="1"/>
  <c r="AE903" i="1"/>
  <c r="AF903" i="1"/>
  <c r="AG903" i="1"/>
  <c r="AH903" i="1"/>
  <c r="AJ903" i="1"/>
  <c r="AK903" i="1"/>
  <c r="AL903" i="1"/>
  <c r="AO903" i="1"/>
  <c r="AP903" i="1"/>
  <c r="AX903" i="1" s="1"/>
  <c r="AW903" i="1"/>
  <c r="BC903" i="1" s="1"/>
  <c r="BD903" i="1"/>
  <c r="BF903" i="1"/>
  <c r="BH903" i="1"/>
  <c r="BI903" i="1"/>
  <c r="BJ903" i="1"/>
  <c r="K905" i="1"/>
  <c r="AL905" i="1" s="1"/>
  <c r="Z905" i="1"/>
  <c r="AC905" i="1"/>
  <c r="AD905" i="1"/>
  <c r="AE905" i="1"/>
  <c r="AF905" i="1"/>
  <c r="AG905" i="1"/>
  <c r="AH905" i="1"/>
  <c r="AJ905" i="1"/>
  <c r="AK905" i="1"/>
  <c r="AO905" i="1"/>
  <c r="AW905" i="1" s="1"/>
  <c r="AP905" i="1"/>
  <c r="AX905" i="1"/>
  <c r="BD905" i="1"/>
  <c r="BF905" i="1"/>
  <c r="BH905" i="1"/>
  <c r="AB905" i="1" s="1"/>
  <c r="BI905" i="1"/>
  <c r="BJ905" i="1"/>
  <c r="K906" i="1"/>
  <c r="Z906" i="1"/>
  <c r="AD906" i="1"/>
  <c r="AE906" i="1"/>
  <c r="AF906" i="1"/>
  <c r="AG906" i="1"/>
  <c r="AH906" i="1"/>
  <c r="AJ906" i="1"/>
  <c r="AK906" i="1"/>
  <c r="AL906" i="1"/>
  <c r="AO906" i="1"/>
  <c r="AP906" i="1"/>
  <c r="AX906" i="1" s="1"/>
  <c r="BC906" i="1" s="1"/>
  <c r="AW906" i="1"/>
  <c r="AV906" i="1" s="1"/>
  <c r="BD906" i="1"/>
  <c r="BF906" i="1"/>
  <c r="BH906" i="1"/>
  <c r="AB906" i="1" s="1"/>
  <c r="BI906" i="1"/>
  <c r="AC906" i="1" s="1"/>
  <c r="BJ906" i="1"/>
  <c r="K907" i="1"/>
  <c r="AL907" i="1" s="1"/>
  <c r="Z907" i="1"/>
  <c r="AB907" i="1"/>
  <c r="AD907" i="1"/>
  <c r="AE907" i="1"/>
  <c r="AF907" i="1"/>
  <c r="AG907" i="1"/>
  <c r="AH907" i="1"/>
  <c r="AJ907" i="1"/>
  <c r="AK907" i="1"/>
  <c r="AO907" i="1"/>
  <c r="AW907" i="1" s="1"/>
  <c r="AP907" i="1"/>
  <c r="AX907" i="1"/>
  <c r="BD907" i="1"/>
  <c r="BF907" i="1"/>
  <c r="BH907" i="1"/>
  <c r="BI907" i="1"/>
  <c r="AC907" i="1" s="1"/>
  <c r="BJ907" i="1"/>
  <c r="K908" i="1"/>
  <c r="Z908" i="1"/>
  <c r="AB908" i="1"/>
  <c r="AC908" i="1"/>
  <c r="AD908" i="1"/>
  <c r="AE908" i="1"/>
  <c r="AF908" i="1"/>
  <c r="AG908" i="1"/>
  <c r="AH908" i="1"/>
  <c r="AJ908" i="1"/>
  <c r="AK908" i="1"/>
  <c r="AL908" i="1"/>
  <c r="AO908" i="1"/>
  <c r="AP908" i="1"/>
  <c r="AX908" i="1" s="1"/>
  <c r="AW908" i="1"/>
  <c r="BD908" i="1"/>
  <c r="BF908" i="1"/>
  <c r="BH908" i="1"/>
  <c r="BI908" i="1"/>
  <c r="BJ908" i="1"/>
  <c r="K909" i="1"/>
  <c r="AL909" i="1" s="1"/>
  <c r="Z909" i="1"/>
  <c r="AC909" i="1"/>
  <c r="AD909" i="1"/>
  <c r="AE909" i="1"/>
  <c r="AF909" i="1"/>
  <c r="AG909" i="1"/>
  <c r="AH909" i="1"/>
  <c r="AJ909" i="1"/>
  <c r="AK909" i="1"/>
  <c r="AO909" i="1"/>
  <c r="AW909" i="1" s="1"/>
  <c r="AP909" i="1"/>
  <c r="AX909" i="1"/>
  <c r="BD909" i="1"/>
  <c r="BF909" i="1"/>
  <c r="BH909" i="1"/>
  <c r="AB909" i="1" s="1"/>
  <c r="BI909" i="1"/>
  <c r="BJ909" i="1"/>
  <c r="K910" i="1"/>
  <c r="Z910" i="1"/>
  <c r="AD910" i="1"/>
  <c r="AE910" i="1"/>
  <c r="AF910" i="1"/>
  <c r="AG910" i="1"/>
  <c r="AH910" i="1"/>
  <c r="AJ910" i="1"/>
  <c r="AK910" i="1"/>
  <c r="AL910" i="1"/>
  <c r="AO910" i="1"/>
  <c r="AP910" i="1"/>
  <c r="AX910" i="1" s="1"/>
  <c r="BC910" i="1" s="1"/>
  <c r="AW910" i="1"/>
  <c r="BD910" i="1"/>
  <c r="BF910" i="1"/>
  <c r="BH910" i="1"/>
  <c r="AB910" i="1" s="1"/>
  <c r="BI910" i="1"/>
  <c r="AC910" i="1" s="1"/>
  <c r="BJ910" i="1"/>
  <c r="K911" i="1"/>
  <c r="AL911" i="1" s="1"/>
  <c r="Z911" i="1"/>
  <c r="AB911" i="1"/>
  <c r="AD911" i="1"/>
  <c r="AE911" i="1"/>
  <c r="AF911" i="1"/>
  <c r="AG911" i="1"/>
  <c r="AH911" i="1"/>
  <c r="AJ911" i="1"/>
  <c r="AK911" i="1"/>
  <c r="AO911" i="1"/>
  <c r="AW911" i="1" s="1"/>
  <c r="AP911" i="1"/>
  <c r="AX911" i="1"/>
  <c r="BD911" i="1"/>
  <c r="BF911" i="1"/>
  <c r="BH911" i="1"/>
  <c r="BI911" i="1"/>
  <c r="AC911" i="1" s="1"/>
  <c r="BJ911" i="1"/>
  <c r="K912" i="1"/>
  <c r="Z912" i="1"/>
  <c r="AB912" i="1"/>
  <c r="AC912" i="1"/>
  <c r="AD912" i="1"/>
  <c r="AE912" i="1"/>
  <c r="AF912" i="1"/>
  <c r="AG912" i="1"/>
  <c r="AH912" i="1"/>
  <c r="AJ912" i="1"/>
  <c r="AK912" i="1"/>
  <c r="AL912" i="1"/>
  <c r="AO912" i="1"/>
  <c r="AP912" i="1"/>
  <c r="AX912" i="1" s="1"/>
  <c r="AW912" i="1"/>
  <c r="BC912" i="1" s="1"/>
  <c r="BD912" i="1"/>
  <c r="BF912" i="1"/>
  <c r="BH912" i="1"/>
  <c r="BI912" i="1"/>
  <c r="BJ912" i="1"/>
  <c r="K913" i="1"/>
  <c r="AL913" i="1" s="1"/>
  <c r="Z913" i="1"/>
  <c r="AC913" i="1"/>
  <c r="AD913" i="1"/>
  <c r="AE913" i="1"/>
  <c r="AF913" i="1"/>
  <c r="AG913" i="1"/>
  <c r="AH913" i="1"/>
  <c r="AJ913" i="1"/>
  <c r="AK913" i="1"/>
  <c r="AO913" i="1"/>
  <c r="AW913" i="1" s="1"/>
  <c r="AP913" i="1"/>
  <c r="AX913" i="1"/>
  <c r="BD913" i="1"/>
  <c r="BF913" i="1"/>
  <c r="BH913" i="1"/>
  <c r="AB913" i="1" s="1"/>
  <c r="BI913" i="1"/>
  <c r="BJ913" i="1"/>
  <c r="K914" i="1"/>
  <c r="Z914" i="1"/>
  <c r="AD914" i="1"/>
  <c r="AE914" i="1"/>
  <c r="AF914" i="1"/>
  <c r="AG914" i="1"/>
  <c r="AH914" i="1"/>
  <c r="AJ914" i="1"/>
  <c r="AK914" i="1"/>
  <c r="AL914" i="1"/>
  <c r="AO914" i="1"/>
  <c r="AP914" i="1"/>
  <c r="AX914" i="1" s="1"/>
  <c r="BC914" i="1" s="1"/>
  <c r="AW914" i="1"/>
  <c r="AV914" i="1" s="1"/>
  <c r="BD914" i="1"/>
  <c r="BF914" i="1"/>
  <c r="BH914" i="1"/>
  <c r="AB914" i="1" s="1"/>
  <c r="BI914" i="1"/>
  <c r="AC914" i="1" s="1"/>
  <c r="BJ914" i="1"/>
  <c r="K915" i="1"/>
  <c r="AL915" i="1" s="1"/>
  <c r="Z915" i="1"/>
  <c r="AB915" i="1"/>
  <c r="AD915" i="1"/>
  <c r="AE915" i="1"/>
  <c r="AF915" i="1"/>
  <c r="AG915" i="1"/>
  <c r="AH915" i="1"/>
  <c r="AJ915" i="1"/>
  <c r="AK915" i="1"/>
  <c r="AO915" i="1"/>
  <c r="AW915" i="1" s="1"/>
  <c r="AP915" i="1"/>
  <c r="AX915" i="1"/>
  <c r="BD915" i="1"/>
  <c r="BF915" i="1"/>
  <c r="BH915" i="1"/>
  <c r="BI915" i="1"/>
  <c r="AC915" i="1" s="1"/>
  <c r="BJ915" i="1"/>
  <c r="K916" i="1"/>
  <c r="Z916" i="1"/>
  <c r="AB916" i="1"/>
  <c r="AC916" i="1"/>
  <c r="AD916" i="1"/>
  <c r="AE916" i="1"/>
  <c r="AF916" i="1"/>
  <c r="AG916" i="1"/>
  <c r="AH916" i="1"/>
  <c r="AJ916" i="1"/>
  <c r="AK916" i="1"/>
  <c r="AL916" i="1"/>
  <c r="AO916" i="1"/>
  <c r="AP916" i="1"/>
  <c r="AX916" i="1" s="1"/>
  <c r="AW916" i="1"/>
  <c r="BD916" i="1"/>
  <c r="BF916" i="1"/>
  <c r="BH916" i="1"/>
  <c r="BI916" i="1"/>
  <c r="BJ916" i="1"/>
  <c r="K917" i="1"/>
  <c r="AL917" i="1" s="1"/>
  <c r="Z917" i="1"/>
  <c r="AC917" i="1"/>
  <c r="AD917" i="1"/>
  <c r="AE917" i="1"/>
  <c r="AF917" i="1"/>
  <c r="AG917" i="1"/>
  <c r="AH917" i="1"/>
  <c r="AJ917" i="1"/>
  <c r="AK917" i="1"/>
  <c r="AO917" i="1"/>
  <c r="AW917" i="1" s="1"/>
  <c r="AP917" i="1"/>
  <c r="AX917" i="1"/>
  <c r="BD917" i="1"/>
  <c r="BF917" i="1"/>
  <c r="BH917" i="1"/>
  <c r="AB917" i="1" s="1"/>
  <c r="BI917" i="1"/>
  <c r="BJ917" i="1"/>
  <c r="K918" i="1"/>
  <c r="Z918" i="1"/>
  <c r="AD918" i="1"/>
  <c r="AE918" i="1"/>
  <c r="AF918" i="1"/>
  <c r="AG918" i="1"/>
  <c r="AH918" i="1"/>
  <c r="AJ918" i="1"/>
  <c r="AK918" i="1"/>
  <c r="AL918" i="1"/>
  <c r="AO918" i="1"/>
  <c r="AP918" i="1"/>
  <c r="AX918" i="1" s="1"/>
  <c r="BC918" i="1" s="1"/>
  <c r="AW918" i="1"/>
  <c r="BD918" i="1"/>
  <c r="BF918" i="1"/>
  <c r="BH918" i="1"/>
  <c r="AB918" i="1" s="1"/>
  <c r="BI918" i="1"/>
  <c r="AC918" i="1" s="1"/>
  <c r="BJ918" i="1"/>
  <c r="K919" i="1"/>
  <c r="AL919" i="1" s="1"/>
  <c r="Z919" i="1"/>
  <c r="AB919" i="1"/>
  <c r="AD919" i="1"/>
  <c r="AE919" i="1"/>
  <c r="AF919" i="1"/>
  <c r="AG919" i="1"/>
  <c r="AH919" i="1"/>
  <c r="AJ919" i="1"/>
  <c r="AK919" i="1"/>
  <c r="AO919" i="1"/>
  <c r="AW919" i="1" s="1"/>
  <c r="AP919" i="1"/>
  <c r="AX919" i="1"/>
  <c r="BD919" i="1"/>
  <c r="BF919" i="1"/>
  <c r="BH919" i="1"/>
  <c r="BI919" i="1"/>
  <c r="AC919" i="1" s="1"/>
  <c r="BJ919" i="1"/>
  <c r="K920" i="1"/>
  <c r="Z920" i="1"/>
  <c r="AB920" i="1"/>
  <c r="AC920" i="1"/>
  <c r="AD920" i="1"/>
  <c r="AE920" i="1"/>
  <c r="AF920" i="1"/>
  <c r="AG920" i="1"/>
  <c r="AH920" i="1"/>
  <c r="AJ920" i="1"/>
  <c r="AK920" i="1"/>
  <c r="AL920" i="1"/>
  <c r="AO920" i="1"/>
  <c r="AP920" i="1"/>
  <c r="AX920" i="1" s="1"/>
  <c r="AW920" i="1"/>
  <c r="BC920" i="1" s="1"/>
  <c r="BD920" i="1"/>
  <c r="BF920" i="1"/>
  <c r="BH920" i="1"/>
  <c r="BI920" i="1"/>
  <c r="BJ920" i="1"/>
  <c r="K921" i="1"/>
  <c r="AL921" i="1" s="1"/>
  <c r="Z921" i="1"/>
  <c r="AC921" i="1"/>
  <c r="AD921" i="1"/>
  <c r="AE921" i="1"/>
  <c r="AF921" i="1"/>
  <c r="AG921" i="1"/>
  <c r="AH921" i="1"/>
  <c r="AJ921" i="1"/>
  <c r="AK921" i="1"/>
  <c r="AO921" i="1"/>
  <c r="AW921" i="1" s="1"/>
  <c r="AP921" i="1"/>
  <c r="AX921" i="1"/>
  <c r="BD921" i="1"/>
  <c r="BF921" i="1"/>
  <c r="BH921" i="1"/>
  <c r="AB921" i="1" s="1"/>
  <c r="BI921" i="1"/>
  <c r="BJ921" i="1"/>
  <c r="K922" i="1"/>
  <c r="Z922" i="1"/>
  <c r="AD922" i="1"/>
  <c r="AE922" i="1"/>
  <c r="AF922" i="1"/>
  <c r="AG922" i="1"/>
  <c r="AH922" i="1"/>
  <c r="AJ922" i="1"/>
  <c r="AK922" i="1"/>
  <c r="AL922" i="1"/>
  <c r="AO922" i="1"/>
  <c r="AP922" i="1"/>
  <c r="AX922" i="1" s="1"/>
  <c r="BC922" i="1" s="1"/>
  <c r="AW922" i="1"/>
  <c r="AV922" i="1" s="1"/>
  <c r="BD922" i="1"/>
  <c r="BF922" i="1"/>
  <c r="BH922" i="1"/>
  <c r="AB922" i="1" s="1"/>
  <c r="BI922" i="1"/>
  <c r="AC922" i="1" s="1"/>
  <c r="BJ922" i="1"/>
  <c r="K923" i="1"/>
  <c r="AL923" i="1" s="1"/>
  <c r="Z923" i="1"/>
  <c r="AB923" i="1"/>
  <c r="AD923" i="1"/>
  <c r="AE923" i="1"/>
  <c r="AF923" i="1"/>
  <c r="AG923" i="1"/>
  <c r="AH923" i="1"/>
  <c r="AJ923" i="1"/>
  <c r="AK923" i="1"/>
  <c r="AO923" i="1"/>
  <c r="AW923" i="1" s="1"/>
  <c r="AP923" i="1"/>
  <c r="AX923" i="1"/>
  <c r="BD923" i="1"/>
  <c r="BF923" i="1"/>
  <c r="BH923" i="1"/>
  <c r="BI923" i="1"/>
  <c r="AC923" i="1" s="1"/>
  <c r="BJ923" i="1"/>
  <c r="K924" i="1"/>
  <c r="Z924" i="1"/>
  <c r="AB924" i="1"/>
  <c r="AC924" i="1"/>
  <c r="AD924" i="1"/>
  <c r="AE924" i="1"/>
  <c r="AF924" i="1"/>
  <c r="AG924" i="1"/>
  <c r="AH924" i="1"/>
  <c r="AJ924" i="1"/>
  <c r="AK924" i="1"/>
  <c r="AL924" i="1"/>
  <c r="AO924" i="1"/>
  <c r="AP924" i="1"/>
  <c r="AX924" i="1" s="1"/>
  <c r="AW924" i="1"/>
  <c r="BD924" i="1"/>
  <c r="BF924" i="1"/>
  <c r="BH924" i="1"/>
  <c r="BI924" i="1"/>
  <c r="BJ924" i="1"/>
  <c r="K925" i="1"/>
  <c r="AL925" i="1" s="1"/>
  <c r="Z925" i="1"/>
  <c r="AC925" i="1"/>
  <c r="AD925" i="1"/>
  <c r="AE925" i="1"/>
  <c r="AF925" i="1"/>
  <c r="AG925" i="1"/>
  <c r="AH925" i="1"/>
  <c r="AJ925" i="1"/>
  <c r="AK925" i="1"/>
  <c r="AO925" i="1"/>
  <c r="AW925" i="1" s="1"/>
  <c r="AP925" i="1"/>
  <c r="AX925" i="1"/>
  <c r="BD925" i="1"/>
  <c r="BF925" i="1"/>
  <c r="BH925" i="1"/>
  <c r="AB925" i="1" s="1"/>
  <c r="BI925" i="1"/>
  <c r="BJ925" i="1"/>
  <c r="K926" i="1"/>
  <c r="Z926" i="1"/>
  <c r="AD926" i="1"/>
  <c r="AE926" i="1"/>
  <c r="AF926" i="1"/>
  <c r="AG926" i="1"/>
  <c r="AH926" i="1"/>
  <c r="AJ926" i="1"/>
  <c r="AK926" i="1"/>
  <c r="AL926" i="1"/>
  <c r="AO926" i="1"/>
  <c r="AP926" i="1"/>
  <c r="AX926" i="1" s="1"/>
  <c r="BC926" i="1" s="1"/>
  <c r="AW926" i="1"/>
  <c r="BD926" i="1"/>
  <c r="BF926" i="1"/>
  <c r="BH926" i="1"/>
  <c r="AB926" i="1" s="1"/>
  <c r="BI926" i="1"/>
  <c r="AC926" i="1" s="1"/>
  <c r="BJ926" i="1"/>
  <c r="K927" i="1"/>
  <c r="AL927" i="1" s="1"/>
  <c r="Z927" i="1"/>
  <c r="AB927" i="1"/>
  <c r="AD927" i="1"/>
  <c r="AE927" i="1"/>
  <c r="AF927" i="1"/>
  <c r="AG927" i="1"/>
  <c r="AH927" i="1"/>
  <c r="AJ927" i="1"/>
  <c r="AK927" i="1"/>
  <c r="AO927" i="1"/>
  <c r="AW927" i="1" s="1"/>
  <c r="AP927" i="1"/>
  <c r="AX927" i="1"/>
  <c r="BD927" i="1"/>
  <c r="BF927" i="1"/>
  <c r="BH927" i="1"/>
  <c r="BI927" i="1"/>
  <c r="AC927" i="1" s="1"/>
  <c r="BJ927" i="1"/>
  <c r="K928" i="1"/>
  <c r="Z928" i="1"/>
  <c r="AB928" i="1"/>
  <c r="AC928" i="1"/>
  <c r="AD928" i="1"/>
  <c r="AE928" i="1"/>
  <c r="AF928" i="1"/>
  <c r="AG928" i="1"/>
  <c r="AH928" i="1"/>
  <c r="AJ928" i="1"/>
  <c r="AK928" i="1"/>
  <c r="AL928" i="1"/>
  <c r="AO928" i="1"/>
  <c r="AP928" i="1"/>
  <c r="AX928" i="1" s="1"/>
  <c r="AW928" i="1"/>
  <c r="BC928" i="1" s="1"/>
  <c r="BD928" i="1"/>
  <c r="BF928" i="1"/>
  <c r="BH928" i="1"/>
  <c r="BI928" i="1"/>
  <c r="BJ928" i="1"/>
  <c r="K929" i="1"/>
  <c r="AL929" i="1" s="1"/>
  <c r="Z929" i="1"/>
  <c r="AC929" i="1"/>
  <c r="AD929" i="1"/>
  <c r="AE929" i="1"/>
  <c r="AF929" i="1"/>
  <c r="AG929" i="1"/>
  <c r="AH929" i="1"/>
  <c r="AJ929" i="1"/>
  <c r="AK929" i="1"/>
  <c r="AO929" i="1"/>
  <c r="AW929" i="1" s="1"/>
  <c r="AP929" i="1"/>
  <c r="AX929" i="1"/>
  <c r="BD929" i="1"/>
  <c r="BF929" i="1"/>
  <c r="BH929" i="1"/>
  <c r="AB929" i="1" s="1"/>
  <c r="BI929" i="1"/>
  <c r="BJ929" i="1"/>
  <c r="K930" i="1"/>
  <c r="Z930" i="1"/>
  <c r="AD930" i="1"/>
  <c r="AE930" i="1"/>
  <c r="AF930" i="1"/>
  <c r="AG930" i="1"/>
  <c r="AH930" i="1"/>
  <c r="AJ930" i="1"/>
  <c r="AK930" i="1"/>
  <c r="AL930" i="1"/>
  <c r="AO930" i="1"/>
  <c r="AP930" i="1"/>
  <c r="AX930" i="1" s="1"/>
  <c r="BC930" i="1" s="1"/>
  <c r="AW930" i="1"/>
  <c r="AV930" i="1" s="1"/>
  <c r="BD930" i="1"/>
  <c r="BF930" i="1"/>
  <c r="BH930" i="1"/>
  <c r="AB930" i="1" s="1"/>
  <c r="BI930" i="1"/>
  <c r="AC930" i="1" s="1"/>
  <c r="BJ930" i="1"/>
  <c r="K931" i="1"/>
  <c r="AL931" i="1" s="1"/>
  <c r="Z931" i="1"/>
  <c r="AB931" i="1"/>
  <c r="AD931" i="1"/>
  <c r="AE931" i="1"/>
  <c r="AF931" i="1"/>
  <c r="AG931" i="1"/>
  <c r="AH931" i="1"/>
  <c r="AJ931" i="1"/>
  <c r="AK931" i="1"/>
  <c r="AO931" i="1"/>
  <c r="AW931" i="1" s="1"/>
  <c r="AP931" i="1"/>
  <c r="AX931" i="1"/>
  <c r="BD931" i="1"/>
  <c r="BF931" i="1"/>
  <c r="BH931" i="1"/>
  <c r="BI931" i="1"/>
  <c r="AC931" i="1" s="1"/>
  <c r="BJ931" i="1"/>
  <c r="K932" i="1"/>
  <c r="Z932" i="1"/>
  <c r="AB932" i="1"/>
  <c r="AC932" i="1"/>
  <c r="AD932" i="1"/>
  <c r="AE932" i="1"/>
  <c r="AF932" i="1"/>
  <c r="AG932" i="1"/>
  <c r="AH932" i="1"/>
  <c r="AJ932" i="1"/>
  <c r="AK932" i="1"/>
  <c r="AL932" i="1"/>
  <c r="AO932" i="1"/>
  <c r="AP932" i="1"/>
  <c r="AX932" i="1" s="1"/>
  <c r="AW932" i="1"/>
  <c r="BD932" i="1"/>
  <c r="BF932" i="1"/>
  <c r="BH932" i="1"/>
  <c r="BI932" i="1"/>
  <c r="BJ932" i="1"/>
  <c r="K933" i="1"/>
  <c r="AL933" i="1" s="1"/>
  <c r="Z933" i="1"/>
  <c r="AC933" i="1"/>
  <c r="AD933" i="1"/>
  <c r="AE933" i="1"/>
  <c r="AF933" i="1"/>
  <c r="AG933" i="1"/>
  <c r="AH933" i="1"/>
  <c r="AJ933" i="1"/>
  <c r="AK933" i="1"/>
  <c r="AO933" i="1"/>
  <c r="AW933" i="1" s="1"/>
  <c r="AP933" i="1"/>
  <c r="AX933" i="1"/>
  <c r="BD933" i="1"/>
  <c r="BF933" i="1"/>
  <c r="BH933" i="1"/>
  <c r="AB933" i="1" s="1"/>
  <c r="BI933" i="1"/>
  <c r="BJ933" i="1"/>
  <c r="K934" i="1"/>
  <c r="Z934" i="1"/>
  <c r="AD934" i="1"/>
  <c r="AE934" i="1"/>
  <c r="AF934" i="1"/>
  <c r="AG934" i="1"/>
  <c r="AH934" i="1"/>
  <c r="AJ934" i="1"/>
  <c r="AK934" i="1"/>
  <c r="AL934" i="1"/>
  <c r="AO934" i="1"/>
  <c r="AP934" i="1"/>
  <c r="AX934" i="1" s="1"/>
  <c r="BC934" i="1" s="1"/>
  <c r="AW934" i="1"/>
  <c r="BD934" i="1"/>
  <c r="BF934" i="1"/>
  <c r="BH934" i="1"/>
  <c r="AB934" i="1" s="1"/>
  <c r="BI934" i="1"/>
  <c r="AC934" i="1" s="1"/>
  <c r="BJ934" i="1"/>
  <c r="K935" i="1"/>
  <c r="AL935" i="1" s="1"/>
  <c r="Z935" i="1"/>
  <c r="AB935" i="1"/>
  <c r="AD935" i="1"/>
  <c r="AE935" i="1"/>
  <c r="AF935" i="1"/>
  <c r="AG935" i="1"/>
  <c r="AH935" i="1"/>
  <c r="AJ935" i="1"/>
  <c r="AK935" i="1"/>
  <c r="AO935" i="1"/>
  <c r="AW935" i="1" s="1"/>
  <c r="AP935" i="1"/>
  <c r="AX935" i="1"/>
  <c r="BD935" i="1"/>
  <c r="BF935" i="1"/>
  <c r="BH935" i="1"/>
  <c r="BI935" i="1"/>
  <c r="AC935" i="1" s="1"/>
  <c r="BJ935" i="1"/>
  <c r="K936" i="1"/>
  <c r="Z936" i="1"/>
  <c r="AB936" i="1"/>
  <c r="AC936" i="1"/>
  <c r="AD936" i="1"/>
  <c r="AE936" i="1"/>
  <c r="AF936" i="1"/>
  <c r="AG936" i="1"/>
  <c r="AH936" i="1"/>
  <c r="AJ936" i="1"/>
  <c r="AK936" i="1"/>
  <c r="AL936" i="1"/>
  <c r="AO936" i="1"/>
  <c r="AP936" i="1"/>
  <c r="AX936" i="1" s="1"/>
  <c r="AW936" i="1"/>
  <c r="BC936" i="1" s="1"/>
  <c r="BD936" i="1"/>
  <c r="BF936" i="1"/>
  <c r="BH936" i="1"/>
  <c r="BI936" i="1"/>
  <c r="BJ936" i="1"/>
  <c r="K937" i="1"/>
  <c r="AL937" i="1" s="1"/>
  <c r="Z937" i="1"/>
  <c r="AC937" i="1"/>
  <c r="AD937" i="1"/>
  <c r="AE937" i="1"/>
  <c r="AF937" i="1"/>
  <c r="AG937" i="1"/>
  <c r="AH937" i="1"/>
  <c r="AJ937" i="1"/>
  <c r="AK937" i="1"/>
  <c r="AO937" i="1"/>
  <c r="AW937" i="1" s="1"/>
  <c r="AP937" i="1"/>
  <c r="AX937" i="1"/>
  <c r="BD937" i="1"/>
  <c r="BF937" i="1"/>
  <c r="BH937" i="1"/>
  <c r="AB937" i="1" s="1"/>
  <c r="BI937" i="1"/>
  <c r="BJ937" i="1"/>
  <c r="K938" i="1"/>
  <c r="Z938" i="1"/>
  <c r="AD938" i="1"/>
  <c r="AE938" i="1"/>
  <c r="AF938" i="1"/>
  <c r="AG938" i="1"/>
  <c r="AH938" i="1"/>
  <c r="AJ938" i="1"/>
  <c r="AK938" i="1"/>
  <c r="AL938" i="1"/>
  <c r="AO938" i="1"/>
  <c r="AP938" i="1"/>
  <c r="AX938" i="1" s="1"/>
  <c r="BC938" i="1" s="1"/>
  <c r="AW938" i="1"/>
  <c r="AV938" i="1" s="1"/>
  <c r="BD938" i="1"/>
  <c r="BF938" i="1"/>
  <c r="BH938" i="1"/>
  <c r="AB938" i="1" s="1"/>
  <c r="BI938" i="1"/>
  <c r="AC938" i="1" s="1"/>
  <c r="BJ938" i="1"/>
  <c r="K939" i="1"/>
  <c r="AL939" i="1" s="1"/>
  <c r="Z939" i="1"/>
  <c r="AB939" i="1"/>
  <c r="AD939" i="1"/>
  <c r="AE939" i="1"/>
  <c r="AF939" i="1"/>
  <c r="AG939" i="1"/>
  <c r="AH939" i="1"/>
  <c r="AJ939" i="1"/>
  <c r="AK939" i="1"/>
  <c r="AO939" i="1"/>
  <c r="AW939" i="1" s="1"/>
  <c r="AP939" i="1"/>
  <c r="AX939" i="1"/>
  <c r="BD939" i="1"/>
  <c r="BF939" i="1"/>
  <c r="BH939" i="1"/>
  <c r="BI939" i="1"/>
  <c r="AC939" i="1" s="1"/>
  <c r="BJ939" i="1"/>
  <c r="K940" i="1"/>
  <c r="Z940" i="1"/>
  <c r="AB940" i="1"/>
  <c r="AC940" i="1"/>
  <c r="AD940" i="1"/>
  <c r="AE940" i="1"/>
  <c r="AF940" i="1"/>
  <c r="AG940" i="1"/>
  <c r="AH940" i="1"/>
  <c r="AJ940" i="1"/>
  <c r="AK940" i="1"/>
  <c r="AL940" i="1"/>
  <c r="AO940" i="1"/>
  <c r="AP940" i="1"/>
  <c r="AX940" i="1" s="1"/>
  <c r="AW940" i="1"/>
  <c r="BD940" i="1"/>
  <c r="BF940" i="1"/>
  <c r="BH940" i="1"/>
  <c r="BI940" i="1"/>
  <c r="BJ940" i="1"/>
  <c r="K941" i="1"/>
  <c r="AL941" i="1" s="1"/>
  <c r="Z941" i="1"/>
  <c r="AC941" i="1"/>
  <c r="AD941" i="1"/>
  <c r="AE941" i="1"/>
  <c r="AF941" i="1"/>
  <c r="AG941" i="1"/>
  <c r="AH941" i="1"/>
  <c r="AJ941" i="1"/>
  <c r="AK941" i="1"/>
  <c r="AO941" i="1"/>
  <c r="AW941" i="1" s="1"/>
  <c r="AP941" i="1"/>
  <c r="AX941" i="1"/>
  <c r="BD941" i="1"/>
  <c r="BF941" i="1"/>
  <c r="BH941" i="1"/>
  <c r="AB941" i="1" s="1"/>
  <c r="BI941" i="1"/>
  <c r="BJ941" i="1"/>
  <c r="K942" i="1"/>
  <c r="Z942" i="1"/>
  <c r="AD942" i="1"/>
  <c r="AE942" i="1"/>
  <c r="AF942" i="1"/>
  <c r="AG942" i="1"/>
  <c r="AH942" i="1"/>
  <c r="AJ942" i="1"/>
  <c r="AK942" i="1"/>
  <c r="AL942" i="1"/>
  <c r="AO942" i="1"/>
  <c r="AP942" i="1"/>
  <c r="AX942" i="1" s="1"/>
  <c r="BC942" i="1" s="1"/>
  <c r="AW942" i="1"/>
  <c r="BD942" i="1"/>
  <c r="BF942" i="1"/>
  <c r="BH942" i="1"/>
  <c r="AB942" i="1" s="1"/>
  <c r="BI942" i="1"/>
  <c r="AC942" i="1" s="1"/>
  <c r="BJ942" i="1"/>
  <c r="K943" i="1"/>
  <c r="AL943" i="1" s="1"/>
  <c r="Z943" i="1"/>
  <c r="AB943" i="1"/>
  <c r="AD943" i="1"/>
  <c r="AE943" i="1"/>
  <c r="AF943" i="1"/>
  <c r="AG943" i="1"/>
  <c r="AH943" i="1"/>
  <c r="AJ943" i="1"/>
  <c r="AK943" i="1"/>
  <c r="AO943" i="1"/>
  <c r="AW943" i="1" s="1"/>
  <c r="AP943" i="1"/>
  <c r="AX943" i="1"/>
  <c r="BD943" i="1"/>
  <c r="BF943" i="1"/>
  <c r="BH943" i="1"/>
  <c r="BI943" i="1"/>
  <c r="AC943" i="1" s="1"/>
  <c r="BJ943" i="1"/>
  <c r="K944" i="1"/>
  <c r="Z944" i="1"/>
  <c r="AB944" i="1"/>
  <c r="AC944" i="1"/>
  <c r="AD944" i="1"/>
  <c r="AE944" i="1"/>
  <c r="AF944" i="1"/>
  <c r="AG944" i="1"/>
  <c r="AH944" i="1"/>
  <c r="AJ944" i="1"/>
  <c r="AK944" i="1"/>
  <c r="AL944" i="1"/>
  <c r="AO944" i="1"/>
  <c r="AP944" i="1"/>
  <c r="AX944" i="1" s="1"/>
  <c r="AW944" i="1"/>
  <c r="BC944" i="1" s="1"/>
  <c r="BD944" i="1"/>
  <c r="BF944" i="1"/>
  <c r="BH944" i="1"/>
  <c r="BI944" i="1"/>
  <c r="BJ944" i="1"/>
  <c r="K945" i="1"/>
  <c r="AL945" i="1" s="1"/>
  <c r="Z945" i="1"/>
  <c r="AC945" i="1"/>
  <c r="AD945" i="1"/>
  <c r="AE945" i="1"/>
  <c r="AF945" i="1"/>
  <c r="AG945" i="1"/>
  <c r="AH945" i="1"/>
  <c r="AJ945" i="1"/>
  <c r="AK945" i="1"/>
  <c r="AO945" i="1"/>
  <c r="AW945" i="1" s="1"/>
  <c r="AP945" i="1"/>
  <c r="AX945" i="1"/>
  <c r="BD945" i="1"/>
  <c r="BF945" i="1"/>
  <c r="BH945" i="1"/>
  <c r="AB945" i="1" s="1"/>
  <c r="BI945" i="1"/>
  <c r="BJ945" i="1"/>
  <c r="K946" i="1"/>
  <c r="Z946" i="1"/>
  <c r="AD946" i="1"/>
  <c r="AE946" i="1"/>
  <c r="AF946" i="1"/>
  <c r="AG946" i="1"/>
  <c r="AH946" i="1"/>
  <c r="AJ946" i="1"/>
  <c r="AK946" i="1"/>
  <c r="AL946" i="1"/>
  <c r="AO946" i="1"/>
  <c r="AP946" i="1"/>
  <c r="AX946" i="1" s="1"/>
  <c r="BC946" i="1" s="1"/>
  <c r="AW946" i="1"/>
  <c r="AV946" i="1" s="1"/>
  <c r="BD946" i="1"/>
  <c r="BF946" i="1"/>
  <c r="BH946" i="1"/>
  <c r="AB946" i="1" s="1"/>
  <c r="BI946" i="1"/>
  <c r="AC946" i="1" s="1"/>
  <c r="BJ946" i="1"/>
  <c r="K947" i="1"/>
  <c r="AL947" i="1" s="1"/>
  <c r="Z947" i="1"/>
  <c r="AB947" i="1"/>
  <c r="AD947" i="1"/>
  <c r="AE947" i="1"/>
  <c r="AF947" i="1"/>
  <c r="AG947" i="1"/>
  <c r="AH947" i="1"/>
  <c r="AJ947" i="1"/>
  <c r="AK947" i="1"/>
  <c r="AO947" i="1"/>
  <c r="AW947" i="1" s="1"/>
  <c r="AP947" i="1"/>
  <c r="AX947" i="1"/>
  <c r="BD947" i="1"/>
  <c r="BF947" i="1"/>
  <c r="BH947" i="1"/>
  <c r="BI947" i="1"/>
  <c r="AC947" i="1" s="1"/>
  <c r="BJ947" i="1"/>
  <c r="K948" i="1"/>
  <c r="Z948" i="1"/>
  <c r="AB948" i="1"/>
  <c r="AC948" i="1"/>
  <c r="AD948" i="1"/>
  <c r="AE948" i="1"/>
  <c r="AF948" i="1"/>
  <c r="AG948" i="1"/>
  <c r="AH948" i="1"/>
  <c r="AJ948" i="1"/>
  <c r="AK948" i="1"/>
  <c r="AL948" i="1"/>
  <c r="AO948" i="1"/>
  <c r="AP948" i="1"/>
  <c r="AX948" i="1" s="1"/>
  <c r="AW948" i="1"/>
  <c r="BD948" i="1"/>
  <c r="BF948" i="1"/>
  <c r="BH948" i="1"/>
  <c r="BI948" i="1"/>
  <c r="BJ948" i="1"/>
  <c r="K949" i="1"/>
  <c r="AL949" i="1" s="1"/>
  <c r="Z949" i="1"/>
  <c r="AC949" i="1"/>
  <c r="AD949" i="1"/>
  <c r="AE949" i="1"/>
  <c r="AF949" i="1"/>
  <c r="AG949" i="1"/>
  <c r="AH949" i="1"/>
  <c r="AJ949" i="1"/>
  <c r="AK949" i="1"/>
  <c r="AO949" i="1"/>
  <c r="AW949" i="1" s="1"/>
  <c r="AP949" i="1"/>
  <c r="AX949" i="1"/>
  <c r="BD949" i="1"/>
  <c r="BF949" i="1"/>
  <c r="BH949" i="1"/>
  <c r="AB949" i="1" s="1"/>
  <c r="BI949" i="1"/>
  <c r="BJ949" i="1"/>
  <c r="K950" i="1"/>
  <c r="Z950" i="1"/>
  <c r="AD950" i="1"/>
  <c r="AE950" i="1"/>
  <c r="AF950" i="1"/>
  <c r="AG950" i="1"/>
  <c r="AH950" i="1"/>
  <c r="AJ950" i="1"/>
  <c r="AK950" i="1"/>
  <c r="AL950" i="1"/>
  <c r="AO950" i="1"/>
  <c r="AP950" i="1"/>
  <c r="AX950" i="1" s="1"/>
  <c r="BC950" i="1" s="1"/>
  <c r="AW950" i="1"/>
  <c r="BD950" i="1"/>
  <c r="BF950" i="1"/>
  <c r="BH950" i="1"/>
  <c r="AB950" i="1" s="1"/>
  <c r="BI950" i="1"/>
  <c r="AC950" i="1" s="1"/>
  <c r="BJ950" i="1"/>
  <c r="K951" i="1"/>
  <c r="AL951" i="1" s="1"/>
  <c r="Z951" i="1"/>
  <c r="AB951" i="1"/>
  <c r="AD951" i="1"/>
  <c r="AE951" i="1"/>
  <c r="AF951" i="1"/>
  <c r="AG951" i="1"/>
  <c r="AH951" i="1"/>
  <c r="AJ951" i="1"/>
  <c r="AK951" i="1"/>
  <c r="AO951" i="1"/>
  <c r="AW951" i="1" s="1"/>
  <c r="AP951" i="1"/>
  <c r="AX951" i="1"/>
  <c r="BD951" i="1"/>
  <c r="BF951" i="1"/>
  <c r="BH951" i="1"/>
  <c r="BI951" i="1"/>
  <c r="AC951" i="1" s="1"/>
  <c r="BJ951" i="1"/>
  <c r="K952" i="1"/>
  <c r="Z952" i="1"/>
  <c r="AB952" i="1"/>
  <c r="AC952" i="1"/>
  <c r="AD952" i="1"/>
  <c r="AE952" i="1"/>
  <c r="AF952" i="1"/>
  <c r="AG952" i="1"/>
  <c r="AH952" i="1"/>
  <c r="AJ952" i="1"/>
  <c r="AK952" i="1"/>
  <c r="AL952" i="1"/>
  <c r="AO952" i="1"/>
  <c r="AP952" i="1"/>
  <c r="AX952" i="1" s="1"/>
  <c r="AW952" i="1"/>
  <c r="BC952" i="1" s="1"/>
  <c r="BD952" i="1"/>
  <c r="BF952" i="1"/>
  <c r="BH952" i="1"/>
  <c r="BI952" i="1"/>
  <c r="BJ952" i="1"/>
  <c r="K953" i="1"/>
  <c r="AL953" i="1" s="1"/>
  <c r="Z953" i="1"/>
  <c r="AC953" i="1"/>
  <c r="AD953" i="1"/>
  <c r="AE953" i="1"/>
  <c r="AF953" i="1"/>
  <c r="AG953" i="1"/>
  <c r="AH953" i="1"/>
  <c r="AJ953" i="1"/>
  <c r="AK953" i="1"/>
  <c r="AO953" i="1"/>
  <c r="AW953" i="1" s="1"/>
  <c r="AP953" i="1"/>
  <c r="AX953" i="1"/>
  <c r="BD953" i="1"/>
  <c r="BF953" i="1"/>
  <c r="BH953" i="1"/>
  <c r="AB953" i="1" s="1"/>
  <c r="BI953" i="1"/>
  <c r="BJ953" i="1"/>
  <c r="K954" i="1"/>
  <c r="Z954" i="1"/>
  <c r="AD954" i="1"/>
  <c r="AE954" i="1"/>
  <c r="AF954" i="1"/>
  <c r="AG954" i="1"/>
  <c r="AH954" i="1"/>
  <c r="AJ954" i="1"/>
  <c r="AK954" i="1"/>
  <c r="AL954" i="1"/>
  <c r="AO954" i="1"/>
  <c r="AP954" i="1"/>
  <c r="AX954" i="1" s="1"/>
  <c r="BC954" i="1" s="1"/>
  <c r="AW954" i="1"/>
  <c r="AV954" i="1" s="1"/>
  <c r="BD954" i="1"/>
  <c r="BF954" i="1"/>
  <c r="BH954" i="1"/>
  <c r="AB954" i="1" s="1"/>
  <c r="BI954" i="1"/>
  <c r="AC954" i="1" s="1"/>
  <c r="BJ954" i="1"/>
  <c r="K955" i="1"/>
  <c r="AL955" i="1" s="1"/>
  <c r="Z955" i="1"/>
  <c r="AB955" i="1"/>
  <c r="AD955" i="1"/>
  <c r="AE955" i="1"/>
  <c r="AF955" i="1"/>
  <c r="AG955" i="1"/>
  <c r="AH955" i="1"/>
  <c r="AJ955" i="1"/>
  <c r="AK955" i="1"/>
  <c r="AO955" i="1"/>
  <c r="AW955" i="1" s="1"/>
  <c r="AP955" i="1"/>
  <c r="AX955" i="1"/>
  <c r="BD955" i="1"/>
  <c r="BF955" i="1"/>
  <c r="BH955" i="1"/>
  <c r="BI955" i="1"/>
  <c r="AC955" i="1" s="1"/>
  <c r="BJ955" i="1"/>
  <c r="K956" i="1"/>
  <c r="Z956" i="1"/>
  <c r="AB956" i="1"/>
  <c r="AC956" i="1"/>
  <c r="AD956" i="1"/>
  <c r="AE956" i="1"/>
  <c r="AF956" i="1"/>
  <c r="AG956" i="1"/>
  <c r="AH956" i="1"/>
  <c r="AJ956" i="1"/>
  <c r="AK956" i="1"/>
  <c r="AL956" i="1"/>
  <c r="AO956" i="1"/>
  <c r="AP956" i="1"/>
  <c r="AX956" i="1" s="1"/>
  <c r="AW956" i="1"/>
  <c r="BD956" i="1"/>
  <c r="BF956" i="1"/>
  <c r="BH956" i="1"/>
  <c r="BI956" i="1"/>
  <c r="BJ956" i="1"/>
  <c r="K957" i="1"/>
  <c r="AL957" i="1" s="1"/>
  <c r="Z957" i="1"/>
  <c r="AC957" i="1"/>
  <c r="AD957" i="1"/>
  <c r="AE957" i="1"/>
  <c r="AF957" i="1"/>
  <c r="AG957" i="1"/>
  <c r="AH957" i="1"/>
  <c r="AJ957" i="1"/>
  <c r="AK957" i="1"/>
  <c r="AO957" i="1"/>
  <c r="AW957" i="1" s="1"/>
  <c r="AP957" i="1"/>
  <c r="AX957" i="1"/>
  <c r="BD957" i="1"/>
  <c r="BF957" i="1"/>
  <c r="BH957" i="1"/>
  <c r="AB957" i="1" s="1"/>
  <c r="BI957" i="1"/>
  <c r="BJ957" i="1"/>
  <c r="K958" i="1"/>
  <c r="Z958" i="1"/>
  <c r="AD958" i="1"/>
  <c r="AE958" i="1"/>
  <c r="AF958" i="1"/>
  <c r="AG958" i="1"/>
  <c r="AH958" i="1"/>
  <c r="AJ958" i="1"/>
  <c r="AK958" i="1"/>
  <c r="AL958" i="1"/>
  <c r="AO958" i="1"/>
  <c r="AP958" i="1"/>
  <c r="AX958" i="1" s="1"/>
  <c r="BC958" i="1" s="1"/>
  <c r="AW958" i="1"/>
  <c r="BD958" i="1"/>
  <c r="BF958" i="1"/>
  <c r="BH958" i="1"/>
  <c r="AB958" i="1" s="1"/>
  <c r="BI958" i="1"/>
  <c r="AC958" i="1" s="1"/>
  <c r="BJ958" i="1"/>
  <c r="K959" i="1"/>
  <c r="AL959" i="1" s="1"/>
  <c r="Z959" i="1"/>
  <c r="AB959" i="1"/>
  <c r="AD959" i="1"/>
  <c r="AE959" i="1"/>
  <c r="AF959" i="1"/>
  <c r="AG959" i="1"/>
  <c r="AH959" i="1"/>
  <c r="AJ959" i="1"/>
  <c r="AK959" i="1"/>
  <c r="AO959" i="1"/>
  <c r="AW959" i="1" s="1"/>
  <c r="AP959" i="1"/>
  <c r="AX959" i="1"/>
  <c r="BD959" i="1"/>
  <c r="BF959" i="1"/>
  <c r="BH959" i="1"/>
  <c r="BI959" i="1"/>
  <c r="AC959" i="1" s="1"/>
  <c r="BJ959" i="1"/>
  <c r="K960" i="1"/>
  <c r="Z960" i="1"/>
  <c r="AB960" i="1"/>
  <c r="AC960" i="1"/>
  <c r="AD960" i="1"/>
  <c r="AE960" i="1"/>
  <c r="AF960" i="1"/>
  <c r="AG960" i="1"/>
  <c r="AH960" i="1"/>
  <c r="AJ960" i="1"/>
  <c r="AK960" i="1"/>
  <c r="AL960" i="1"/>
  <c r="AO960" i="1"/>
  <c r="AP960" i="1"/>
  <c r="AX960" i="1" s="1"/>
  <c r="AW960" i="1"/>
  <c r="BC960" i="1" s="1"/>
  <c r="BD960" i="1"/>
  <c r="BF960" i="1"/>
  <c r="BH960" i="1"/>
  <c r="BI960" i="1"/>
  <c r="BJ960" i="1"/>
  <c r="K961" i="1"/>
  <c r="AL961" i="1" s="1"/>
  <c r="Z961" i="1"/>
  <c r="AC961" i="1"/>
  <c r="AD961" i="1"/>
  <c r="AE961" i="1"/>
  <c r="AF961" i="1"/>
  <c r="AG961" i="1"/>
  <c r="AH961" i="1"/>
  <c r="AJ961" i="1"/>
  <c r="AK961" i="1"/>
  <c r="AO961" i="1"/>
  <c r="AW961" i="1" s="1"/>
  <c r="AP961" i="1"/>
  <c r="AX961" i="1"/>
  <c r="BD961" i="1"/>
  <c r="BF961" i="1"/>
  <c r="BH961" i="1"/>
  <c r="AB961" i="1" s="1"/>
  <c r="BI961" i="1"/>
  <c r="BJ961" i="1"/>
  <c r="K962" i="1"/>
  <c r="Z962" i="1"/>
  <c r="AD962" i="1"/>
  <c r="AE962" i="1"/>
  <c r="AF962" i="1"/>
  <c r="AG962" i="1"/>
  <c r="AH962" i="1"/>
  <c r="AJ962" i="1"/>
  <c r="AK962" i="1"/>
  <c r="AL962" i="1"/>
  <c r="AO962" i="1"/>
  <c r="AP962" i="1"/>
  <c r="AX962" i="1" s="1"/>
  <c r="BC962" i="1" s="1"/>
  <c r="AW962" i="1"/>
  <c r="AV962" i="1" s="1"/>
  <c r="BD962" i="1"/>
  <c r="BF962" i="1"/>
  <c r="BH962" i="1"/>
  <c r="AB962" i="1" s="1"/>
  <c r="BI962" i="1"/>
  <c r="AC962" i="1" s="1"/>
  <c r="BJ962" i="1"/>
  <c r="K963" i="1"/>
  <c r="AL963" i="1" s="1"/>
  <c r="Z963" i="1"/>
  <c r="AB963" i="1"/>
  <c r="AD963" i="1"/>
  <c r="AE963" i="1"/>
  <c r="AF963" i="1"/>
  <c r="AG963" i="1"/>
  <c r="AH963" i="1"/>
  <c r="AJ963" i="1"/>
  <c r="AK963" i="1"/>
  <c r="AO963" i="1"/>
  <c r="AW963" i="1" s="1"/>
  <c r="AP963" i="1"/>
  <c r="AX963" i="1"/>
  <c r="BD963" i="1"/>
  <c r="BF963" i="1"/>
  <c r="BH963" i="1"/>
  <c r="BI963" i="1"/>
  <c r="AC963" i="1" s="1"/>
  <c r="BJ963" i="1"/>
  <c r="K964" i="1"/>
  <c r="Z964" i="1"/>
  <c r="AB964" i="1"/>
  <c r="AC964" i="1"/>
  <c r="AD964" i="1"/>
  <c r="AE964" i="1"/>
  <c r="AF964" i="1"/>
  <c r="AG964" i="1"/>
  <c r="AH964" i="1"/>
  <c r="AJ964" i="1"/>
  <c r="AK964" i="1"/>
  <c r="AL964" i="1"/>
  <c r="AO964" i="1"/>
  <c r="AP964" i="1"/>
  <c r="AX964" i="1" s="1"/>
  <c r="AW964" i="1"/>
  <c r="BD964" i="1"/>
  <c r="BF964" i="1"/>
  <c r="BH964" i="1"/>
  <c r="BI964" i="1"/>
  <c r="BJ964" i="1"/>
  <c r="K965" i="1"/>
  <c r="AL965" i="1" s="1"/>
  <c r="Z965" i="1"/>
  <c r="AC965" i="1"/>
  <c r="AD965" i="1"/>
  <c r="AE965" i="1"/>
  <c r="AF965" i="1"/>
  <c r="AG965" i="1"/>
  <c r="AH965" i="1"/>
  <c r="AJ965" i="1"/>
  <c r="AK965" i="1"/>
  <c r="AO965" i="1"/>
  <c r="AW965" i="1" s="1"/>
  <c r="AP965" i="1"/>
  <c r="AX965" i="1"/>
  <c r="BD965" i="1"/>
  <c r="BF965" i="1"/>
  <c r="BH965" i="1"/>
  <c r="AB965" i="1" s="1"/>
  <c r="BI965" i="1"/>
  <c r="BJ965" i="1"/>
  <c r="K966" i="1"/>
  <c r="Z966" i="1"/>
  <c r="AD966" i="1"/>
  <c r="AE966" i="1"/>
  <c r="AF966" i="1"/>
  <c r="AG966" i="1"/>
  <c r="AH966" i="1"/>
  <c r="AJ966" i="1"/>
  <c r="AK966" i="1"/>
  <c r="AL966" i="1"/>
  <c r="AO966" i="1"/>
  <c r="AP966" i="1"/>
  <c r="AX966" i="1" s="1"/>
  <c r="BC966" i="1" s="1"/>
  <c r="AW966" i="1"/>
  <c r="BD966" i="1"/>
  <c r="BF966" i="1"/>
  <c r="BH966" i="1"/>
  <c r="AB966" i="1" s="1"/>
  <c r="BI966" i="1"/>
  <c r="AC966" i="1" s="1"/>
  <c r="BJ966" i="1"/>
  <c r="K967" i="1"/>
  <c r="AL967" i="1" s="1"/>
  <c r="Z967" i="1"/>
  <c r="AB967" i="1"/>
  <c r="AD967" i="1"/>
  <c r="AE967" i="1"/>
  <c r="AF967" i="1"/>
  <c r="AG967" i="1"/>
  <c r="AH967" i="1"/>
  <c r="AJ967" i="1"/>
  <c r="AK967" i="1"/>
  <c r="AO967" i="1"/>
  <c r="AW967" i="1" s="1"/>
  <c r="AP967" i="1"/>
  <c r="AX967" i="1"/>
  <c r="BD967" i="1"/>
  <c r="BF967" i="1"/>
  <c r="BH967" i="1"/>
  <c r="BI967" i="1"/>
  <c r="AC967" i="1" s="1"/>
  <c r="BJ967" i="1"/>
  <c r="K968" i="1"/>
  <c r="Z968" i="1"/>
  <c r="AB968" i="1"/>
  <c r="AC968" i="1"/>
  <c r="AD968" i="1"/>
  <c r="AE968" i="1"/>
  <c r="AF968" i="1"/>
  <c r="AG968" i="1"/>
  <c r="AH968" i="1"/>
  <c r="AJ968" i="1"/>
  <c r="AK968" i="1"/>
  <c r="AL968" i="1"/>
  <c r="AO968" i="1"/>
  <c r="AP968" i="1"/>
  <c r="AX968" i="1" s="1"/>
  <c r="AW968" i="1"/>
  <c r="BC968" i="1" s="1"/>
  <c r="BD968" i="1"/>
  <c r="BF968" i="1"/>
  <c r="BH968" i="1"/>
  <c r="BI968" i="1"/>
  <c r="BJ968" i="1"/>
  <c r="K969" i="1"/>
  <c r="AL969" i="1" s="1"/>
  <c r="Z969" i="1"/>
  <c r="AC969" i="1"/>
  <c r="AD969" i="1"/>
  <c r="AE969" i="1"/>
  <c r="AF969" i="1"/>
  <c r="AG969" i="1"/>
  <c r="AH969" i="1"/>
  <c r="AJ969" i="1"/>
  <c r="AK969" i="1"/>
  <c r="AO969" i="1"/>
  <c r="AW969" i="1" s="1"/>
  <c r="AP969" i="1"/>
  <c r="AX969" i="1"/>
  <c r="BD969" i="1"/>
  <c r="BF969" i="1"/>
  <c r="BH969" i="1"/>
  <c r="AB969" i="1" s="1"/>
  <c r="BI969" i="1"/>
  <c r="BJ969" i="1"/>
  <c r="K970" i="1"/>
  <c r="Z970" i="1"/>
  <c r="AD970" i="1"/>
  <c r="AE970" i="1"/>
  <c r="AF970" i="1"/>
  <c r="AG970" i="1"/>
  <c r="AH970" i="1"/>
  <c r="AJ970" i="1"/>
  <c r="AK970" i="1"/>
  <c r="AL970" i="1"/>
  <c r="AO970" i="1"/>
  <c r="AP970" i="1"/>
  <c r="AX970" i="1" s="1"/>
  <c r="BC970" i="1" s="1"/>
  <c r="AW970" i="1"/>
  <c r="AV970" i="1" s="1"/>
  <c r="BD970" i="1"/>
  <c r="BF970" i="1"/>
  <c r="BH970" i="1"/>
  <c r="AB970" i="1" s="1"/>
  <c r="BI970" i="1"/>
  <c r="AC970" i="1" s="1"/>
  <c r="BJ970" i="1"/>
  <c r="K971" i="1"/>
  <c r="AL971" i="1" s="1"/>
  <c r="Z971" i="1"/>
  <c r="AB971" i="1"/>
  <c r="AD971" i="1"/>
  <c r="AE971" i="1"/>
  <c r="AF971" i="1"/>
  <c r="AG971" i="1"/>
  <c r="AH971" i="1"/>
  <c r="AJ971" i="1"/>
  <c r="AK971" i="1"/>
  <c r="AO971" i="1"/>
  <c r="AW971" i="1" s="1"/>
  <c r="AP971" i="1"/>
  <c r="AX971" i="1"/>
  <c r="BD971" i="1"/>
  <c r="BF971" i="1"/>
  <c r="BH971" i="1"/>
  <c r="BI971" i="1"/>
  <c r="AC971" i="1" s="1"/>
  <c r="BJ971" i="1"/>
  <c r="K972" i="1"/>
  <c r="Z972" i="1"/>
  <c r="AB972" i="1"/>
  <c r="AC972" i="1"/>
  <c r="AD972" i="1"/>
  <c r="AE972" i="1"/>
  <c r="AF972" i="1"/>
  <c r="AG972" i="1"/>
  <c r="AH972" i="1"/>
  <c r="AJ972" i="1"/>
  <c r="AK972" i="1"/>
  <c r="AL972" i="1"/>
  <c r="AO972" i="1"/>
  <c r="AP972" i="1"/>
  <c r="AX972" i="1" s="1"/>
  <c r="AW972" i="1"/>
  <c r="BD972" i="1"/>
  <c r="BF972" i="1"/>
  <c r="BH972" i="1"/>
  <c r="BI972" i="1"/>
  <c r="BJ972" i="1"/>
  <c r="K973" i="1"/>
  <c r="AL973" i="1" s="1"/>
  <c r="Z973" i="1"/>
  <c r="AC973" i="1"/>
  <c r="AD973" i="1"/>
  <c r="AE973" i="1"/>
  <c r="AF973" i="1"/>
  <c r="AG973" i="1"/>
  <c r="AH973" i="1"/>
  <c r="AJ973" i="1"/>
  <c r="AK973" i="1"/>
  <c r="AO973" i="1"/>
  <c r="AW973" i="1" s="1"/>
  <c r="AP973" i="1"/>
  <c r="AX973" i="1"/>
  <c r="BD973" i="1"/>
  <c r="BF973" i="1"/>
  <c r="BH973" i="1"/>
  <c r="AB973" i="1" s="1"/>
  <c r="BI973" i="1"/>
  <c r="BJ973" i="1"/>
  <c r="K974" i="1"/>
  <c r="Z974" i="1"/>
  <c r="AD974" i="1"/>
  <c r="AE974" i="1"/>
  <c r="AF974" i="1"/>
  <c r="AG974" i="1"/>
  <c r="AH974" i="1"/>
  <c r="AJ974" i="1"/>
  <c r="AK974" i="1"/>
  <c r="AL974" i="1"/>
  <c r="AO974" i="1"/>
  <c r="AP974" i="1"/>
  <c r="AX974" i="1" s="1"/>
  <c r="BC974" i="1" s="1"/>
  <c r="AW974" i="1"/>
  <c r="BD974" i="1"/>
  <c r="BF974" i="1"/>
  <c r="BH974" i="1"/>
  <c r="AB974" i="1" s="1"/>
  <c r="BI974" i="1"/>
  <c r="AC974" i="1" s="1"/>
  <c r="BJ974" i="1"/>
  <c r="K975" i="1"/>
  <c r="AL975" i="1" s="1"/>
  <c r="Z975" i="1"/>
  <c r="AB975" i="1"/>
  <c r="AD975" i="1"/>
  <c r="AE975" i="1"/>
  <c r="AF975" i="1"/>
  <c r="AG975" i="1"/>
  <c r="AH975" i="1"/>
  <c r="AJ975" i="1"/>
  <c r="AK975" i="1"/>
  <c r="AO975" i="1"/>
  <c r="AW975" i="1" s="1"/>
  <c r="AP975" i="1"/>
  <c r="AX975" i="1"/>
  <c r="BD975" i="1"/>
  <c r="BF975" i="1"/>
  <c r="BH975" i="1"/>
  <c r="BI975" i="1"/>
  <c r="AC975" i="1" s="1"/>
  <c r="BJ975" i="1"/>
  <c r="K976" i="1"/>
  <c r="Z976" i="1"/>
  <c r="AB976" i="1"/>
  <c r="AC976" i="1"/>
  <c r="AD976" i="1"/>
  <c r="AE976" i="1"/>
  <c r="AF976" i="1"/>
  <c r="AG976" i="1"/>
  <c r="AH976" i="1"/>
  <c r="AJ976" i="1"/>
  <c r="AK976" i="1"/>
  <c r="AL976" i="1"/>
  <c r="AO976" i="1"/>
  <c r="AP976" i="1"/>
  <c r="AX976" i="1" s="1"/>
  <c r="AW976" i="1"/>
  <c r="BC976" i="1" s="1"/>
  <c r="BD976" i="1"/>
  <c r="BF976" i="1"/>
  <c r="BH976" i="1"/>
  <c r="BI976" i="1"/>
  <c r="BJ976" i="1"/>
  <c r="K977" i="1"/>
  <c r="AL977" i="1" s="1"/>
  <c r="Z977" i="1"/>
  <c r="AC977" i="1"/>
  <c r="AD977" i="1"/>
  <c r="AE977" i="1"/>
  <c r="AF977" i="1"/>
  <c r="AG977" i="1"/>
  <c r="AH977" i="1"/>
  <c r="AJ977" i="1"/>
  <c r="AK977" i="1"/>
  <c r="AO977" i="1"/>
  <c r="AW977" i="1" s="1"/>
  <c r="AP977" i="1"/>
  <c r="AX977" i="1"/>
  <c r="BD977" i="1"/>
  <c r="BF977" i="1"/>
  <c r="BH977" i="1"/>
  <c r="AB977" i="1" s="1"/>
  <c r="BI977" i="1"/>
  <c r="BJ977" i="1"/>
  <c r="K978" i="1"/>
  <c r="Z978" i="1"/>
  <c r="AD978" i="1"/>
  <c r="AE978" i="1"/>
  <c r="AF978" i="1"/>
  <c r="AG978" i="1"/>
  <c r="AH978" i="1"/>
  <c r="AJ978" i="1"/>
  <c r="AK978" i="1"/>
  <c r="AL978" i="1"/>
  <c r="AO978" i="1"/>
  <c r="AP978" i="1"/>
  <c r="AX978" i="1" s="1"/>
  <c r="BC978" i="1" s="1"/>
  <c r="AW978" i="1"/>
  <c r="AV978" i="1" s="1"/>
  <c r="BD978" i="1"/>
  <c r="BF978" i="1"/>
  <c r="BH978" i="1"/>
  <c r="AB978" i="1" s="1"/>
  <c r="BI978" i="1"/>
  <c r="AC978" i="1" s="1"/>
  <c r="BJ978" i="1"/>
  <c r="K979" i="1"/>
  <c r="AL979" i="1" s="1"/>
  <c r="Z979" i="1"/>
  <c r="AB979" i="1"/>
  <c r="AD979" i="1"/>
  <c r="AE979" i="1"/>
  <c r="AF979" i="1"/>
  <c r="AG979" i="1"/>
  <c r="AH979" i="1"/>
  <c r="AJ979" i="1"/>
  <c r="AK979" i="1"/>
  <c r="AO979" i="1"/>
  <c r="AW979" i="1" s="1"/>
  <c r="AP979" i="1"/>
  <c r="AX979" i="1"/>
  <c r="BD979" i="1"/>
  <c r="BF979" i="1"/>
  <c r="BH979" i="1"/>
  <c r="BI979" i="1"/>
  <c r="AC979" i="1" s="1"/>
  <c r="BJ979" i="1"/>
  <c r="K980" i="1"/>
  <c r="Z980" i="1"/>
  <c r="AB980" i="1"/>
  <c r="AC980" i="1"/>
  <c r="AD980" i="1"/>
  <c r="AE980" i="1"/>
  <c r="AF980" i="1"/>
  <c r="AG980" i="1"/>
  <c r="AH980" i="1"/>
  <c r="AJ980" i="1"/>
  <c r="AK980" i="1"/>
  <c r="AL980" i="1"/>
  <c r="AO980" i="1"/>
  <c r="AP980" i="1"/>
  <c r="AX980" i="1" s="1"/>
  <c r="AW980" i="1"/>
  <c r="BD980" i="1"/>
  <c r="BF980" i="1"/>
  <c r="BH980" i="1"/>
  <c r="BI980" i="1"/>
  <c r="BJ980" i="1"/>
  <c r="K981" i="1"/>
  <c r="AL981" i="1" s="1"/>
  <c r="Z981" i="1"/>
  <c r="AC981" i="1"/>
  <c r="AD981" i="1"/>
  <c r="AE981" i="1"/>
  <c r="AF981" i="1"/>
  <c r="AG981" i="1"/>
  <c r="AH981" i="1"/>
  <c r="AJ981" i="1"/>
  <c r="AK981" i="1"/>
  <c r="AO981" i="1"/>
  <c r="AW981" i="1" s="1"/>
  <c r="AP981" i="1"/>
  <c r="AX981" i="1"/>
  <c r="BD981" i="1"/>
  <c r="BF981" i="1"/>
  <c r="BH981" i="1"/>
  <c r="AB981" i="1" s="1"/>
  <c r="BI981" i="1"/>
  <c r="BJ981" i="1"/>
  <c r="K982" i="1"/>
  <c r="Z982" i="1"/>
  <c r="AD982" i="1"/>
  <c r="AE982" i="1"/>
  <c r="AF982" i="1"/>
  <c r="AG982" i="1"/>
  <c r="AH982" i="1"/>
  <c r="AJ982" i="1"/>
  <c r="AK982" i="1"/>
  <c r="AL982" i="1"/>
  <c r="AO982" i="1"/>
  <c r="AW982" i="1" s="1"/>
  <c r="AP982" i="1"/>
  <c r="AX982" i="1" s="1"/>
  <c r="BD982" i="1"/>
  <c r="BF982" i="1"/>
  <c r="BH982" i="1"/>
  <c r="AB982" i="1" s="1"/>
  <c r="BI982" i="1"/>
  <c r="AC982" i="1" s="1"/>
  <c r="BJ982" i="1"/>
  <c r="K983" i="1"/>
  <c r="AL983" i="1" s="1"/>
  <c r="Z983" i="1"/>
  <c r="AB983" i="1"/>
  <c r="AD983" i="1"/>
  <c r="AE983" i="1"/>
  <c r="AF983" i="1"/>
  <c r="AG983" i="1"/>
  <c r="AH983" i="1"/>
  <c r="AJ983" i="1"/>
  <c r="AK983" i="1"/>
  <c r="AO983" i="1"/>
  <c r="AW983" i="1" s="1"/>
  <c r="AP983" i="1"/>
  <c r="AX983" i="1" s="1"/>
  <c r="BD983" i="1"/>
  <c r="BF983" i="1"/>
  <c r="BH983" i="1"/>
  <c r="BI983" i="1"/>
  <c r="AC983" i="1" s="1"/>
  <c r="BJ983" i="1"/>
  <c r="K984" i="1"/>
  <c r="Z984" i="1"/>
  <c r="AB984" i="1"/>
  <c r="AC984" i="1"/>
  <c r="AD984" i="1"/>
  <c r="AE984" i="1"/>
  <c r="AF984" i="1"/>
  <c r="AG984" i="1"/>
  <c r="AH984" i="1"/>
  <c r="AJ984" i="1"/>
  <c r="AK984" i="1"/>
  <c r="AL984" i="1"/>
  <c r="AO984" i="1"/>
  <c r="AP984" i="1"/>
  <c r="AX984" i="1" s="1"/>
  <c r="AW984" i="1"/>
  <c r="BD984" i="1"/>
  <c r="BF984" i="1"/>
  <c r="BH984" i="1"/>
  <c r="BI984" i="1"/>
  <c r="BJ984" i="1"/>
  <c r="K985" i="1"/>
  <c r="AL985" i="1" s="1"/>
  <c r="Z985" i="1"/>
  <c r="AC985" i="1"/>
  <c r="AD985" i="1"/>
  <c r="AE985" i="1"/>
  <c r="AF985" i="1"/>
  <c r="AG985" i="1"/>
  <c r="AH985" i="1"/>
  <c r="AJ985" i="1"/>
  <c r="AK985" i="1"/>
  <c r="AO985" i="1"/>
  <c r="AW985" i="1" s="1"/>
  <c r="AP985" i="1"/>
  <c r="AX985" i="1"/>
  <c r="BD985" i="1"/>
  <c r="BF985" i="1"/>
  <c r="BH985" i="1"/>
  <c r="AB985" i="1" s="1"/>
  <c r="BI985" i="1"/>
  <c r="BJ985" i="1"/>
  <c r="K986" i="1"/>
  <c r="AL986" i="1" s="1"/>
  <c r="Z986" i="1"/>
  <c r="AD986" i="1"/>
  <c r="AE986" i="1"/>
  <c r="AF986" i="1"/>
  <c r="AG986" i="1"/>
  <c r="AH986" i="1"/>
  <c r="AJ986" i="1"/>
  <c r="AK986" i="1"/>
  <c r="AO986" i="1"/>
  <c r="AW986" i="1" s="1"/>
  <c r="AP986" i="1"/>
  <c r="AX986" i="1" s="1"/>
  <c r="BD986" i="1"/>
  <c r="BF986" i="1"/>
  <c r="BH986" i="1"/>
  <c r="AB986" i="1" s="1"/>
  <c r="BI986" i="1"/>
  <c r="AC986" i="1" s="1"/>
  <c r="BJ986" i="1"/>
  <c r="K987" i="1"/>
  <c r="AL987" i="1" s="1"/>
  <c r="Z987" i="1"/>
  <c r="AB987" i="1"/>
  <c r="AD987" i="1"/>
  <c r="AE987" i="1"/>
  <c r="AF987" i="1"/>
  <c r="AG987" i="1"/>
  <c r="AH987" i="1"/>
  <c r="AJ987" i="1"/>
  <c r="AK987" i="1"/>
  <c r="AO987" i="1"/>
  <c r="AW987" i="1" s="1"/>
  <c r="AP987" i="1"/>
  <c r="AX987" i="1" s="1"/>
  <c r="BD987" i="1"/>
  <c r="BF987" i="1"/>
  <c r="BH987" i="1"/>
  <c r="BI987" i="1"/>
  <c r="AC987" i="1" s="1"/>
  <c r="BJ987" i="1"/>
  <c r="K988" i="1"/>
  <c r="Z988" i="1"/>
  <c r="AB988" i="1"/>
  <c r="AC988" i="1"/>
  <c r="AD988" i="1"/>
  <c r="AE988" i="1"/>
  <c r="AF988" i="1"/>
  <c r="AG988" i="1"/>
  <c r="AH988" i="1"/>
  <c r="AJ988" i="1"/>
  <c r="AK988" i="1"/>
  <c r="AL988" i="1"/>
  <c r="AO988" i="1"/>
  <c r="AP988" i="1"/>
  <c r="AX988" i="1" s="1"/>
  <c r="AW988" i="1"/>
  <c r="BC988" i="1" s="1"/>
  <c r="BD988" i="1"/>
  <c r="BF988" i="1"/>
  <c r="BH988" i="1"/>
  <c r="BI988" i="1"/>
  <c r="BJ988" i="1"/>
  <c r="K989" i="1"/>
  <c r="AL989" i="1" s="1"/>
  <c r="Z989" i="1"/>
  <c r="AC989" i="1"/>
  <c r="AD989" i="1"/>
  <c r="AE989" i="1"/>
  <c r="AF989" i="1"/>
  <c r="AG989" i="1"/>
  <c r="AH989" i="1"/>
  <c r="AJ989" i="1"/>
  <c r="AK989" i="1"/>
  <c r="AO989" i="1"/>
  <c r="AW989" i="1" s="1"/>
  <c r="AP989" i="1"/>
  <c r="AX989" i="1"/>
  <c r="BD989" i="1"/>
  <c r="BF989" i="1"/>
  <c r="BH989" i="1"/>
  <c r="AB989" i="1" s="1"/>
  <c r="BI989" i="1"/>
  <c r="BJ989" i="1"/>
  <c r="K990" i="1"/>
  <c r="AL990" i="1" s="1"/>
  <c r="Z990" i="1"/>
  <c r="AD990" i="1"/>
  <c r="AE990" i="1"/>
  <c r="AF990" i="1"/>
  <c r="AG990" i="1"/>
  <c r="AH990" i="1"/>
  <c r="AJ990" i="1"/>
  <c r="AK990" i="1"/>
  <c r="AO990" i="1"/>
  <c r="AW990" i="1" s="1"/>
  <c r="AP990" i="1"/>
  <c r="AX990" i="1" s="1"/>
  <c r="BD990" i="1"/>
  <c r="BF990" i="1"/>
  <c r="BH990" i="1"/>
  <c r="AB990" i="1" s="1"/>
  <c r="BI990" i="1"/>
  <c r="AC990" i="1" s="1"/>
  <c r="BJ990" i="1"/>
  <c r="K991" i="1"/>
  <c r="AL991" i="1" s="1"/>
  <c r="Z991" i="1"/>
  <c r="AB991" i="1"/>
  <c r="AD991" i="1"/>
  <c r="AE991" i="1"/>
  <c r="AF991" i="1"/>
  <c r="AG991" i="1"/>
  <c r="AH991" i="1"/>
  <c r="AJ991" i="1"/>
  <c r="AK991" i="1"/>
  <c r="AO991" i="1"/>
  <c r="AW991" i="1" s="1"/>
  <c r="AP991" i="1"/>
  <c r="AX991" i="1" s="1"/>
  <c r="BD991" i="1"/>
  <c r="BF991" i="1"/>
  <c r="BH991" i="1"/>
  <c r="BI991" i="1"/>
  <c r="AC991" i="1" s="1"/>
  <c r="BJ991" i="1"/>
  <c r="K992" i="1"/>
  <c r="Z992" i="1"/>
  <c r="AB992" i="1"/>
  <c r="AC992" i="1"/>
  <c r="AD992" i="1"/>
  <c r="AE992" i="1"/>
  <c r="AF992" i="1"/>
  <c r="AG992" i="1"/>
  <c r="AH992" i="1"/>
  <c r="AJ992" i="1"/>
  <c r="AK992" i="1"/>
  <c r="AL992" i="1"/>
  <c r="AO992" i="1"/>
  <c r="AP992" i="1"/>
  <c r="AX992" i="1" s="1"/>
  <c r="AW992" i="1"/>
  <c r="BC992" i="1" s="1"/>
  <c r="BD992" i="1"/>
  <c r="BF992" i="1"/>
  <c r="BH992" i="1"/>
  <c r="BI992" i="1"/>
  <c r="BJ992" i="1"/>
  <c r="K993" i="1"/>
  <c r="AL993" i="1" s="1"/>
  <c r="Z993" i="1"/>
  <c r="AC993" i="1"/>
  <c r="AD993" i="1"/>
  <c r="AE993" i="1"/>
  <c r="AF993" i="1"/>
  <c r="AG993" i="1"/>
  <c r="AH993" i="1"/>
  <c r="AJ993" i="1"/>
  <c r="AK993" i="1"/>
  <c r="AO993" i="1"/>
  <c r="AW993" i="1" s="1"/>
  <c r="AP993" i="1"/>
  <c r="AX993" i="1"/>
  <c r="BD993" i="1"/>
  <c r="BF993" i="1"/>
  <c r="BH993" i="1"/>
  <c r="AB993" i="1" s="1"/>
  <c r="BI993" i="1"/>
  <c r="BJ993" i="1"/>
  <c r="K994" i="1"/>
  <c r="AL994" i="1" s="1"/>
  <c r="Z994" i="1"/>
  <c r="AD994" i="1"/>
  <c r="AE994" i="1"/>
  <c r="AF994" i="1"/>
  <c r="AG994" i="1"/>
  <c r="AH994" i="1"/>
  <c r="AJ994" i="1"/>
  <c r="AK994" i="1"/>
  <c r="AO994" i="1"/>
  <c r="AW994" i="1" s="1"/>
  <c r="AP994" i="1"/>
  <c r="AX994" i="1" s="1"/>
  <c r="BD994" i="1"/>
  <c r="BF994" i="1"/>
  <c r="BH994" i="1"/>
  <c r="AB994" i="1" s="1"/>
  <c r="BI994" i="1"/>
  <c r="AC994" i="1" s="1"/>
  <c r="BJ994" i="1"/>
  <c r="K995" i="1"/>
  <c r="AL995" i="1" s="1"/>
  <c r="Z995" i="1"/>
  <c r="AB995" i="1"/>
  <c r="AD995" i="1"/>
  <c r="AE995" i="1"/>
  <c r="AF995" i="1"/>
  <c r="AG995" i="1"/>
  <c r="AH995" i="1"/>
  <c r="AJ995" i="1"/>
  <c r="AK995" i="1"/>
  <c r="AO995" i="1"/>
  <c r="AW995" i="1" s="1"/>
  <c r="AP995" i="1"/>
  <c r="AX995" i="1" s="1"/>
  <c r="BD995" i="1"/>
  <c r="BF995" i="1"/>
  <c r="BH995" i="1"/>
  <c r="BI995" i="1"/>
  <c r="AC995" i="1" s="1"/>
  <c r="BJ995" i="1"/>
  <c r="K996" i="1"/>
  <c r="Z996" i="1"/>
  <c r="AB996" i="1"/>
  <c r="AC996" i="1"/>
  <c r="AD996" i="1"/>
  <c r="AE996" i="1"/>
  <c r="AF996" i="1"/>
  <c r="AG996" i="1"/>
  <c r="AH996" i="1"/>
  <c r="AJ996" i="1"/>
  <c r="AK996" i="1"/>
  <c r="AL996" i="1"/>
  <c r="AO996" i="1"/>
  <c r="AP996" i="1"/>
  <c r="AX996" i="1" s="1"/>
  <c r="AW996" i="1"/>
  <c r="BD996" i="1"/>
  <c r="BF996" i="1"/>
  <c r="BH996" i="1"/>
  <c r="BI996" i="1"/>
  <c r="BJ996" i="1"/>
  <c r="K997" i="1"/>
  <c r="AL997" i="1" s="1"/>
  <c r="Z997" i="1"/>
  <c r="AC997" i="1"/>
  <c r="AD997" i="1"/>
  <c r="AE997" i="1"/>
  <c r="AF997" i="1"/>
  <c r="AG997" i="1"/>
  <c r="AH997" i="1"/>
  <c r="AJ997" i="1"/>
  <c r="AK997" i="1"/>
  <c r="AO997" i="1"/>
  <c r="AW997" i="1" s="1"/>
  <c r="AP997" i="1"/>
  <c r="AX997" i="1"/>
  <c r="BD997" i="1"/>
  <c r="BF997" i="1"/>
  <c r="BH997" i="1"/>
  <c r="AB997" i="1" s="1"/>
  <c r="BI997" i="1"/>
  <c r="BJ997" i="1"/>
  <c r="K998" i="1"/>
  <c r="AL998" i="1" s="1"/>
  <c r="Z998" i="1"/>
  <c r="AD998" i="1"/>
  <c r="AE998" i="1"/>
  <c r="AF998" i="1"/>
  <c r="AG998" i="1"/>
  <c r="AH998" i="1"/>
  <c r="AJ998" i="1"/>
  <c r="AK998" i="1"/>
  <c r="AO998" i="1"/>
  <c r="AW998" i="1" s="1"/>
  <c r="AP998" i="1"/>
  <c r="AX998" i="1" s="1"/>
  <c r="BD998" i="1"/>
  <c r="BF998" i="1"/>
  <c r="BH998" i="1"/>
  <c r="AB998" i="1" s="1"/>
  <c r="BI998" i="1"/>
  <c r="AC998" i="1" s="1"/>
  <c r="BJ998" i="1"/>
  <c r="K999" i="1"/>
  <c r="AL999" i="1" s="1"/>
  <c r="Z999" i="1"/>
  <c r="AB999" i="1"/>
  <c r="AD999" i="1"/>
  <c r="AE999" i="1"/>
  <c r="AF999" i="1"/>
  <c r="AG999" i="1"/>
  <c r="AH999" i="1"/>
  <c r="AJ999" i="1"/>
  <c r="AK999" i="1"/>
  <c r="AO999" i="1"/>
  <c r="AW999" i="1" s="1"/>
  <c r="AP999" i="1"/>
  <c r="AX999" i="1" s="1"/>
  <c r="BD999" i="1"/>
  <c r="BF999" i="1"/>
  <c r="BH999" i="1"/>
  <c r="BI999" i="1"/>
  <c r="AC999" i="1" s="1"/>
  <c r="BJ999" i="1"/>
  <c r="K1000" i="1"/>
  <c r="Z1000" i="1"/>
  <c r="AB1000" i="1"/>
  <c r="AC1000" i="1"/>
  <c r="AD1000" i="1"/>
  <c r="AE1000" i="1"/>
  <c r="AF1000" i="1"/>
  <c r="AG1000" i="1"/>
  <c r="AH1000" i="1"/>
  <c r="AJ1000" i="1"/>
  <c r="AK1000" i="1"/>
  <c r="AL1000" i="1"/>
  <c r="AO1000" i="1"/>
  <c r="AP1000" i="1"/>
  <c r="AX1000" i="1" s="1"/>
  <c r="AW1000" i="1"/>
  <c r="BD1000" i="1"/>
  <c r="BF1000" i="1"/>
  <c r="BH1000" i="1"/>
  <c r="BI1000" i="1"/>
  <c r="BJ1000" i="1"/>
  <c r="K1001" i="1"/>
  <c r="AL1001" i="1" s="1"/>
  <c r="Z1001" i="1"/>
  <c r="AC1001" i="1"/>
  <c r="AD1001" i="1"/>
  <c r="AE1001" i="1"/>
  <c r="AF1001" i="1"/>
  <c r="AG1001" i="1"/>
  <c r="AH1001" i="1"/>
  <c r="AJ1001" i="1"/>
  <c r="AK1001" i="1"/>
  <c r="AO1001" i="1"/>
  <c r="AW1001" i="1" s="1"/>
  <c r="AP1001" i="1"/>
  <c r="AX1001" i="1"/>
  <c r="BD1001" i="1"/>
  <c r="BF1001" i="1"/>
  <c r="BH1001" i="1"/>
  <c r="AB1001" i="1" s="1"/>
  <c r="BI1001" i="1"/>
  <c r="BJ1001" i="1"/>
  <c r="K1002" i="1"/>
  <c r="AL1002" i="1" s="1"/>
  <c r="Z1002" i="1"/>
  <c r="AD1002" i="1"/>
  <c r="AE1002" i="1"/>
  <c r="AF1002" i="1"/>
  <c r="AG1002" i="1"/>
  <c r="AH1002" i="1"/>
  <c r="AJ1002" i="1"/>
  <c r="AK1002" i="1"/>
  <c r="AO1002" i="1"/>
  <c r="AW1002" i="1" s="1"/>
  <c r="AP1002" i="1"/>
  <c r="AX1002" i="1" s="1"/>
  <c r="BD1002" i="1"/>
  <c r="BF1002" i="1"/>
  <c r="BH1002" i="1"/>
  <c r="AB1002" i="1" s="1"/>
  <c r="BI1002" i="1"/>
  <c r="AC1002" i="1" s="1"/>
  <c r="BJ1002" i="1"/>
  <c r="K1003" i="1"/>
  <c r="AL1003" i="1" s="1"/>
  <c r="Z1003" i="1"/>
  <c r="AB1003" i="1"/>
  <c r="AD1003" i="1"/>
  <c r="AE1003" i="1"/>
  <c r="AF1003" i="1"/>
  <c r="AG1003" i="1"/>
  <c r="AH1003" i="1"/>
  <c r="AJ1003" i="1"/>
  <c r="AK1003" i="1"/>
  <c r="AO1003" i="1"/>
  <c r="AW1003" i="1" s="1"/>
  <c r="AP1003" i="1"/>
  <c r="AX1003" i="1" s="1"/>
  <c r="BD1003" i="1"/>
  <c r="BF1003" i="1"/>
  <c r="BH1003" i="1"/>
  <c r="BI1003" i="1"/>
  <c r="AC1003" i="1" s="1"/>
  <c r="BJ1003" i="1"/>
  <c r="K1004" i="1"/>
  <c r="Z1004" i="1"/>
  <c r="AB1004" i="1"/>
  <c r="AC1004" i="1"/>
  <c r="AD1004" i="1"/>
  <c r="AE1004" i="1"/>
  <c r="AF1004" i="1"/>
  <c r="AG1004" i="1"/>
  <c r="AH1004" i="1"/>
  <c r="AJ1004" i="1"/>
  <c r="AK1004" i="1"/>
  <c r="AL1004" i="1"/>
  <c r="AO1004" i="1"/>
  <c r="AP1004" i="1"/>
  <c r="AX1004" i="1" s="1"/>
  <c r="AW1004" i="1"/>
  <c r="BC1004" i="1" s="1"/>
  <c r="BD1004" i="1"/>
  <c r="BF1004" i="1"/>
  <c r="BH1004" i="1"/>
  <c r="BI1004" i="1"/>
  <c r="BJ1004" i="1"/>
  <c r="K1005" i="1"/>
  <c r="AL1005" i="1" s="1"/>
  <c r="Z1005" i="1"/>
  <c r="AC1005" i="1"/>
  <c r="AD1005" i="1"/>
  <c r="AE1005" i="1"/>
  <c r="AF1005" i="1"/>
  <c r="AG1005" i="1"/>
  <c r="AH1005" i="1"/>
  <c r="AJ1005" i="1"/>
  <c r="AK1005" i="1"/>
  <c r="AO1005" i="1"/>
  <c r="AW1005" i="1" s="1"/>
  <c r="AP1005" i="1"/>
  <c r="AX1005" i="1"/>
  <c r="BD1005" i="1"/>
  <c r="BF1005" i="1"/>
  <c r="BH1005" i="1"/>
  <c r="AB1005" i="1" s="1"/>
  <c r="BI1005" i="1"/>
  <c r="BJ1005" i="1"/>
  <c r="K1006" i="1"/>
  <c r="AL1006" i="1" s="1"/>
  <c r="Z1006" i="1"/>
  <c r="AD1006" i="1"/>
  <c r="AE1006" i="1"/>
  <c r="AF1006" i="1"/>
  <c r="AG1006" i="1"/>
  <c r="AH1006" i="1"/>
  <c r="AJ1006" i="1"/>
  <c r="AK1006" i="1"/>
  <c r="AO1006" i="1"/>
  <c r="AW1006" i="1" s="1"/>
  <c r="AP1006" i="1"/>
  <c r="AX1006" i="1" s="1"/>
  <c r="BD1006" i="1"/>
  <c r="BF1006" i="1"/>
  <c r="BH1006" i="1"/>
  <c r="AB1006" i="1" s="1"/>
  <c r="BI1006" i="1"/>
  <c r="AC1006" i="1" s="1"/>
  <c r="BJ1006" i="1"/>
  <c r="K1007" i="1"/>
  <c r="AL1007" i="1" s="1"/>
  <c r="Z1007" i="1"/>
  <c r="AB1007" i="1"/>
  <c r="AD1007" i="1"/>
  <c r="AE1007" i="1"/>
  <c r="AF1007" i="1"/>
  <c r="AG1007" i="1"/>
  <c r="AH1007" i="1"/>
  <c r="AJ1007" i="1"/>
  <c r="AK1007" i="1"/>
  <c r="AO1007" i="1"/>
  <c r="AW1007" i="1" s="1"/>
  <c r="AP1007" i="1"/>
  <c r="AX1007" i="1" s="1"/>
  <c r="BD1007" i="1"/>
  <c r="BF1007" i="1"/>
  <c r="BH1007" i="1"/>
  <c r="BI1007" i="1"/>
  <c r="AC1007" i="1" s="1"/>
  <c r="BJ1007" i="1"/>
  <c r="K1008" i="1"/>
  <c r="Z1008" i="1"/>
  <c r="AB1008" i="1"/>
  <c r="AC1008" i="1"/>
  <c r="AD1008" i="1"/>
  <c r="AE1008" i="1"/>
  <c r="AF1008" i="1"/>
  <c r="AG1008" i="1"/>
  <c r="AH1008" i="1"/>
  <c r="AJ1008" i="1"/>
  <c r="AK1008" i="1"/>
  <c r="AL1008" i="1"/>
  <c r="AO1008" i="1"/>
  <c r="AP1008" i="1"/>
  <c r="AX1008" i="1" s="1"/>
  <c r="AW1008" i="1"/>
  <c r="BC1008" i="1" s="1"/>
  <c r="BD1008" i="1"/>
  <c r="BF1008" i="1"/>
  <c r="BH1008" i="1"/>
  <c r="BI1008" i="1"/>
  <c r="BJ1008" i="1"/>
  <c r="K1009" i="1"/>
  <c r="AL1009" i="1" s="1"/>
  <c r="Z1009" i="1"/>
  <c r="AC1009" i="1"/>
  <c r="AD1009" i="1"/>
  <c r="AE1009" i="1"/>
  <c r="AF1009" i="1"/>
  <c r="AG1009" i="1"/>
  <c r="AH1009" i="1"/>
  <c r="AJ1009" i="1"/>
  <c r="AK1009" i="1"/>
  <c r="AO1009" i="1"/>
  <c r="AW1009" i="1" s="1"/>
  <c r="AP1009" i="1"/>
  <c r="AX1009" i="1"/>
  <c r="BD1009" i="1"/>
  <c r="BF1009" i="1"/>
  <c r="BH1009" i="1"/>
  <c r="AB1009" i="1" s="1"/>
  <c r="BI1009" i="1"/>
  <c r="BJ1009" i="1"/>
  <c r="K1010" i="1"/>
  <c r="AL1010" i="1" s="1"/>
  <c r="Z1010" i="1"/>
  <c r="AD1010" i="1"/>
  <c r="AE1010" i="1"/>
  <c r="AF1010" i="1"/>
  <c r="AG1010" i="1"/>
  <c r="AH1010" i="1"/>
  <c r="AJ1010" i="1"/>
  <c r="AK1010" i="1"/>
  <c r="AO1010" i="1"/>
  <c r="AW1010" i="1" s="1"/>
  <c r="AP1010" i="1"/>
  <c r="AX1010" i="1" s="1"/>
  <c r="BD1010" i="1"/>
  <c r="BF1010" i="1"/>
  <c r="BH1010" i="1"/>
  <c r="AB1010" i="1" s="1"/>
  <c r="BI1010" i="1"/>
  <c r="AC1010" i="1" s="1"/>
  <c r="BJ1010" i="1"/>
  <c r="K1011" i="1"/>
  <c r="AL1011" i="1" s="1"/>
  <c r="Z1011" i="1"/>
  <c r="AB1011" i="1"/>
  <c r="AD1011" i="1"/>
  <c r="AE1011" i="1"/>
  <c r="AF1011" i="1"/>
  <c r="AG1011" i="1"/>
  <c r="AH1011" i="1"/>
  <c r="AJ1011" i="1"/>
  <c r="AK1011" i="1"/>
  <c r="AO1011" i="1"/>
  <c r="AW1011" i="1" s="1"/>
  <c r="AP1011" i="1"/>
  <c r="AX1011" i="1" s="1"/>
  <c r="BD1011" i="1"/>
  <c r="BF1011" i="1"/>
  <c r="BH1011" i="1"/>
  <c r="BI1011" i="1"/>
  <c r="AC1011" i="1" s="1"/>
  <c r="BJ1011" i="1"/>
  <c r="K1012" i="1"/>
  <c r="Z1012" i="1"/>
  <c r="AB1012" i="1"/>
  <c r="AC1012" i="1"/>
  <c r="AD1012" i="1"/>
  <c r="AE1012" i="1"/>
  <c r="AF1012" i="1"/>
  <c r="AG1012" i="1"/>
  <c r="AH1012" i="1"/>
  <c r="AJ1012" i="1"/>
  <c r="AK1012" i="1"/>
  <c r="AL1012" i="1"/>
  <c r="AO1012" i="1"/>
  <c r="AP1012" i="1"/>
  <c r="AX1012" i="1" s="1"/>
  <c r="AW1012" i="1"/>
  <c r="BD1012" i="1"/>
  <c r="BF1012" i="1"/>
  <c r="BH1012" i="1"/>
  <c r="BI1012" i="1"/>
  <c r="BJ1012" i="1"/>
  <c r="K1013" i="1"/>
  <c r="AL1013" i="1" s="1"/>
  <c r="Z1013" i="1"/>
  <c r="AC1013" i="1"/>
  <c r="AD1013" i="1"/>
  <c r="AE1013" i="1"/>
  <c r="AF1013" i="1"/>
  <c r="AG1013" i="1"/>
  <c r="AH1013" i="1"/>
  <c r="AJ1013" i="1"/>
  <c r="AK1013" i="1"/>
  <c r="AO1013" i="1"/>
  <c r="AW1013" i="1" s="1"/>
  <c r="AP1013" i="1"/>
  <c r="AX1013" i="1"/>
  <c r="BD1013" i="1"/>
  <c r="BF1013" i="1"/>
  <c r="BH1013" i="1"/>
  <c r="AB1013" i="1" s="1"/>
  <c r="BI1013" i="1"/>
  <c r="BJ1013" i="1"/>
  <c r="K1014" i="1"/>
  <c r="AL1014" i="1" s="1"/>
  <c r="Z1014" i="1"/>
  <c r="AD1014" i="1"/>
  <c r="AE1014" i="1"/>
  <c r="AF1014" i="1"/>
  <c r="AG1014" i="1"/>
  <c r="AH1014" i="1"/>
  <c r="AJ1014" i="1"/>
  <c r="AK1014" i="1"/>
  <c r="AO1014" i="1"/>
  <c r="AW1014" i="1" s="1"/>
  <c r="AP1014" i="1"/>
  <c r="AX1014" i="1" s="1"/>
  <c r="BD1014" i="1"/>
  <c r="BF1014" i="1"/>
  <c r="BH1014" i="1"/>
  <c r="AB1014" i="1" s="1"/>
  <c r="BI1014" i="1"/>
  <c r="AC1014" i="1" s="1"/>
  <c r="BJ1014" i="1"/>
  <c r="K1015" i="1"/>
  <c r="AL1015" i="1" s="1"/>
  <c r="Z1015" i="1"/>
  <c r="AB1015" i="1"/>
  <c r="AD1015" i="1"/>
  <c r="AE1015" i="1"/>
  <c r="AF1015" i="1"/>
  <c r="AG1015" i="1"/>
  <c r="AH1015" i="1"/>
  <c r="AJ1015" i="1"/>
  <c r="AK1015" i="1"/>
  <c r="AO1015" i="1"/>
  <c r="AW1015" i="1" s="1"/>
  <c r="AP1015" i="1"/>
  <c r="AX1015" i="1" s="1"/>
  <c r="BD1015" i="1"/>
  <c r="BF1015" i="1"/>
  <c r="BH1015" i="1"/>
  <c r="BI1015" i="1"/>
  <c r="AC1015" i="1" s="1"/>
  <c r="BJ1015" i="1"/>
  <c r="K1016" i="1"/>
  <c r="Z1016" i="1"/>
  <c r="AB1016" i="1"/>
  <c r="AC1016" i="1"/>
  <c r="AD1016" i="1"/>
  <c r="AE1016" i="1"/>
  <c r="AF1016" i="1"/>
  <c r="AG1016" i="1"/>
  <c r="AH1016" i="1"/>
  <c r="AJ1016" i="1"/>
  <c r="AK1016" i="1"/>
  <c r="AL1016" i="1"/>
  <c r="AO1016" i="1"/>
  <c r="AP1016" i="1"/>
  <c r="AX1016" i="1" s="1"/>
  <c r="AW1016" i="1"/>
  <c r="BC1016" i="1" s="1"/>
  <c r="BD1016" i="1"/>
  <c r="BF1016" i="1"/>
  <c r="BH1016" i="1"/>
  <c r="BI1016" i="1"/>
  <c r="BJ1016" i="1"/>
  <c r="K1017" i="1"/>
  <c r="AL1017" i="1" s="1"/>
  <c r="Z1017" i="1"/>
  <c r="AC1017" i="1"/>
  <c r="AD1017" i="1"/>
  <c r="AE1017" i="1"/>
  <c r="AF1017" i="1"/>
  <c r="AG1017" i="1"/>
  <c r="AH1017" i="1"/>
  <c r="AJ1017" i="1"/>
  <c r="AK1017" i="1"/>
  <c r="AO1017" i="1"/>
  <c r="AW1017" i="1" s="1"/>
  <c r="AP1017" i="1"/>
  <c r="AX1017" i="1"/>
  <c r="BD1017" i="1"/>
  <c r="BF1017" i="1"/>
  <c r="BH1017" i="1"/>
  <c r="AB1017" i="1" s="1"/>
  <c r="BI1017" i="1"/>
  <c r="BJ1017" i="1"/>
  <c r="K1018" i="1"/>
  <c r="AL1018" i="1" s="1"/>
  <c r="Z1018" i="1"/>
  <c r="AD1018" i="1"/>
  <c r="AE1018" i="1"/>
  <c r="AF1018" i="1"/>
  <c r="AG1018" i="1"/>
  <c r="AH1018" i="1"/>
  <c r="AJ1018" i="1"/>
  <c r="AK1018" i="1"/>
  <c r="AO1018" i="1"/>
  <c r="AW1018" i="1" s="1"/>
  <c r="AP1018" i="1"/>
  <c r="AX1018" i="1" s="1"/>
  <c r="BD1018" i="1"/>
  <c r="BF1018" i="1"/>
  <c r="BH1018" i="1"/>
  <c r="AB1018" i="1" s="1"/>
  <c r="BI1018" i="1"/>
  <c r="AC1018" i="1" s="1"/>
  <c r="BJ1018" i="1"/>
  <c r="K1019" i="1"/>
  <c r="AL1019" i="1" s="1"/>
  <c r="Z1019" i="1"/>
  <c r="AB1019" i="1"/>
  <c r="AD1019" i="1"/>
  <c r="AE1019" i="1"/>
  <c r="AF1019" i="1"/>
  <c r="AG1019" i="1"/>
  <c r="AH1019" i="1"/>
  <c r="AJ1019" i="1"/>
  <c r="AK1019" i="1"/>
  <c r="AO1019" i="1"/>
  <c r="AW1019" i="1" s="1"/>
  <c r="AP1019" i="1"/>
  <c r="AX1019" i="1" s="1"/>
  <c r="BD1019" i="1"/>
  <c r="BF1019" i="1"/>
  <c r="BH1019" i="1"/>
  <c r="BI1019" i="1"/>
  <c r="AC1019" i="1" s="1"/>
  <c r="BJ1019" i="1"/>
  <c r="K1020" i="1"/>
  <c r="Z1020" i="1"/>
  <c r="AB1020" i="1"/>
  <c r="AC1020" i="1"/>
  <c r="AD1020" i="1"/>
  <c r="AE1020" i="1"/>
  <c r="AF1020" i="1"/>
  <c r="AG1020" i="1"/>
  <c r="AH1020" i="1"/>
  <c r="AJ1020" i="1"/>
  <c r="AK1020" i="1"/>
  <c r="AL1020" i="1"/>
  <c r="AO1020" i="1"/>
  <c r="AP1020" i="1"/>
  <c r="AX1020" i="1" s="1"/>
  <c r="AW1020" i="1"/>
  <c r="BC1020" i="1" s="1"/>
  <c r="BD1020" i="1"/>
  <c r="BF1020" i="1"/>
  <c r="BH1020" i="1"/>
  <c r="BI1020" i="1"/>
  <c r="BJ1020" i="1"/>
  <c r="K1021" i="1"/>
  <c r="AL1021" i="1" s="1"/>
  <c r="Z1021" i="1"/>
  <c r="AC1021" i="1"/>
  <c r="AD1021" i="1"/>
  <c r="AE1021" i="1"/>
  <c r="AF1021" i="1"/>
  <c r="AG1021" i="1"/>
  <c r="AH1021" i="1"/>
  <c r="AJ1021" i="1"/>
  <c r="AK1021" i="1"/>
  <c r="AO1021" i="1"/>
  <c r="AW1021" i="1" s="1"/>
  <c r="AP1021" i="1"/>
  <c r="AX1021" i="1"/>
  <c r="BD1021" i="1"/>
  <c r="BF1021" i="1"/>
  <c r="BH1021" i="1"/>
  <c r="AB1021" i="1" s="1"/>
  <c r="BI1021" i="1"/>
  <c r="BJ1021" i="1"/>
  <c r="K1022" i="1"/>
  <c r="AL1022" i="1" s="1"/>
  <c r="Z1022" i="1"/>
  <c r="AD1022" i="1"/>
  <c r="AE1022" i="1"/>
  <c r="AF1022" i="1"/>
  <c r="AG1022" i="1"/>
  <c r="AH1022" i="1"/>
  <c r="AJ1022" i="1"/>
  <c r="AK1022" i="1"/>
  <c r="AO1022" i="1"/>
  <c r="AW1022" i="1" s="1"/>
  <c r="AP1022" i="1"/>
  <c r="AX1022" i="1" s="1"/>
  <c r="BD1022" i="1"/>
  <c r="BF1022" i="1"/>
  <c r="BH1022" i="1"/>
  <c r="AB1022" i="1" s="1"/>
  <c r="BI1022" i="1"/>
  <c r="AC1022" i="1" s="1"/>
  <c r="BJ1022" i="1"/>
  <c r="K1023" i="1"/>
  <c r="AL1023" i="1" s="1"/>
  <c r="Z1023" i="1"/>
  <c r="AB1023" i="1"/>
  <c r="AD1023" i="1"/>
  <c r="AE1023" i="1"/>
  <c r="AF1023" i="1"/>
  <c r="AG1023" i="1"/>
  <c r="AH1023" i="1"/>
  <c r="AJ1023" i="1"/>
  <c r="AK1023" i="1"/>
  <c r="AO1023" i="1"/>
  <c r="AW1023" i="1" s="1"/>
  <c r="AP1023" i="1"/>
  <c r="AX1023" i="1" s="1"/>
  <c r="BD1023" i="1"/>
  <c r="BF1023" i="1"/>
  <c r="BH1023" i="1"/>
  <c r="BI1023" i="1"/>
  <c r="AC1023" i="1" s="1"/>
  <c r="BJ1023" i="1"/>
  <c r="K1024" i="1"/>
  <c r="Z1024" i="1"/>
  <c r="AB1024" i="1"/>
  <c r="AC1024" i="1"/>
  <c r="AD1024" i="1"/>
  <c r="AE1024" i="1"/>
  <c r="AF1024" i="1"/>
  <c r="AG1024" i="1"/>
  <c r="AH1024" i="1"/>
  <c r="AJ1024" i="1"/>
  <c r="AK1024" i="1"/>
  <c r="AL1024" i="1"/>
  <c r="AO1024" i="1"/>
  <c r="AP1024" i="1"/>
  <c r="AX1024" i="1" s="1"/>
  <c r="AW1024" i="1"/>
  <c r="BC1024" i="1" s="1"/>
  <c r="BD1024" i="1"/>
  <c r="BF1024" i="1"/>
  <c r="BH1024" i="1"/>
  <c r="BI1024" i="1"/>
  <c r="BJ1024" i="1"/>
  <c r="K1025" i="1"/>
  <c r="AL1025" i="1" s="1"/>
  <c r="Z1025" i="1"/>
  <c r="AC1025" i="1"/>
  <c r="AD1025" i="1"/>
  <c r="AE1025" i="1"/>
  <c r="AF1025" i="1"/>
  <c r="AG1025" i="1"/>
  <c r="AH1025" i="1"/>
  <c r="AJ1025" i="1"/>
  <c r="AK1025" i="1"/>
  <c r="AO1025" i="1"/>
  <c r="AW1025" i="1" s="1"/>
  <c r="AP1025" i="1"/>
  <c r="AX1025" i="1"/>
  <c r="BD1025" i="1"/>
  <c r="BF1025" i="1"/>
  <c r="BH1025" i="1"/>
  <c r="AB1025" i="1" s="1"/>
  <c r="BI1025" i="1"/>
  <c r="BJ1025" i="1"/>
  <c r="K1026" i="1"/>
  <c r="AL1026" i="1" s="1"/>
  <c r="Z1026" i="1"/>
  <c r="AD1026" i="1"/>
  <c r="AE1026" i="1"/>
  <c r="AF1026" i="1"/>
  <c r="AG1026" i="1"/>
  <c r="AH1026" i="1"/>
  <c r="AJ1026" i="1"/>
  <c r="AK1026" i="1"/>
  <c r="AO1026" i="1"/>
  <c r="AW1026" i="1" s="1"/>
  <c r="AV1026" i="1" s="1"/>
  <c r="AP1026" i="1"/>
  <c r="AX1026" i="1" s="1"/>
  <c r="BD1026" i="1"/>
  <c r="BF1026" i="1"/>
  <c r="BH1026" i="1"/>
  <c r="AB1026" i="1" s="1"/>
  <c r="BJ1026" i="1"/>
  <c r="K1027" i="1"/>
  <c r="AL1027" i="1" s="1"/>
  <c r="Z1027" i="1"/>
  <c r="AB1027" i="1"/>
  <c r="AD1027" i="1"/>
  <c r="AE1027" i="1"/>
  <c r="AF1027" i="1"/>
  <c r="AG1027" i="1"/>
  <c r="AH1027" i="1"/>
  <c r="AJ1027" i="1"/>
  <c r="AK1027" i="1"/>
  <c r="AO1027" i="1"/>
  <c r="AW1027" i="1" s="1"/>
  <c r="AP1027" i="1"/>
  <c r="AX1027" i="1" s="1"/>
  <c r="AV1027" i="1"/>
  <c r="BD1027" i="1"/>
  <c r="BF1027" i="1"/>
  <c r="BH1027" i="1"/>
  <c r="BI1027" i="1"/>
  <c r="AC1027" i="1" s="1"/>
  <c r="BJ1027" i="1"/>
  <c r="K1028" i="1"/>
  <c r="Z1028" i="1"/>
  <c r="AB1028" i="1"/>
  <c r="AC1028" i="1"/>
  <c r="AD1028" i="1"/>
  <c r="AE1028" i="1"/>
  <c r="AF1028" i="1"/>
  <c r="AG1028" i="1"/>
  <c r="AH1028" i="1"/>
  <c r="AJ1028" i="1"/>
  <c r="AK1028" i="1"/>
  <c r="AL1028" i="1"/>
  <c r="AO1028" i="1"/>
  <c r="AP1028" i="1"/>
  <c r="AX1028" i="1" s="1"/>
  <c r="AW1028" i="1"/>
  <c r="BD1028" i="1"/>
  <c r="BF1028" i="1"/>
  <c r="BH1028" i="1"/>
  <c r="BI1028" i="1"/>
  <c r="BJ1028" i="1"/>
  <c r="K1029" i="1"/>
  <c r="AL1029" i="1" s="1"/>
  <c r="Z1029" i="1"/>
  <c r="AC1029" i="1"/>
  <c r="AD1029" i="1"/>
  <c r="AE1029" i="1"/>
  <c r="AF1029" i="1"/>
  <c r="AG1029" i="1"/>
  <c r="AH1029" i="1"/>
  <c r="AJ1029" i="1"/>
  <c r="AK1029" i="1"/>
  <c r="AO1029" i="1"/>
  <c r="AW1029" i="1" s="1"/>
  <c r="AP1029" i="1"/>
  <c r="AX1029" i="1"/>
  <c r="BD1029" i="1"/>
  <c r="BF1029" i="1"/>
  <c r="BH1029" i="1"/>
  <c r="AB1029" i="1" s="1"/>
  <c r="BI1029" i="1"/>
  <c r="BJ1029" i="1"/>
  <c r="K1030" i="1"/>
  <c r="AL1030" i="1" s="1"/>
  <c r="Z1030" i="1"/>
  <c r="AD1030" i="1"/>
  <c r="AE1030" i="1"/>
  <c r="AF1030" i="1"/>
  <c r="AG1030" i="1"/>
  <c r="AH1030" i="1"/>
  <c r="AJ1030" i="1"/>
  <c r="AK1030" i="1"/>
  <c r="AO1030" i="1"/>
  <c r="AW1030" i="1" s="1"/>
  <c r="AV1030" i="1" s="1"/>
  <c r="AP1030" i="1"/>
  <c r="AX1030" i="1" s="1"/>
  <c r="BD1030" i="1"/>
  <c r="BF1030" i="1"/>
  <c r="BH1030" i="1"/>
  <c r="AB1030" i="1" s="1"/>
  <c r="BI1030" i="1"/>
  <c r="AC1030" i="1" s="1"/>
  <c r="BJ1030" i="1"/>
  <c r="K1031" i="1"/>
  <c r="AL1031" i="1" s="1"/>
  <c r="Z1031" i="1"/>
  <c r="AB1031" i="1"/>
  <c r="AD1031" i="1"/>
  <c r="AE1031" i="1"/>
  <c r="AF1031" i="1"/>
  <c r="AG1031" i="1"/>
  <c r="AH1031" i="1"/>
  <c r="AJ1031" i="1"/>
  <c r="AK1031" i="1"/>
  <c r="AO1031" i="1"/>
  <c r="AW1031" i="1" s="1"/>
  <c r="AP1031" i="1"/>
  <c r="AX1031" i="1" s="1"/>
  <c r="AV1031" i="1"/>
  <c r="BD1031" i="1"/>
  <c r="BF1031" i="1"/>
  <c r="BH1031" i="1"/>
  <c r="BI1031" i="1"/>
  <c r="AC1031" i="1" s="1"/>
  <c r="BJ1031" i="1"/>
  <c r="K1032" i="1"/>
  <c r="Z1032" i="1"/>
  <c r="AB1032" i="1"/>
  <c r="AC1032" i="1"/>
  <c r="AD1032" i="1"/>
  <c r="AE1032" i="1"/>
  <c r="AF1032" i="1"/>
  <c r="AG1032" i="1"/>
  <c r="AH1032" i="1"/>
  <c r="AJ1032" i="1"/>
  <c r="AK1032" i="1"/>
  <c r="AL1032" i="1"/>
  <c r="AO1032" i="1"/>
  <c r="AP1032" i="1"/>
  <c r="AX1032" i="1" s="1"/>
  <c r="AW1032" i="1"/>
  <c r="BD1032" i="1"/>
  <c r="BF1032" i="1"/>
  <c r="BH1032" i="1"/>
  <c r="BI1032" i="1"/>
  <c r="BJ1032" i="1"/>
  <c r="K1033" i="1"/>
  <c r="AL1033" i="1" s="1"/>
  <c r="Z1033" i="1"/>
  <c r="AC1033" i="1"/>
  <c r="AD1033" i="1"/>
  <c r="AE1033" i="1"/>
  <c r="AF1033" i="1"/>
  <c r="AG1033" i="1"/>
  <c r="AH1033" i="1"/>
  <c r="AJ1033" i="1"/>
  <c r="AK1033" i="1"/>
  <c r="AO1033" i="1"/>
  <c r="AW1033" i="1" s="1"/>
  <c r="AP1033" i="1"/>
  <c r="AX1033" i="1"/>
  <c r="BD1033" i="1"/>
  <c r="BF1033" i="1"/>
  <c r="BI1033" i="1"/>
  <c r="BJ1033" i="1"/>
  <c r="K1034" i="1"/>
  <c r="AL1034" i="1" s="1"/>
  <c r="Z1034" i="1"/>
  <c r="AD1034" i="1"/>
  <c r="AE1034" i="1"/>
  <c r="AF1034" i="1"/>
  <c r="AG1034" i="1"/>
  <c r="AH1034" i="1"/>
  <c r="AJ1034" i="1"/>
  <c r="AK1034" i="1"/>
  <c r="AO1034" i="1"/>
  <c r="AW1034" i="1" s="1"/>
  <c r="AP1034" i="1"/>
  <c r="AX1034" i="1" s="1"/>
  <c r="BC1034" i="1"/>
  <c r="BD1034" i="1"/>
  <c r="BF1034" i="1"/>
  <c r="BH1034" i="1"/>
  <c r="AB1034" i="1" s="1"/>
  <c r="BI1034" i="1"/>
  <c r="AC1034" i="1" s="1"/>
  <c r="BJ1034" i="1"/>
  <c r="K1035" i="1"/>
  <c r="AL1035" i="1" s="1"/>
  <c r="Z1035" i="1"/>
  <c r="AB1035" i="1"/>
  <c r="AD1035" i="1"/>
  <c r="AE1035" i="1"/>
  <c r="AF1035" i="1"/>
  <c r="AG1035" i="1"/>
  <c r="AH1035" i="1"/>
  <c r="AJ1035" i="1"/>
  <c r="AK1035" i="1"/>
  <c r="AO1035" i="1"/>
  <c r="AW1035" i="1" s="1"/>
  <c r="AV1035" i="1" s="1"/>
  <c r="AP1035" i="1"/>
  <c r="AX1035" i="1" s="1"/>
  <c r="BD1035" i="1"/>
  <c r="BF1035" i="1"/>
  <c r="BH1035" i="1"/>
  <c r="BI1035" i="1"/>
  <c r="AC1035" i="1" s="1"/>
  <c r="BJ1035" i="1"/>
  <c r="K1036" i="1"/>
  <c r="Z1036" i="1"/>
  <c r="AB1036" i="1"/>
  <c r="AC1036" i="1"/>
  <c r="AD1036" i="1"/>
  <c r="AE1036" i="1"/>
  <c r="AF1036" i="1"/>
  <c r="AG1036" i="1"/>
  <c r="AH1036" i="1"/>
  <c r="AJ1036" i="1"/>
  <c r="AK1036" i="1"/>
  <c r="AL1036" i="1"/>
  <c r="AO1036" i="1"/>
  <c r="AP1036" i="1"/>
  <c r="AX1036" i="1" s="1"/>
  <c r="AW1036" i="1"/>
  <c r="BD1036" i="1"/>
  <c r="BF1036" i="1"/>
  <c r="BH1036" i="1"/>
  <c r="BI1036" i="1"/>
  <c r="BJ1036" i="1"/>
  <c r="K1037" i="1"/>
  <c r="AL1037" i="1" s="1"/>
  <c r="Z1037" i="1"/>
  <c r="AC1037" i="1"/>
  <c r="AD1037" i="1"/>
  <c r="AE1037" i="1"/>
  <c r="AF1037" i="1"/>
  <c r="AG1037" i="1"/>
  <c r="AH1037" i="1"/>
  <c r="AJ1037" i="1"/>
  <c r="AK1037" i="1"/>
  <c r="AO1037" i="1"/>
  <c r="AP1037" i="1"/>
  <c r="AW1037" i="1"/>
  <c r="AX1037" i="1"/>
  <c r="BD1037" i="1"/>
  <c r="BF1037" i="1"/>
  <c r="BH1037" i="1"/>
  <c r="AB1037" i="1" s="1"/>
  <c r="BI1037" i="1"/>
  <c r="BJ1037" i="1"/>
  <c r="K1038" i="1"/>
  <c r="AL1038" i="1" s="1"/>
  <c r="Z1038" i="1"/>
  <c r="AD1038" i="1"/>
  <c r="AE1038" i="1"/>
  <c r="AF1038" i="1"/>
  <c r="AG1038" i="1"/>
  <c r="AH1038" i="1"/>
  <c r="AJ1038" i="1"/>
  <c r="AK1038" i="1"/>
  <c r="AO1038" i="1"/>
  <c r="AW1038" i="1" s="1"/>
  <c r="AV1038" i="1" s="1"/>
  <c r="AP1038" i="1"/>
  <c r="AX1038" i="1"/>
  <c r="BD1038" i="1"/>
  <c r="BF1038" i="1"/>
  <c r="BI1038" i="1"/>
  <c r="AC1038" i="1" s="1"/>
  <c r="BJ1038" i="1"/>
  <c r="K1039" i="1"/>
  <c r="AL1039" i="1" s="1"/>
  <c r="Z1039" i="1"/>
  <c r="AB1039" i="1"/>
  <c r="AD1039" i="1"/>
  <c r="AE1039" i="1"/>
  <c r="AF1039" i="1"/>
  <c r="AG1039" i="1"/>
  <c r="AH1039" i="1"/>
  <c r="AJ1039" i="1"/>
  <c r="AK1039" i="1"/>
  <c r="AO1039" i="1"/>
  <c r="AW1039" i="1" s="1"/>
  <c r="AV1039" i="1" s="1"/>
  <c r="AP1039" i="1"/>
  <c r="AX1039" i="1" s="1"/>
  <c r="BD1039" i="1"/>
  <c r="BF1039" i="1"/>
  <c r="BH1039" i="1"/>
  <c r="BJ1039" i="1"/>
  <c r="K1040" i="1"/>
  <c r="Z1040" i="1"/>
  <c r="AB1040" i="1"/>
  <c r="AC1040" i="1"/>
  <c r="AD1040" i="1"/>
  <c r="AE1040" i="1"/>
  <c r="AF1040" i="1"/>
  <c r="AG1040" i="1"/>
  <c r="AH1040" i="1"/>
  <c r="AJ1040" i="1"/>
  <c r="AK1040" i="1"/>
  <c r="AL1040" i="1"/>
  <c r="AO1040" i="1"/>
  <c r="AP1040" i="1"/>
  <c r="AX1040" i="1" s="1"/>
  <c r="AW1040" i="1"/>
  <c r="BC1040" i="1" s="1"/>
  <c r="BD1040" i="1"/>
  <c r="BF1040" i="1"/>
  <c r="BH1040" i="1"/>
  <c r="BI1040" i="1"/>
  <c r="BJ1040" i="1"/>
  <c r="K1041" i="1"/>
  <c r="Z1041" i="1"/>
  <c r="AC1041" i="1"/>
  <c r="AD1041" i="1"/>
  <c r="AE1041" i="1"/>
  <c r="AF1041" i="1"/>
  <c r="AG1041" i="1"/>
  <c r="AH1041" i="1"/>
  <c r="AJ1041" i="1"/>
  <c r="AK1041" i="1"/>
  <c r="AL1041" i="1"/>
  <c r="AO1041" i="1"/>
  <c r="AW1041" i="1" s="1"/>
  <c r="AP1041" i="1"/>
  <c r="AX1041" i="1"/>
  <c r="BD1041" i="1"/>
  <c r="BF1041" i="1"/>
  <c r="BI1041" i="1"/>
  <c r="BJ1041" i="1"/>
  <c r="K1042" i="1"/>
  <c r="AL1042" i="1" s="1"/>
  <c r="Z1042" i="1"/>
  <c r="AD1042" i="1"/>
  <c r="AE1042" i="1"/>
  <c r="AF1042" i="1"/>
  <c r="AG1042" i="1"/>
  <c r="AH1042" i="1"/>
  <c r="AJ1042" i="1"/>
  <c r="AK1042" i="1"/>
  <c r="AO1042" i="1"/>
  <c r="AW1042" i="1" s="1"/>
  <c r="AP1042" i="1"/>
  <c r="BI1042" i="1" s="1"/>
  <c r="AC1042" i="1" s="1"/>
  <c r="AX1042" i="1"/>
  <c r="BD1042" i="1"/>
  <c r="BF1042" i="1"/>
  <c r="BH1042" i="1"/>
  <c r="AB1042" i="1" s="1"/>
  <c r="BJ1042" i="1"/>
  <c r="K1043" i="1"/>
  <c r="AL1043" i="1" s="1"/>
  <c r="Z1043" i="1"/>
  <c r="AD1043" i="1"/>
  <c r="AE1043" i="1"/>
  <c r="AF1043" i="1"/>
  <c r="AG1043" i="1"/>
  <c r="AH1043" i="1"/>
  <c r="AJ1043" i="1"/>
  <c r="AK1043" i="1"/>
  <c r="AO1043" i="1"/>
  <c r="AW1043" i="1" s="1"/>
  <c r="AP1043" i="1"/>
  <c r="BI1043" i="1" s="1"/>
  <c r="AC1043" i="1" s="1"/>
  <c r="AX1043" i="1"/>
  <c r="AV1043" i="1" s="1"/>
  <c r="BD1043" i="1"/>
  <c r="BF1043" i="1"/>
  <c r="BH1043" i="1"/>
  <c r="AB1043" i="1" s="1"/>
  <c r="BJ1043" i="1"/>
  <c r="K1044" i="1"/>
  <c r="Z1044" i="1"/>
  <c r="AB1044" i="1"/>
  <c r="AD1044" i="1"/>
  <c r="AE1044" i="1"/>
  <c r="AF1044" i="1"/>
  <c r="AG1044" i="1"/>
  <c r="AH1044" i="1"/>
  <c r="AJ1044" i="1"/>
  <c r="AK1044" i="1"/>
  <c r="AL1044" i="1"/>
  <c r="AO1044" i="1"/>
  <c r="AP1044" i="1"/>
  <c r="AX1044" i="1" s="1"/>
  <c r="BC1044" i="1" s="1"/>
  <c r="AW1044" i="1"/>
  <c r="AV1044" i="1" s="1"/>
  <c r="BD1044" i="1"/>
  <c r="BF1044" i="1"/>
  <c r="BH1044" i="1"/>
  <c r="BJ1044" i="1"/>
  <c r="K1045" i="1"/>
  <c r="Z1045" i="1"/>
  <c r="AC1045" i="1"/>
  <c r="AD1045" i="1"/>
  <c r="AE1045" i="1"/>
  <c r="AF1045" i="1"/>
  <c r="AG1045" i="1"/>
  <c r="AH1045" i="1"/>
  <c r="AJ1045" i="1"/>
  <c r="AK1045" i="1"/>
  <c r="AL1045" i="1"/>
  <c r="AO1045" i="1"/>
  <c r="AP1045" i="1"/>
  <c r="AW1045" i="1"/>
  <c r="BC1045" i="1" s="1"/>
  <c r="AX1045" i="1"/>
  <c r="BD1045" i="1"/>
  <c r="BF1045" i="1"/>
  <c r="BH1045" i="1"/>
  <c r="AB1045" i="1" s="1"/>
  <c r="BI1045" i="1"/>
  <c r="BJ1045" i="1"/>
  <c r="K1046" i="1"/>
  <c r="AS1046" i="1"/>
  <c r="K1047" i="1"/>
  <c r="Z1047" i="1"/>
  <c r="AB1047" i="1"/>
  <c r="AC1047" i="1"/>
  <c r="AD1047" i="1"/>
  <c r="AE1047" i="1"/>
  <c r="AH1047" i="1"/>
  <c r="AJ1047" i="1"/>
  <c r="AK1047" i="1"/>
  <c r="AT1046" i="1" s="1"/>
  <c r="AL1047" i="1"/>
  <c r="AU1046" i="1" s="1"/>
  <c r="AO1047" i="1"/>
  <c r="AP1047" i="1"/>
  <c r="BI1047" i="1" s="1"/>
  <c r="AG1047" i="1" s="1"/>
  <c r="AW1047" i="1"/>
  <c r="BC1047" i="1" s="1"/>
  <c r="AX1047" i="1"/>
  <c r="BD1047" i="1"/>
  <c r="BF1047" i="1"/>
  <c r="BH1047" i="1"/>
  <c r="AF1047" i="1" s="1"/>
  <c r="BJ1047" i="1"/>
  <c r="AS1048" i="1"/>
  <c r="K1049" i="1"/>
  <c r="AL1049" i="1" s="1"/>
  <c r="Z1049" i="1"/>
  <c r="AB1049" i="1"/>
  <c r="AC1049" i="1"/>
  <c r="AD1049" i="1"/>
  <c r="AE1049" i="1"/>
  <c r="AH1049" i="1"/>
  <c r="AJ1049" i="1"/>
  <c r="AK1049" i="1"/>
  <c r="AT1048" i="1" s="1"/>
  <c r="AO1049" i="1"/>
  <c r="AW1049" i="1" s="1"/>
  <c r="AV1049" i="1" s="1"/>
  <c r="AP1049" i="1"/>
  <c r="AX1049" i="1"/>
  <c r="BC1049" i="1"/>
  <c r="BD1049" i="1"/>
  <c r="BF1049" i="1"/>
  <c r="BI1049" i="1"/>
  <c r="AG1049" i="1" s="1"/>
  <c r="BJ1049" i="1"/>
  <c r="K1050" i="1"/>
  <c r="Z1050" i="1"/>
  <c r="AB1050" i="1"/>
  <c r="AC1050" i="1"/>
  <c r="AD1050" i="1"/>
  <c r="AE1050" i="1"/>
  <c r="AF1050" i="1"/>
  <c r="AH1050" i="1"/>
  <c r="AJ1050" i="1"/>
  <c r="AK1050" i="1"/>
  <c r="AL1050" i="1"/>
  <c r="AO1050" i="1"/>
  <c r="AP1050" i="1"/>
  <c r="AX1050" i="1" s="1"/>
  <c r="BC1050" i="1" s="1"/>
  <c r="AV1050" i="1"/>
  <c r="AW1050" i="1"/>
  <c r="BD1050" i="1"/>
  <c r="BF1050" i="1"/>
  <c r="BH1050" i="1"/>
  <c r="BJ1050" i="1"/>
  <c r="K1051" i="1"/>
  <c r="K1048" i="1" s="1"/>
  <c r="G56" i="2" s="1"/>
  <c r="I56" i="2" s="1"/>
  <c r="Z1051" i="1"/>
  <c r="AB1051" i="1"/>
  <c r="AC1051" i="1"/>
  <c r="AD1051" i="1"/>
  <c r="AE1051" i="1"/>
  <c r="AG1051" i="1"/>
  <c r="AH1051" i="1"/>
  <c r="AJ1051" i="1"/>
  <c r="AK1051" i="1"/>
  <c r="AO1051" i="1"/>
  <c r="AW1051" i="1" s="1"/>
  <c r="AP1051" i="1"/>
  <c r="AX1051" i="1"/>
  <c r="BD1051" i="1"/>
  <c r="BF1051" i="1"/>
  <c r="BI1051" i="1"/>
  <c r="BJ1051" i="1"/>
  <c r="K1054" i="1"/>
  <c r="AL1054" i="1" s="1"/>
  <c r="Z1054" i="1"/>
  <c r="AC1054" i="1"/>
  <c r="AD1054" i="1"/>
  <c r="AE1054" i="1"/>
  <c r="AF1054" i="1"/>
  <c r="AG1054" i="1"/>
  <c r="AH1054" i="1"/>
  <c r="AJ1054" i="1"/>
  <c r="AK1054" i="1"/>
  <c r="AT1053" i="1" s="1"/>
  <c r="AO1054" i="1"/>
  <c r="AW1054" i="1" s="1"/>
  <c r="AP1054" i="1"/>
  <c r="AX1054" i="1"/>
  <c r="BD1054" i="1"/>
  <c r="BF1054" i="1"/>
  <c r="BI1054" i="1"/>
  <c r="BJ1054" i="1"/>
  <c r="K1055" i="1"/>
  <c r="K1053" i="1" s="1"/>
  <c r="Z1055" i="1"/>
  <c r="AD1055" i="1"/>
  <c r="AE1055" i="1"/>
  <c r="AF1055" i="1"/>
  <c r="AG1055" i="1"/>
  <c r="AH1055" i="1"/>
  <c r="AJ1055" i="1"/>
  <c r="AK1055" i="1"/>
  <c r="AO1055" i="1"/>
  <c r="AW1055" i="1" s="1"/>
  <c r="AP1055" i="1"/>
  <c r="BI1055" i="1" s="1"/>
  <c r="AC1055" i="1" s="1"/>
  <c r="BD1055" i="1"/>
  <c r="BF1055" i="1"/>
  <c r="BJ1055" i="1"/>
  <c r="AT1056" i="1"/>
  <c r="K1057" i="1"/>
  <c r="AL1057" i="1" s="1"/>
  <c r="AU1056" i="1" s="1"/>
  <c r="Z1057" i="1"/>
  <c r="AD1057" i="1"/>
  <c r="AE1057" i="1"/>
  <c r="AF1057" i="1"/>
  <c r="AG1057" i="1"/>
  <c r="AH1057" i="1"/>
  <c r="AJ1057" i="1"/>
  <c r="AS1056" i="1" s="1"/>
  <c r="AK1057" i="1"/>
  <c r="AO1057" i="1"/>
  <c r="AW1057" i="1" s="1"/>
  <c r="AP1057" i="1"/>
  <c r="AX1057" i="1" s="1"/>
  <c r="BD1057" i="1"/>
  <c r="BF1057" i="1"/>
  <c r="BJ1057" i="1"/>
  <c r="K1059" i="1"/>
  <c r="AL1059" i="1" s="1"/>
  <c r="Z1059" i="1"/>
  <c r="AC1059" i="1"/>
  <c r="AD1059" i="1"/>
  <c r="AE1059" i="1"/>
  <c r="AF1059" i="1"/>
  <c r="AG1059" i="1"/>
  <c r="AH1059" i="1"/>
  <c r="AJ1059" i="1"/>
  <c r="AS1058" i="1" s="1"/>
  <c r="AK1059" i="1"/>
  <c r="AT1058" i="1" s="1"/>
  <c r="AO1059" i="1"/>
  <c r="AW1059" i="1" s="1"/>
  <c r="AP1059" i="1"/>
  <c r="AX1059" i="1"/>
  <c r="BD1059" i="1"/>
  <c r="BF1059" i="1"/>
  <c r="BH1059" i="1"/>
  <c r="AB1059" i="1" s="1"/>
  <c r="BI1059" i="1"/>
  <c r="BJ1059" i="1"/>
  <c r="K1060" i="1"/>
  <c r="AL1060" i="1" s="1"/>
  <c r="Z1060" i="1"/>
  <c r="AD1060" i="1"/>
  <c r="AE1060" i="1"/>
  <c r="AF1060" i="1"/>
  <c r="AG1060" i="1"/>
  <c r="AH1060" i="1"/>
  <c r="AJ1060" i="1"/>
  <c r="AK1060" i="1"/>
  <c r="AO1060" i="1"/>
  <c r="AW1060" i="1" s="1"/>
  <c r="AP1060" i="1"/>
  <c r="AX1060" i="1" s="1"/>
  <c r="BD1060" i="1"/>
  <c r="BF1060" i="1"/>
  <c r="BH1060" i="1"/>
  <c r="AB1060" i="1" s="1"/>
  <c r="BI1060" i="1"/>
  <c r="AC1060" i="1" s="1"/>
  <c r="BJ1060" i="1"/>
  <c r="K1061" i="1"/>
  <c r="AL1061" i="1" s="1"/>
  <c r="Z1061" i="1"/>
  <c r="AB1061" i="1"/>
  <c r="AD1061" i="1"/>
  <c r="AE1061" i="1"/>
  <c r="AF1061" i="1"/>
  <c r="AG1061" i="1"/>
  <c r="AH1061" i="1"/>
  <c r="AJ1061" i="1"/>
  <c r="AK1061" i="1"/>
  <c r="AO1061" i="1"/>
  <c r="AW1061" i="1" s="1"/>
  <c r="AP1061" i="1"/>
  <c r="AX1061" i="1" s="1"/>
  <c r="BD1061" i="1"/>
  <c r="BF1061" i="1"/>
  <c r="BH1061" i="1"/>
  <c r="BI1061" i="1"/>
  <c r="AC1061" i="1" s="1"/>
  <c r="BJ1061" i="1"/>
  <c r="K1063" i="1"/>
  <c r="K1062" i="1" s="1"/>
  <c r="Z1063" i="1"/>
  <c r="AB1063" i="1"/>
  <c r="AC1063" i="1"/>
  <c r="AD1063" i="1"/>
  <c r="AE1063" i="1"/>
  <c r="AF1063" i="1"/>
  <c r="AG1063" i="1"/>
  <c r="AH1063" i="1"/>
  <c r="AJ1063" i="1"/>
  <c r="AS1062" i="1" s="1"/>
  <c r="AK1063" i="1"/>
  <c r="AT1062" i="1" s="1"/>
  <c r="AL1063" i="1"/>
  <c r="AO1063" i="1"/>
  <c r="AP1063" i="1"/>
  <c r="AX1063" i="1" s="1"/>
  <c r="AW1063" i="1"/>
  <c r="AV1063" i="1" s="1"/>
  <c r="BD1063" i="1"/>
  <c r="BF1063" i="1"/>
  <c r="BH1063" i="1"/>
  <c r="BI1063" i="1"/>
  <c r="BJ1063" i="1"/>
  <c r="K1064" i="1"/>
  <c r="AL1064" i="1" s="1"/>
  <c r="Z1064" i="1"/>
  <c r="AC1064" i="1"/>
  <c r="AD1064" i="1"/>
  <c r="AE1064" i="1"/>
  <c r="AF1064" i="1"/>
  <c r="AG1064" i="1"/>
  <c r="AH1064" i="1"/>
  <c r="AJ1064" i="1"/>
  <c r="AK1064" i="1"/>
  <c r="AO1064" i="1"/>
  <c r="AW1064" i="1" s="1"/>
  <c r="AP1064" i="1"/>
  <c r="AX1064" i="1"/>
  <c r="BD1064" i="1"/>
  <c r="BF1064" i="1"/>
  <c r="BH1064" i="1"/>
  <c r="AB1064" i="1" s="1"/>
  <c r="BI1064" i="1"/>
  <c r="BJ1064" i="1"/>
  <c r="K1065" i="1"/>
  <c r="AL1065" i="1" s="1"/>
  <c r="Z1065" i="1"/>
  <c r="AD1065" i="1"/>
  <c r="AE1065" i="1"/>
  <c r="AF1065" i="1"/>
  <c r="AG1065" i="1"/>
  <c r="AH1065" i="1"/>
  <c r="AJ1065" i="1"/>
  <c r="AK1065" i="1"/>
  <c r="AO1065" i="1"/>
  <c r="AW1065" i="1" s="1"/>
  <c r="AP1065" i="1"/>
  <c r="AX1065" i="1" s="1"/>
  <c r="BD1065" i="1"/>
  <c r="BF1065" i="1"/>
  <c r="BH1065" i="1"/>
  <c r="AB1065" i="1" s="1"/>
  <c r="BI1065" i="1"/>
  <c r="AC1065" i="1" s="1"/>
  <c r="BJ1065" i="1"/>
  <c r="K1066" i="1"/>
  <c r="Z1066" i="1"/>
  <c r="AB1066" i="1"/>
  <c r="AD1066" i="1"/>
  <c r="AE1066" i="1"/>
  <c r="AF1066" i="1"/>
  <c r="AG1066" i="1"/>
  <c r="AH1066" i="1"/>
  <c r="AJ1066" i="1"/>
  <c r="AK1066" i="1"/>
  <c r="AL1066" i="1"/>
  <c r="AO1066" i="1"/>
  <c r="AW1066" i="1" s="1"/>
  <c r="AP1066" i="1"/>
  <c r="AX1066" i="1" s="1"/>
  <c r="BD1066" i="1"/>
  <c r="BF1066" i="1"/>
  <c r="BH1066" i="1"/>
  <c r="BI1066" i="1"/>
  <c r="AC1066" i="1" s="1"/>
  <c r="BJ1066" i="1"/>
  <c r="K1067" i="1"/>
  <c r="Z1067" i="1"/>
  <c r="AB1067" i="1"/>
  <c r="AC1067" i="1"/>
  <c r="AD1067" i="1"/>
  <c r="AE1067" i="1"/>
  <c r="AF1067" i="1"/>
  <c r="AG1067" i="1"/>
  <c r="AH1067" i="1"/>
  <c r="AJ1067" i="1"/>
  <c r="AK1067" i="1"/>
  <c r="AL1067" i="1"/>
  <c r="AO1067" i="1"/>
  <c r="AP1067" i="1"/>
  <c r="AX1067" i="1" s="1"/>
  <c r="AW1067" i="1"/>
  <c r="AV1067" i="1" s="1"/>
  <c r="BD1067" i="1"/>
  <c r="BF1067" i="1"/>
  <c r="BH1067" i="1"/>
  <c r="BI1067" i="1"/>
  <c r="BJ1067" i="1"/>
  <c r="K1069" i="1"/>
  <c r="AL1069" i="1" s="1"/>
  <c r="AU1068" i="1" s="1"/>
  <c r="Z1069" i="1"/>
  <c r="AC1069" i="1"/>
  <c r="AD1069" i="1"/>
  <c r="AE1069" i="1"/>
  <c r="AF1069" i="1"/>
  <c r="AG1069" i="1"/>
  <c r="AH1069" i="1"/>
  <c r="AJ1069" i="1"/>
  <c r="AS1068" i="1" s="1"/>
  <c r="AK1069" i="1"/>
  <c r="AT1068" i="1" s="1"/>
  <c r="AO1069" i="1"/>
  <c r="AW1069" i="1" s="1"/>
  <c r="AP1069" i="1"/>
  <c r="AX1069" i="1"/>
  <c r="BD1069" i="1"/>
  <c r="BF1069" i="1"/>
  <c r="BH1069" i="1"/>
  <c r="AB1069" i="1" s="1"/>
  <c r="BI1069" i="1"/>
  <c r="BJ1069" i="1"/>
  <c r="K1071" i="1"/>
  <c r="K1070" i="1" s="1"/>
  <c r="G63" i="2" s="1"/>
  <c r="I63" i="2" s="1"/>
  <c r="Z1071" i="1"/>
  <c r="AB1071" i="1"/>
  <c r="AC1071" i="1"/>
  <c r="AD1071" i="1"/>
  <c r="AE1071" i="1"/>
  <c r="AF1071" i="1"/>
  <c r="AG1071" i="1"/>
  <c r="AH1071" i="1"/>
  <c r="AJ1071" i="1"/>
  <c r="AS1070" i="1" s="1"/>
  <c r="AK1071" i="1"/>
  <c r="AT1070" i="1" s="1"/>
  <c r="AO1071" i="1"/>
  <c r="AW1071" i="1" s="1"/>
  <c r="AP1071" i="1"/>
  <c r="AX1071" i="1" s="1"/>
  <c r="BD1071" i="1"/>
  <c r="BF1071" i="1"/>
  <c r="BH1071" i="1"/>
  <c r="BI1071" i="1"/>
  <c r="BJ1071" i="1"/>
  <c r="K1074" i="1"/>
  <c r="K1073" i="1" s="1"/>
  <c r="Z1074" i="1"/>
  <c r="AB1074" i="1"/>
  <c r="AC1074" i="1"/>
  <c r="AF1074" i="1"/>
  <c r="AG1074" i="1"/>
  <c r="AH1074" i="1"/>
  <c r="AJ1074" i="1"/>
  <c r="AS1073" i="1" s="1"/>
  <c r="AK1074" i="1"/>
  <c r="AT1073" i="1" s="1"/>
  <c r="AO1074" i="1"/>
  <c r="AW1074" i="1" s="1"/>
  <c r="AP1074" i="1"/>
  <c r="AX1074" i="1" s="1"/>
  <c r="BD1074" i="1"/>
  <c r="BF1074" i="1"/>
  <c r="BH1074" i="1"/>
  <c r="AD1074" i="1" s="1"/>
  <c r="BI1074" i="1"/>
  <c r="AE1074" i="1" s="1"/>
  <c r="BJ1074" i="1"/>
  <c r="K1075" i="1"/>
  <c r="Z1075" i="1"/>
  <c r="AB1075" i="1"/>
  <c r="AC1075" i="1"/>
  <c r="AF1075" i="1"/>
  <c r="AG1075" i="1"/>
  <c r="AH1075" i="1"/>
  <c r="AJ1075" i="1"/>
  <c r="AK1075" i="1"/>
  <c r="AL1075" i="1"/>
  <c r="AO1075" i="1"/>
  <c r="AP1075" i="1"/>
  <c r="AX1075" i="1" s="1"/>
  <c r="AW1075" i="1"/>
  <c r="BD1075" i="1"/>
  <c r="BF1075" i="1"/>
  <c r="BH1075" i="1"/>
  <c r="AD1075" i="1" s="1"/>
  <c r="BI1075" i="1"/>
  <c r="AE1075" i="1" s="1"/>
  <c r="BJ1075" i="1"/>
  <c r="K1076" i="1"/>
  <c r="Z1076" i="1"/>
  <c r="AB1076" i="1"/>
  <c r="AC1076" i="1"/>
  <c r="AF1076" i="1"/>
  <c r="AG1076" i="1"/>
  <c r="AH1076" i="1"/>
  <c r="AJ1076" i="1"/>
  <c r="AK1076" i="1"/>
  <c r="AL1076" i="1"/>
  <c r="AO1076" i="1"/>
  <c r="AP1076" i="1"/>
  <c r="AW1076" i="1"/>
  <c r="AV1076" i="1" s="1"/>
  <c r="AX1076" i="1"/>
  <c r="BD1076" i="1"/>
  <c r="BF1076" i="1"/>
  <c r="BH1076" i="1"/>
  <c r="AD1076" i="1" s="1"/>
  <c r="BI1076" i="1"/>
  <c r="AE1076" i="1" s="1"/>
  <c r="BJ1076" i="1"/>
  <c r="K1077" i="1"/>
  <c r="AL1077" i="1" s="1"/>
  <c r="Z1077" i="1"/>
  <c r="AB1077" i="1"/>
  <c r="AC1077" i="1"/>
  <c r="AF1077" i="1"/>
  <c r="AG1077" i="1"/>
  <c r="AH1077" i="1"/>
  <c r="AJ1077" i="1"/>
  <c r="AK1077" i="1"/>
  <c r="AO1077" i="1"/>
  <c r="AW1077" i="1" s="1"/>
  <c r="AP1077" i="1"/>
  <c r="AX1077" i="1"/>
  <c r="BD1077" i="1"/>
  <c r="BF1077" i="1"/>
  <c r="BH1077" i="1"/>
  <c r="AD1077" i="1" s="1"/>
  <c r="BI1077" i="1"/>
  <c r="AE1077" i="1" s="1"/>
  <c r="BJ1077" i="1"/>
  <c r="K1078" i="1"/>
  <c r="AL1078" i="1" s="1"/>
  <c r="Z1078" i="1"/>
  <c r="AB1078" i="1"/>
  <c r="AC1078" i="1"/>
  <c r="AF1078" i="1"/>
  <c r="AG1078" i="1"/>
  <c r="AH1078" i="1"/>
  <c r="AJ1078" i="1"/>
  <c r="AK1078" i="1"/>
  <c r="AO1078" i="1"/>
  <c r="AW1078" i="1" s="1"/>
  <c r="AP1078" i="1"/>
  <c r="AX1078" i="1" s="1"/>
  <c r="BD1078" i="1"/>
  <c r="BF1078" i="1"/>
  <c r="BH1078" i="1"/>
  <c r="AD1078" i="1" s="1"/>
  <c r="BI1078" i="1"/>
  <c r="AE1078" i="1" s="1"/>
  <c r="BJ1078" i="1"/>
  <c r="K1079" i="1"/>
  <c r="Z1079" i="1"/>
  <c r="AB1079" i="1"/>
  <c r="AC1079" i="1"/>
  <c r="AF1079" i="1"/>
  <c r="AG1079" i="1"/>
  <c r="AH1079" i="1"/>
  <c r="AJ1079" i="1"/>
  <c r="AK1079" i="1"/>
  <c r="AL1079" i="1"/>
  <c r="AO1079" i="1"/>
  <c r="AP1079" i="1"/>
  <c r="AX1079" i="1" s="1"/>
  <c r="AW1079" i="1"/>
  <c r="BD1079" i="1"/>
  <c r="BF1079" i="1"/>
  <c r="BH1079" i="1"/>
  <c r="AD1079" i="1" s="1"/>
  <c r="BI1079" i="1"/>
  <c r="AE1079" i="1" s="1"/>
  <c r="BJ1079" i="1"/>
  <c r="K1080" i="1"/>
  <c r="Z1080" i="1"/>
  <c r="AB1080" i="1"/>
  <c r="AC1080" i="1"/>
  <c r="AF1080" i="1"/>
  <c r="AG1080" i="1"/>
  <c r="AH1080" i="1"/>
  <c r="AJ1080" i="1"/>
  <c r="AK1080" i="1"/>
  <c r="AL1080" i="1"/>
  <c r="AO1080" i="1"/>
  <c r="AP1080" i="1"/>
  <c r="AW1080" i="1"/>
  <c r="AV1080" i="1" s="1"/>
  <c r="AX1080" i="1"/>
  <c r="BD1080" i="1"/>
  <c r="BF1080" i="1"/>
  <c r="BH1080" i="1"/>
  <c r="AD1080" i="1" s="1"/>
  <c r="BI1080" i="1"/>
  <c r="AE1080" i="1" s="1"/>
  <c r="BJ1080" i="1"/>
  <c r="K1081" i="1"/>
  <c r="AL1081" i="1" s="1"/>
  <c r="Z1081" i="1"/>
  <c r="AB1081" i="1"/>
  <c r="AC1081" i="1"/>
  <c r="AF1081" i="1"/>
  <c r="AG1081" i="1"/>
  <c r="AH1081" i="1"/>
  <c r="AJ1081" i="1"/>
  <c r="AK1081" i="1"/>
  <c r="AO1081" i="1"/>
  <c r="AW1081" i="1" s="1"/>
  <c r="AP1081" i="1"/>
  <c r="AX1081" i="1"/>
  <c r="BD1081" i="1"/>
  <c r="BF1081" i="1"/>
  <c r="BH1081" i="1"/>
  <c r="AD1081" i="1" s="1"/>
  <c r="BI1081" i="1"/>
  <c r="AE1081" i="1" s="1"/>
  <c r="BJ1081" i="1"/>
  <c r="K1082" i="1"/>
  <c r="AL1082" i="1" s="1"/>
  <c r="Z1082" i="1"/>
  <c r="AB1082" i="1"/>
  <c r="AC1082" i="1"/>
  <c r="AF1082" i="1"/>
  <c r="AG1082" i="1"/>
  <c r="AH1082" i="1"/>
  <c r="AJ1082" i="1"/>
  <c r="AK1082" i="1"/>
  <c r="AO1082" i="1"/>
  <c r="AW1082" i="1" s="1"/>
  <c r="AP1082" i="1"/>
  <c r="AX1082" i="1" s="1"/>
  <c r="BD1082" i="1"/>
  <c r="BF1082" i="1"/>
  <c r="BH1082" i="1"/>
  <c r="AD1082" i="1" s="1"/>
  <c r="BI1082" i="1"/>
  <c r="AE1082" i="1" s="1"/>
  <c r="BJ1082" i="1"/>
  <c r="K1083" i="1"/>
  <c r="Z1083" i="1"/>
  <c r="AB1083" i="1"/>
  <c r="AC1083" i="1"/>
  <c r="AF1083" i="1"/>
  <c r="AG1083" i="1"/>
  <c r="AH1083" i="1"/>
  <c r="AJ1083" i="1"/>
  <c r="AK1083" i="1"/>
  <c r="AL1083" i="1"/>
  <c r="AO1083" i="1"/>
  <c r="AP1083" i="1"/>
  <c r="AX1083" i="1" s="1"/>
  <c r="AW1083" i="1"/>
  <c r="BD1083" i="1"/>
  <c r="BF1083" i="1"/>
  <c r="BH1083" i="1"/>
  <c r="AD1083" i="1" s="1"/>
  <c r="BI1083" i="1"/>
  <c r="AE1083" i="1" s="1"/>
  <c r="BJ1083" i="1"/>
  <c r="K1084" i="1"/>
  <c r="Z1084" i="1"/>
  <c r="AB1084" i="1"/>
  <c r="AC1084" i="1"/>
  <c r="AF1084" i="1"/>
  <c r="AG1084" i="1"/>
  <c r="AH1084" i="1"/>
  <c r="AJ1084" i="1"/>
  <c r="AK1084" i="1"/>
  <c r="AL1084" i="1"/>
  <c r="AO1084" i="1"/>
  <c r="AP1084" i="1"/>
  <c r="AW1084" i="1"/>
  <c r="AV1084" i="1" s="1"/>
  <c r="AX1084" i="1"/>
  <c r="BD1084" i="1"/>
  <c r="BF1084" i="1"/>
  <c r="BH1084" i="1"/>
  <c r="AD1084" i="1" s="1"/>
  <c r="BI1084" i="1"/>
  <c r="AE1084" i="1" s="1"/>
  <c r="BJ1084" i="1"/>
  <c r="K1085" i="1"/>
  <c r="AL1085" i="1" s="1"/>
  <c r="Z1085" i="1"/>
  <c r="AB1085" i="1"/>
  <c r="AC1085" i="1"/>
  <c r="AF1085" i="1"/>
  <c r="AG1085" i="1"/>
  <c r="AH1085" i="1"/>
  <c r="AJ1085" i="1"/>
  <c r="AK1085" i="1"/>
  <c r="AO1085" i="1"/>
  <c r="AW1085" i="1" s="1"/>
  <c r="AP1085" i="1"/>
  <c r="AX1085" i="1"/>
  <c r="BD1085" i="1"/>
  <c r="BF1085" i="1"/>
  <c r="BH1085" i="1"/>
  <c r="AD1085" i="1" s="1"/>
  <c r="BI1085" i="1"/>
  <c r="AE1085" i="1" s="1"/>
  <c r="BJ1085" i="1"/>
  <c r="K1086" i="1"/>
  <c r="AL1086" i="1" s="1"/>
  <c r="Z1086" i="1"/>
  <c r="AB1086" i="1"/>
  <c r="AC1086" i="1"/>
  <c r="AF1086" i="1"/>
  <c r="AG1086" i="1"/>
  <c r="AH1086" i="1"/>
  <c r="AJ1086" i="1"/>
  <c r="AK1086" i="1"/>
  <c r="AO1086" i="1"/>
  <c r="AW1086" i="1" s="1"/>
  <c r="AP1086" i="1"/>
  <c r="AX1086" i="1" s="1"/>
  <c r="BD1086" i="1"/>
  <c r="BF1086" i="1"/>
  <c r="BH1086" i="1"/>
  <c r="AD1086" i="1" s="1"/>
  <c r="BI1086" i="1"/>
  <c r="AE1086" i="1" s="1"/>
  <c r="BJ1086" i="1"/>
  <c r="K1087" i="1"/>
  <c r="Z1087" i="1"/>
  <c r="AB1087" i="1"/>
  <c r="AC1087" i="1"/>
  <c r="AF1087" i="1"/>
  <c r="AG1087" i="1"/>
  <c r="AH1087" i="1"/>
  <c r="AJ1087" i="1"/>
  <c r="AK1087" i="1"/>
  <c r="AL1087" i="1"/>
  <c r="AO1087" i="1"/>
  <c r="AP1087" i="1"/>
  <c r="AX1087" i="1" s="1"/>
  <c r="AW1087" i="1"/>
  <c r="BD1087" i="1"/>
  <c r="BF1087" i="1"/>
  <c r="BH1087" i="1"/>
  <c r="AD1087" i="1" s="1"/>
  <c r="BI1087" i="1"/>
  <c r="AE1087" i="1" s="1"/>
  <c r="BJ1087" i="1"/>
  <c r="K1088" i="1"/>
  <c r="Z1088" i="1"/>
  <c r="AB1088" i="1"/>
  <c r="AC1088" i="1"/>
  <c r="AF1088" i="1"/>
  <c r="AG1088" i="1"/>
  <c r="AH1088" i="1"/>
  <c r="AJ1088" i="1"/>
  <c r="AK1088" i="1"/>
  <c r="AL1088" i="1"/>
  <c r="AO1088" i="1"/>
  <c r="AP1088" i="1"/>
  <c r="AW1088" i="1"/>
  <c r="AV1088" i="1" s="1"/>
  <c r="AX1088" i="1"/>
  <c r="BD1088" i="1"/>
  <c r="BF1088" i="1"/>
  <c r="BH1088" i="1"/>
  <c r="AD1088" i="1" s="1"/>
  <c r="BI1088" i="1"/>
  <c r="AE1088" i="1" s="1"/>
  <c r="BJ1088" i="1"/>
  <c r="K1089" i="1"/>
  <c r="AL1089" i="1" s="1"/>
  <c r="Z1089" i="1"/>
  <c r="AB1089" i="1"/>
  <c r="AC1089" i="1"/>
  <c r="AF1089" i="1"/>
  <c r="AG1089" i="1"/>
  <c r="AH1089" i="1"/>
  <c r="AJ1089" i="1"/>
  <c r="AK1089" i="1"/>
  <c r="AO1089" i="1"/>
  <c r="AW1089" i="1" s="1"/>
  <c r="AP1089" i="1"/>
  <c r="AX1089" i="1"/>
  <c r="BD1089" i="1"/>
  <c r="BF1089" i="1"/>
  <c r="BH1089" i="1"/>
  <c r="AD1089" i="1" s="1"/>
  <c r="BI1089" i="1"/>
  <c r="AE1089" i="1" s="1"/>
  <c r="BJ1089" i="1"/>
  <c r="K1090" i="1"/>
  <c r="AL1090" i="1" s="1"/>
  <c r="Z1090" i="1"/>
  <c r="AB1090" i="1"/>
  <c r="AC1090" i="1"/>
  <c r="AF1090" i="1"/>
  <c r="AG1090" i="1"/>
  <c r="AH1090" i="1"/>
  <c r="AJ1090" i="1"/>
  <c r="AK1090" i="1"/>
  <c r="AO1090" i="1"/>
  <c r="AW1090" i="1" s="1"/>
  <c r="AP1090" i="1"/>
  <c r="AX1090" i="1" s="1"/>
  <c r="BD1090" i="1"/>
  <c r="BF1090" i="1"/>
  <c r="BH1090" i="1"/>
  <c r="AD1090" i="1" s="1"/>
  <c r="BI1090" i="1"/>
  <c r="AE1090" i="1" s="1"/>
  <c r="BJ1090" i="1"/>
  <c r="K1091" i="1"/>
  <c r="Z1091" i="1"/>
  <c r="AB1091" i="1"/>
  <c r="AC1091" i="1"/>
  <c r="AF1091" i="1"/>
  <c r="AG1091" i="1"/>
  <c r="AH1091" i="1"/>
  <c r="AJ1091" i="1"/>
  <c r="AK1091" i="1"/>
  <c r="AL1091" i="1"/>
  <c r="AO1091" i="1"/>
  <c r="AP1091" i="1"/>
  <c r="AX1091" i="1" s="1"/>
  <c r="AW1091" i="1"/>
  <c r="BD1091" i="1"/>
  <c r="BF1091" i="1"/>
  <c r="BH1091" i="1"/>
  <c r="AD1091" i="1" s="1"/>
  <c r="BI1091" i="1"/>
  <c r="AE1091" i="1" s="1"/>
  <c r="BJ1091" i="1"/>
  <c r="K1092" i="1"/>
  <c r="Z1092" i="1"/>
  <c r="AB1092" i="1"/>
  <c r="AC1092" i="1"/>
  <c r="AF1092" i="1"/>
  <c r="AG1092" i="1"/>
  <c r="AH1092" i="1"/>
  <c r="AJ1092" i="1"/>
  <c r="AK1092" i="1"/>
  <c r="AL1092" i="1"/>
  <c r="AO1092" i="1"/>
  <c r="AP1092" i="1"/>
  <c r="AW1092" i="1"/>
  <c r="AV1092" i="1" s="1"/>
  <c r="AX1092" i="1"/>
  <c r="BD1092" i="1"/>
  <c r="BF1092" i="1"/>
  <c r="BH1092" i="1"/>
  <c r="AD1092" i="1" s="1"/>
  <c r="BI1092" i="1"/>
  <c r="AE1092" i="1" s="1"/>
  <c r="BJ1092" i="1"/>
  <c r="K1093" i="1"/>
  <c r="AL1093" i="1" s="1"/>
  <c r="Z1093" i="1"/>
  <c r="AB1093" i="1"/>
  <c r="AC1093" i="1"/>
  <c r="AF1093" i="1"/>
  <c r="AG1093" i="1"/>
  <c r="AH1093" i="1"/>
  <c r="AJ1093" i="1"/>
  <c r="AK1093" i="1"/>
  <c r="AO1093" i="1"/>
  <c r="AW1093" i="1" s="1"/>
  <c r="AP1093" i="1"/>
  <c r="AX1093" i="1"/>
  <c r="BD1093" i="1"/>
  <c r="BF1093" i="1"/>
  <c r="BH1093" i="1"/>
  <c r="AD1093" i="1" s="1"/>
  <c r="BI1093" i="1"/>
  <c r="AE1093" i="1" s="1"/>
  <c r="BJ1093" i="1"/>
  <c r="K1094" i="1"/>
  <c r="AL1094" i="1" s="1"/>
  <c r="Z1094" i="1"/>
  <c r="AB1094" i="1"/>
  <c r="AC1094" i="1"/>
  <c r="AF1094" i="1"/>
  <c r="AG1094" i="1"/>
  <c r="AH1094" i="1"/>
  <c r="AJ1094" i="1"/>
  <c r="AK1094" i="1"/>
  <c r="AO1094" i="1"/>
  <c r="AW1094" i="1" s="1"/>
  <c r="AP1094" i="1"/>
  <c r="AX1094" i="1" s="1"/>
  <c r="BD1094" i="1"/>
  <c r="BF1094" i="1"/>
  <c r="BH1094" i="1"/>
  <c r="AD1094" i="1" s="1"/>
  <c r="BI1094" i="1"/>
  <c r="AE1094" i="1" s="1"/>
  <c r="BJ1094" i="1"/>
  <c r="K1095" i="1"/>
  <c r="Z1095" i="1"/>
  <c r="AB1095" i="1"/>
  <c r="AC1095" i="1"/>
  <c r="AF1095" i="1"/>
  <c r="AG1095" i="1"/>
  <c r="AH1095" i="1"/>
  <c r="AJ1095" i="1"/>
  <c r="AK1095" i="1"/>
  <c r="AL1095" i="1"/>
  <c r="AO1095" i="1"/>
  <c r="AP1095" i="1"/>
  <c r="AX1095" i="1" s="1"/>
  <c r="AW1095" i="1"/>
  <c r="BD1095" i="1"/>
  <c r="BF1095" i="1"/>
  <c r="BH1095" i="1"/>
  <c r="AD1095" i="1" s="1"/>
  <c r="BI1095" i="1"/>
  <c r="AE1095" i="1" s="1"/>
  <c r="BJ1095" i="1"/>
  <c r="K1096" i="1"/>
  <c r="Z1096" i="1"/>
  <c r="AB1096" i="1"/>
  <c r="AC1096" i="1"/>
  <c r="AF1096" i="1"/>
  <c r="AG1096" i="1"/>
  <c r="AH1096" i="1"/>
  <c r="AJ1096" i="1"/>
  <c r="AK1096" i="1"/>
  <c r="AL1096" i="1"/>
  <c r="AO1096" i="1"/>
  <c r="AP1096" i="1"/>
  <c r="AW1096" i="1"/>
  <c r="AV1096" i="1" s="1"/>
  <c r="AX1096" i="1"/>
  <c r="BD1096" i="1"/>
  <c r="BF1096" i="1"/>
  <c r="BH1096" i="1"/>
  <c r="AD1096" i="1" s="1"/>
  <c r="BI1096" i="1"/>
  <c r="AE1096" i="1" s="1"/>
  <c r="BJ1096" i="1"/>
  <c r="K1097" i="1"/>
  <c r="AL1097" i="1" s="1"/>
  <c r="Z1097" i="1"/>
  <c r="AB1097" i="1"/>
  <c r="AC1097" i="1"/>
  <c r="AF1097" i="1"/>
  <c r="AG1097" i="1"/>
  <c r="AH1097" i="1"/>
  <c r="AJ1097" i="1"/>
  <c r="AK1097" i="1"/>
  <c r="AO1097" i="1"/>
  <c r="AW1097" i="1" s="1"/>
  <c r="AP1097" i="1"/>
  <c r="AX1097" i="1"/>
  <c r="BD1097" i="1"/>
  <c r="BF1097" i="1"/>
  <c r="BH1097" i="1"/>
  <c r="AD1097" i="1" s="1"/>
  <c r="BI1097" i="1"/>
  <c r="AE1097" i="1" s="1"/>
  <c r="BJ1097" i="1"/>
  <c r="K1098" i="1"/>
  <c r="AL1098" i="1" s="1"/>
  <c r="Z1098" i="1"/>
  <c r="AB1098" i="1"/>
  <c r="AC1098" i="1"/>
  <c r="AF1098" i="1"/>
  <c r="AG1098" i="1"/>
  <c r="AH1098" i="1"/>
  <c r="AJ1098" i="1"/>
  <c r="AK1098" i="1"/>
  <c r="AO1098" i="1"/>
  <c r="AW1098" i="1" s="1"/>
  <c r="AP1098" i="1"/>
  <c r="AX1098" i="1" s="1"/>
  <c r="BD1098" i="1"/>
  <c r="BF1098" i="1"/>
  <c r="BH1098" i="1"/>
  <c r="AD1098" i="1" s="1"/>
  <c r="BI1098" i="1"/>
  <c r="AE1098" i="1" s="1"/>
  <c r="BJ1098" i="1"/>
  <c r="K1099" i="1"/>
  <c r="Z1099" i="1"/>
  <c r="AB1099" i="1"/>
  <c r="AC1099" i="1"/>
  <c r="AF1099" i="1"/>
  <c r="AG1099" i="1"/>
  <c r="AH1099" i="1"/>
  <c r="AJ1099" i="1"/>
  <c r="AK1099" i="1"/>
  <c r="AL1099" i="1"/>
  <c r="AO1099" i="1"/>
  <c r="AP1099" i="1"/>
  <c r="AX1099" i="1" s="1"/>
  <c r="AW1099" i="1"/>
  <c r="BD1099" i="1"/>
  <c r="BF1099" i="1"/>
  <c r="BH1099" i="1"/>
  <c r="AD1099" i="1" s="1"/>
  <c r="BI1099" i="1"/>
  <c r="AE1099" i="1" s="1"/>
  <c r="BJ1099" i="1"/>
  <c r="K1100" i="1"/>
  <c r="Z1100" i="1"/>
  <c r="AB1100" i="1"/>
  <c r="AC1100" i="1"/>
  <c r="AF1100" i="1"/>
  <c r="AG1100" i="1"/>
  <c r="AH1100" i="1"/>
  <c r="AJ1100" i="1"/>
  <c r="AK1100" i="1"/>
  <c r="AL1100" i="1"/>
  <c r="AO1100" i="1"/>
  <c r="AP1100" i="1"/>
  <c r="AW1100" i="1"/>
  <c r="AV1100" i="1" s="1"/>
  <c r="AX1100" i="1"/>
  <c r="BD1100" i="1"/>
  <c r="BF1100" i="1"/>
  <c r="BH1100" i="1"/>
  <c r="AD1100" i="1" s="1"/>
  <c r="BI1100" i="1"/>
  <c r="AE1100" i="1" s="1"/>
  <c r="BJ1100" i="1"/>
  <c r="K1101" i="1"/>
  <c r="AL1101" i="1" s="1"/>
  <c r="Z1101" i="1"/>
  <c r="AB1101" i="1"/>
  <c r="AC1101" i="1"/>
  <c r="AF1101" i="1"/>
  <c r="AG1101" i="1"/>
  <c r="AH1101" i="1"/>
  <c r="AJ1101" i="1"/>
  <c r="AK1101" i="1"/>
  <c r="AO1101" i="1"/>
  <c r="AW1101" i="1" s="1"/>
  <c r="AP1101" i="1"/>
  <c r="AX1101" i="1"/>
  <c r="BD1101" i="1"/>
  <c r="BF1101" i="1"/>
  <c r="BH1101" i="1"/>
  <c r="AD1101" i="1" s="1"/>
  <c r="BI1101" i="1"/>
  <c r="AE1101" i="1" s="1"/>
  <c r="BJ1101" i="1"/>
  <c r="K1102" i="1"/>
  <c r="AL1102" i="1" s="1"/>
  <c r="Z1102" i="1"/>
  <c r="AB1102" i="1"/>
  <c r="AC1102" i="1"/>
  <c r="AF1102" i="1"/>
  <c r="AG1102" i="1"/>
  <c r="AH1102" i="1"/>
  <c r="AJ1102" i="1"/>
  <c r="AK1102" i="1"/>
  <c r="AO1102" i="1"/>
  <c r="AW1102" i="1" s="1"/>
  <c r="AP1102" i="1"/>
  <c r="AX1102" i="1" s="1"/>
  <c r="BD1102" i="1"/>
  <c r="BF1102" i="1"/>
  <c r="BH1102" i="1"/>
  <c r="AD1102" i="1" s="1"/>
  <c r="BI1102" i="1"/>
  <c r="AE1102" i="1" s="1"/>
  <c r="BJ1102" i="1"/>
  <c r="K1103" i="1"/>
  <c r="Z1103" i="1"/>
  <c r="AB1103" i="1"/>
  <c r="AC1103" i="1"/>
  <c r="AF1103" i="1"/>
  <c r="AG1103" i="1"/>
  <c r="AH1103" i="1"/>
  <c r="AJ1103" i="1"/>
  <c r="AK1103" i="1"/>
  <c r="AL1103" i="1"/>
  <c r="AO1103" i="1"/>
  <c r="AP1103" i="1"/>
  <c r="AX1103" i="1" s="1"/>
  <c r="AV1103" i="1" s="1"/>
  <c r="AW1103" i="1"/>
  <c r="BC1103" i="1" s="1"/>
  <c r="BD1103" i="1"/>
  <c r="BF1103" i="1"/>
  <c r="BH1103" i="1"/>
  <c r="AD1103" i="1" s="1"/>
  <c r="BI1103" i="1"/>
  <c r="AE1103" i="1" s="1"/>
  <c r="BJ1103" i="1"/>
  <c r="K1104" i="1"/>
  <c r="Z1104" i="1"/>
  <c r="AB1104" i="1"/>
  <c r="AC1104" i="1"/>
  <c r="AF1104" i="1"/>
  <c r="AG1104" i="1"/>
  <c r="AH1104" i="1"/>
  <c r="AJ1104" i="1"/>
  <c r="AK1104" i="1"/>
  <c r="AL1104" i="1"/>
  <c r="AO1104" i="1"/>
  <c r="AP1104" i="1"/>
  <c r="AW1104" i="1"/>
  <c r="AV1104" i="1" s="1"/>
  <c r="AX1104" i="1"/>
  <c r="BD1104" i="1"/>
  <c r="BF1104" i="1"/>
  <c r="BH1104" i="1"/>
  <c r="AD1104" i="1" s="1"/>
  <c r="BI1104" i="1"/>
  <c r="AE1104" i="1" s="1"/>
  <c r="BJ1104" i="1"/>
  <c r="K1105" i="1"/>
  <c r="AL1105" i="1" s="1"/>
  <c r="Z1105" i="1"/>
  <c r="AB1105" i="1"/>
  <c r="AC1105" i="1"/>
  <c r="AF1105" i="1"/>
  <c r="AG1105" i="1"/>
  <c r="AH1105" i="1"/>
  <c r="AJ1105" i="1"/>
  <c r="AK1105" i="1"/>
  <c r="AO1105" i="1"/>
  <c r="AW1105" i="1" s="1"/>
  <c r="AP1105" i="1"/>
  <c r="AX1105" i="1"/>
  <c r="BD1105" i="1"/>
  <c r="BF1105" i="1"/>
  <c r="BH1105" i="1"/>
  <c r="AD1105" i="1" s="1"/>
  <c r="BI1105" i="1"/>
  <c r="AE1105" i="1" s="1"/>
  <c r="BJ1105" i="1"/>
  <c r="K1106" i="1"/>
  <c r="AL1106" i="1" s="1"/>
  <c r="Z1106" i="1"/>
  <c r="AB1106" i="1"/>
  <c r="AC1106" i="1"/>
  <c r="AF1106" i="1"/>
  <c r="AG1106" i="1"/>
  <c r="AH1106" i="1"/>
  <c r="AJ1106" i="1"/>
  <c r="AK1106" i="1"/>
  <c r="AO1106" i="1"/>
  <c r="AW1106" i="1" s="1"/>
  <c r="AP1106" i="1"/>
  <c r="AX1106" i="1" s="1"/>
  <c r="BD1106" i="1"/>
  <c r="BF1106" i="1"/>
  <c r="BH1106" i="1"/>
  <c r="AD1106" i="1" s="1"/>
  <c r="BI1106" i="1"/>
  <c r="AE1106" i="1" s="1"/>
  <c r="BJ1106" i="1"/>
  <c r="K1107" i="1"/>
  <c r="Z1107" i="1"/>
  <c r="AB1107" i="1"/>
  <c r="AC1107" i="1"/>
  <c r="AF1107" i="1"/>
  <c r="AG1107" i="1"/>
  <c r="AH1107" i="1"/>
  <c r="AJ1107" i="1"/>
  <c r="AK1107" i="1"/>
  <c r="AL1107" i="1"/>
  <c r="AO1107" i="1"/>
  <c r="AP1107" i="1"/>
  <c r="AX1107" i="1" s="1"/>
  <c r="AV1107" i="1" s="1"/>
  <c r="AW1107" i="1"/>
  <c r="BC1107" i="1" s="1"/>
  <c r="BD1107" i="1"/>
  <c r="BF1107" i="1"/>
  <c r="BH1107" i="1"/>
  <c r="AD1107" i="1" s="1"/>
  <c r="BI1107" i="1"/>
  <c r="AE1107" i="1" s="1"/>
  <c r="BJ1107" i="1"/>
  <c r="K1108" i="1"/>
  <c r="Z1108" i="1"/>
  <c r="AB1108" i="1"/>
  <c r="AC1108" i="1"/>
  <c r="AF1108" i="1"/>
  <c r="AG1108" i="1"/>
  <c r="AH1108" i="1"/>
  <c r="AJ1108" i="1"/>
  <c r="AK1108" i="1"/>
  <c r="AL1108" i="1"/>
  <c r="AO1108" i="1"/>
  <c r="AP1108" i="1"/>
  <c r="AW1108" i="1"/>
  <c r="AV1108" i="1" s="1"/>
  <c r="AX1108" i="1"/>
  <c r="BD1108" i="1"/>
  <c r="BF1108" i="1"/>
  <c r="BH1108" i="1"/>
  <c r="AD1108" i="1" s="1"/>
  <c r="BI1108" i="1"/>
  <c r="AE1108" i="1" s="1"/>
  <c r="BJ1108" i="1"/>
  <c r="K1109" i="1"/>
  <c r="AL1109" i="1" s="1"/>
  <c r="Z1109" i="1"/>
  <c r="AB1109" i="1"/>
  <c r="AC1109" i="1"/>
  <c r="AF1109" i="1"/>
  <c r="AG1109" i="1"/>
  <c r="AH1109" i="1"/>
  <c r="AJ1109" i="1"/>
  <c r="AK1109" i="1"/>
  <c r="AO1109" i="1"/>
  <c r="AW1109" i="1" s="1"/>
  <c r="AP1109" i="1"/>
  <c r="AX1109" i="1"/>
  <c r="BD1109" i="1"/>
  <c r="BF1109" i="1"/>
  <c r="BH1109" i="1"/>
  <c r="AD1109" i="1" s="1"/>
  <c r="BI1109" i="1"/>
  <c r="AE1109" i="1" s="1"/>
  <c r="BJ1109" i="1"/>
  <c r="K1110" i="1"/>
  <c r="AL1110" i="1" s="1"/>
  <c r="Z1110" i="1"/>
  <c r="AB1110" i="1"/>
  <c r="AC1110" i="1"/>
  <c r="AF1110" i="1"/>
  <c r="AG1110" i="1"/>
  <c r="AH1110" i="1"/>
  <c r="AJ1110" i="1"/>
  <c r="AK1110" i="1"/>
  <c r="AO1110" i="1"/>
  <c r="AW1110" i="1" s="1"/>
  <c r="AP1110" i="1"/>
  <c r="AX1110" i="1" s="1"/>
  <c r="BD1110" i="1"/>
  <c r="BF1110" i="1"/>
  <c r="BH1110" i="1"/>
  <c r="AD1110" i="1" s="1"/>
  <c r="BI1110" i="1"/>
  <c r="AE1110" i="1" s="1"/>
  <c r="BJ1110" i="1"/>
  <c r="K1111" i="1"/>
  <c r="Z1111" i="1"/>
  <c r="AB1111" i="1"/>
  <c r="AC1111" i="1"/>
  <c r="AF1111" i="1"/>
  <c r="AG1111" i="1"/>
  <c r="AH1111" i="1"/>
  <c r="AJ1111" i="1"/>
  <c r="AK1111" i="1"/>
  <c r="AL1111" i="1"/>
  <c r="AO1111" i="1"/>
  <c r="AP1111" i="1"/>
  <c r="AX1111" i="1" s="1"/>
  <c r="AV1111" i="1" s="1"/>
  <c r="AW1111" i="1"/>
  <c r="BC1111" i="1" s="1"/>
  <c r="BD1111" i="1"/>
  <c r="BF1111" i="1"/>
  <c r="BH1111" i="1"/>
  <c r="AD1111" i="1" s="1"/>
  <c r="BI1111" i="1"/>
  <c r="AE1111" i="1" s="1"/>
  <c r="BJ1111" i="1"/>
  <c r="K1112" i="1"/>
  <c r="Z1112" i="1"/>
  <c r="AB1112" i="1"/>
  <c r="AC1112" i="1"/>
  <c r="AF1112" i="1"/>
  <c r="AG1112" i="1"/>
  <c r="AH1112" i="1"/>
  <c r="AJ1112" i="1"/>
  <c r="AK1112" i="1"/>
  <c r="AL1112" i="1"/>
  <c r="AO1112" i="1"/>
  <c r="AP1112" i="1"/>
  <c r="AW1112" i="1"/>
  <c r="AV1112" i="1" s="1"/>
  <c r="AX1112" i="1"/>
  <c r="BD1112" i="1"/>
  <c r="BF1112" i="1"/>
  <c r="BH1112" i="1"/>
  <c r="AD1112" i="1" s="1"/>
  <c r="BI1112" i="1"/>
  <c r="AE1112" i="1" s="1"/>
  <c r="BJ1112" i="1"/>
  <c r="K1113" i="1"/>
  <c r="AL1113" i="1" s="1"/>
  <c r="Z1113" i="1"/>
  <c r="AB1113" i="1"/>
  <c r="AC1113" i="1"/>
  <c r="AF1113" i="1"/>
  <c r="AG1113" i="1"/>
  <c r="AH1113" i="1"/>
  <c r="AJ1113" i="1"/>
  <c r="AK1113" i="1"/>
  <c r="AO1113" i="1"/>
  <c r="AW1113" i="1" s="1"/>
  <c r="AP1113" i="1"/>
  <c r="AX1113" i="1"/>
  <c r="BD1113" i="1"/>
  <c r="BF1113" i="1"/>
  <c r="BH1113" i="1"/>
  <c r="AD1113" i="1" s="1"/>
  <c r="BI1113" i="1"/>
  <c r="AE1113" i="1" s="1"/>
  <c r="BJ1113" i="1"/>
  <c r="K1114" i="1"/>
  <c r="AL1114" i="1" s="1"/>
  <c r="Z1114" i="1"/>
  <c r="AB1114" i="1"/>
  <c r="AC1114" i="1"/>
  <c r="AF1114" i="1"/>
  <c r="AG1114" i="1"/>
  <c r="AH1114" i="1"/>
  <c r="AJ1114" i="1"/>
  <c r="AK1114" i="1"/>
  <c r="AO1114" i="1"/>
  <c r="AW1114" i="1" s="1"/>
  <c r="AP1114" i="1"/>
  <c r="AX1114" i="1" s="1"/>
  <c r="BD1114" i="1"/>
  <c r="BF1114" i="1"/>
  <c r="BH1114" i="1"/>
  <c r="AD1114" i="1" s="1"/>
  <c r="BI1114" i="1"/>
  <c r="AE1114" i="1" s="1"/>
  <c r="BJ1114" i="1"/>
  <c r="K1115" i="1"/>
  <c r="Z1115" i="1"/>
  <c r="AB1115" i="1"/>
  <c r="AC1115" i="1"/>
  <c r="AF1115" i="1"/>
  <c r="AG1115" i="1"/>
  <c r="AH1115" i="1"/>
  <c r="AJ1115" i="1"/>
  <c r="AK1115" i="1"/>
  <c r="AL1115" i="1"/>
  <c r="AO1115" i="1"/>
  <c r="AP1115" i="1"/>
  <c r="AX1115" i="1" s="1"/>
  <c r="AV1115" i="1" s="1"/>
  <c r="AW1115" i="1"/>
  <c r="BC1115" i="1" s="1"/>
  <c r="BD1115" i="1"/>
  <c r="BF1115" i="1"/>
  <c r="BH1115" i="1"/>
  <c r="AD1115" i="1" s="1"/>
  <c r="BI1115" i="1"/>
  <c r="AE1115" i="1" s="1"/>
  <c r="BJ1115" i="1"/>
  <c r="K1116" i="1"/>
  <c r="Z1116" i="1"/>
  <c r="AB1116" i="1"/>
  <c r="AC1116" i="1"/>
  <c r="AF1116" i="1"/>
  <c r="AG1116" i="1"/>
  <c r="AH1116" i="1"/>
  <c r="AJ1116" i="1"/>
  <c r="AK1116" i="1"/>
  <c r="AL1116" i="1"/>
  <c r="AO1116" i="1"/>
  <c r="AP1116" i="1"/>
  <c r="AW1116" i="1"/>
  <c r="AV1116" i="1" s="1"/>
  <c r="AX1116" i="1"/>
  <c r="BD1116" i="1"/>
  <c r="BF1116" i="1"/>
  <c r="BH1116" i="1"/>
  <c r="AD1116" i="1" s="1"/>
  <c r="BI1116" i="1"/>
  <c r="AE1116" i="1" s="1"/>
  <c r="BJ1116" i="1"/>
  <c r="K1117" i="1"/>
  <c r="AL1117" i="1" s="1"/>
  <c r="Z1117" i="1"/>
  <c r="AB1117" i="1"/>
  <c r="AC1117" i="1"/>
  <c r="AF1117" i="1"/>
  <c r="AG1117" i="1"/>
  <c r="AH1117" i="1"/>
  <c r="AJ1117" i="1"/>
  <c r="AK1117" i="1"/>
  <c r="AO1117" i="1"/>
  <c r="AW1117" i="1" s="1"/>
  <c r="AP1117" i="1"/>
  <c r="AX1117" i="1"/>
  <c r="BD1117" i="1"/>
  <c r="BF1117" i="1"/>
  <c r="BH1117" i="1"/>
  <c r="AD1117" i="1" s="1"/>
  <c r="BI1117" i="1"/>
  <c r="AE1117" i="1" s="1"/>
  <c r="BJ1117" i="1"/>
  <c r="K1118" i="1"/>
  <c r="AL1118" i="1" s="1"/>
  <c r="Z1118" i="1"/>
  <c r="AB1118" i="1"/>
  <c r="AC1118" i="1"/>
  <c r="AF1118" i="1"/>
  <c r="AG1118" i="1"/>
  <c r="AH1118" i="1"/>
  <c r="AJ1118" i="1"/>
  <c r="AK1118" i="1"/>
  <c r="AO1118" i="1"/>
  <c r="AW1118" i="1" s="1"/>
  <c r="AP1118" i="1"/>
  <c r="AX1118" i="1" s="1"/>
  <c r="BD1118" i="1"/>
  <c r="BF1118" i="1"/>
  <c r="BH1118" i="1"/>
  <c r="AD1118" i="1" s="1"/>
  <c r="BI1118" i="1"/>
  <c r="AE1118" i="1" s="1"/>
  <c r="BJ1118" i="1"/>
  <c r="K1119" i="1"/>
  <c r="Z1119" i="1"/>
  <c r="AB1119" i="1"/>
  <c r="AC1119" i="1"/>
  <c r="AF1119" i="1"/>
  <c r="AG1119" i="1"/>
  <c r="AH1119" i="1"/>
  <c r="AJ1119" i="1"/>
  <c r="AK1119" i="1"/>
  <c r="AL1119" i="1"/>
  <c r="AO1119" i="1"/>
  <c r="AP1119" i="1"/>
  <c r="AX1119" i="1" s="1"/>
  <c r="AV1119" i="1" s="1"/>
  <c r="AW1119" i="1"/>
  <c r="BC1119" i="1" s="1"/>
  <c r="BD1119" i="1"/>
  <c r="BF1119" i="1"/>
  <c r="BH1119" i="1"/>
  <c r="AD1119" i="1" s="1"/>
  <c r="BI1119" i="1"/>
  <c r="AE1119" i="1" s="1"/>
  <c r="BJ1119" i="1"/>
  <c r="K1120" i="1"/>
  <c r="Z1120" i="1"/>
  <c r="AB1120" i="1"/>
  <c r="AC1120" i="1"/>
  <c r="AF1120" i="1"/>
  <c r="AG1120" i="1"/>
  <c r="AH1120" i="1"/>
  <c r="AJ1120" i="1"/>
  <c r="AK1120" i="1"/>
  <c r="AL1120" i="1"/>
  <c r="AO1120" i="1"/>
  <c r="AP1120" i="1"/>
  <c r="AW1120" i="1"/>
  <c r="AV1120" i="1" s="1"/>
  <c r="AX1120" i="1"/>
  <c r="BD1120" i="1"/>
  <c r="BF1120" i="1"/>
  <c r="BH1120" i="1"/>
  <c r="AD1120" i="1" s="1"/>
  <c r="BI1120" i="1"/>
  <c r="AE1120" i="1" s="1"/>
  <c r="BJ1120" i="1"/>
  <c r="K1121" i="1"/>
  <c r="AL1121" i="1" s="1"/>
  <c r="Z1121" i="1"/>
  <c r="AB1121" i="1"/>
  <c r="AC1121" i="1"/>
  <c r="AF1121" i="1"/>
  <c r="AG1121" i="1"/>
  <c r="AH1121" i="1"/>
  <c r="AJ1121" i="1"/>
  <c r="AK1121" i="1"/>
  <c r="AO1121" i="1"/>
  <c r="AW1121" i="1" s="1"/>
  <c r="AP1121" i="1"/>
  <c r="AX1121" i="1"/>
  <c r="BD1121" i="1"/>
  <c r="BF1121" i="1"/>
  <c r="BH1121" i="1"/>
  <c r="AD1121" i="1" s="1"/>
  <c r="BI1121" i="1"/>
  <c r="AE1121" i="1" s="1"/>
  <c r="BJ1121" i="1"/>
  <c r="K1122" i="1"/>
  <c r="AL1122" i="1" s="1"/>
  <c r="Z1122" i="1"/>
  <c r="AB1122" i="1"/>
  <c r="AC1122" i="1"/>
  <c r="AF1122" i="1"/>
  <c r="AG1122" i="1"/>
  <c r="AH1122" i="1"/>
  <c r="AJ1122" i="1"/>
  <c r="AK1122" i="1"/>
  <c r="AO1122" i="1"/>
  <c r="AW1122" i="1" s="1"/>
  <c r="AP1122" i="1"/>
  <c r="AX1122" i="1" s="1"/>
  <c r="BD1122" i="1"/>
  <c r="BF1122" i="1"/>
  <c r="BH1122" i="1"/>
  <c r="AD1122" i="1" s="1"/>
  <c r="BI1122" i="1"/>
  <c r="AE1122" i="1" s="1"/>
  <c r="BJ1122" i="1"/>
  <c r="K1123" i="1"/>
  <c r="Z1123" i="1"/>
  <c r="AB1123" i="1"/>
  <c r="AC1123" i="1"/>
  <c r="AF1123" i="1"/>
  <c r="AG1123" i="1"/>
  <c r="AH1123" i="1"/>
  <c r="AJ1123" i="1"/>
  <c r="AK1123" i="1"/>
  <c r="AL1123" i="1"/>
  <c r="AO1123" i="1"/>
  <c r="AP1123" i="1"/>
  <c r="AX1123" i="1" s="1"/>
  <c r="AV1123" i="1" s="1"/>
  <c r="AW1123" i="1"/>
  <c r="BC1123" i="1" s="1"/>
  <c r="BD1123" i="1"/>
  <c r="BF1123" i="1"/>
  <c r="BH1123" i="1"/>
  <c r="AD1123" i="1" s="1"/>
  <c r="BI1123" i="1"/>
  <c r="AE1123" i="1" s="1"/>
  <c r="BJ1123" i="1"/>
  <c r="K1124" i="1"/>
  <c r="Z1124" i="1"/>
  <c r="AB1124" i="1"/>
  <c r="AC1124" i="1"/>
  <c r="AF1124" i="1"/>
  <c r="AG1124" i="1"/>
  <c r="AH1124" i="1"/>
  <c r="AJ1124" i="1"/>
  <c r="AK1124" i="1"/>
  <c r="AL1124" i="1"/>
  <c r="AO1124" i="1"/>
  <c r="AP1124" i="1"/>
  <c r="AW1124" i="1"/>
  <c r="AV1124" i="1" s="1"/>
  <c r="AX1124" i="1"/>
  <c r="BD1124" i="1"/>
  <c r="BF1124" i="1"/>
  <c r="BH1124" i="1"/>
  <c r="AD1124" i="1" s="1"/>
  <c r="BI1124" i="1"/>
  <c r="AE1124" i="1" s="1"/>
  <c r="BJ1124" i="1"/>
  <c r="K1125" i="1"/>
  <c r="AL1125" i="1" s="1"/>
  <c r="Z1125" i="1"/>
  <c r="AB1125" i="1"/>
  <c r="AC1125" i="1"/>
  <c r="AF1125" i="1"/>
  <c r="AG1125" i="1"/>
  <c r="AH1125" i="1"/>
  <c r="AJ1125" i="1"/>
  <c r="AK1125" i="1"/>
  <c r="AO1125" i="1"/>
  <c r="AW1125" i="1" s="1"/>
  <c r="AP1125" i="1"/>
  <c r="AX1125" i="1"/>
  <c r="BD1125" i="1"/>
  <c r="BF1125" i="1"/>
  <c r="BH1125" i="1"/>
  <c r="AD1125" i="1" s="1"/>
  <c r="BI1125" i="1"/>
  <c r="AE1125" i="1" s="1"/>
  <c r="BJ1125" i="1"/>
  <c r="K1126" i="1"/>
  <c r="AL1126" i="1" s="1"/>
  <c r="Z1126" i="1"/>
  <c r="AB1126" i="1"/>
  <c r="AC1126" i="1"/>
  <c r="AF1126" i="1"/>
  <c r="AG1126" i="1"/>
  <c r="AH1126" i="1"/>
  <c r="AJ1126" i="1"/>
  <c r="AK1126" i="1"/>
  <c r="AO1126" i="1"/>
  <c r="AW1126" i="1" s="1"/>
  <c r="AP1126" i="1"/>
  <c r="AX1126" i="1" s="1"/>
  <c r="BD1126" i="1"/>
  <c r="BF1126" i="1"/>
  <c r="BH1126" i="1"/>
  <c r="AD1126" i="1" s="1"/>
  <c r="BI1126" i="1"/>
  <c r="AE1126" i="1" s="1"/>
  <c r="BJ1126" i="1"/>
  <c r="K1127" i="1"/>
  <c r="Z1127" i="1"/>
  <c r="AB1127" i="1"/>
  <c r="AC1127" i="1"/>
  <c r="AF1127" i="1"/>
  <c r="AG1127" i="1"/>
  <c r="AH1127" i="1"/>
  <c r="AJ1127" i="1"/>
  <c r="AK1127" i="1"/>
  <c r="AL1127" i="1"/>
  <c r="AO1127" i="1"/>
  <c r="AP1127" i="1"/>
  <c r="AX1127" i="1" s="1"/>
  <c r="AV1127" i="1" s="1"/>
  <c r="AW1127" i="1"/>
  <c r="BC1127" i="1" s="1"/>
  <c r="BD1127" i="1"/>
  <c r="BF1127" i="1"/>
  <c r="BH1127" i="1"/>
  <c r="AD1127" i="1" s="1"/>
  <c r="BI1127" i="1"/>
  <c r="AE1127" i="1" s="1"/>
  <c r="BJ1127" i="1"/>
  <c r="K1128" i="1"/>
  <c r="Z1128" i="1"/>
  <c r="AB1128" i="1"/>
  <c r="AC1128" i="1"/>
  <c r="AF1128" i="1"/>
  <c r="AG1128" i="1"/>
  <c r="AH1128" i="1"/>
  <c r="AJ1128" i="1"/>
  <c r="AK1128" i="1"/>
  <c r="AL1128" i="1"/>
  <c r="AO1128" i="1"/>
  <c r="AP1128" i="1"/>
  <c r="AW1128" i="1"/>
  <c r="AV1128" i="1" s="1"/>
  <c r="AX1128" i="1"/>
  <c r="BD1128" i="1"/>
  <c r="BF1128" i="1"/>
  <c r="BH1128" i="1"/>
  <c r="AD1128" i="1" s="1"/>
  <c r="BI1128" i="1"/>
  <c r="AE1128" i="1" s="1"/>
  <c r="BJ1128" i="1"/>
  <c r="K1129" i="1"/>
  <c r="AL1129" i="1" s="1"/>
  <c r="Z1129" i="1"/>
  <c r="AB1129" i="1"/>
  <c r="AC1129" i="1"/>
  <c r="AF1129" i="1"/>
  <c r="AG1129" i="1"/>
  <c r="AH1129" i="1"/>
  <c r="AJ1129" i="1"/>
  <c r="AK1129" i="1"/>
  <c r="AO1129" i="1"/>
  <c r="AW1129" i="1" s="1"/>
  <c r="AP1129" i="1"/>
  <c r="AX1129" i="1"/>
  <c r="BD1129" i="1"/>
  <c r="BF1129" i="1"/>
  <c r="BH1129" i="1"/>
  <c r="AD1129" i="1" s="1"/>
  <c r="BI1129" i="1"/>
  <c r="AE1129" i="1" s="1"/>
  <c r="BJ1129" i="1"/>
  <c r="K1130" i="1"/>
  <c r="AL1130" i="1" s="1"/>
  <c r="Z1130" i="1"/>
  <c r="AB1130" i="1"/>
  <c r="AC1130" i="1"/>
  <c r="AF1130" i="1"/>
  <c r="AG1130" i="1"/>
  <c r="AH1130" i="1"/>
  <c r="AJ1130" i="1"/>
  <c r="AK1130" i="1"/>
  <c r="AO1130" i="1"/>
  <c r="AW1130" i="1" s="1"/>
  <c r="AP1130" i="1"/>
  <c r="AX1130" i="1" s="1"/>
  <c r="BD1130" i="1"/>
  <c r="BF1130" i="1"/>
  <c r="BH1130" i="1"/>
  <c r="AD1130" i="1" s="1"/>
  <c r="BI1130" i="1"/>
  <c r="AE1130" i="1" s="1"/>
  <c r="BJ1130" i="1"/>
  <c r="K1131" i="1"/>
  <c r="Z1131" i="1"/>
  <c r="AB1131" i="1"/>
  <c r="AC1131" i="1"/>
  <c r="AF1131" i="1"/>
  <c r="AG1131" i="1"/>
  <c r="AH1131" i="1"/>
  <c r="AJ1131" i="1"/>
  <c r="AK1131" i="1"/>
  <c r="AL1131" i="1"/>
  <c r="AO1131" i="1"/>
  <c r="AP1131" i="1"/>
  <c r="AX1131" i="1" s="1"/>
  <c r="AV1131" i="1" s="1"/>
  <c r="AW1131" i="1"/>
  <c r="BC1131" i="1" s="1"/>
  <c r="BD1131" i="1"/>
  <c r="BF1131" i="1"/>
  <c r="BH1131" i="1"/>
  <c r="AD1131" i="1" s="1"/>
  <c r="BI1131" i="1"/>
  <c r="AE1131" i="1" s="1"/>
  <c r="BJ1131" i="1"/>
  <c r="K1132" i="1"/>
  <c r="Z1132" i="1"/>
  <c r="AB1132" i="1"/>
  <c r="AC1132" i="1"/>
  <c r="AF1132" i="1"/>
  <c r="AG1132" i="1"/>
  <c r="AH1132" i="1"/>
  <c r="AJ1132" i="1"/>
  <c r="AK1132" i="1"/>
  <c r="AL1132" i="1"/>
  <c r="AO1132" i="1"/>
  <c r="AP1132" i="1"/>
  <c r="AW1132" i="1"/>
  <c r="AV1132" i="1" s="1"/>
  <c r="AX1132" i="1"/>
  <c r="BD1132" i="1"/>
  <c r="BF1132" i="1"/>
  <c r="BH1132" i="1"/>
  <c r="AD1132" i="1" s="1"/>
  <c r="BI1132" i="1"/>
  <c r="AE1132" i="1" s="1"/>
  <c r="BJ1132" i="1"/>
  <c r="K1133" i="1"/>
  <c r="AL1133" i="1" s="1"/>
  <c r="Z1133" i="1"/>
  <c r="AB1133" i="1"/>
  <c r="AC1133" i="1"/>
  <c r="AF1133" i="1"/>
  <c r="AG1133" i="1"/>
  <c r="AH1133" i="1"/>
  <c r="AJ1133" i="1"/>
  <c r="AK1133" i="1"/>
  <c r="AO1133" i="1"/>
  <c r="AW1133" i="1" s="1"/>
  <c r="AP1133" i="1"/>
  <c r="AX1133" i="1"/>
  <c r="BD1133" i="1"/>
  <c r="BF1133" i="1"/>
  <c r="BH1133" i="1"/>
  <c r="AD1133" i="1" s="1"/>
  <c r="BI1133" i="1"/>
  <c r="AE1133" i="1" s="1"/>
  <c r="BJ1133" i="1"/>
  <c r="K1134" i="1"/>
  <c r="AL1134" i="1" s="1"/>
  <c r="Z1134" i="1"/>
  <c r="AB1134" i="1"/>
  <c r="AC1134" i="1"/>
  <c r="AF1134" i="1"/>
  <c r="AG1134" i="1"/>
  <c r="AH1134" i="1"/>
  <c r="AJ1134" i="1"/>
  <c r="AK1134" i="1"/>
  <c r="AO1134" i="1"/>
  <c r="AW1134" i="1" s="1"/>
  <c r="AP1134" i="1"/>
  <c r="AX1134" i="1" s="1"/>
  <c r="BD1134" i="1"/>
  <c r="BF1134" i="1"/>
  <c r="BH1134" i="1"/>
  <c r="AD1134" i="1" s="1"/>
  <c r="BI1134" i="1"/>
  <c r="AE1134" i="1" s="1"/>
  <c r="BJ1134" i="1"/>
  <c r="K1135" i="1"/>
  <c r="Z1135" i="1"/>
  <c r="AB1135" i="1"/>
  <c r="AC1135" i="1"/>
  <c r="AF1135" i="1"/>
  <c r="AG1135" i="1"/>
  <c r="AH1135" i="1"/>
  <c r="AJ1135" i="1"/>
  <c r="AK1135" i="1"/>
  <c r="AL1135" i="1"/>
  <c r="AO1135" i="1"/>
  <c r="AP1135" i="1"/>
  <c r="AX1135" i="1" s="1"/>
  <c r="AV1135" i="1" s="1"/>
  <c r="AW1135" i="1"/>
  <c r="BC1135" i="1" s="1"/>
  <c r="BD1135" i="1"/>
  <c r="BF1135" i="1"/>
  <c r="BH1135" i="1"/>
  <c r="AD1135" i="1" s="1"/>
  <c r="BI1135" i="1"/>
  <c r="AE1135" i="1" s="1"/>
  <c r="BJ1135" i="1"/>
  <c r="K1136" i="1"/>
  <c r="Z1136" i="1"/>
  <c r="AB1136" i="1"/>
  <c r="AC1136" i="1"/>
  <c r="AF1136" i="1"/>
  <c r="AG1136" i="1"/>
  <c r="AH1136" i="1"/>
  <c r="AJ1136" i="1"/>
  <c r="AK1136" i="1"/>
  <c r="AL1136" i="1"/>
  <c r="AO1136" i="1"/>
  <c r="AP1136" i="1"/>
  <c r="AW1136" i="1"/>
  <c r="AV1136" i="1" s="1"/>
  <c r="AX1136" i="1"/>
  <c r="BD1136" i="1"/>
  <c r="BF1136" i="1"/>
  <c r="BH1136" i="1"/>
  <c r="AD1136" i="1" s="1"/>
  <c r="BI1136" i="1"/>
  <c r="AE1136" i="1" s="1"/>
  <c r="BJ1136" i="1"/>
  <c r="K1137" i="1"/>
  <c r="AL1137" i="1" s="1"/>
  <c r="Z1137" i="1"/>
  <c r="AB1137" i="1"/>
  <c r="AC1137" i="1"/>
  <c r="AF1137" i="1"/>
  <c r="AG1137" i="1"/>
  <c r="AH1137" i="1"/>
  <c r="AJ1137" i="1"/>
  <c r="AK1137" i="1"/>
  <c r="AO1137" i="1"/>
  <c r="AW1137" i="1" s="1"/>
  <c r="AP1137" i="1"/>
  <c r="AX1137" i="1"/>
  <c r="BD1137" i="1"/>
  <c r="BF1137" i="1"/>
  <c r="BH1137" i="1"/>
  <c r="AD1137" i="1" s="1"/>
  <c r="BI1137" i="1"/>
  <c r="AE1137" i="1" s="1"/>
  <c r="BJ1137" i="1"/>
  <c r="K1138" i="1"/>
  <c r="AL1138" i="1" s="1"/>
  <c r="Z1138" i="1"/>
  <c r="AB1138" i="1"/>
  <c r="AC1138" i="1"/>
  <c r="AF1138" i="1"/>
  <c r="AG1138" i="1"/>
  <c r="AH1138" i="1"/>
  <c r="AJ1138" i="1"/>
  <c r="AK1138" i="1"/>
  <c r="AO1138" i="1"/>
  <c r="AW1138" i="1" s="1"/>
  <c r="AP1138" i="1"/>
  <c r="AX1138" i="1" s="1"/>
  <c r="BD1138" i="1"/>
  <c r="BF1138" i="1"/>
  <c r="BH1138" i="1"/>
  <c r="AD1138" i="1" s="1"/>
  <c r="BI1138" i="1"/>
  <c r="AE1138" i="1" s="1"/>
  <c r="BJ1138" i="1"/>
  <c r="K1139" i="1"/>
  <c r="Z1139" i="1"/>
  <c r="AB1139" i="1"/>
  <c r="AC1139" i="1"/>
  <c r="AF1139" i="1"/>
  <c r="AG1139" i="1"/>
  <c r="AH1139" i="1"/>
  <c r="AJ1139" i="1"/>
  <c r="AK1139" i="1"/>
  <c r="AL1139" i="1"/>
  <c r="AO1139" i="1"/>
  <c r="AP1139" i="1"/>
  <c r="AX1139" i="1" s="1"/>
  <c r="AV1139" i="1" s="1"/>
  <c r="AW1139" i="1"/>
  <c r="BC1139" i="1" s="1"/>
  <c r="BD1139" i="1"/>
  <c r="BF1139" i="1"/>
  <c r="BH1139" i="1"/>
  <c r="AD1139" i="1" s="1"/>
  <c r="BI1139" i="1"/>
  <c r="AE1139" i="1" s="1"/>
  <c r="BJ1139" i="1"/>
  <c r="K1140" i="1"/>
  <c r="Z1140" i="1"/>
  <c r="AB1140" i="1"/>
  <c r="AC1140" i="1"/>
  <c r="AF1140" i="1"/>
  <c r="AG1140" i="1"/>
  <c r="AH1140" i="1"/>
  <c r="AJ1140" i="1"/>
  <c r="AK1140" i="1"/>
  <c r="AL1140" i="1"/>
  <c r="AO1140" i="1"/>
  <c r="AP1140" i="1"/>
  <c r="AW1140" i="1"/>
  <c r="AV1140" i="1" s="1"/>
  <c r="AX1140" i="1"/>
  <c r="BD1140" i="1"/>
  <c r="BF1140" i="1"/>
  <c r="BH1140" i="1"/>
  <c r="AD1140" i="1" s="1"/>
  <c r="BI1140" i="1"/>
  <c r="AE1140" i="1" s="1"/>
  <c r="BJ1140" i="1"/>
  <c r="K1141" i="1"/>
  <c r="AL1141" i="1" s="1"/>
  <c r="Z1141" i="1"/>
  <c r="AB1141" i="1"/>
  <c r="AC1141" i="1"/>
  <c r="AF1141" i="1"/>
  <c r="AG1141" i="1"/>
  <c r="AH1141" i="1"/>
  <c r="AJ1141" i="1"/>
  <c r="AK1141" i="1"/>
  <c r="AO1141" i="1"/>
  <c r="AW1141" i="1" s="1"/>
  <c r="AP1141" i="1"/>
  <c r="AX1141" i="1"/>
  <c r="BD1141" i="1"/>
  <c r="BF1141" i="1"/>
  <c r="BH1141" i="1"/>
  <c r="AD1141" i="1" s="1"/>
  <c r="BI1141" i="1"/>
  <c r="AE1141" i="1" s="1"/>
  <c r="BJ1141" i="1"/>
  <c r="K1142" i="1"/>
  <c r="AL1142" i="1" s="1"/>
  <c r="Z1142" i="1"/>
  <c r="AB1142" i="1"/>
  <c r="AC1142" i="1"/>
  <c r="AF1142" i="1"/>
  <c r="AG1142" i="1"/>
  <c r="AH1142" i="1"/>
  <c r="AJ1142" i="1"/>
  <c r="AK1142" i="1"/>
  <c r="AO1142" i="1"/>
  <c r="AW1142" i="1" s="1"/>
  <c r="AP1142" i="1"/>
  <c r="AX1142" i="1" s="1"/>
  <c r="BD1142" i="1"/>
  <c r="BF1142" i="1"/>
  <c r="BH1142" i="1"/>
  <c r="AD1142" i="1" s="1"/>
  <c r="BI1142" i="1"/>
  <c r="AE1142" i="1" s="1"/>
  <c r="BJ1142" i="1"/>
  <c r="K1143" i="1"/>
  <c r="Z1143" i="1"/>
  <c r="AB1143" i="1"/>
  <c r="AC1143" i="1"/>
  <c r="AF1143" i="1"/>
  <c r="AG1143" i="1"/>
  <c r="AH1143" i="1"/>
  <c r="AJ1143" i="1"/>
  <c r="AK1143" i="1"/>
  <c r="AL1143" i="1"/>
  <c r="AO1143" i="1"/>
  <c r="AP1143" i="1"/>
  <c r="AX1143" i="1" s="1"/>
  <c r="AV1143" i="1" s="1"/>
  <c r="AW1143" i="1"/>
  <c r="BC1143" i="1" s="1"/>
  <c r="BD1143" i="1"/>
  <c r="BF1143" i="1"/>
  <c r="BH1143" i="1"/>
  <c r="AD1143" i="1" s="1"/>
  <c r="BI1143" i="1"/>
  <c r="AE1143" i="1" s="1"/>
  <c r="BJ1143" i="1"/>
  <c r="K1144" i="1"/>
  <c r="Z1144" i="1"/>
  <c r="AB1144" i="1"/>
  <c r="AC1144" i="1"/>
  <c r="AF1144" i="1"/>
  <c r="AG1144" i="1"/>
  <c r="AH1144" i="1"/>
  <c r="AJ1144" i="1"/>
  <c r="AK1144" i="1"/>
  <c r="AL1144" i="1"/>
  <c r="AO1144" i="1"/>
  <c r="AP1144" i="1"/>
  <c r="AW1144" i="1"/>
  <c r="AV1144" i="1" s="1"/>
  <c r="AX1144" i="1"/>
  <c r="BD1144" i="1"/>
  <c r="BF1144" i="1"/>
  <c r="BH1144" i="1"/>
  <c r="AD1144" i="1" s="1"/>
  <c r="BI1144" i="1"/>
  <c r="AE1144" i="1" s="1"/>
  <c r="BJ1144" i="1"/>
  <c r="K1145" i="1"/>
  <c r="AL1145" i="1" s="1"/>
  <c r="Z1145" i="1"/>
  <c r="AB1145" i="1"/>
  <c r="AC1145" i="1"/>
  <c r="AF1145" i="1"/>
  <c r="AG1145" i="1"/>
  <c r="AH1145" i="1"/>
  <c r="AJ1145" i="1"/>
  <c r="AK1145" i="1"/>
  <c r="AO1145" i="1"/>
  <c r="AW1145" i="1" s="1"/>
  <c r="AP1145" i="1"/>
  <c r="AX1145" i="1"/>
  <c r="BD1145" i="1"/>
  <c r="BF1145" i="1"/>
  <c r="BH1145" i="1"/>
  <c r="AD1145" i="1" s="1"/>
  <c r="BI1145" i="1"/>
  <c r="AE1145" i="1" s="1"/>
  <c r="BJ1145" i="1"/>
  <c r="K1146" i="1"/>
  <c r="AL1146" i="1" s="1"/>
  <c r="Z1146" i="1"/>
  <c r="AB1146" i="1"/>
  <c r="AC1146" i="1"/>
  <c r="AF1146" i="1"/>
  <c r="AG1146" i="1"/>
  <c r="AH1146" i="1"/>
  <c r="AJ1146" i="1"/>
  <c r="AK1146" i="1"/>
  <c r="AO1146" i="1"/>
  <c r="AW1146" i="1" s="1"/>
  <c r="AP1146" i="1"/>
  <c r="AX1146" i="1" s="1"/>
  <c r="BD1146" i="1"/>
  <c r="BF1146" i="1"/>
  <c r="BH1146" i="1"/>
  <c r="AD1146" i="1" s="1"/>
  <c r="BI1146" i="1"/>
  <c r="AE1146" i="1" s="1"/>
  <c r="BJ1146" i="1"/>
  <c r="K1147" i="1"/>
  <c r="Z1147" i="1"/>
  <c r="AB1147" i="1"/>
  <c r="AC1147" i="1"/>
  <c r="AF1147" i="1"/>
  <c r="AG1147" i="1"/>
  <c r="AH1147" i="1"/>
  <c r="AJ1147" i="1"/>
  <c r="AK1147" i="1"/>
  <c r="AL1147" i="1"/>
  <c r="AO1147" i="1"/>
  <c r="AP1147" i="1"/>
  <c r="AX1147" i="1" s="1"/>
  <c r="AV1147" i="1" s="1"/>
  <c r="AW1147" i="1"/>
  <c r="BC1147" i="1" s="1"/>
  <c r="BD1147" i="1"/>
  <c r="BF1147" i="1"/>
  <c r="BH1147" i="1"/>
  <c r="AD1147" i="1" s="1"/>
  <c r="BI1147" i="1"/>
  <c r="AE1147" i="1" s="1"/>
  <c r="BJ1147" i="1"/>
  <c r="K1148" i="1"/>
  <c r="Z1148" i="1"/>
  <c r="AB1148" i="1"/>
  <c r="AC1148" i="1"/>
  <c r="AF1148" i="1"/>
  <c r="AG1148" i="1"/>
  <c r="AH1148" i="1"/>
  <c r="AJ1148" i="1"/>
  <c r="AK1148" i="1"/>
  <c r="AL1148" i="1"/>
  <c r="AO1148" i="1"/>
  <c r="AP1148" i="1"/>
  <c r="AW1148" i="1"/>
  <c r="AV1148" i="1" s="1"/>
  <c r="AX1148" i="1"/>
  <c r="BD1148" i="1"/>
  <c r="BF1148" i="1"/>
  <c r="BH1148" i="1"/>
  <c r="AD1148" i="1" s="1"/>
  <c r="BI1148" i="1"/>
  <c r="AE1148" i="1" s="1"/>
  <c r="BJ1148" i="1"/>
  <c r="K1149" i="1"/>
  <c r="AL1149" i="1" s="1"/>
  <c r="Z1149" i="1"/>
  <c r="AB1149" i="1"/>
  <c r="AC1149" i="1"/>
  <c r="AF1149" i="1"/>
  <c r="AG1149" i="1"/>
  <c r="AH1149" i="1"/>
  <c r="AJ1149" i="1"/>
  <c r="AK1149" i="1"/>
  <c r="AO1149" i="1"/>
  <c r="AW1149" i="1" s="1"/>
  <c r="AP1149" i="1"/>
  <c r="AX1149" i="1"/>
  <c r="BD1149" i="1"/>
  <c r="BF1149" i="1"/>
  <c r="BH1149" i="1"/>
  <c r="AD1149" i="1" s="1"/>
  <c r="BI1149" i="1"/>
  <c r="AE1149" i="1" s="1"/>
  <c r="BJ1149" i="1"/>
  <c r="K1150" i="1"/>
  <c r="AL1150" i="1" s="1"/>
  <c r="Z1150" i="1"/>
  <c r="AB1150" i="1"/>
  <c r="AC1150" i="1"/>
  <c r="AF1150" i="1"/>
  <c r="AG1150" i="1"/>
  <c r="AH1150" i="1"/>
  <c r="AJ1150" i="1"/>
  <c r="AK1150" i="1"/>
  <c r="AO1150" i="1"/>
  <c r="AW1150" i="1" s="1"/>
  <c r="AP1150" i="1"/>
  <c r="AX1150" i="1" s="1"/>
  <c r="BD1150" i="1"/>
  <c r="BF1150" i="1"/>
  <c r="BH1150" i="1"/>
  <c r="AD1150" i="1" s="1"/>
  <c r="BI1150" i="1"/>
  <c r="AE1150" i="1" s="1"/>
  <c r="BJ1150" i="1"/>
  <c r="K1151" i="1"/>
  <c r="Z1151" i="1"/>
  <c r="AB1151" i="1"/>
  <c r="AC1151" i="1"/>
  <c r="AF1151" i="1"/>
  <c r="AG1151" i="1"/>
  <c r="AH1151" i="1"/>
  <c r="AJ1151" i="1"/>
  <c r="AK1151" i="1"/>
  <c r="AL1151" i="1"/>
  <c r="AO1151" i="1"/>
  <c r="AP1151" i="1"/>
  <c r="AX1151" i="1" s="1"/>
  <c r="AV1151" i="1" s="1"/>
  <c r="AW1151" i="1"/>
  <c r="BC1151" i="1" s="1"/>
  <c r="BD1151" i="1"/>
  <c r="BF1151" i="1"/>
  <c r="BH1151" i="1"/>
  <c r="AD1151" i="1" s="1"/>
  <c r="BI1151" i="1"/>
  <c r="AE1151" i="1" s="1"/>
  <c r="BJ1151" i="1"/>
  <c r="K1152" i="1"/>
  <c r="Z1152" i="1"/>
  <c r="AB1152" i="1"/>
  <c r="AC1152" i="1"/>
  <c r="AF1152" i="1"/>
  <c r="AG1152" i="1"/>
  <c r="AH1152" i="1"/>
  <c r="AJ1152" i="1"/>
  <c r="AK1152" i="1"/>
  <c r="AL1152" i="1"/>
  <c r="AO1152" i="1"/>
  <c r="AP1152" i="1"/>
  <c r="AW1152" i="1"/>
  <c r="AV1152" i="1" s="1"/>
  <c r="AX1152" i="1"/>
  <c r="BD1152" i="1"/>
  <c r="BF1152" i="1"/>
  <c r="BH1152" i="1"/>
  <c r="AD1152" i="1" s="1"/>
  <c r="BI1152" i="1"/>
  <c r="AE1152" i="1" s="1"/>
  <c r="BJ1152" i="1"/>
  <c r="K1153" i="1"/>
  <c r="AL1153" i="1" s="1"/>
  <c r="Z1153" i="1"/>
  <c r="AB1153" i="1"/>
  <c r="AC1153" i="1"/>
  <c r="AF1153" i="1"/>
  <c r="AG1153" i="1"/>
  <c r="AH1153" i="1"/>
  <c r="AJ1153" i="1"/>
  <c r="AK1153" i="1"/>
  <c r="AO1153" i="1"/>
  <c r="AW1153" i="1" s="1"/>
  <c r="AP1153" i="1"/>
  <c r="AX1153" i="1"/>
  <c r="BD1153" i="1"/>
  <c r="BF1153" i="1"/>
  <c r="BH1153" i="1"/>
  <c r="AD1153" i="1" s="1"/>
  <c r="BI1153" i="1"/>
  <c r="AE1153" i="1" s="1"/>
  <c r="BJ1153" i="1"/>
  <c r="K1155" i="1"/>
  <c r="K1154" i="1" s="1"/>
  <c r="Z1155" i="1"/>
  <c r="AB1155" i="1"/>
  <c r="AD1155" i="1"/>
  <c r="AE1155" i="1"/>
  <c r="AF1155" i="1"/>
  <c r="AG1155" i="1"/>
  <c r="AH1155" i="1"/>
  <c r="AJ1155" i="1"/>
  <c r="AS1154" i="1" s="1"/>
  <c r="AK1155" i="1"/>
  <c r="AT1154" i="1" s="1"/>
  <c r="AL1155" i="1"/>
  <c r="AO1155" i="1"/>
  <c r="AW1155" i="1" s="1"/>
  <c r="AP1155" i="1"/>
  <c r="AX1155" i="1" s="1"/>
  <c r="BD1155" i="1"/>
  <c r="BF1155" i="1"/>
  <c r="BH1155" i="1"/>
  <c r="BI1155" i="1"/>
  <c r="AC1155" i="1" s="1"/>
  <c r="BJ1155" i="1"/>
  <c r="K1156" i="1"/>
  <c r="Z1156" i="1"/>
  <c r="AB1156" i="1"/>
  <c r="AC1156" i="1"/>
  <c r="AD1156" i="1"/>
  <c r="AE1156" i="1"/>
  <c r="AF1156" i="1"/>
  <c r="AG1156" i="1"/>
  <c r="AH1156" i="1"/>
  <c r="AJ1156" i="1"/>
  <c r="AK1156" i="1"/>
  <c r="AL1156" i="1"/>
  <c r="AO1156" i="1"/>
  <c r="AP1156" i="1"/>
  <c r="AX1156" i="1" s="1"/>
  <c r="AV1156" i="1" s="1"/>
  <c r="AW1156" i="1"/>
  <c r="BC1156" i="1" s="1"/>
  <c r="BD1156" i="1"/>
  <c r="BF1156" i="1"/>
  <c r="BH1156" i="1"/>
  <c r="BI1156" i="1"/>
  <c r="BJ1156" i="1"/>
  <c r="K1157" i="1"/>
  <c r="Z1157" i="1"/>
  <c r="AC1157" i="1"/>
  <c r="AD1157" i="1"/>
  <c r="AE1157" i="1"/>
  <c r="AF1157" i="1"/>
  <c r="AG1157" i="1"/>
  <c r="AH1157" i="1"/>
  <c r="AJ1157" i="1"/>
  <c r="AK1157" i="1"/>
  <c r="AL1157" i="1"/>
  <c r="AO1157" i="1"/>
  <c r="AP1157" i="1"/>
  <c r="AW1157" i="1"/>
  <c r="AV1157" i="1" s="1"/>
  <c r="AX1157" i="1"/>
  <c r="BD1157" i="1"/>
  <c r="BF1157" i="1"/>
  <c r="BH1157" i="1"/>
  <c r="AB1157" i="1" s="1"/>
  <c r="BI1157" i="1"/>
  <c r="BJ1157" i="1"/>
  <c r="K1158" i="1"/>
  <c r="AL1158" i="1" s="1"/>
  <c r="Z1158" i="1"/>
  <c r="AD1158" i="1"/>
  <c r="AE1158" i="1"/>
  <c r="AF1158" i="1"/>
  <c r="AG1158" i="1"/>
  <c r="AH1158" i="1"/>
  <c r="AJ1158" i="1"/>
  <c r="AK1158" i="1"/>
  <c r="AO1158" i="1"/>
  <c r="AW1158" i="1" s="1"/>
  <c r="AP1158" i="1"/>
  <c r="AX1158" i="1"/>
  <c r="BD1158" i="1"/>
  <c r="BF1158" i="1"/>
  <c r="BH1158" i="1"/>
  <c r="AB1158" i="1" s="1"/>
  <c r="BI1158" i="1"/>
  <c r="AC1158" i="1" s="1"/>
  <c r="BJ1158" i="1"/>
  <c r="K1159" i="1"/>
  <c r="Z1159" i="1"/>
  <c r="AB1159" i="1"/>
  <c r="AD1159" i="1"/>
  <c r="AE1159" i="1"/>
  <c r="AF1159" i="1"/>
  <c r="AG1159" i="1"/>
  <c r="AH1159" i="1"/>
  <c r="AJ1159" i="1"/>
  <c r="AK1159" i="1"/>
  <c r="AL1159" i="1"/>
  <c r="AO1159" i="1"/>
  <c r="AW1159" i="1" s="1"/>
  <c r="AP1159" i="1"/>
  <c r="AX1159" i="1" s="1"/>
  <c r="BD1159" i="1"/>
  <c r="BF1159" i="1"/>
  <c r="BH1159" i="1"/>
  <c r="BI1159" i="1"/>
  <c r="AC1159" i="1" s="1"/>
  <c r="BJ1159" i="1"/>
  <c r="K1160" i="1"/>
  <c r="Z1160" i="1"/>
  <c r="AB1160" i="1"/>
  <c r="AC1160" i="1"/>
  <c r="AD1160" i="1"/>
  <c r="AE1160" i="1"/>
  <c r="AF1160" i="1"/>
  <c r="AG1160" i="1"/>
  <c r="AH1160" i="1"/>
  <c r="AJ1160" i="1"/>
  <c r="AK1160" i="1"/>
  <c r="AL1160" i="1"/>
  <c r="AO1160" i="1"/>
  <c r="AP1160" i="1"/>
  <c r="AX1160" i="1" s="1"/>
  <c r="AV1160" i="1" s="1"/>
  <c r="AW1160" i="1"/>
  <c r="BD1160" i="1"/>
  <c r="BF1160" i="1"/>
  <c r="BH1160" i="1"/>
  <c r="BI1160" i="1"/>
  <c r="BJ1160" i="1"/>
  <c r="K1161" i="1"/>
  <c r="Z1161" i="1"/>
  <c r="AC1161" i="1"/>
  <c r="AD1161" i="1"/>
  <c r="AE1161" i="1"/>
  <c r="AF1161" i="1"/>
  <c r="AG1161" i="1"/>
  <c r="AH1161" i="1"/>
  <c r="AJ1161" i="1"/>
  <c r="AK1161" i="1"/>
  <c r="AL1161" i="1"/>
  <c r="AO1161" i="1"/>
  <c r="AP1161" i="1"/>
  <c r="AW1161" i="1"/>
  <c r="AV1161" i="1" s="1"/>
  <c r="AX1161" i="1"/>
  <c r="BD1161" i="1"/>
  <c r="BF1161" i="1"/>
  <c r="BH1161" i="1"/>
  <c r="AB1161" i="1" s="1"/>
  <c r="BI1161" i="1"/>
  <c r="BJ1161" i="1"/>
  <c r="K1162" i="1"/>
  <c r="AL1162" i="1" s="1"/>
  <c r="Z1162" i="1"/>
  <c r="AD1162" i="1"/>
  <c r="AE1162" i="1"/>
  <c r="AF1162" i="1"/>
  <c r="AG1162" i="1"/>
  <c r="AH1162" i="1"/>
  <c r="AJ1162" i="1"/>
  <c r="AK1162" i="1"/>
  <c r="AO1162" i="1"/>
  <c r="AW1162" i="1" s="1"/>
  <c r="AP1162" i="1"/>
  <c r="AX1162" i="1"/>
  <c r="BD1162" i="1"/>
  <c r="BF1162" i="1"/>
  <c r="BH1162" i="1"/>
  <c r="AB1162" i="1" s="1"/>
  <c r="BI1162" i="1"/>
  <c r="AC1162" i="1" s="1"/>
  <c r="BJ1162" i="1"/>
  <c r="K1163" i="1"/>
  <c r="Z1163" i="1"/>
  <c r="AB1163" i="1"/>
  <c r="AD1163" i="1"/>
  <c r="AE1163" i="1"/>
  <c r="AF1163" i="1"/>
  <c r="AG1163" i="1"/>
  <c r="AH1163" i="1"/>
  <c r="AJ1163" i="1"/>
  <c r="AK1163" i="1"/>
  <c r="AL1163" i="1"/>
  <c r="AO1163" i="1"/>
  <c r="AP1163" i="1"/>
  <c r="AX1163" i="1" s="1"/>
  <c r="AW1163" i="1"/>
  <c r="BD1163" i="1"/>
  <c r="BF1163" i="1"/>
  <c r="BH1163" i="1"/>
  <c r="BI1163" i="1"/>
  <c r="AC1163" i="1" s="1"/>
  <c r="BJ1163" i="1"/>
  <c r="K1164" i="1"/>
  <c r="Z1164" i="1"/>
  <c r="AB1164" i="1"/>
  <c r="AC1164" i="1"/>
  <c r="AD1164" i="1"/>
  <c r="AE1164" i="1"/>
  <c r="AF1164" i="1"/>
  <c r="AG1164" i="1"/>
  <c r="AH1164" i="1"/>
  <c r="AJ1164" i="1"/>
  <c r="AK1164" i="1"/>
  <c r="AL1164" i="1"/>
  <c r="AO1164" i="1"/>
  <c r="AP1164" i="1"/>
  <c r="AV1164" i="1"/>
  <c r="AW1164" i="1"/>
  <c r="BC1164" i="1" s="1"/>
  <c r="AX1164" i="1"/>
  <c r="BD1164" i="1"/>
  <c r="BF1164" i="1"/>
  <c r="BH1164" i="1"/>
  <c r="BI1164" i="1"/>
  <c r="BJ1164" i="1"/>
  <c r="K1165" i="1"/>
  <c r="Z1165" i="1"/>
  <c r="AC1165" i="1"/>
  <c r="AD1165" i="1"/>
  <c r="AE1165" i="1"/>
  <c r="AF1165" i="1"/>
  <c r="AG1165" i="1"/>
  <c r="AH1165" i="1"/>
  <c r="AJ1165" i="1"/>
  <c r="AK1165" i="1"/>
  <c r="AL1165" i="1"/>
  <c r="AO1165" i="1"/>
  <c r="AP1165" i="1"/>
  <c r="AW1165" i="1"/>
  <c r="AV1165" i="1" s="1"/>
  <c r="AX1165" i="1"/>
  <c r="BD1165" i="1"/>
  <c r="BF1165" i="1"/>
  <c r="BH1165" i="1"/>
  <c r="AB1165" i="1" s="1"/>
  <c r="BI1165" i="1"/>
  <c r="BJ1165" i="1"/>
  <c r="K1166" i="1"/>
  <c r="AL1166" i="1" s="1"/>
  <c r="Z1166" i="1"/>
  <c r="AD1166" i="1"/>
  <c r="AE1166" i="1"/>
  <c r="AF1166" i="1"/>
  <c r="AG1166" i="1"/>
  <c r="AH1166" i="1"/>
  <c r="AJ1166" i="1"/>
  <c r="AK1166" i="1"/>
  <c r="AO1166" i="1"/>
  <c r="AW1166" i="1" s="1"/>
  <c r="AP1166" i="1"/>
  <c r="AX1166" i="1"/>
  <c r="BD1166" i="1"/>
  <c r="BF1166" i="1"/>
  <c r="BH1166" i="1"/>
  <c r="AB1166" i="1" s="1"/>
  <c r="BI1166" i="1"/>
  <c r="AC1166" i="1" s="1"/>
  <c r="BJ1166" i="1"/>
  <c r="K1167" i="1"/>
  <c r="Z1167" i="1"/>
  <c r="AB1167" i="1"/>
  <c r="AD1167" i="1"/>
  <c r="AE1167" i="1"/>
  <c r="AF1167" i="1"/>
  <c r="AG1167" i="1"/>
  <c r="AH1167" i="1"/>
  <c r="AJ1167" i="1"/>
  <c r="AK1167" i="1"/>
  <c r="AL1167" i="1"/>
  <c r="AO1167" i="1"/>
  <c r="AP1167" i="1"/>
  <c r="AX1167" i="1" s="1"/>
  <c r="AW1167" i="1"/>
  <c r="BD1167" i="1"/>
  <c r="BF1167" i="1"/>
  <c r="BH1167" i="1"/>
  <c r="BI1167" i="1"/>
  <c r="AC1167" i="1" s="1"/>
  <c r="BJ1167" i="1"/>
  <c r="K1168" i="1"/>
  <c r="Z1168" i="1"/>
  <c r="AB1168" i="1"/>
  <c r="AC1168" i="1"/>
  <c r="AD1168" i="1"/>
  <c r="AE1168" i="1"/>
  <c r="AF1168" i="1"/>
  <c r="AG1168" i="1"/>
  <c r="AH1168" i="1"/>
  <c r="AJ1168" i="1"/>
  <c r="AK1168" i="1"/>
  <c r="AL1168" i="1"/>
  <c r="AO1168" i="1"/>
  <c r="AP1168" i="1"/>
  <c r="AV1168" i="1"/>
  <c r="AW1168" i="1"/>
  <c r="BC1168" i="1" s="1"/>
  <c r="AX1168" i="1"/>
  <c r="BD1168" i="1"/>
  <c r="BF1168" i="1"/>
  <c r="BH1168" i="1"/>
  <c r="BI1168" i="1"/>
  <c r="BJ1168" i="1"/>
  <c r="K1169" i="1"/>
  <c r="Z1169" i="1"/>
  <c r="AC1169" i="1"/>
  <c r="AD1169" i="1"/>
  <c r="AE1169" i="1"/>
  <c r="AF1169" i="1"/>
  <c r="AG1169" i="1"/>
  <c r="AH1169" i="1"/>
  <c r="AJ1169" i="1"/>
  <c r="AK1169" i="1"/>
  <c r="AL1169" i="1"/>
  <c r="AO1169" i="1"/>
  <c r="AP1169" i="1"/>
  <c r="AW1169" i="1"/>
  <c r="AV1169" i="1" s="1"/>
  <c r="AX1169" i="1"/>
  <c r="BD1169" i="1"/>
  <c r="BF1169" i="1"/>
  <c r="BH1169" i="1"/>
  <c r="AB1169" i="1" s="1"/>
  <c r="BI1169" i="1"/>
  <c r="BJ1169" i="1"/>
  <c r="K1170" i="1"/>
  <c r="AL1170" i="1" s="1"/>
  <c r="Z1170" i="1"/>
  <c r="AD1170" i="1"/>
  <c r="AE1170" i="1"/>
  <c r="AF1170" i="1"/>
  <c r="AG1170" i="1"/>
  <c r="AH1170" i="1"/>
  <c r="AJ1170" i="1"/>
  <c r="AK1170" i="1"/>
  <c r="AO1170" i="1"/>
  <c r="AW1170" i="1" s="1"/>
  <c r="AP1170" i="1"/>
  <c r="AX1170" i="1"/>
  <c r="BD1170" i="1"/>
  <c r="BF1170" i="1"/>
  <c r="BH1170" i="1"/>
  <c r="AB1170" i="1" s="1"/>
  <c r="BI1170" i="1"/>
  <c r="AC1170" i="1" s="1"/>
  <c r="BJ1170" i="1"/>
  <c r="K1171" i="1"/>
  <c r="Z1171" i="1"/>
  <c r="AB1171" i="1"/>
  <c r="AD1171" i="1"/>
  <c r="AE1171" i="1"/>
  <c r="AF1171" i="1"/>
  <c r="AG1171" i="1"/>
  <c r="AH1171" i="1"/>
  <c r="AJ1171" i="1"/>
  <c r="AK1171" i="1"/>
  <c r="AL1171" i="1"/>
  <c r="AO1171" i="1"/>
  <c r="AP1171" i="1"/>
  <c r="AX1171" i="1" s="1"/>
  <c r="AW1171" i="1"/>
  <c r="BD1171" i="1"/>
  <c r="BF1171" i="1"/>
  <c r="BH1171" i="1"/>
  <c r="BI1171" i="1"/>
  <c r="AC1171" i="1" s="1"/>
  <c r="BJ1171" i="1"/>
  <c r="K1172" i="1"/>
  <c r="Z1172" i="1"/>
  <c r="AB1172" i="1"/>
  <c r="AC1172" i="1"/>
  <c r="AD1172" i="1"/>
  <c r="AE1172" i="1"/>
  <c r="AF1172" i="1"/>
  <c r="AG1172" i="1"/>
  <c r="AH1172" i="1"/>
  <c r="AJ1172" i="1"/>
  <c r="AK1172" i="1"/>
  <c r="AL1172" i="1"/>
  <c r="AO1172" i="1"/>
  <c r="AP1172" i="1"/>
  <c r="AV1172" i="1"/>
  <c r="AW1172" i="1"/>
  <c r="BC1172" i="1" s="1"/>
  <c r="AX1172" i="1"/>
  <c r="BD1172" i="1"/>
  <c r="BF1172" i="1"/>
  <c r="BH1172" i="1"/>
  <c r="BI1172" i="1"/>
  <c r="BJ1172" i="1"/>
  <c r="K1173" i="1"/>
  <c r="Z1173" i="1"/>
  <c r="AC1173" i="1"/>
  <c r="AD1173" i="1"/>
  <c r="AE1173" i="1"/>
  <c r="AF1173" i="1"/>
  <c r="AG1173" i="1"/>
  <c r="AH1173" i="1"/>
  <c r="AJ1173" i="1"/>
  <c r="AK1173" i="1"/>
  <c r="AL1173" i="1"/>
  <c r="AO1173" i="1"/>
  <c r="AP1173" i="1"/>
  <c r="AW1173" i="1"/>
  <c r="AV1173" i="1" s="1"/>
  <c r="AX1173" i="1"/>
  <c r="BD1173" i="1"/>
  <c r="BF1173" i="1"/>
  <c r="BH1173" i="1"/>
  <c r="AB1173" i="1" s="1"/>
  <c r="BI1173" i="1"/>
  <c r="BJ1173" i="1"/>
  <c r="K1174" i="1"/>
  <c r="AL1174" i="1" s="1"/>
  <c r="Z1174" i="1"/>
  <c r="AD1174" i="1"/>
  <c r="AE1174" i="1"/>
  <c r="AF1174" i="1"/>
  <c r="AG1174" i="1"/>
  <c r="AH1174" i="1"/>
  <c r="AJ1174" i="1"/>
  <c r="AK1174" i="1"/>
  <c r="AO1174" i="1"/>
  <c r="AW1174" i="1" s="1"/>
  <c r="AP1174" i="1"/>
  <c r="AX1174" i="1"/>
  <c r="BD1174" i="1"/>
  <c r="BF1174" i="1"/>
  <c r="BH1174" i="1"/>
  <c r="AB1174" i="1" s="1"/>
  <c r="BI1174" i="1"/>
  <c r="AC1174" i="1" s="1"/>
  <c r="BJ1174" i="1"/>
  <c r="K1175" i="1"/>
  <c r="Z1175" i="1"/>
  <c r="AB1175" i="1"/>
  <c r="AD1175" i="1"/>
  <c r="AE1175" i="1"/>
  <c r="AF1175" i="1"/>
  <c r="AG1175" i="1"/>
  <c r="AH1175" i="1"/>
  <c r="AJ1175" i="1"/>
  <c r="AK1175" i="1"/>
  <c r="AL1175" i="1"/>
  <c r="AO1175" i="1"/>
  <c r="AP1175" i="1"/>
  <c r="AX1175" i="1" s="1"/>
  <c r="AW1175" i="1"/>
  <c r="BD1175" i="1"/>
  <c r="BF1175" i="1"/>
  <c r="BH1175" i="1"/>
  <c r="BI1175" i="1"/>
  <c r="AC1175" i="1" s="1"/>
  <c r="BJ1175" i="1"/>
  <c r="K1176" i="1"/>
  <c r="Z1176" i="1"/>
  <c r="AB1176" i="1"/>
  <c r="AC1176" i="1"/>
  <c r="AD1176" i="1"/>
  <c r="AE1176" i="1"/>
  <c r="AF1176" i="1"/>
  <c r="AG1176" i="1"/>
  <c r="AH1176" i="1"/>
  <c r="AJ1176" i="1"/>
  <c r="AK1176" i="1"/>
  <c r="AL1176" i="1"/>
  <c r="AO1176" i="1"/>
  <c r="AP1176" i="1"/>
  <c r="AV1176" i="1"/>
  <c r="AW1176" i="1"/>
  <c r="BC1176" i="1" s="1"/>
  <c r="AX1176" i="1"/>
  <c r="BD1176" i="1"/>
  <c r="BF1176" i="1"/>
  <c r="BH1176" i="1"/>
  <c r="BI1176" i="1"/>
  <c r="BJ1176" i="1"/>
  <c r="K1177" i="1"/>
  <c r="Z1177" i="1"/>
  <c r="AC1177" i="1"/>
  <c r="AD1177" i="1"/>
  <c r="AE1177" i="1"/>
  <c r="AF1177" i="1"/>
  <c r="AG1177" i="1"/>
  <c r="AH1177" i="1"/>
  <c r="AJ1177" i="1"/>
  <c r="AK1177" i="1"/>
  <c r="AL1177" i="1"/>
  <c r="AO1177" i="1"/>
  <c r="AP1177" i="1"/>
  <c r="AW1177" i="1"/>
  <c r="AV1177" i="1" s="1"/>
  <c r="AX1177" i="1"/>
  <c r="BD1177" i="1"/>
  <c r="BF1177" i="1"/>
  <c r="BH1177" i="1"/>
  <c r="AB1177" i="1" s="1"/>
  <c r="BI1177" i="1"/>
  <c r="BJ1177" i="1"/>
  <c r="K1178" i="1"/>
  <c r="AL1178" i="1" s="1"/>
  <c r="Z1178" i="1"/>
  <c r="AD1178" i="1"/>
  <c r="AE1178" i="1"/>
  <c r="AF1178" i="1"/>
  <c r="AG1178" i="1"/>
  <c r="AH1178" i="1"/>
  <c r="AJ1178" i="1"/>
  <c r="AK1178" i="1"/>
  <c r="AO1178" i="1"/>
  <c r="AW1178" i="1" s="1"/>
  <c r="AP1178" i="1"/>
  <c r="AX1178" i="1"/>
  <c r="BD1178" i="1"/>
  <c r="BF1178" i="1"/>
  <c r="BH1178" i="1"/>
  <c r="AB1178" i="1" s="1"/>
  <c r="BI1178" i="1"/>
  <c r="AC1178" i="1" s="1"/>
  <c r="BJ1178" i="1"/>
  <c r="K1179" i="1"/>
  <c r="Z1179" i="1"/>
  <c r="AB1179" i="1"/>
  <c r="AD1179" i="1"/>
  <c r="AE1179" i="1"/>
  <c r="AF1179" i="1"/>
  <c r="AG1179" i="1"/>
  <c r="AH1179" i="1"/>
  <c r="AJ1179" i="1"/>
  <c r="AK1179" i="1"/>
  <c r="AL1179" i="1"/>
  <c r="AO1179" i="1"/>
  <c r="AP1179" i="1"/>
  <c r="AX1179" i="1" s="1"/>
  <c r="AW1179" i="1"/>
  <c r="BD1179" i="1"/>
  <c r="BF1179" i="1"/>
  <c r="BH1179" i="1"/>
  <c r="BI1179" i="1"/>
  <c r="AC1179" i="1" s="1"/>
  <c r="BJ1179" i="1"/>
  <c r="K1180" i="1"/>
  <c r="Z1180" i="1"/>
  <c r="AB1180" i="1"/>
  <c r="AC1180" i="1"/>
  <c r="AD1180" i="1"/>
  <c r="AE1180" i="1"/>
  <c r="AF1180" i="1"/>
  <c r="AG1180" i="1"/>
  <c r="AH1180" i="1"/>
  <c r="AJ1180" i="1"/>
  <c r="AK1180" i="1"/>
  <c r="AL1180" i="1"/>
  <c r="AO1180" i="1"/>
  <c r="AP1180" i="1"/>
  <c r="AV1180" i="1"/>
  <c r="AW1180" i="1"/>
  <c r="BC1180" i="1" s="1"/>
  <c r="AX1180" i="1"/>
  <c r="BD1180" i="1"/>
  <c r="BF1180" i="1"/>
  <c r="BH1180" i="1"/>
  <c r="BI1180" i="1"/>
  <c r="BJ1180" i="1"/>
  <c r="K1181" i="1"/>
  <c r="Z1181" i="1"/>
  <c r="AC1181" i="1"/>
  <c r="AD1181" i="1"/>
  <c r="AE1181" i="1"/>
  <c r="AF1181" i="1"/>
  <c r="AG1181" i="1"/>
  <c r="AH1181" i="1"/>
  <c r="AJ1181" i="1"/>
  <c r="AK1181" i="1"/>
  <c r="AL1181" i="1"/>
  <c r="AO1181" i="1"/>
  <c r="AP1181" i="1"/>
  <c r="AW1181" i="1"/>
  <c r="AV1181" i="1" s="1"/>
  <c r="AX1181" i="1"/>
  <c r="BD1181" i="1"/>
  <c r="BF1181" i="1"/>
  <c r="BH1181" i="1"/>
  <c r="AB1181" i="1" s="1"/>
  <c r="BI1181" i="1"/>
  <c r="BJ1181" i="1"/>
  <c r="K1182" i="1"/>
  <c r="AL1182" i="1" s="1"/>
  <c r="Z1182" i="1"/>
  <c r="AD1182" i="1"/>
  <c r="AE1182" i="1"/>
  <c r="AF1182" i="1"/>
  <c r="AG1182" i="1"/>
  <c r="AH1182" i="1"/>
  <c r="AJ1182" i="1"/>
  <c r="AK1182" i="1"/>
  <c r="AO1182" i="1"/>
  <c r="AW1182" i="1" s="1"/>
  <c r="AP1182" i="1"/>
  <c r="AX1182" i="1"/>
  <c r="BD1182" i="1"/>
  <c r="BF1182" i="1"/>
  <c r="BH1182" i="1"/>
  <c r="AB1182" i="1" s="1"/>
  <c r="BI1182" i="1"/>
  <c r="AC1182" i="1" s="1"/>
  <c r="BJ1182" i="1"/>
  <c r="K1183" i="1"/>
  <c r="Z1183" i="1"/>
  <c r="AB1183" i="1"/>
  <c r="AD1183" i="1"/>
  <c r="AE1183" i="1"/>
  <c r="AF1183" i="1"/>
  <c r="AG1183" i="1"/>
  <c r="AH1183" i="1"/>
  <c r="AJ1183" i="1"/>
  <c r="AK1183" i="1"/>
  <c r="AL1183" i="1"/>
  <c r="AO1183" i="1"/>
  <c r="AP1183" i="1"/>
  <c r="AX1183" i="1" s="1"/>
  <c r="AW1183" i="1"/>
  <c r="BD1183" i="1"/>
  <c r="BF1183" i="1"/>
  <c r="BH1183" i="1"/>
  <c r="BI1183" i="1"/>
  <c r="AC1183" i="1" s="1"/>
  <c r="BJ1183" i="1"/>
  <c r="K1184" i="1"/>
  <c r="Z1184" i="1"/>
  <c r="AB1184" i="1"/>
  <c r="AC1184" i="1"/>
  <c r="AD1184" i="1"/>
  <c r="AE1184" i="1"/>
  <c r="AF1184" i="1"/>
  <c r="AG1184" i="1"/>
  <c r="AH1184" i="1"/>
  <c r="AJ1184" i="1"/>
  <c r="AK1184" i="1"/>
  <c r="AL1184" i="1"/>
  <c r="AO1184" i="1"/>
  <c r="AP1184" i="1"/>
  <c r="AV1184" i="1"/>
  <c r="AW1184" i="1"/>
  <c r="BC1184" i="1" s="1"/>
  <c r="AX1184" i="1"/>
  <c r="BD1184" i="1"/>
  <c r="BF1184" i="1"/>
  <c r="BH1184" i="1"/>
  <c r="BI1184" i="1"/>
  <c r="BJ1184" i="1"/>
  <c r="K1185" i="1"/>
  <c r="Z1185" i="1"/>
  <c r="AC1185" i="1"/>
  <c r="AD1185" i="1"/>
  <c r="AE1185" i="1"/>
  <c r="AF1185" i="1"/>
  <c r="AG1185" i="1"/>
  <c r="AH1185" i="1"/>
  <c r="AJ1185" i="1"/>
  <c r="AK1185" i="1"/>
  <c r="AL1185" i="1"/>
  <c r="AO1185" i="1"/>
  <c r="AP1185" i="1"/>
  <c r="AW1185" i="1"/>
  <c r="AV1185" i="1" s="1"/>
  <c r="AX1185" i="1"/>
  <c r="BD1185" i="1"/>
  <c r="BF1185" i="1"/>
  <c r="BH1185" i="1"/>
  <c r="AB1185" i="1" s="1"/>
  <c r="BI1185" i="1"/>
  <c r="BJ1185" i="1"/>
  <c r="K1186" i="1"/>
  <c r="AL1186" i="1" s="1"/>
  <c r="Z1186" i="1"/>
  <c r="AD1186" i="1"/>
  <c r="AE1186" i="1"/>
  <c r="AF1186" i="1"/>
  <c r="AG1186" i="1"/>
  <c r="AH1186" i="1"/>
  <c r="AJ1186" i="1"/>
  <c r="AK1186" i="1"/>
  <c r="AO1186" i="1"/>
  <c r="AW1186" i="1" s="1"/>
  <c r="AP1186" i="1"/>
  <c r="AX1186" i="1"/>
  <c r="BD1186" i="1"/>
  <c r="BF1186" i="1"/>
  <c r="BH1186" i="1"/>
  <c r="AB1186" i="1" s="1"/>
  <c r="BI1186" i="1"/>
  <c r="AC1186" i="1" s="1"/>
  <c r="BJ1186" i="1"/>
  <c r="K1187" i="1"/>
  <c r="Z1187" i="1"/>
  <c r="AB1187" i="1"/>
  <c r="AD1187" i="1"/>
  <c r="AE1187" i="1"/>
  <c r="AF1187" i="1"/>
  <c r="AG1187" i="1"/>
  <c r="AH1187" i="1"/>
  <c r="AJ1187" i="1"/>
  <c r="AK1187" i="1"/>
  <c r="AL1187" i="1"/>
  <c r="AO1187" i="1"/>
  <c r="AP1187" i="1"/>
  <c r="AX1187" i="1" s="1"/>
  <c r="AW1187" i="1"/>
  <c r="BD1187" i="1"/>
  <c r="BF1187" i="1"/>
  <c r="BH1187" i="1"/>
  <c r="BI1187" i="1"/>
  <c r="AC1187" i="1" s="1"/>
  <c r="BJ1187" i="1"/>
  <c r="K1188" i="1"/>
  <c r="Z1188" i="1"/>
  <c r="AB1188" i="1"/>
  <c r="AC1188" i="1"/>
  <c r="AD1188" i="1"/>
  <c r="AE1188" i="1"/>
  <c r="AF1188" i="1"/>
  <c r="AG1188" i="1"/>
  <c r="AH1188" i="1"/>
  <c r="AJ1188" i="1"/>
  <c r="AK1188" i="1"/>
  <c r="AL1188" i="1"/>
  <c r="AO1188" i="1"/>
  <c r="AP1188" i="1"/>
  <c r="AV1188" i="1"/>
  <c r="AW1188" i="1"/>
  <c r="BC1188" i="1" s="1"/>
  <c r="AX1188" i="1"/>
  <c r="BD1188" i="1"/>
  <c r="BF1188" i="1"/>
  <c r="BH1188" i="1"/>
  <c r="BI1188" i="1"/>
  <c r="BJ1188" i="1"/>
  <c r="K1189" i="1"/>
  <c r="Z1189" i="1"/>
  <c r="AC1189" i="1"/>
  <c r="AD1189" i="1"/>
  <c r="AE1189" i="1"/>
  <c r="AF1189" i="1"/>
  <c r="AG1189" i="1"/>
  <c r="AH1189" i="1"/>
  <c r="AJ1189" i="1"/>
  <c r="AK1189" i="1"/>
  <c r="AL1189" i="1"/>
  <c r="AO1189" i="1"/>
  <c r="AP1189" i="1"/>
  <c r="AW1189" i="1"/>
  <c r="AV1189" i="1" s="1"/>
  <c r="AX1189" i="1"/>
  <c r="BD1189" i="1"/>
  <c r="BF1189" i="1"/>
  <c r="BH1189" i="1"/>
  <c r="AB1189" i="1" s="1"/>
  <c r="BI1189" i="1"/>
  <c r="BJ1189" i="1"/>
  <c r="K1190" i="1"/>
  <c r="AL1190" i="1" s="1"/>
  <c r="Z1190" i="1"/>
  <c r="AD1190" i="1"/>
  <c r="AE1190" i="1"/>
  <c r="AF1190" i="1"/>
  <c r="AG1190" i="1"/>
  <c r="AH1190" i="1"/>
  <c r="AJ1190" i="1"/>
  <c r="AK1190" i="1"/>
  <c r="AO1190" i="1"/>
  <c r="AW1190" i="1" s="1"/>
  <c r="AP1190" i="1"/>
  <c r="AX1190" i="1"/>
  <c r="BD1190" i="1"/>
  <c r="BF1190" i="1"/>
  <c r="BH1190" i="1"/>
  <c r="AB1190" i="1" s="1"/>
  <c r="BI1190" i="1"/>
  <c r="AC1190" i="1" s="1"/>
  <c r="BJ1190" i="1"/>
  <c r="K1191" i="1"/>
  <c r="Z1191" i="1"/>
  <c r="AB1191" i="1"/>
  <c r="AD1191" i="1"/>
  <c r="AE1191" i="1"/>
  <c r="AF1191" i="1"/>
  <c r="AG1191" i="1"/>
  <c r="AH1191" i="1"/>
  <c r="AJ1191" i="1"/>
  <c r="AK1191" i="1"/>
  <c r="AL1191" i="1"/>
  <c r="AO1191" i="1"/>
  <c r="AP1191" i="1"/>
  <c r="AX1191" i="1" s="1"/>
  <c r="AW1191" i="1"/>
  <c r="BD1191" i="1"/>
  <c r="BF1191" i="1"/>
  <c r="BH1191" i="1"/>
  <c r="BI1191" i="1"/>
  <c r="AC1191" i="1" s="1"/>
  <c r="BJ1191" i="1"/>
  <c r="K1192" i="1"/>
  <c r="Z1192" i="1"/>
  <c r="AB1192" i="1"/>
  <c r="AC1192" i="1"/>
  <c r="AD1192" i="1"/>
  <c r="AE1192" i="1"/>
  <c r="AF1192" i="1"/>
  <c r="AG1192" i="1"/>
  <c r="AH1192" i="1"/>
  <c r="AJ1192" i="1"/>
  <c r="AK1192" i="1"/>
  <c r="AL1192" i="1"/>
  <c r="AO1192" i="1"/>
  <c r="AP1192" i="1"/>
  <c r="AV1192" i="1"/>
  <c r="AW1192" i="1"/>
  <c r="BC1192" i="1" s="1"/>
  <c r="AX1192" i="1"/>
  <c r="BD1192" i="1"/>
  <c r="BF1192" i="1"/>
  <c r="BH1192" i="1"/>
  <c r="BI1192" i="1"/>
  <c r="BJ1192" i="1"/>
  <c r="K1193" i="1"/>
  <c r="Z1193" i="1"/>
  <c r="AC1193" i="1"/>
  <c r="AD1193" i="1"/>
  <c r="AE1193" i="1"/>
  <c r="AF1193" i="1"/>
  <c r="AG1193" i="1"/>
  <c r="AH1193" i="1"/>
  <c r="AJ1193" i="1"/>
  <c r="AK1193" i="1"/>
  <c r="AL1193" i="1"/>
  <c r="AO1193" i="1"/>
  <c r="AP1193" i="1"/>
  <c r="AW1193" i="1"/>
  <c r="AV1193" i="1" s="1"/>
  <c r="AX1193" i="1"/>
  <c r="BD1193" i="1"/>
  <c r="BF1193" i="1"/>
  <c r="BH1193" i="1"/>
  <c r="AB1193" i="1" s="1"/>
  <c r="BI1193" i="1"/>
  <c r="BJ1193" i="1"/>
  <c r="K1194" i="1"/>
  <c r="AL1194" i="1" s="1"/>
  <c r="Z1194" i="1"/>
  <c r="AD1194" i="1"/>
  <c r="AE1194" i="1"/>
  <c r="AF1194" i="1"/>
  <c r="AG1194" i="1"/>
  <c r="AH1194" i="1"/>
  <c r="AJ1194" i="1"/>
  <c r="AK1194" i="1"/>
  <c r="AO1194" i="1"/>
  <c r="AW1194" i="1" s="1"/>
  <c r="AP1194" i="1"/>
  <c r="AX1194" i="1"/>
  <c r="BD1194" i="1"/>
  <c r="BF1194" i="1"/>
  <c r="BH1194" i="1"/>
  <c r="AB1194" i="1" s="1"/>
  <c r="BI1194" i="1"/>
  <c r="AC1194" i="1" s="1"/>
  <c r="BJ1194" i="1"/>
  <c r="K1195" i="1"/>
  <c r="Z1195" i="1"/>
  <c r="AB1195" i="1"/>
  <c r="AD1195" i="1"/>
  <c r="AE1195" i="1"/>
  <c r="AF1195" i="1"/>
  <c r="AG1195" i="1"/>
  <c r="AH1195" i="1"/>
  <c r="AJ1195" i="1"/>
  <c r="AK1195" i="1"/>
  <c r="AL1195" i="1"/>
  <c r="AO1195" i="1"/>
  <c r="AP1195" i="1"/>
  <c r="AX1195" i="1" s="1"/>
  <c r="AW1195" i="1"/>
  <c r="BD1195" i="1"/>
  <c r="BF1195" i="1"/>
  <c r="BH1195" i="1"/>
  <c r="BI1195" i="1"/>
  <c r="AC1195" i="1" s="1"/>
  <c r="BJ1195" i="1"/>
  <c r="K1196" i="1"/>
  <c r="Z1196" i="1"/>
  <c r="AB1196" i="1"/>
  <c r="AC1196" i="1"/>
  <c r="AD1196" i="1"/>
  <c r="AE1196" i="1"/>
  <c r="AF1196" i="1"/>
  <c r="AG1196" i="1"/>
  <c r="AH1196" i="1"/>
  <c r="AJ1196" i="1"/>
  <c r="AK1196" i="1"/>
  <c r="AL1196" i="1"/>
  <c r="AO1196" i="1"/>
  <c r="AP1196" i="1"/>
  <c r="AX1196" i="1" s="1"/>
  <c r="AV1196" i="1" s="1"/>
  <c r="AW1196" i="1"/>
  <c r="BD1196" i="1"/>
  <c r="BF1196" i="1"/>
  <c r="BH1196" i="1"/>
  <c r="BI1196" i="1"/>
  <c r="BJ1196" i="1"/>
  <c r="K1197" i="1"/>
  <c r="Z1197" i="1"/>
  <c r="AC1197" i="1"/>
  <c r="AD1197" i="1"/>
  <c r="AE1197" i="1"/>
  <c r="AF1197" i="1"/>
  <c r="AG1197" i="1"/>
  <c r="AH1197" i="1"/>
  <c r="AJ1197" i="1"/>
  <c r="AK1197" i="1"/>
  <c r="AL1197" i="1"/>
  <c r="AO1197" i="1"/>
  <c r="AP1197" i="1"/>
  <c r="AW1197" i="1"/>
  <c r="AV1197" i="1" s="1"/>
  <c r="AX1197" i="1"/>
  <c r="BD1197" i="1"/>
  <c r="BF1197" i="1"/>
  <c r="BH1197" i="1"/>
  <c r="AB1197" i="1" s="1"/>
  <c r="BI1197" i="1"/>
  <c r="BJ1197" i="1"/>
  <c r="K1198" i="1"/>
  <c r="AL1198" i="1" s="1"/>
  <c r="Z1198" i="1"/>
  <c r="AD1198" i="1"/>
  <c r="AE1198" i="1"/>
  <c r="AF1198" i="1"/>
  <c r="AG1198" i="1"/>
  <c r="AH1198" i="1"/>
  <c r="AJ1198" i="1"/>
  <c r="AK1198" i="1"/>
  <c r="AO1198" i="1"/>
  <c r="AW1198" i="1" s="1"/>
  <c r="AP1198" i="1"/>
  <c r="AX1198" i="1"/>
  <c r="BD1198" i="1"/>
  <c r="BF1198" i="1"/>
  <c r="BH1198" i="1"/>
  <c r="AB1198" i="1" s="1"/>
  <c r="BI1198" i="1"/>
  <c r="AC1198" i="1" s="1"/>
  <c r="BJ1198" i="1"/>
  <c r="K1199" i="1"/>
  <c r="Z1199" i="1"/>
  <c r="AB1199" i="1"/>
  <c r="AD1199" i="1"/>
  <c r="AE1199" i="1"/>
  <c r="AF1199" i="1"/>
  <c r="AG1199" i="1"/>
  <c r="AH1199" i="1"/>
  <c r="AJ1199" i="1"/>
  <c r="AK1199" i="1"/>
  <c r="AL1199" i="1"/>
  <c r="AO1199" i="1"/>
  <c r="AW1199" i="1" s="1"/>
  <c r="AP1199" i="1"/>
  <c r="AX1199" i="1" s="1"/>
  <c r="BD1199" i="1"/>
  <c r="BF1199" i="1"/>
  <c r="BH1199" i="1"/>
  <c r="BI1199" i="1"/>
  <c r="AC1199" i="1" s="1"/>
  <c r="BJ1199" i="1"/>
  <c r="K1200" i="1"/>
  <c r="Z1200" i="1"/>
  <c r="AB1200" i="1"/>
  <c r="AC1200" i="1"/>
  <c r="AD1200" i="1"/>
  <c r="AE1200" i="1"/>
  <c r="AF1200" i="1"/>
  <c r="AG1200" i="1"/>
  <c r="AH1200" i="1"/>
  <c r="AJ1200" i="1"/>
  <c r="AK1200" i="1"/>
  <c r="AL1200" i="1"/>
  <c r="AO1200" i="1"/>
  <c r="AP1200" i="1"/>
  <c r="AX1200" i="1" s="1"/>
  <c r="AV1200" i="1" s="1"/>
  <c r="AW1200" i="1"/>
  <c r="BC1200" i="1" s="1"/>
  <c r="BD1200" i="1"/>
  <c r="BF1200" i="1"/>
  <c r="BH1200" i="1"/>
  <c r="BI1200" i="1"/>
  <c r="BJ1200" i="1"/>
  <c r="K1201" i="1"/>
  <c r="Z1201" i="1"/>
  <c r="AC1201" i="1"/>
  <c r="AD1201" i="1"/>
  <c r="AE1201" i="1"/>
  <c r="AF1201" i="1"/>
  <c r="AG1201" i="1"/>
  <c r="AH1201" i="1"/>
  <c r="AJ1201" i="1"/>
  <c r="AK1201" i="1"/>
  <c r="AL1201" i="1"/>
  <c r="AO1201" i="1"/>
  <c r="AP1201" i="1"/>
  <c r="AW1201" i="1"/>
  <c r="AV1201" i="1" s="1"/>
  <c r="AX1201" i="1"/>
  <c r="BD1201" i="1"/>
  <c r="BF1201" i="1"/>
  <c r="BH1201" i="1"/>
  <c r="AB1201" i="1" s="1"/>
  <c r="BI1201" i="1"/>
  <c r="BJ1201" i="1"/>
  <c r="K1202" i="1"/>
  <c r="AL1202" i="1" s="1"/>
  <c r="Z1202" i="1"/>
  <c r="AD1202" i="1"/>
  <c r="AE1202" i="1"/>
  <c r="AF1202" i="1"/>
  <c r="AG1202" i="1"/>
  <c r="AH1202" i="1"/>
  <c r="AJ1202" i="1"/>
  <c r="AK1202" i="1"/>
  <c r="AO1202" i="1"/>
  <c r="AW1202" i="1" s="1"/>
  <c r="AP1202" i="1"/>
  <c r="AX1202" i="1"/>
  <c r="BD1202" i="1"/>
  <c r="BF1202" i="1"/>
  <c r="BH1202" i="1"/>
  <c r="AB1202" i="1" s="1"/>
  <c r="BI1202" i="1"/>
  <c r="AC1202" i="1" s="1"/>
  <c r="BJ1202" i="1"/>
  <c r="K1203" i="1"/>
  <c r="Z1203" i="1"/>
  <c r="AB1203" i="1"/>
  <c r="AD1203" i="1"/>
  <c r="AE1203" i="1"/>
  <c r="AF1203" i="1"/>
  <c r="AG1203" i="1"/>
  <c r="AH1203" i="1"/>
  <c r="AJ1203" i="1"/>
  <c r="AK1203" i="1"/>
  <c r="AL1203" i="1"/>
  <c r="AO1203" i="1"/>
  <c r="AP1203" i="1"/>
  <c r="AX1203" i="1" s="1"/>
  <c r="AW1203" i="1"/>
  <c r="BD1203" i="1"/>
  <c r="BF1203" i="1"/>
  <c r="BH1203" i="1"/>
  <c r="BI1203" i="1"/>
  <c r="AC1203" i="1" s="1"/>
  <c r="BJ1203" i="1"/>
  <c r="K1204" i="1"/>
  <c r="Z1204" i="1"/>
  <c r="AB1204" i="1"/>
  <c r="AC1204" i="1"/>
  <c r="AD1204" i="1"/>
  <c r="AE1204" i="1"/>
  <c r="AF1204" i="1"/>
  <c r="AG1204" i="1"/>
  <c r="AH1204" i="1"/>
  <c r="AJ1204" i="1"/>
  <c r="AK1204" i="1"/>
  <c r="AL1204" i="1"/>
  <c r="AO1204" i="1"/>
  <c r="AP1204" i="1"/>
  <c r="AV1204" i="1"/>
  <c r="AW1204" i="1"/>
  <c r="BC1204" i="1" s="1"/>
  <c r="AX1204" i="1"/>
  <c r="BD1204" i="1"/>
  <c r="BF1204" i="1"/>
  <c r="BH1204" i="1"/>
  <c r="BI1204" i="1"/>
  <c r="BJ1204" i="1"/>
  <c r="K1205" i="1"/>
  <c r="Z1205" i="1"/>
  <c r="AC1205" i="1"/>
  <c r="AD1205" i="1"/>
  <c r="AE1205" i="1"/>
  <c r="AF1205" i="1"/>
  <c r="AG1205" i="1"/>
  <c r="AH1205" i="1"/>
  <c r="AJ1205" i="1"/>
  <c r="AK1205" i="1"/>
  <c r="AL1205" i="1"/>
  <c r="AO1205" i="1"/>
  <c r="AP1205" i="1"/>
  <c r="AW1205" i="1"/>
  <c r="AV1205" i="1" s="1"/>
  <c r="AX1205" i="1"/>
  <c r="BD1205" i="1"/>
  <c r="BF1205" i="1"/>
  <c r="BH1205" i="1"/>
  <c r="AB1205" i="1" s="1"/>
  <c r="BI1205" i="1"/>
  <c r="BJ1205" i="1"/>
  <c r="K1206" i="1"/>
  <c r="AL1206" i="1" s="1"/>
  <c r="Z1206" i="1"/>
  <c r="AD1206" i="1"/>
  <c r="AE1206" i="1"/>
  <c r="AF1206" i="1"/>
  <c r="AG1206" i="1"/>
  <c r="AH1206" i="1"/>
  <c r="AJ1206" i="1"/>
  <c r="AK1206" i="1"/>
  <c r="AO1206" i="1"/>
  <c r="AW1206" i="1" s="1"/>
  <c r="AP1206" i="1"/>
  <c r="AX1206" i="1"/>
  <c r="BD1206" i="1"/>
  <c r="BF1206" i="1"/>
  <c r="BH1206" i="1"/>
  <c r="AB1206" i="1" s="1"/>
  <c r="BI1206" i="1"/>
  <c r="AC1206" i="1" s="1"/>
  <c r="BJ1206" i="1"/>
  <c r="K1209" i="1"/>
  <c r="AL1209" i="1" s="1"/>
  <c r="Z1209" i="1"/>
  <c r="AB1209" i="1"/>
  <c r="AC1209" i="1"/>
  <c r="AF1209" i="1"/>
  <c r="AG1209" i="1"/>
  <c r="AH1209" i="1"/>
  <c r="AJ1209" i="1"/>
  <c r="AS1208" i="1" s="1"/>
  <c r="AK1209" i="1"/>
  <c r="AT1208" i="1" s="1"/>
  <c r="AO1209" i="1"/>
  <c r="AW1209" i="1" s="1"/>
  <c r="AP1209" i="1"/>
  <c r="AX1209" i="1"/>
  <c r="BD1209" i="1"/>
  <c r="BF1209" i="1"/>
  <c r="BH1209" i="1"/>
  <c r="AD1209" i="1" s="1"/>
  <c r="BI1209" i="1"/>
  <c r="AE1209" i="1" s="1"/>
  <c r="BJ1209" i="1"/>
  <c r="K1210" i="1"/>
  <c r="Z1210" i="1"/>
  <c r="AB1210" i="1"/>
  <c r="AC1210" i="1"/>
  <c r="AF1210" i="1"/>
  <c r="AG1210" i="1"/>
  <c r="AH1210" i="1"/>
  <c r="AJ1210" i="1"/>
  <c r="AK1210" i="1"/>
  <c r="AL1210" i="1"/>
  <c r="AO1210" i="1"/>
  <c r="AP1210" i="1"/>
  <c r="AX1210" i="1" s="1"/>
  <c r="AW1210" i="1"/>
  <c r="BD1210" i="1"/>
  <c r="BF1210" i="1"/>
  <c r="BH1210" i="1"/>
  <c r="AD1210" i="1" s="1"/>
  <c r="BI1210" i="1"/>
  <c r="AE1210" i="1" s="1"/>
  <c r="BJ1210" i="1"/>
  <c r="K1211" i="1"/>
  <c r="Z1211" i="1"/>
  <c r="AB1211" i="1"/>
  <c r="AC1211" i="1"/>
  <c r="AF1211" i="1"/>
  <c r="AG1211" i="1"/>
  <c r="AH1211" i="1"/>
  <c r="AJ1211" i="1"/>
  <c r="AK1211" i="1"/>
  <c r="AL1211" i="1"/>
  <c r="AO1211" i="1"/>
  <c r="AP1211" i="1"/>
  <c r="AX1211" i="1" s="1"/>
  <c r="AV1211" i="1" s="1"/>
  <c r="AW1211" i="1"/>
  <c r="BC1211" i="1" s="1"/>
  <c r="BD1211" i="1"/>
  <c r="BF1211" i="1"/>
  <c r="BH1211" i="1"/>
  <c r="AD1211" i="1" s="1"/>
  <c r="BI1211" i="1"/>
  <c r="AE1211" i="1" s="1"/>
  <c r="BJ1211" i="1"/>
  <c r="K1212" i="1"/>
  <c r="Z1212" i="1"/>
  <c r="AB1212" i="1"/>
  <c r="AC1212" i="1"/>
  <c r="AF1212" i="1"/>
  <c r="AG1212" i="1"/>
  <c r="AH1212" i="1"/>
  <c r="AJ1212" i="1"/>
  <c r="AK1212" i="1"/>
  <c r="AL1212" i="1"/>
  <c r="AO1212" i="1"/>
  <c r="AP1212" i="1"/>
  <c r="AW1212" i="1"/>
  <c r="AV1212" i="1" s="1"/>
  <c r="AX1212" i="1"/>
  <c r="BD1212" i="1"/>
  <c r="BF1212" i="1"/>
  <c r="BH1212" i="1"/>
  <c r="AD1212" i="1" s="1"/>
  <c r="BI1212" i="1"/>
  <c r="AE1212" i="1" s="1"/>
  <c r="BJ1212" i="1"/>
  <c r="K1213" i="1"/>
  <c r="AL1213" i="1" s="1"/>
  <c r="Z1213" i="1"/>
  <c r="AB1213" i="1"/>
  <c r="AC1213" i="1"/>
  <c r="AF1213" i="1"/>
  <c r="AG1213" i="1"/>
  <c r="AH1213" i="1"/>
  <c r="AJ1213" i="1"/>
  <c r="AK1213" i="1"/>
  <c r="AO1213" i="1"/>
  <c r="AW1213" i="1" s="1"/>
  <c r="AP1213" i="1"/>
  <c r="AX1213" i="1"/>
  <c r="BD1213" i="1"/>
  <c r="BF1213" i="1"/>
  <c r="BH1213" i="1"/>
  <c r="AD1213" i="1" s="1"/>
  <c r="BI1213" i="1"/>
  <c r="AE1213" i="1" s="1"/>
  <c r="BJ1213" i="1"/>
  <c r="K1214" i="1"/>
  <c r="Z1214" i="1"/>
  <c r="AB1214" i="1"/>
  <c r="AC1214" i="1"/>
  <c r="AF1214" i="1"/>
  <c r="AG1214" i="1"/>
  <c r="AH1214" i="1"/>
  <c r="AJ1214" i="1"/>
  <c r="AK1214" i="1"/>
  <c r="AL1214" i="1"/>
  <c r="AO1214" i="1"/>
  <c r="AW1214" i="1" s="1"/>
  <c r="AP1214" i="1"/>
  <c r="AX1214" i="1" s="1"/>
  <c r="BD1214" i="1"/>
  <c r="BF1214" i="1"/>
  <c r="BH1214" i="1"/>
  <c r="AD1214" i="1" s="1"/>
  <c r="BI1214" i="1"/>
  <c r="AE1214" i="1" s="1"/>
  <c r="BJ1214" i="1"/>
  <c r="K1215" i="1"/>
  <c r="Z1215" i="1"/>
  <c r="AB1215" i="1"/>
  <c r="AC1215" i="1"/>
  <c r="AF1215" i="1"/>
  <c r="AG1215" i="1"/>
  <c r="AH1215" i="1"/>
  <c r="AJ1215" i="1"/>
  <c r="AK1215" i="1"/>
  <c r="AL1215" i="1"/>
  <c r="AO1215" i="1"/>
  <c r="AP1215" i="1"/>
  <c r="AX1215" i="1" s="1"/>
  <c r="AV1215" i="1" s="1"/>
  <c r="AW1215" i="1"/>
  <c r="BD1215" i="1"/>
  <c r="BF1215" i="1"/>
  <c r="BH1215" i="1"/>
  <c r="AD1215" i="1" s="1"/>
  <c r="BI1215" i="1"/>
  <c r="AE1215" i="1" s="1"/>
  <c r="BJ1215" i="1"/>
  <c r="K1216" i="1"/>
  <c r="Z1216" i="1"/>
  <c r="AB1216" i="1"/>
  <c r="AC1216" i="1"/>
  <c r="AF1216" i="1"/>
  <c r="AG1216" i="1"/>
  <c r="AH1216" i="1"/>
  <c r="AJ1216" i="1"/>
  <c r="AK1216" i="1"/>
  <c r="AL1216" i="1"/>
  <c r="AO1216" i="1"/>
  <c r="AP1216" i="1"/>
  <c r="AW1216" i="1"/>
  <c r="AV1216" i="1" s="1"/>
  <c r="AX1216" i="1"/>
  <c r="BD1216" i="1"/>
  <c r="BF1216" i="1"/>
  <c r="BH1216" i="1"/>
  <c r="AD1216" i="1" s="1"/>
  <c r="BI1216" i="1"/>
  <c r="AE1216" i="1" s="1"/>
  <c r="BJ1216" i="1"/>
  <c r="K1217" i="1"/>
  <c r="AL1217" i="1" s="1"/>
  <c r="Z1217" i="1"/>
  <c r="AB1217" i="1"/>
  <c r="AC1217" i="1"/>
  <c r="AF1217" i="1"/>
  <c r="AG1217" i="1"/>
  <c r="AH1217" i="1"/>
  <c r="AJ1217" i="1"/>
  <c r="AK1217" i="1"/>
  <c r="AO1217" i="1"/>
  <c r="AW1217" i="1" s="1"/>
  <c r="AP1217" i="1"/>
  <c r="AX1217" i="1"/>
  <c r="BD1217" i="1"/>
  <c r="BF1217" i="1"/>
  <c r="BH1217" i="1"/>
  <c r="AD1217" i="1" s="1"/>
  <c r="BI1217" i="1"/>
  <c r="AE1217" i="1" s="1"/>
  <c r="BJ1217" i="1"/>
  <c r="K1218" i="1"/>
  <c r="Z1218" i="1"/>
  <c r="AB1218" i="1"/>
  <c r="AC1218" i="1"/>
  <c r="AF1218" i="1"/>
  <c r="AG1218" i="1"/>
  <c r="AH1218" i="1"/>
  <c r="AJ1218" i="1"/>
  <c r="AK1218" i="1"/>
  <c r="AL1218" i="1"/>
  <c r="AO1218" i="1"/>
  <c r="AW1218" i="1" s="1"/>
  <c r="AP1218" i="1"/>
  <c r="AX1218" i="1" s="1"/>
  <c r="BD1218" i="1"/>
  <c r="BF1218" i="1"/>
  <c r="BH1218" i="1"/>
  <c r="AD1218" i="1" s="1"/>
  <c r="BI1218" i="1"/>
  <c r="AE1218" i="1" s="1"/>
  <c r="BJ1218" i="1"/>
  <c r="K1220" i="1"/>
  <c r="K1219" i="1" s="1"/>
  <c r="Z1220" i="1"/>
  <c r="AB1220" i="1"/>
  <c r="AC1220" i="1"/>
  <c r="AF1220" i="1"/>
  <c r="AG1220" i="1"/>
  <c r="AH1220" i="1"/>
  <c r="AJ1220" i="1"/>
  <c r="AS1219" i="1" s="1"/>
  <c r="AK1220" i="1"/>
  <c r="AT1219" i="1" s="1"/>
  <c r="AL1220" i="1"/>
  <c r="AO1220" i="1"/>
  <c r="AP1220" i="1"/>
  <c r="AX1220" i="1" s="1"/>
  <c r="AV1220" i="1" s="1"/>
  <c r="AW1220" i="1"/>
  <c r="BC1220" i="1" s="1"/>
  <c r="BD1220" i="1"/>
  <c r="BF1220" i="1"/>
  <c r="BH1220" i="1"/>
  <c r="AD1220" i="1" s="1"/>
  <c r="BI1220" i="1"/>
  <c r="AE1220" i="1" s="1"/>
  <c r="BJ1220" i="1"/>
  <c r="K1221" i="1"/>
  <c r="Z1221" i="1"/>
  <c r="AB1221" i="1"/>
  <c r="AC1221" i="1"/>
  <c r="AF1221" i="1"/>
  <c r="AG1221" i="1"/>
  <c r="AH1221" i="1"/>
  <c r="AJ1221" i="1"/>
  <c r="AK1221" i="1"/>
  <c r="AL1221" i="1"/>
  <c r="AO1221" i="1"/>
  <c r="AP1221" i="1"/>
  <c r="AW1221" i="1"/>
  <c r="AV1221" i="1" s="1"/>
  <c r="AX1221" i="1"/>
  <c r="BD1221" i="1"/>
  <c r="BF1221" i="1"/>
  <c r="BH1221" i="1"/>
  <c r="AD1221" i="1" s="1"/>
  <c r="BI1221" i="1"/>
  <c r="AE1221" i="1" s="1"/>
  <c r="BJ1221" i="1"/>
  <c r="K1222" i="1"/>
  <c r="AL1222" i="1" s="1"/>
  <c r="Z1222" i="1"/>
  <c r="AB1222" i="1"/>
  <c r="AC1222" i="1"/>
  <c r="AF1222" i="1"/>
  <c r="AG1222" i="1"/>
  <c r="AH1222" i="1"/>
  <c r="AJ1222" i="1"/>
  <c r="AK1222" i="1"/>
  <c r="AO1222" i="1"/>
  <c r="AW1222" i="1" s="1"/>
  <c r="AP1222" i="1"/>
  <c r="AX1222" i="1"/>
  <c r="BD1222" i="1"/>
  <c r="BF1222" i="1"/>
  <c r="BH1222" i="1"/>
  <c r="AD1222" i="1" s="1"/>
  <c r="BI1222" i="1"/>
  <c r="AE1222" i="1" s="1"/>
  <c r="BJ1222" i="1"/>
  <c r="K1223" i="1"/>
  <c r="Z1223" i="1"/>
  <c r="AB1223" i="1"/>
  <c r="AC1223" i="1"/>
  <c r="AF1223" i="1"/>
  <c r="AG1223" i="1"/>
  <c r="AH1223" i="1"/>
  <c r="AJ1223" i="1"/>
  <c r="AK1223" i="1"/>
  <c r="AL1223" i="1"/>
  <c r="AO1223" i="1"/>
  <c r="AW1223" i="1" s="1"/>
  <c r="AP1223" i="1"/>
  <c r="AX1223" i="1" s="1"/>
  <c r="BD1223" i="1"/>
  <c r="BF1223" i="1"/>
  <c r="BH1223" i="1"/>
  <c r="AD1223" i="1" s="1"/>
  <c r="BI1223" i="1"/>
  <c r="AE1223" i="1" s="1"/>
  <c r="BJ1223" i="1"/>
  <c r="K1225" i="1"/>
  <c r="K1224" i="1" s="1"/>
  <c r="Z1225" i="1"/>
  <c r="AB1225" i="1"/>
  <c r="AC1225" i="1"/>
  <c r="AF1225" i="1"/>
  <c r="AG1225" i="1"/>
  <c r="AH1225" i="1"/>
  <c r="AJ1225" i="1"/>
  <c r="AS1224" i="1" s="1"/>
  <c r="AK1225" i="1"/>
  <c r="AT1224" i="1" s="1"/>
  <c r="AL1225" i="1"/>
  <c r="AO1225" i="1"/>
  <c r="AP1225" i="1"/>
  <c r="AX1225" i="1" s="1"/>
  <c r="AV1225" i="1" s="1"/>
  <c r="AW1225" i="1"/>
  <c r="BD1225" i="1"/>
  <c r="BF1225" i="1"/>
  <c r="BH1225" i="1"/>
  <c r="AD1225" i="1" s="1"/>
  <c r="BI1225" i="1"/>
  <c r="AE1225" i="1" s="1"/>
  <c r="BJ1225" i="1"/>
  <c r="K1226" i="1"/>
  <c r="Z1226" i="1"/>
  <c r="AB1226" i="1"/>
  <c r="AC1226" i="1"/>
  <c r="AF1226" i="1"/>
  <c r="AG1226" i="1"/>
  <c r="AH1226" i="1"/>
  <c r="AJ1226" i="1"/>
  <c r="AK1226" i="1"/>
  <c r="AL1226" i="1"/>
  <c r="AO1226" i="1"/>
  <c r="AP1226" i="1"/>
  <c r="AW1226" i="1"/>
  <c r="AV1226" i="1" s="1"/>
  <c r="AX1226" i="1"/>
  <c r="BD1226" i="1"/>
  <c r="BF1226" i="1"/>
  <c r="BH1226" i="1"/>
  <c r="AD1226" i="1" s="1"/>
  <c r="BI1226" i="1"/>
  <c r="AE1226" i="1" s="1"/>
  <c r="BJ1226" i="1"/>
  <c r="K1227" i="1"/>
  <c r="AL1227" i="1" s="1"/>
  <c r="Z1227" i="1"/>
  <c r="AB1227" i="1"/>
  <c r="AC1227" i="1"/>
  <c r="AF1227" i="1"/>
  <c r="AG1227" i="1"/>
  <c r="AH1227" i="1"/>
  <c r="AJ1227" i="1"/>
  <c r="AK1227" i="1"/>
  <c r="AO1227" i="1"/>
  <c r="AW1227" i="1" s="1"/>
  <c r="AP1227" i="1"/>
  <c r="AX1227" i="1"/>
  <c r="BD1227" i="1"/>
  <c r="BF1227" i="1"/>
  <c r="BH1227" i="1"/>
  <c r="AD1227" i="1" s="1"/>
  <c r="BI1227" i="1"/>
  <c r="AE1227" i="1" s="1"/>
  <c r="BJ1227" i="1"/>
  <c r="K1230" i="1"/>
  <c r="AL1230" i="1" s="1"/>
  <c r="Z1230" i="1"/>
  <c r="AB1230" i="1"/>
  <c r="AC1230" i="1"/>
  <c r="AF1230" i="1"/>
  <c r="AG1230" i="1"/>
  <c r="AH1230" i="1"/>
  <c r="AJ1230" i="1"/>
  <c r="AS1229" i="1" s="1"/>
  <c r="AK1230" i="1"/>
  <c r="AO1230" i="1"/>
  <c r="AW1230" i="1" s="1"/>
  <c r="AP1230" i="1"/>
  <c r="AX1230" i="1"/>
  <c r="BD1230" i="1"/>
  <c r="BF1230" i="1"/>
  <c r="BH1230" i="1"/>
  <c r="AD1230" i="1" s="1"/>
  <c r="BI1230" i="1"/>
  <c r="AE1230" i="1" s="1"/>
  <c r="BJ1230" i="1"/>
  <c r="K1231" i="1"/>
  <c r="Z1231" i="1"/>
  <c r="AB1231" i="1"/>
  <c r="AC1231" i="1"/>
  <c r="AF1231" i="1"/>
  <c r="AG1231" i="1"/>
  <c r="AH1231" i="1"/>
  <c r="AJ1231" i="1"/>
  <c r="AK1231" i="1"/>
  <c r="AL1231" i="1"/>
  <c r="AO1231" i="1"/>
  <c r="AP1231" i="1"/>
  <c r="AX1231" i="1" s="1"/>
  <c r="AW1231" i="1"/>
  <c r="BD1231" i="1"/>
  <c r="BF1231" i="1"/>
  <c r="BH1231" i="1"/>
  <c r="AD1231" i="1" s="1"/>
  <c r="BI1231" i="1"/>
  <c r="AE1231" i="1" s="1"/>
  <c r="BJ1231" i="1"/>
  <c r="K1232" i="1"/>
  <c r="Z1232" i="1"/>
  <c r="AB1232" i="1"/>
  <c r="AC1232" i="1"/>
  <c r="AF1232" i="1"/>
  <c r="AG1232" i="1"/>
  <c r="AH1232" i="1"/>
  <c r="AJ1232" i="1"/>
  <c r="AK1232" i="1"/>
  <c r="AL1232" i="1"/>
  <c r="AO1232" i="1"/>
  <c r="AP1232" i="1"/>
  <c r="AV1232" i="1"/>
  <c r="AW1232" i="1"/>
  <c r="BC1232" i="1" s="1"/>
  <c r="AX1232" i="1"/>
  <c r="BD1232" i="1"/>
  <c r="BF1232" i="1"/>
  <c r="BH1232" i="1"/>
  <c r="AD1232" i="1" s="1"/>
  <c r="BI1232" i="1"/>
  <c r="AE1232" i="1" s="1"/>
  <c r="BJ1232" i="1"/>
  <c r="K1233" i="1"/>
  <c r="Z1233" i="1"/>
  <c r="AB1233" i="1"/>
  <c r="AC1233" i="1"/>
  <c r="AF1233" i="1"/>
  <c r="AG1233" i="1"/>
  <c r="AH1233" i="1"/>
  <c r="AJ1233" i="1"/>
  <c r="AK1233" i="1"/>
  <c r="AL1233" i="1"/>
  <c r="AO1233" i="1"/>
  <c r="AP1233" i="1"/>
  <c r="AW1233" i="1"/>
  <c r="AX1233" i="1"/>
  <c r="BD1233" i="1"/>
  <c r="BF1233" i="1"/>
  <c r="BH1233" i="1"/>
  <c r="AD1233" i="1" s="1"/>
  <c r="BI1233" i="1"/>
  <c r="AE1233" i="1" s="1"/>
  <c r="BJ1233" i="1"/>
  <c r="K1234" i="1"/>
  <c r="AL1234" i="1" s="1"/>
  <c r="Z1234" i="1"/>
  <c r="AB1234" i="1"/>
  <c r="AC1234" i="1"/>
  <c r="AF1234" i="1"/>
  <c r="AG1234" i="1"/>
  <c r="AH1234" i="1"/>
  <c r="AJ1234" i="1"/>
  <c r="AK1234" i="1"/>
  <c r="AO1234" i="1"/>
  <c r="AW1234" i="1" s="1"/>
  <c r="AP1234" i="1"/>
  <c r="AX1234" i="1"/>
  <c r="BD1234" i="1"/>
  <c r="BF1234" i="1"/>
  <c r="BH1234" i="1"/>
  <c r="AD1234" i="1" s="1"/>
  <c r="BI1234" i="1"/>
  <c r="AE1234" i="1" s="1"/>
  <c r="BJ1234" i="1"/>
  <c r="K1235" i="1"/>
  <c r="Z1235" i="1"/>
  <c r="AB1235" i="1"/>
  <c r="AC1235" i="1"/>
  <c r="AF1235" i="1"/>
  <c r="AG1235" i="1"/>
  <c r="AH1235" i="1"/>
  <c r="AJ1235" i="1"/>
  <c r="AK1235" i="1"/>
  <c r="AL1235" i="1"/>
  <c r="AO1235" i="1"/>
  <c r="AP1235" i="1"/>
  <c r="AX1235" i="1" s="1"/>
  <c r="AV1235" i="1" s="1"/>
  <c r="AW1235" i="1"/>
  <c r="BC1235" i="1"/>
  <c r="BD1235" i="1"/>
  <c r="BF1235" i="1"/>
  <c r="BH1235" i="1"/>
  <c r="AD1235" i="1" s="1"/>
  <c r="BI1235" i="1"/>
  <c r="AE1235" i="1" s="1"/>
  <c r="BJ1235" i="1"/>
  <c r="K1236" i="1"/>
  <c r="Z1236" i="1"/>
  <c r="AB1236" i="1"/>
  <c r="AC1236" i="1"/>
  <c r="AF1236" i="1"/>
  <c r="AG1236" i="1"/>
  <c r="AH1236" i="1"/>
  <c r="AJ1236" i="1"/>
  <c r="AK1236" i="1"/>
  <c r="AL1236" i="1"/>
  <c r="AO1236" i="1"/>
  <c r="AP1236" i="1"/>
  <c r="AV1236" i="1"/>
  <c r="AW1236" i="1"/>
  <c r="BC1236" i="1" s="1"/>
  <c r="AX1236" i="1"/>
  <c r="BD1236" i="1"/>
  <c r="BF1236" i="1"/>
  <c r="BH1236" i="1"/>
  <c r="AD1236" i="1" s="1"/>
  <c r="BI1236" i="1"/>
  <c r="AE1236" i="1" s="1"/>
  <c r="BJ1236" i="1"/>
  <c r="K1237" i="1"/>
  <c r="Z1237" i="1"/>
  <c r="AB1237" i="1"/>
  <c r="AC1237" i="1"/>
  <c r="AF1237" i="1"/>
  <c r="AG1237" i="1"/>
  <c r="AH1237" i="1"/>
  <c r="AJ1237" i="1"/>
  <c r="AK1237" i="1"/>
  <c r="AL1237" i="1"/>
  <c r="AO1237" i="1"/>
  <c r="AP1237" i="1"/>
  <c r="AW1237" i="1"/>
  <c r="AX1237" i="1"/>
  <c r="BD1237" i="1"/>
  <c r="BF1237" i="1"/>
  <c r="BH1237" i="1"/>
  <c r="AD1237" i="1" s="1"/>
  <c r="BI1237" i="1"/>
  <c r="AE1237" i="1" s="1"/>
  <c r="BJ1237" i="1"/>
  <c r="K1238" i="1"/>
  <c r="AL1238" i="1" s="1"/>
  <c r="Z1238" i="1"/>
  <c r="AB1238" i="1"/>
  <c r="AC1238" i="1"/>
  <c r="AF1238" i="1"/>
  <c r="AG1238" i="1"/>
  <c r="AH1238" i="1"/>
  <c r="AJ1238" i="1"/>
  <c r="AK1238" i="1"/>
  <c r="AO1238" i="1"/>
  <c r="AW1238" i="1" s="1"/>
  <c r="AP1238" i="1"/>
  <c r="AX1238" i="1"/>
  <c r="BD1238" i="1"/>
  <c r="BF1238" i="1"/>
  <c r="BI1238" i="1"/>
  <c r="AE1238" i="1" s="1"/>
  <c r="BJ1238" i="1"/>
  <c r="AS1239" i="1"/>
  <c r="K1240" i="1"/>
  <c r="Z1240" i="1"/>
  <c r="AB1240" i="1"/>
  <c r="AC1240" i="1"/>
  <c r="AF1240" i="1"/>
  <c r="AG1240" i="1"/>
  <c r="AH1240" i="1"/>
  <c r="AJ1240" i="1"/>
  <c r="AK1240" i="1"/>
  <c r="AL1240" i="1"/>
  <c r="AO1240" i="1"/>
  <c r="AP1240" i="1"/>
  <c r="AX1240" i="1" s="1"/>
  <c r="AV1240" i="1" s="1"/>
  <c r="AW1240" i="1"/>
  <c r="BD1240" i="1"/>
  <c r="BF1240" i="1"/>
  <c r="BH1240" i="1"/>
  <c r="AD1240" i="1" s="1"/>
  <c r="BJ1240" i="1"/>
  <c r="K1241" i="1"/>
  <c r="Z1241" i="1"/>
  <c r="AB1241" i="1"/>
  <c r="AC1241" i="1"/>
  <c r="AF1241" i="1"/>
  <c r="AG1241" i="1"/>
  <c r="AH1241" i="1"/>
  <c r="AJ1241" i="1"/>
  <c r="AK1241" i="1"/>
  <c r="AL1241" i="1"/>
  <c r="AO1241" i="1"/>
  <c r="AP1241" i="1"/>
  <c r="AV1241" i="1"/>
  <c r="AW1241" i="1"/>
  <c r="BC1241" i="1" s="1"/>
  <c r="AX1241" i="1"/>
  <c r="BD1241" i="1"/>
  <c r="BF1241" i="1"/>
  <c r="BH1241" i="1"/>
  <c r="AD1241" i="1" s="1"/>
  <c r="BI1241" i="1"/>
  <c r="AE1241" i="1" s="1"/>
  <c r="BJ1241" i="1"/>
  <c r="K1242" i="1"/>
  <c r="Z1242" i="1"/>
  <c r="AB1242" i="1"/>
  <c r="AC1242" i="1"/>
  <c r="AF1242" i="1"/>
  <c r="AG1242" i="1"/>
  <c r="AH1242" i="1"/>
  <c r="AJ1242" i="1"/>
  <c r="AK1242" i="1"/>
  <c r="AL1242" i="1"/>
  <c r="AO1242" i="1"/>
  <c r="AP1242" i="1"/>
  <c r="AW1242" i="1"/>
  <c r="AX1242" i="1"/>
  <c r="BD1242" i="1"/>
  <c r="BF1242" i="1"/>
  <c r="BH1242" i="1"/>
  <c r="AD1242" i="1" s="1"/>
  <c r="BI1242" i="1"/>
  <c r="AE1242" i="1" s="1"/>
  <c r="BJ1242" i="1"/>
  <c r="K1243" i="1"/>
  <c r="AL1243" i="1" s="1"/>
  <c r="Z1243" i="1"/>
  <c r="AB1243" i="1"/>
  <c r="AC1243" i="1"/>
  <c r="AF1243" i="1"/>
  <c r="AG1243" i="1"/>
  <c r="AH1243" i="1"/>
  <c r="AJ1243" i="1"/>
  <c r="AK1243" i="1"/>
  <c r="AO1243" i="1"/>
  <c r="AW1243" i="1" s="1"/>
  <c r="AP1243" i="1"/>
  <c r="AX1243" i="1"/>
  <c r="BD1243" i="1"/>
  <c r="BF1243" i="1"/>
  <c r="BI1243" i="1"/>
  <c r="AE1243" i="1" s="1"/>
  <c r="BJ1243" i="1"/>
  <c r="K1244" i="1"/>
  <c r="Z1244" i="1"/>
  <c r="AB1244" i="1"/>
  <c r="AC1244" i="1"/>
  <c r="AF1244" i="1"/>
  <c r="AG1244" i="1"/>
  <c r="AH1244" i="1"/>
  <c r="AJ1244" i="1"/>
  <c r="AK1244" i="1"/>
  <c r="AL1244" i="1"/>
  <c r="AO1244" i="1"/>
  <c r="AP1244" i="1"/>
  <c r="AX1244" i="1" s="1"/>
  <c r="AV1244" i="1" s="1"/>
  <c r="AW1244" i="1"/>
  <c r="BC1244" i="1"/>
  <c r="BD1244" i="1"/>
  <c r="BF1244" i="1"/>
  <c r="BH1244" i="1"/>
  <c r="AD1244" i="1" s="1"/>
  <c r="BI1244" i="1"/>
  <c r="AE1244" i="1" s="1"/>
  <c r="BJ1244" i="1"/>
  <c r="K1245" i="1"/>
  <c r="Z1245" i="1"/>
  <c r="AB1245" i="1"/>
  <c r="AC1245" i="1"/>
  <c r="AF1245" i="1"/>
  <c r="AG1245" i="1"/>
  <c r="AH1245" i="1"/>
  <c r="AJ1245" i="1"/>
  <c r="AK1245" i="1"/>
  <c r="AL1245" i="1"/>
  <c r="AO1245" i="1"/>
  <c r="AP1245" i="1"/>
  <c r="AV1245" i="1"/>
  <c r="AW1245" i="1"/>
  <c r="BC1245" i="1" s="1"/>
  <c r="AX1245" i="1"/>
  <c r="BD1245" i="1"/>
  <c r="BF1245" i="1"/>
  <c r="BH1245" i="1"/>
  <c r="AD1245" i="1" s="1"/>
  <c r="BI1245" i="1"/>
  <c r="AE1245" i="1" s="1"/>
  <c r="BJ1245" i="1"/>
  <c r="K1246" i="1"/>
  <c r="Z1246" i="1"/>
  <c r="AB1246" i="1"/>
  <c r="AC1246" i="1"/>
  <c r="AF1246" i="1"/>
  <c r="AG1246" i="1"/>
  <c r="AH1246" i="1"/>
  <c r="AJ1246" i="1"/>
  <c r="AK1246" i="1"/>
  <c r="AL1246" i="1"/>
  <c r="AO1246" i="1"/>
  <c r="AW1246" i="1" s="1"/>
  <c r="AP1246" i="1"/>
  <c r="AX1246" i="1"/>
  <c r="BD1246" i="1"/>
  <c r="BF1246" i="1"/>
  <c r="BI1246" i="1"/>
  <c r="AE1246" i="1" s="1"/>
  <c r="BJ1246" i="1"/>
  <c r="K1247" i="1"/>
  <c r="AL1247" i="1" s="1"/>
  <c r="Z1247" i="1"/>
  <c r="AB1247" i="1"/>
  <c r="AC1247" i="1"/>
  <c r="AF1247" i="1"/>
  <c r="AG1247" i="1"/>
  <c r="AH1247" i="1"/>
  <c r="AJ1247" i="1"/>
  <c r="AK1247" i="1"/>
  <c r="AO1247" i="1"/>
  <c r="AW1247" i="1" s="1"/>
  <c r="AP1247" i="1"/>
  <c r="AX1247" i="1" s="1"/>
  <c r="BC1247" i="1" s="1"/>
  <c r="BD1247" i="1"/>
  <c r="BF1247" i="1"/>
  <c r="BI1247" i="1"/>
  <c r="AE1247" i="1" s="1"/>
  <c r="BJ1247" i="1"/>
  <c r="K1248" i="1"/>
  <c r="Z1248" i="1"/>
  <c r="AB1248" i="1"/>
  <c r="AC1248" i="1"/>
  <c r="AF1248" i="1"/>
  <c r="AG1248" i="1"/>
  <c r="AH1248" i="1"/>
  <c r="AJ1248" i="1"/>
  <c r="AK1248" i="1"/>
  <c r="AL1248" i="1"/>
  <c r="AO1248" i="1"/>
  <c r="AP1248" i="1"/>
  <c r="AX1248" i="1" s="1"/>
  <c r="BC1248" i="1" s="1"/>
  <c r="AW1248" i="1"/>
  <c r="BD1248" i="1"/>
  <c r="BF1248" i="1"/>
  <c r="BH1248" i="1"/>
  <c r="AD1248" i="1" s="1"/>
  <c r="BJ1248" i="1"/>
  <c r="K1249" i="1"/>
  <c r="Z1249" i="1"/>
  <c r="AB1249" i="1"/>
  <c r="AC1249" i="1"/>
  <c r="AF1249" i="1"/>
  <c r="AG1249" i="1"/>
  <c r="AH1249" i="1"/>
  <c r="AJ1249" i="1"/>
  <c r="AK1249" i="1"/>
  <c r="AL1249" i="1"/>
  <c r="AO1249" i="1"/>
  <c r="AP1249" i="1"/>
  <c r="AX1249" i="1" s="1"/>
  <c r="AW1249" i="1"/>
  <c r="BD1249" i="1"/>
  <c r="BF1249" i="1"/>
  <c r="BH1249" i="1"/>
  <c r="AD1249" i="1" s="1"/>
  <c r="BI1249" i="1"/>
  <c r="AE1249" i="1" s="1"/>
  <c r="BJ1249" i="1"/>
  <c r="K1250" i="1"/>
  <c r="AL1250" i="1" s="1"/>
  <c r="Z1250" i="1"/>
  <c r="AB1250" i="1"/>
  <c r="AC1250" i="1"/>
  <c r="AF1250" i="1"/>
  <c r="AG1250" i="1"/>
  <c r="AH1250" i="1"/>
  <c r="AJ1250" i="1"/>
  <c r="AK1250" i="1"/>
  <c r="AO1250" i="1"/>
  <c r="AW1250" i="1" s="1"/>
  <c r="AP1250" i="1"/>
  <c r="AX1250" i="1"/>
  <c r="BD1250" i="1"/>
  <c r="BF1250" i="1"/>
  <c r="BH1250" i="1"/>
  <c r="AD1250" i="1" s="1"/>
  <c r="BI1250" i="1"/>
  <c r="AE1250" i="1" s="1"/>
  <c r="BJ1250" i="1"/>
  <c r="K1252" i="1"/>
  <c r="K1251" i="1" s="1"/>
  <c r="G74" i="2" s="1"/>
  <c r="I74" i="2" s="1"/>
  <c r="Z1252" i="1"/>
  <c r="AB1252" i="1"/>
  <c r="AC1252" i="1"/>
  <c r="AF1252" i="1"/>
  <c r="AG1252" i="1"/>
  <c r="AH1252" i="1"/>
  <c r="AJ1252" i="1"/>
  <c r="AS1251" i="1" s="1"/>
  <c r="AK1252" i="1"/>
  <c r="AT1251" i="1" s="1"/>
  <c r="AL1252" i="1"/>
  <c r="AO1252" i="1"/>
  <c r="AP1252" i="1"/>
  <c r="AX1252" i="1" s="1"/>
  <c r="BC1252" i="1" s="1"/>
  <c r="AW1252" i="1"/>
  <c r="AV1252" i="1" s="1"/>
  <c r="BD1252" i="1"/>
  <c r="BF1252" i="1"/>
  <c r="BH1252" i="1"/>
  <c r="AD1252" i="1" s="1"/>
  <c r="BI1252" i="1"/>
  <c r="AE1252" i="1" s="1"/>
  <c r="BJ1252" i="1"/>
  <c r="K1253" i="1"/>
  <c r="AL1253" i="1" s="1"/>
  <c r="Z1253" i="1"/>
  <c r="AB1253" i="1"/>
  <c r="AC1253" i="1"/>
  <c r="AF1253" i="1"/>
  <c r="AG1253" i="1"/>
  <c r="AH1253" i="1"/>
  <c r="AJ1253" i="1"/>
  <c r="AK1253" i="1"/>
  <c r="AO1253" i="1"/>
  <c r="AW1253" i="1" s="1"/>
  <c r="AP1253" i="1"/>
  <c r="AX1253" i="1"/>
  <c r="BD1253" i="1"/>
  <c r="BF1253" i="1"/>
  <c r="BH1253" i="1"/>
  <c r="AD1253" i="1" s="1"/>
  <c r="BI1253" i="1"/>
  <c r="AE1253" i="1" s="1"/>
  <c r="BJ1253" i="1"/>
  <c r="K1254" i="1"/>
  <c r="Z1254" i="1"/>
  <c r="AB1254" i="1"/>
  <c r="AC1254" i="1"/>
  <c r="AF1254" i="1"/>
  <c r="AG1254" i="1"/>
  <c r="AH1254" i="1"/>
  <c r="AJ1254" i="1"/>
  <c r="AK1254" i="1"/>
  <c r="AL1254" i="1"/>
  <c r="AO1254" i="1"/>
  <c r="AP1254" i="1"/>
  <c r="AX1254" i="1" s="1"/>
  <c r="AW1254" i="1"/>
  <c r="BD1254" i="1"/>
  <c r="BF1254" i="1"/>
  <c r="BH1254" i="1"/>
  <c r="AD1254" i="1" s="1"/>
  <c r="BI1254" i="1"/>
  <c r="AE1254" i="1" s="1"/>
  <c r="BJ1254" i="1"/>
  <c r="K1257" i="1"/>
  <c r="K1256" i="1" s="1"/>
  <c r="Z1257" i="1"/>
  <c r="AB1257" i="1"/>
  <c r="AC1257" i="1"/>
  <c r="AF1257" i="1"/>
  <c r="AG1257" i="1"/>
  <c r="AH1257" i="1"/>
  <c r="AJ1257" i="1"/>
  <c r="AS1256" i="1" s="1"/>
  <c r="AK1257" i="1"/>
  <c r="AT1256" i="1" s="1"/>
  <c r="AL1257" i="1"/>
  <c r="AO1257" i="1"/>
  <c r="AP1257" i="1"/>
  <c r="AX1257" i="1" s="1"/>
  <c r="AW1257" i="1"/>
  <c r="BD1257" i="1"/>
  <c r="BF1257" i="1"/>
  <c r="BH1257" i="1"/>
  <c r="AD1257" i="1" s="1"/>
  <c r="BI1257" i="1"/>
  <c r="AE1257" i="1" s="1"/>
  <c r="BJ1257" i="1"/>
  <c r="K1258" i="1"/>
  <c r="AL1258" i="1" s="1"/>
  <c r="Z1258" i="1"/>
  <c r="AB1258" i="1"/>
  <c r="AC1258" i="1"/>
  <c r="AF1258" i="1"/>
  <c r="AG1258" i="1"/>
  <c r="AH1258" i="1"/>
  <c r="AJ1258" i="1"/>
  <c r="AK1258" i="1"/>
  <c r="AO1258" i="1"/>
  <c r="AW1258" i="1" s="1"/>
  <c r="AP1258" i="1"/>
  <c r="AX1258" i="1"/>
  <c r="BD1258" i="1"/>
  <c r="BF1258" i="1"/>
  <c r="BH1258" i="1"/>
  <c r="AD1258" i="1" s="1"/>
  <c r="BI1258" i="1"/>
  <c r="AE1258" i="1" s="1"/>
  <c r="BJ1258" i="1"/>
  <c r="K1259" i="1"/>
  <c r="Z1259" i="1"/>
  <c r="AB1259" i="1"/>
  <c r="AC1259" i="1"/>
  <c r="AF1259" i="1"/>
  <c r="AG1259" i="1"/>
  <c r="AH1259" i="1"/>
  <c r="AJ1259" i="1"/>
  <c r="AK1259" i="1"/>
  <c r="AL1259" i="1"/>
  <c r="AO1259" i="1"/>
  <c r="AP1259" i="1"/>
  <c r="AX1259" i="1" s="1"/>
  <c r="BC1259" i="1" s="1"/>
  <c r="AW1259" i="1"/>
  <c r="AV1259" i="1" s="1"/>
  <c r="BD1259" i="1"/>
  <c r="BF1259" i="1"/>
  <c r="BH1259" i="1"/>
  <c r="AD1259" i="1" s="1"/>
  <c r="BI1259" i="1"/>
  <c r="AE1259" i="1" s="1"/>
  <c r="BJ1259" i="1"/>
  <c r="K1260" i="1"/>
  <c r="AL1260" i="1" s="1"/>
  <c r="Z1260" i="1"/>
  <c r="AB1260" i="1"/>
  <c r="AC1260" i="1"/>
  <c r="AF1260" i="1"/>
  <c r="AG1260" i="1"/>
  <c r="AH1260" i="1"/>
  <c r="AJ1260" i="1"/>
  <c r="AK1260" i="1"/>
  <c r="AO1260" i="1"/>
  <c r="AW1260" i="1" s="1"/>
  <c r="AP1260" i="1"/>
  <c r="AX1260" i="1"/>
  <c r="BD1260" i="1"/>
  <c r="BF1260" i="1"/>
  <c r="BH1260" i="1"/>
  <c r="AD1260" i="1" s="1"/>
  <c r="BI1260" i="1"/>
  <c r="AE1260" i="1" s="1"/>
  <c r="BJ1260" i="1"/>
  <c r="K1261" i="1"/>
  <c r="Z1261" i="1"/>
  <c r="AB1261" i="1"/>
  <c r="AC1261" i="1"/>
  <c r="AF1261" i="1"/>
  <c r="AG1261" i="1"/>
  <c r="AH1261" i="1"/>
  <c r="AJ1261" i="1"/>
  <c r="AK1261" i="1"/>
  <c r="AL1261" i="1"/>
  <c r="AO1261" i="1"/>
  <c r="AP1261" i="1"/>
  <c r="AX1261" i="1" s="1"/>
  <c r="AW1261" i="1"/>
  <c r="BD1261" i="1"/>
  <c r="BF1261" i="1"/>
  <c r="BH1261" i="1"/>
  <c r="AD1261" i="1" s="1"/>
  <c r="BI1261" i="1"/>
  <c r="AE1261" i="1" s="1"/>
  <c r="BJ1261" i="1"/>
  <c r="K1262" i="1"/>
  <c r="AL1262" i="1" s="1"/>
  <c r="Z1262" i="1"/>
  <c r="AB1262" i="1"/>
  <c r="AC1262" i="1"/>
  <c r="AF1262" i="1"/>
  <c r="AG1262" i="1"/>
  <c r="AH1262" i="1"/>
  <c r="AJ1262" i="1"/>
  <c r="AK1262" i="1"/>
  <c r="AO1262" i="1"/>
  <c r="AW1262" i="1" s="1"/>
  <c r="AP1262" i="1"/>
  <c r="AX1262" i="1"/>
  <c r="BD1262" i="1"/>
  <c r="BF1262" i="1"/>
  <c r="BH1262" i="1"/>
  <c r="AD1262" i="1" s="1"/>
  <c r="BI1262" i="1"/>
  <c r="AE1262" i="1" s="1"/>
  <c r="BJ1262" i="1"/>
  <c r="K1263" i="1"/>
  <c r="Z1263" i="1"/>
  <c r="AB1263" i="1"/>
  <c r="AC1263" i="1"/>
  <c r="AF1263" i="1"/>
  <c r="AG1263" i="1"/>
  <c r="AH1263" i="1"/>
  <c r="AJ1263" i="1"/>
  <c r="AK1263" i="1"/>
  <c r="AL1263" i="1"/>
  <c r="AO1263" i="1"/>
  <c r="AP1263" i="1"/>
  <c r="BI1263" i="1" s="1"/>
  <c r="AE1263" i="1" s="1"/>
  <c r="AW1263" i="1"/>
  <c r="BD1263" i="1"/>
  <c r="BF1263" i="1"/>
  <c r="BH1263" i="1"/>
  <c r="AD1263" i="1" s="1"/>
  <c r="BJ1263" i="1"/>
  <c r="K1264" i="1"/>
  <c r="AL1264" i="1" s="1"/>
  <c r="Z1264" i="1"/>
  <c r="AB1264" i="1"/>
  <c r="AC1264" i="1"/>
  <c r="AF1264" i="1"/>
  <c r="AG1264" i="1"/>
  <c r="AH1264" i="1"/>
  <c r="AJ1264" i="1"/>
  <c r="AK1264" i="1"/>
  <c r="AO1264" i="1"/>
  <c r="AW1264" i="1" s="1"/>
  <c r="AP1264" i="1"/>
  <c r="AX1264" i="1"/>
  <c r="BD1264" i="1"/>
  <c r="BF1264" i="1"/>
  <c r="BH1264" i="1"/>
  <c r="AD1264" i="1" s="1"/>
  <c r="BI1264" i="1"/>
  <c r="AE1264" i="1" s="1"/>
  <c r="BJ1264" i="1"/>
  <c r="K1265" i="1"/>
  <c r="Z1265" i="1"/>
  <c r="AB1265" i="1"/>
  <c r="AC1265" i="1"/>
  <c r="AF1265" i="1"/>
  <c r="AG1265" i="1"/>
  <c r="AH1265" i="1"/>
  <c r="AJ1265" i="1"/>
  <c r="AK1265" i="1"/>
  <c r="AL1265" i="1"/>
  <c r="AO1265" i="1"/>
  <c r="AP1265" i="1"/>
  <c r="AX1265" i="1" s="1"/>
  <c r="AW1265" i="1"/>
  <c r="BC1265" i="1" s="1"/>
  <c r="BD1265" i="1"/>
  <c r="BF1265" i="1"/>
  <c r="BH1265" i="1"/>
  <c r="AD1265" i="1" s="1"/>
  <c r="BI1265" i="1"/>
  <c r="AE1265" i="1" s="1"/>
  <c r="BJ1265" i="1"/>
  <c r="K1266" i="1"/>
  <c r="AL1266" i="1" s="1"/>
  <c r="Z1266" i="1"/>
  <c r="AB1266" i="1"/>
  <c r="AC1266" i="1"/>
  <c r="AF1266" i="1"/>
  <c r="AG1266" i="1"/>
  <c r="AH1266" i="1"/>
  <c r="AJ1266" i="1"/>
  <c r="AK1266" i="1"/>
  <c r="AO1266" i="1"/>
  <c r="AW1266" i="1" s="1"/>
  <c r="AP1266" i="1"/>
  <c r="AX1266" i="1"/>
  <c r="BD1266" i="1"/>
  <c r="BF1266" i="1"/>
  <c r="BH1266" i="1"/>
  <c r="AD1266" i="1" s="1"/>
  <c r="BI1266" i="1"/>
  <c r="AE1266" i="1" s="1"/>
  <c r="BJ1266" i="1"/>
  <c r="K1267" i="1"/>
  <c r="Z1267" i="1"/>
  <c r="AB1267" i="1"/>
  <c r="AC1267" i="1"/>
  <c r="AF1267" i="1"/>
  <c r="AG1267" i="1"/>
  <c r="AH1267" i="1"/>
  <c r="AJ1267" i="1"/>
  <c r="AK1267" i="1"/>
  <c r="AL1267" i="1"/>
  <c r="AO1267" i="1"/>
  <c r="AP1267" i="1"/>
  <c r="AX1267" i="1" s="1"/>
  <c r="BC1267" i="1" s="1"/>
  <c r="AW1267" i="1"/>
  <c r="BD1267" i="1"/>
  <c r="BF1267" i="1"/>
  <c r="BH1267" i="1"/>
  <c r="AD1267" i="1" s="1"/>
  <c r="BI1267" i="1"/>
  <c r="AE1267" i="1" s="1"/>
  <c r="BJ1267" i="1"/>
  <c r="K1268" i="1"/>
  <c r="AL1268" i="1" s="1"/>
  <c r="Z1268" i="1"/>
  <c r="AB1268" i="1"/>
  <c r="AC1268" i="1"/>
  <c r="AF1268" i="1"/>
  <c r="AG1268" i="1"/>
  <c r="AH1268" i="1"/>
  <c r="AJ1268" i="1"/>
  <c r="AK1268" i="1"/>
  <c r="AO1268" i="1"/>
  <c r="AW1268" i="1" s="1"/>
  <c r="AP1268" i="1"/>
  <c r="AX1268" i="1"/>
  <c r="BD1268" i="1"/>
  <c r="BF1268" i="1"/>
  <c r="BH1268" i="1"/>
  <c r="AD1268" i="1" s="1"/>
  <c r="BI1268" i="1"/>
  <c r="AE1268" i="1" s="1"/>
  <c r="BJ1268" i="1"/>
  <c r="K1269" i="1"/>
  <c r="Z1269" i="1"/>
  <c r="AB1269" i="1"/>
  <c r="AC1269" i="1"/>
  <c r="AF1269" i="1"/>
  <c r="AG1269" i="1"/>
  <c r="AH1269" i="1"/>
  <c r="AJ1269" i="1"/>
  <c r="AK1269" i="1"/>
  <c r="AL1269" i="1"/>
  <c r="AO1269" i="1"/>
  <c r="AP1269" i="1"/>
  <c r="AX1269" i="1" s="1"/>
  <c r="AW1269" i="1"/>
  <c r="BC1269" i="1" s="1"/>
  <c r="BD1269" i="1"/>
  <c r="BF1269" i="1"/>
  <c r="BH1269" i="1"/>
  <c r="AD1269" i="1" s="1"/>
  <c r="BI1269" i="1"/>
  <c r="AE1269" i="1" s="1"/>
  <c r="BJ1269" i="1"/>
  <c r="K1270" i="1"/>
  <c r="AL1270" i="1" s="1"/>
  <c r="Z1270" i="1"/>
  <c r="AB1270" i="1"/>
  <c r="AC1270" i="1"/>
  <c r="AF1270" i="1"/>
  <c r="AG1270" i="1"/>
  <c r="AH1270" i="1"/>
  <c r="AJ1270" i="1"/>
  <c r="AK1270" i="1"/>
  <c r="AO1270" i="1"/>
  <c r="AW1270" i="1" s="1"/>
  <c r="AP1270" i="1"/>
  <c r="AX1270" i="1"/>
  <c r="BD1270" i="1"/>
  <c r="BF1270" i="1"/>
  <c r="BH1270" i="1"/>
  <c r="AD1270" i="1" s="1"/>
  <c r="BI1270" i="1"/>
  <c r="AE1270" i="1" s="1"/>
  <c r="BJ1270" i="1"/>
  <c r="K1271" i="1"/>
  <c r="Z1271" i="1"/>
  <c r="AB1271" i="1"/>
  <c r="AC1271" i="1"/>
  <c r="AF1271" i="1"/>
  <c r="AG1271" i="1"/>
  <c r="AH1271" i="1"/>
  <c r="AJ1271" i="1"/>
  <c r="AK1271" i="1"/>
  <c r="AL1271" i="1"/>
  <c r="AO1271" i="1"/>
  <c r="AP1271" i="1"/>
  <c r="AX1271" i="1" s="1"/>
  <c r="BC1271" i="1" s="1"/>
  <c r="AW1271" i="1"/>
  <c r="BD1271" i="1"/>
  <c r="BF1271" i="1"/>
  <c r="BH1271" i="1"/>
  <c r="AD1271" i="1" s="1"/>
  <c r="BI1271" i="1"/>
  <c r="AE1271" i="1" s="1"/>
  <c r="BJ1271" i="1"/>
  <c r="K1272" i="1"/>
  <c r="AL1272" i="1" s="1"/>
  <c r="Z1272" i="1"/>
  <c r="AB1272" i="1"/>
  <c r="AC1272" i="1"/>
  <c r="AF1272" i="1"/>
  <c r="AG1272" i="1"/>
  <c r="AH1272" i="1"/>
  <c r="AJ1272" i="1"/>
  <c r="AK1272" i="1"/>
  <c r="AO1272" i="1"/>
  <c r="AW1272" i="1" s="1"/>
  <c r="AP1272" i="1"/>
  <c r="AX1272" i="1"/>
  <c r="BD1272" i="1"/>
  <c r="BF1272" i="1"/>
  <c r="BH1272" i="1"/>
  <c r="AD1272" i="1" s="1"/>
  <c r="BI1272" i="1"/>
  <c r="AE1272" i="1" s="1"/>
  <c r="BJ1272" i="1"/>
  <c r="K1273" i="1"/>
  <c r="Z1273" i="1"/>
  <c r="AB1273" i="1"/>
  <c r="AC1273" i="1"/>
  <c r="AF1273" i="1"/>
  <c r="AG1273" i="1"/>
  <c r="AH1273" i="1"/>
  <c r="AJ1273" i="1"/>
  <c r="AK1273" i="1"/>
  <c r="AL1273" i="1"/>
  <c r="AO1273" i="1"/>
  <c r="AP1273" i="1"/>
  <c r="AX1273" i="1" s="1"/>
  <c r="AW1273" i="1"/>
  <c r="BC1273" i="1" s="1"/>
  <c r="BD1273" i="1"/>
  <c r="BF1273" i="1"/>
  <c r="BH1273" i="1"/>
  <c r="AD1273" i="1" s="1"/>
  <c r="BI1273" i="1"/>
  <c r="AE1273" i="1" s="1"/>
  <c r="BJ1273" i="1"/>
  <c r="K1274" i="1"/>
  <c r="AL1274" i="1" s="1"/>
  <c r="Z1274" i="1"/>
  <c r="AB1274" i="1"/>
  <c r="AC1274" i="1"/>
  <c r="AF1274" i="1"/>
  <c r="AG1274" i="1"/>
  <c r="AH1274" i="1"/>
  <c r="AJ1274" i="1"/>
  <c r="AK1274" i="1"/>
  <c r="AO1274" i="1"/>
  <c r="AW1274" i="1" s="1"/>
  <c r="AP1274" i="1"/>
  <c r="AX1274" i="1"/>
  <c r="BD1274" i="1"/>
  <c r="BF1274" i="1"/>
  <c r="BH1274" i="1"/>
  <c r="AD1274" i="1" s="1"/>
  <c r="BI1274" i="1"/>
  <c r="AE1274" i="1" s="1"/>
  <c r="BJ1274" i="1"/>
  <c r="K1275" i="1"/>
  <c r="Z1275" i="1"/>
  <c r="AB1275" i="1"/>
  <c r="AC1275" i="1"/>
  <c r="AF1275" i="1"/>
  <c r="AG1275" i="1"/>
  <c r="AH1275" i="1"/>
  <c r="AJ1275" i="1"/>
  <c r="AK1275" i="1"/>
  <c r="AL1275" i="1"/>
  <c r="AO1275" i="1"/>
  <c r="AP1275" i="1"/>
  <c r="AX1275" i="1" s="1"/>
  <c r="BC1275" i="1" s="1"/>
  <c r="AW1275" i="1"/>
  <c r="BD1275" i="1"/>
  <c r="BF1275" i="1"/>
  <c r="BH1275" i="1"/>
  <c r="AD1275" i="1" s="1"/>
  <c r="BI1275" i="1"/>
  <c r="AE1275" i="1" s="1"/>
  <c r="BJ1275" i="1"/>
  <c r="K1276" i="1"/>
  <c r="AL1276" i="1" s="1"/>
  <c r="Z1276" i="1"/>
  <c r="AB1276" i="1"/>
  <c r="AC1276" i="1"/>
  <c r="AF1276" i="1"/>
  <c r="AG1276" i="1"/>
  <c r="AH1276" i="1"/>
  <c r="AJ1276" i="1"/>
  <c r="AK1276" i="1"/>
  <c r="AO1276" i="1"/>
  <c r="AW1276" i="1" s="1"/>
  <c r="AP1276" i="1"/>
  <c r="AX1276" i="1"/>
  <c r="BD1276" i="1"/>
  <c r="BF1276" i="1"/>
  <c r="BH1276" i="1"/>
  <c r="AD1276" i="1" s="1"/>
  <c r="BI1276" i="1"/>
  <c r="AE1276" i="1" s="1"/>
  <c r="BJ1276" i="1"/>
  <c r="K1277" i="1"/>
  <c r="Z1277" i="1"/>
  <c r="AB1277" i="1"/>
  <c r="AC1277" i="1"/>
  <c r="AF1277" i="1"/>
  <c r="AG1277" i="1"/>
  <c r="AH1277" i="1"/>
  <c r="AJ1277" i="1"/>
  <c r="AK1277" i="1"/>
  <c r="AL1277" i="1"/>
  <c r="AO1277" i="1"/>
  <c r="AP1277" i="1"/>
  <c r="AX1277" i="1" s="1"/>
  <c r="AW1277" i="1"/>
  <c r="BC1277" i="1" s="1"/>
  <c r="BD1277" i="1"/>
  <c r="BF1277" i="1"/>
  <c r="BH1277" i="1"/>
  <c r="AD1277" i="1" s="1"/>
  <c r="BI1277" i="1"/>
  <c r="AE1277" i="1" s="1"/>
  <c r="BJ1277" i="1"/>
  <c r="K1278" i="1"/>
  <c r="AL1278" i="1" s="1"/>
  <c r="Z1278" i="1"/>
  <c r="AB1278" i="1"/>
  <c r="AC1278" i="1"/>
  <c r="AF1278" i="1"/>
  <c r="AG1278" i="1"/>
  <c r="AH1278" i="1"/>
  <c r="AJ1278" i="1"/>
  <c r="AK1278" i="1"/>
  <c r="AO1278" i="1"/>
  <c r="AW1278" i="1" s="1"/>
  <c r="AP1278" i="1"/>
  <c r="AX1278" i="1"/>
  <c r="BD1278" i="1"/>
  <c r="BF1278" i="1"/>
  <c r="BH1278" i="1"/>
  <c r="AD1278" i="1" s="1"/>
  <c r="BI1278" i="1"/>
  <c r="AE1278" i="1" s="1"/>
  <c r="BJ1278" i="1"/>
  <c r="K1279" i="1"/>
  <c r="Z1279" i="1"/>
  <c r="AB1279" i="1"/>
  <c r="AC1279" i="1"/>
  <c r="AF1279" i="1"/>
  <c r="AG1279" i="1"/>
  <c r="AH1279" i="1"/>
  <c r="AJ1279" i="1"/>
  <c r="AK1279" i="1"/>
  <c r="AL1279" i="1"/>
  <c r="AO1279" i="1"/>
  <c r="AP1279" i="1"/>
  <c r="AX1279" i="1" s="1"/>
  <c r="BC1279" i="1" s="1"/>
  <c r="AW1279" i="1"/>
  <c r="BD1279" i="1"/>
  <c r="BF1279" i="1"/>
  <c r="BH1279" i="1"/>
  <c r="AD1279" i="1" s="1"/>
  <c r="BI1279" i="1"/>
  <c r="AE1279" i="1" s="1"/>
  <c r="BJ1279" i="1"/>
  <c r="K1280" i="1"/>
  <c r="AL1280" i="1" s="1"/>
  <c r="Z1280" i="1"/>
  <c r="AB1280" i="1"/>
  <c r="AC1280" i="1"/>
  <c r="AF1280" i="1"/>
  <c r="AG1280" i="1"/>
  <c r="AH1280" i="1"/>
  <c r="AJ1280" i="1"/>
  <c r="AK1280" i="1"/>
  <c r="AO1280" i="1"/>
  <c r="AW1280" i="1" s="1"/>
  <c r="AP1280" i="1"/>
  <c r="AX1280" i="1"/>
  <c r="BD1280" i="1"/>
  <c r="BF1280" i="1"/>
  <c r="BH1280" i="1"/>
  <c r="AD1280" i="1" s="1"/>
  <c r="BI1280" i="1"/>
  <c r="AE1280" i="1" s="1"/>
  <c r="BJ1280" i="1"/>
  <c r="K1281" i="1"/>
  <c r="Z1281" i="1"/>
  <c r="AB1281" i="1"/>
  <c r="AC1281" i="1"/>
  <c r="AF1281" i="1"/>
  <c r="AG1281" i="1"/>
  <c r="AH1281" i="1"/>
  <c r="AJ1281" i="1"/>
  <c r="AK1281" i="1"/>
  <c r="AL1281" i="1"/>
  <c r="AO1281" i="1"/>
  <c r="AP1281" i="1"/>
  <c r="AX1281" i="1" s="1"/>
  <c r="AW1281" i="1"/>
  <c r="BC1281" i="1" s="1"/>
  <c r="BD1281" i="1"/>
  <c r="BF1281" i="1"/>
  <c r="BH1281" i="1"/>
  <c r="AD1281" i="1" s="1"/>
  <c r="BI1281" i="1"/>
  <c r="AE1281" i="1" s="1"/>
  <c r="BJ1281" i="1"/>
  <c r="K1282" i="1"/>
  <c r="AL1282" i="1" s="1"/>
  <c r="Z1282" i="1"/>
  <c r="AB1282" i="1"/>
  <c r="AC1282" i="1"/>
  <c r="AF1282" i="1"/>
  <c r="AG1282" i="1"/>
  <c r="AH1282" i="1"/>
  <c r="AJ1282" i="1"/>
  <c r="AK1282" i="1"/>
  <c r="AO1282" i="1"/>
  <c r="AW1282" i="1" s="1"/>
  <c r="AP1282" i="1"/>
  <c r="AX1282" i="1"/>
  <c r="BD1282" i="1"/>
  <c r="BF1282" i="1"/>
  <c r="BH1282" i="1"/>
  <c r="AD1282" i="1" s="1"/>
  <c r="BI1282" i="1"/>
  <c r="AE1282" i="1" s="1"/>
  <c r="BJ1282" i="1"/>
  <c r="K1283" i="1"/>
  <c r="Z1283" i="1"/>
  <c r="AB1283" i="1"/>
  <c r="AC1283" i="1"/>
  <c r="AF1283" i="1"/>
  <c r="AG1283" i="1"/>
  <c r="AH1283" i="1"/>
  <c r="AJ1283" i="1"/>
  <c r="AK1283" i="1"/>
  <c r="AL1283" i="1"/>
  <c r="AO1283" i="1"/>
  <c r="AP1283" i="1"/>
  <c r="AX1283" i="1" s="1"/>
  <c r="BC1283" i="1" s="1"/>
  <c r="AW1283" i="1"/>
  <c r="BD1283" i="1"/>
  <c r="BF1283" i="1"/>
  <c r="BH1283" i="1"/>
  <c r="AD1283" i="1" s="1"/>
  <c r="BI1283" i="1"/>
  <c r="AE1283" i="1" s="1"/>
  <c r="BJ1283" i="1"/>
  <c r="K1284" i="1"/>
  <c r="AL1284" i="1" s="1"/>
  <c r="Z1284" i="1"/>
  <c r="AB1284" i="1"/>
  <c r="AC1284" i="1"/>
  <c r="AF1284" i="1"/>
  <c r="AG1284" i="1"/>
  <c r="AH1284" i="1"/>
  <c r="AJ1284" i="1"/>
  <c r="AK1284" i="1"/>
  <c r="AO1284" i="1"/>
  <c r="AW1284" i="1" s="1"/>
  <c r="AP1284" i="1"/>
  <c r="AX1284" i="1"/>
  <c r="BD1284" i="1"/>
  <c r="BF1284" i="1"/>
  <c r="BH1284" i="1"/>
  <c r="AD1284" i="1" s="1"/>
  <c r="BI1284" i="1"/>
  <c r="AE1284" i="1" s="1"/>
  <c r="BJ1284" i="1"/>
  <c r="K1285" i="1"/>
  <c r="Z1285" i="1"/>
  <c r="AB1285" i="1"/>
  <c r="AC1285" i="1"/>
  <c r="AF1285" i="1"/>
  <c r="AG1285" i="1"/>
  <c r="AH1285" i="1"/>
  <c r="AJ1285" i="1"/>
  <c r="AK1285" i="1"/>
  <c r="AL1285" i="1"/>
  <c r="AO1285" i="1"/>
  <c r="AP1285" i="1"/>
  <c r="AX1285" i="1" s="1"/>
  <c r="AW1285" i="1"/>
  <c r="BC1285" i="1" s="1"/>
  <c r="BD1285" i="1"/>
  <c r="BF1285" i="1"/>
  <c r="BH1285" i="1"/>
  <c r="AD1285" i="1" s="1"/>
  <c r="BI1285" i="1"/>
  <c r="AE1285" i="1" s="1"/>
  <c r="BJ1285" i="1"/>
  <c r="K1286" i="1"/>
  <c r="AL1286" i="1" s="1"/>
  <c r="Z1286" i="1"/>
  <c r="AB1286" i="1"/>
  <c r="AC1286" i="1"/>
  <c r="AF1286" i="1"/>
  <c r="AG1286" i="1"/>
  <c r="AH1286" i="1"/>
  <c r="AJ1286" i="1"/>
  <c r="AK1286" i="1"/>
  <c r="AO1286" i="1"/>
  <c r="AW1286" i="1" s="1"/>
  <c r="AP1286" i="1"/>
  <c r="AX1286" i="1"/>
  <c r="BD1286" i="1"/>
  <c r="BF1286" i="1"/>
  <c r="BH1286" i="1"/>
  <c r="AD1286" i="1" s="1"/>
  <c r="BI1286" i="1"/>
  <c r="AE1286" i="1" s="1"/>
  <c r="BJ1286" i="1"/>
  <c r="K1287" i="1"/>
  <c r="Z1287" i="1"/>
  <c r="AB1287" i="1"/>
  <c r="AC1287" i="1"/>
  <c r="AF1287" i="1"/>
  <c r="AG1287" i="1"/>
  <c r="AH1287" i="1"/>
  <c r="AJ1287" i="1"/>
  <c r="AK1287" i="1"/>
  <c r="AL1287" i="1"/>
  <c r="AO1287" i="1"/>
  <c r="AP1287" i="1"/>
  <c r="AX1287" i="1" s="1"/>
  <c r="BC1287" i="1" s="1"/>
  <c r="AW1287" i="1"/>
  <c r="BD1287" i="1"/>
  <c r="BF1287" i="1"/>
  <c r="BH1287" i="1"/>
  <c r="AD1287" i="1" s="1"/>
  <c r="BI1287" i="1"/>
  <c r="AE1287" i="1" s="1"/>
  <c r="BJ1287" i="1"/>
  <c r="K1288" i="1"/>
  <c r="AL1288" i="1" s="1"/>
  <c r="Z1288" i="1"/>
  <c r="AB1288" i="1"/>
  <c r="AC1288" i="1"/>
  <c r="AF1288" i="1"/>
  <c r="AG1288" i="1"/>
  <c r="AH1288" i="1"/>
  <c r="AJ1288" i="1"/>
  <c r="AK1288" i="1"/>
  <c r="AO1288" i="1"/>
  <c r="AW1288" i="1" s="1"/>
  <c r="AP1288" i="1"/>
  <c r="AX1288" i="1"/>
  <c r="BD1288" i="1"/>
  <c r="BF1288" i="1"/>
  <c r="BH1288" i="1"/>
  <c r="AD1288" i="1" s="1"/>
  <c r="BI1288" i="1"/>
  <c r="AE1288" i="1" s="1"/>
  <c r="BJ1288" i="1"/>
  <c r="K1289" i="1"/>
  <c r="Z1289" i="1"/>
  <c r="AB1289" i="1"/>
  <c r="AC1289" i="1"/>
  <c r="AF1289" i="1"/>
  <c r="AG1289" i="1"/>
  <c r="AH1289" i="1"/>
  <c r="AJ1289" i="1"/>
  <c r="AK1289" i="1"/>
  <c r="AL1289" i="1"/>
  <c r="AO1289" i="1"/>
  <c r="AP1289" i="1"/>
  <c r="AX1289" i="1" s="1"/>
  <c r="AW1289" i="1"/>
  <c r="BC1289" i="1" s="1"/>
  <c r="BD1289" i="1"/>
  <c r="BF1289" i="1"/>
  <c r="BH1289" i="1"/>
  <c r="AD1289" i="1" s="1"/>
  <c r="BI1289" i="1"/>
  <c r="AE1289" i="1" s="1"/>
  <c r="BJ1289" i="1"/>
  <c r="K1290" i="1"/>
  <c r="AL1290" i="1" s="1"/>
  <c r="Z1290" i="1"/>
  <c r="AB1290" i="1"/>
  <c r="AC1290" i="1"/>
  <c r="AF1290" i="1"/>
  <c r="AG1290" i="1"/>
  <c r="AH1290" i="1"/>
  <c r="AJ1290" i="1"/>
  <c r="AK1290" i="1"/>
  <c r="AO1290" i="1"/>
  <c r="AW1290" i="1" s="1"/>
  <c r="AP1290" i="1"/>
  <c r="AX1290" i="1"/>
  <c r="BD1290" i="1"/>
  <c r="BF1290" i="1"/>
  <c r="BH1290" i="1"/>
  <c r="AD1290" i="1" s="1"/>
  <c r="BI1290" i="1"/>
  <c r="AE1290" i="1" s="1"/>
  <c r="BJ1290" i="1"/>
  <c r="K1291" i="1"/>
  <c r="Z1291" i="1"/>
  <c r="AB1291" i="1"/>
  <c r="AC1291" i="1"/>
  <c r="AF1291" i="1"/>
  <c r="AG1291" i="1"/>
  <c r="AH1291" i="1"/>
  <c r="AJ1291" i="1"/>
  <c r="AK1291" i="1"/>
  <c r="AL1291" i="1"/>
  <c r="AO1291" i="1"/>
  <c r="AP1291" i="1"/>
  <c r="AX1291" i="1" s="1"/>
  <c r="BC1291" i="1" s="1"/>
  <c r="AW1291" i="1"/>
  <c r="BD1291" i="1"/>
  <c r="BF1291" i="1"/>
  <c r="BH1291" i="1"/>
  <c r="AD1291" i="1" s="1"/>
  <c r="BI1291" i="1"/>
  <c r="AE1291" i="1" s="1"/>
  <c r="BJ1291" i="1"/>
  <c r="K1292" i="1"/>
  <c r="AL1292" i="1" s="1"/>
  <c r="Z1292" i="1"/>
  <c r="AB1292" i="1"/>
  <c r="AC1292" i="1"/>
  <c r="AF1292" i="1"/>
  <c r="AG1292" i="1"/>
  <c r="AH1292" i="1"/>
  <c r="AJ1292" i="1"/>
  <c r="AK1292" i="1"/>
  <c r="AO1292" i="1"/>
  <c r="AW1292" i="1" s="1"/>
  <c r="AP1292" i="1"/>
  <c r="AX1292" i="1"/>
  <c r="BD1292" i="1"/>
  <c r="BF1292" i="1"/>
  <c r="BH1292" i="1"/>
  <c r="AD1292" i="1" s="1"/>
  <c r="BI1292" i="1"/>
  <c r="AE1292" i="1" s="1"/>
  <c r="BJ1292" i="1"/>
  <c r="K1293" i="1"/>
  <c r="Z1293" i="1"/>
  <c r="AB1293" i="1"/>
  <c r="AC1293" i="1"/>
  <c r="AF1293" i="1"/>
  <c r="AG1293" i="1"/>
  <c r="AH1293" i="1"/>
  <c r="AJ1293" i="1"/>
  <c r="AK1293" i="1"/>
  <c r="AL1293" i="1"/>
  <c r="AO1293" i="1"/>
  <c r="AP1293" i="1"/>
  <c r="AX1293" i="1" s="1"/>
  <c r="AW1293" i="1"/>
  <c r="BC1293" i="1" s="1"/>
  <c r="BD1293" i="1"/>
  <c r="BF1293" i="1"/>
  <c r="BH1293" i="1"/>
  <c r="AD1293" i="1" s="1"/>
  <c r="BI1293" i="1"/>
  <c r="AE1293" i="1" s="1"/>
  <c r="BJ1293" i="1"/>
  <c r="K1294" i="1"/>
  <c r="AL1294" i="1" s="1"/>
  <c r="Z1294" i="1"/>
  <c r="AB1294" i="1"/>
  <c r="AC1294" i="1"/>
  <c r="AF1294" i="1"/>
  <c r="AG1294" i="1"/>
  <c r="AH1294" i="1"/>
  <c r="AJ1294" i="1"/>
  <c r="AK1294" i="1"/>
  <c r="AO1294" i="1"/>
  <c r="AW1294" i="1" s="1"/>
  <c r="AP1294" i="1"/>
  <c r="AX1294" i="1"/>
  <c r="BD1294" i="1"/>
  <c r="BF1294" i="1"/>
  <c r="BH1294" i="1"/>
  <c r="AD1294" i="1" s="1"/>
  <c r="BI1294" i="1"/>
  <c r="AE1294" i="1" s="1"/>
  <c r="BJ1294" i="1"/>
  <c r="K1297" i="1"/>
  <c r="AL1297" i="1" s="1"/>
  <c r="Z1297" i="1"/>
  <c r="AD1297" i="1"/>
  <c r="AE1297" i="1"/>
  <c r="AF1297" i="1"/>
  <c r="AG1297" i="1"/>
  <c r="AH1297" i="1"/>
  <c r="AJ1297" i="1"/>
  <c r="AS1296" i="1" s="1"/>
  <c r="AK1297" i="1"/>
  <c r="AT1296" i="1" s="1"/>
  <c r="AO1297" i="1"/>
  <c r="BH1297" i="1" s="1"/>
  <c r="AB1297" i="1" s="1"/>
  <c r="AP1297" i="1"/>
  <c r="AX1297" i="1"/>
  <c r="BD1297" i="1"/>
  <c r="BF1297" i="1"/>
  <c r="BI1297" i="1"/>
  <c r="AC1297" i="1" s="1"/>
  <c r="BJ1297" i="1"/>
  <c r="K1298" i="1"/>
  <c r="Z1298" i="1"/>
  <c r="AB1298" i="1"/>
  <c r="AD1298" i="1"/>
  <c r="AE1298" i="1"/>
  <c r="AF1298" i="1"/>
  <c r="AG1298" i="1"/>
  <c r="AH1298" i="1"/>
  <c r="AJ1298" i="1"/>
  <c r="AK1298" i="1"/>
  <c r="AL1298" i="1"/>
  <c r="AO1298" i="1"/>
  <c r="AP1298" i="1"/>
  <c r="AX1298" i="1" s="1"/>
  <c r="BC1298" i="1" s="1"/>
  <c r="AW1298" i="1"/>
  <c r="AV1298" i="1" s="1"/>
  <c r="BD1298" i="1"/>
  <c r="BF1298" i="1"/>
  <c r="BH1298" i="1"/>
  <c r="BI1298" i="1"/>
  <c r="AC1298" i="1" s="1"/>
  <c r="BJ1298" i="1"/>
  <c r="K1299" i="1"/>
  <c r="AL1299" i="1" s="1"/>
  <c r="Z1299" i="1"/>
  <c r="AB1299" i="1"/>
  <c r="AC1299" i="1"/>
  <c r="AD1299" i="1"/>
  <c r="AE1299" i="1"/>
  <c r="AF1299" i="1"/>
  <c r="AG1299" i="1"/>
  <c r="AH1299" i="1"/>
  <c r="AJ1299" i="1"/>
  <c r="AK1299" i="1"/>
  <c r="AO1299" i="1"/>
  <c r="AW1299" i="1" s="1"/>
  <c r="AP1299" i="1"/>
  <c r="AX1299" i="1"/>
  <c r="BD1299" i="1"/>
  <c r="BF1299" i="1"/>
  <c r="BH1299" i="1"/>
  <c r="BI1299" i="1"/>
  <c r="BJ1299" i="1"/>
  <c r="K1300" i="1"/>
  <c r="Z1300" i="1"/>
  <c r="AC1300" i="1"/>
  <c r="AD1300" i="1"/>
  <c r="AE1300" i="1"/>
  <c r="AF1300" i="1"/>
  <c r="AG1300" i="1"/>
  <c r="AH1300" i="1"/>
  <c r="AJ1300" i="1"/>
  <c r="AK1300" i="1"/>
  <c r="AL1300" i="1"/>
  <c r="AO1300" i="1"/>
  <c r="AP1300" i="1"/>
  <c r="AX1300" i="1" s="1"/>
  <c r="AW1300" i="1"/>
  <c r="BC1300" i="1" s="1"/>
  <c r="BD1300" i="1"/>
  <c r="BF1300" i="1"/>
  <c r="BH1300" i="1"/>
  <c r="AB1300" i="1" s="1"/>
  <c r="BI1300" i="1"/>
  <c r="BJ1300" i="1"/>
  <c r="K1301" i="1"/>
  <c r="K1296" i="1" s="1"/>
  <c r="Z1301" i="1"/>
  <c r="AD1301" i="1"/>
  <c r="AE1301" i="1"/>
  <c r="AF1301" i="1"/>
  <c r="AG1301" i="1"/>
  <c r="AH1301" i="1"/>
  <c r="AJ1301" i="1"/>
  <c r="AK1301" i="1"/>
  <c r="AO1301" i="1"/>
  <c r="AW1301" i="1" s="1"/>
  <c r="AP1301" i="1"/>
  <c r="AX1301" i="1"/>
  <c r="BD1301" i="1"/>
  <c r="BF1301" i="1"/>
  <c r="BH1301" i="1"/>
  <c r="AB1301" i="1" s="1"/>
  <c r="BI1301" i="1"/>
  <c r="AC1301" i="1" s="1"/>
  <c r="BJ1301" i="1"/>
  <c r="B2" i="2"/>
  <c r="E2" i="2"/>
  <c r="B4" i="2"/>
  <c r="E4" i="2"/>
  <c r="B6" i="2"/>
  <c r="E6" i="2"/>
  <c r="B8" i="2"/>
  <c r="I11" i="2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7" i="2"/>
  <c r="I27" i="2" s="1"/>
  <c r="G33" i="2"/>
  <c r="I33" i="2" s="1"/>
  <c r="G34" i="2"/>
  <c r="I34" i="2" s="1"/>
  <c r="G35" i="2"/>
  <c r="I35" i="2" s="1"/>
  <c r="G36" i="2"/>
  <c r="I36" i="2" s="1"/>
  <c r="G37" i="2"/>
  <c r="I37" i="2" s="1"/>
  <c r="G42" i="2"/>
  <c r="I42" i="2" s="1"/>
  <c r="G48" i="2"/>
  <c r="I48" i="2" s="1"/>
  <c r="G49" i="2"/>
  <c r="I49" i="2" s="1"/>
  <c r="G51" i="2"/>
  <c r="I51" i="2"/>
  <c r="G55" i="2"/>
  <c r="I55" i="2" s="1"/>
  <c r="I57" i="2"/>
  <c r="G58" i="2"/>
  <c r="I58" i="2"/>
  <c r="G61" i="2"/>
  <c r="I61" i="2" s="1"/>
  <c r="I64" i="2"/>
  <c r="G65" i="2"/>
  <c r="I65" i="2" s="1"/>
  <c r="G66" i="2"/>
  <c r="I66" i="2" s="1"/>
  <c r="I67" i="2"/>
  <c r="G69" i="2"/>
  <c r="I69" i="2"/>
  <c r="G70" i="2"/>
  <c r="I70" i="2"/>
  <c r="I71" i="2"/>
  <c r="I75" i="2"/>
  <c r="I77" i="2"/>
  <c r="C2" i="3"/>
  <c r="F2" i="3"/>
  <c r="C4" i="3"/>
  <c r="F4" i="3"/>
  <c r="C6" i="3"/>
  <c r="F6" i="3"/>
  <c r="C8" i="3"/>
  <c r="BC904" i="1" l="1"/>
  <c r="BC1288" i="1"/>
  <c r="AV1288" i="1"/>
  <c r="AV1272" i="1"/>
  <c r="BC1272" i="1"/>
  <c r="BC1258" i="1"/>
  <c r="AV1258" i="1"/>
  <c r="BC1250" i="1"/>
  <c r="AV1250" i="1"/>
  <c r="BC1301" i="1"/>
  <c r="AV1301" i="1"/>
  <c r="BC1299" i="1"/>
  <c r="AV1299" i="1"/>
  <c r="AV1291" i="1"/>
  <c r="BC1290" i="1"/>
  <c r="AV1290" i="1"/>
  <c r="AV1283" i="1"/>
  <c r="BC1282" i="1"/>
  <c r="AV1282" i="1"/>
  <c r="AV1275" i="1"/>
  <c r="BC1274" i="1"/>
  <c r="AV1274" i="1"/>
  <c r="AV1267" i="1"/>
  <c r="BC1266" i="1"/>
  <c r="AV1266" i="1"/>
  <c r="BC1261" i="1"/>
  <c r="BC1260" i="1"/>
  <c r="AV1260" i="1"/>
  <c r="BC1254" i="1"/>
  <c r="AV1253" i="1"/>
  <c r="BC1253" i="1"/>
  <c r="K1295" i="1"/>
  <c r="G77" i="2" s="1"/>
  <c r="G78" i="2"/>
  <c r="I78" i="2" s="1"/>
  <c r="AV1292" i="1"/>
  <c r="BC1292" i="1"/>
  <c r="BC1284" i="1"/>
  <c r="AV1284" i="1"/>
  <c r="BC1276" i="1"/>
  <c r="AV1276" i="1"/>
  <c r="BC1268" i="1"/>
  <c r="AV1268" i="1"/>
  <c r="BC1262" i="1"/>
  <c r="AV1262" i="1"/>
  <c r="AU1256" i="1"/>
  <c r="AV1246" i="1"/>
  <c r="BC1246" i="1"/>
  <c r="BC1280" i="1"/>
  <c r="AV1280" i="1"/>
  <c r="AV1264" i="1"/>
  <c r="BC1264" i="1"/>
  <c r="BC1294" i="1"/>
  <c r="AV1294" i="1"/>
  <c r="AV1287" i="1"/>
  <c r="BC1286" i="1"/>
  <c r="AV1286" i="1"/>
  <c r="AV1279" i="1"/>
  <c r="BC1278" i="1"/>
  <c r="AV1278" i="1"/>
  <c r="AV1271" i="1"/>
  <c r="BC1270" i="1"/>
  <c r="AV1270" i="1"/>
  <c r="BC1257" i="1"/>
  <c r="G76" i="2"/>
  <c r="I76" i="2" s="1"/>
  <c r="K1255" i="1"/>
  <c r="G75" i="2" s="1"/>
  <c r="AU1251" i="1"/>
  <c r="BC1249" i="1"/>
  <c r="BC1238" i="1"/>
  <c r="AV1238" i="1"/>
  <c r="BC1214" i="1"/>
  <c r="AV1214" i="1"/>
  <c r="BC1198" i="1"/>
  <c r="AV1198" i="1"/>
  <c r="BC1194" i="1"/>
  <c r="AV1194" i="1"/>
  <c r="BC1186" i="1"/>
  <c r="AV1186" i="1"/>
  <c r="BC1178" i="1"/>
  <c r="AV1178" i="1"/>
  <c r="BC1170" i="1"/>
  <c r="AV1170" i="1"/>
  <c r="BC1162" i="1"/>
  <c r="AV1162" i="1"/>
  <c r="BC1159" i="1"/>
  <c r="AV1159" i="1"/>
  <c r="BC1149" i="1"/>
  <c r="AV1149" i="1"/>
  <c r="BC1117" i="1"/>
  <c r="AV1117" i="1"/>
  <c r="BC1077" i="1"/>
  <c r="AV1077" i="1"/>
  <c r="BC1069" i="1"/>
  <c r="AV1069" i="1"/>
  <c r="AL1301" i="1"/>
  <c r="AU1296" i="1" s="1"/>
  <c r="AV1300" i="1"/>
  <c r="AW1297" i="1"/>
  <c r="AV1293" i="1"/>
  <c r="AV1289" i="1"/>
  <c r="AV1285" i="1"/>
  <c r="AV1281" i="1"/>
  <c r="AV1277" i="1"/>
  <c r="AV1273" i="1"/>
  <c r="AV1269" i="1"/>
  <c r="AV1265" i="1"/>
  <c r="AX1263" i="1"/>
  <c r="BC1263" i="1" s="1"/>
  <c r="AV1261" i="1"/>
  <c r="AV1257" i="1"/>
  <c r="AV1254" i="1"/>
  <c r="AV1249" i="1"/>
  <c r="AV1248" i="1"/>
  <c r="BH1247" i="1"/>
  <c r="AD1247" i="1" s="1"/>
  <c r="BH1246" i="1"/>
  <c r="AD1246" i="1" s="1"/>
  <c r="BH1243" i="1"/>
  <c r="AD1243" i="1" s="1"/>
  <c r="BI1240" i="1"/>
  <c r="AE1240" i="1" s="1"/>
  <c r="BC1240" i="1"/>
  <c r="AU1239" i="1"/>
  <c r="AV1237" i="1"/>
  <c r="BC1237" i="1"/>
  <c r="BC1234" i="1"/>
  <c r="AV1234" i="1"/>
  <c r="BC1231" i="1"/>
  <c r="AV1231" i="1"/>
  <c r="AT1229" i="1"/>
  <c r="AU1229" i="1"/>
  <c r="BC1227" i="1"/>
  <c r="AV1227" i="1"/>
  <c r="AU1219" i="1"/>
  <c r="BC1218" i="1"/>
  <c r="AV1218" i="1"/>
  <c r="BC1215" i="1"/>
  <c r="BC1203" i="1"/>
  <c r="AV1203" i="1"/>
  <c r="BC1202" i="1"/>
  <c r="AV1202" i="1"/>
  <c r="BC1199" i="1"/>
  <c r="AV1199" i="1"/>
  <c r="BC1146" i="1"/>
  <c r="AV1146" i="1"/>
  <c r="BC1138" i="1"/>
  <c r="AV1138" i="1"/>
  <c r="BC1130" i="1"/>
  <c r="AV1130" i="1"/>
  <c r="BC1122" i="1"/>
  <c r="AV1122" i="1"/>
  <c r="BC1114" i="1"/>
  <c r="AV1114" i="1"/>
  <c r="BC1106" i="1"/>
  <c r="AV1106" i="1"/>
  <c r="BC1098" i="1"/>
  <c r="AV1098" i="1"/>
  <c r="BC1095" i="1"/>
  <c r="AV1095" i="1"/>
  <c r="BC1090" i="1"/>
  <c r="AV1090" i="1"/>
  <c r="BC1087" i="1"/>
  <c r="AV1087" i="1"/>
  <c r="BC1082" i="1"/>
  <c r="AV1082" i="1"/>
  <c r="BC1079" i="1"/>
  <c r="AV1079" i="1"/>
  <c r="BC1074" i="1"/>
  <c r="AV1074" i="1"/>
  <c r="BC1071" i="1"/>
  <c r="AV1071" i="1"/>
  <c r="BC1066" i="1"/>
  <c r="AV1066" i="1"/>
  <c r="BC1061" i="1"/>
  <c r="AV1061" i="1"/>
  <c r="AU1058" i="1"/>
  <c r="AV1057" i="1"/>
  <c r="BC1057" i="1"/>
  <c r="BC1054" i="1"/>
  <c r="AV1054" i="1"/>
  <c r="BC1243" i="1"/>
  <c r="AV1243" i="1"/>
  <c r="AT1239" i="1"/>
  <c r="AV1233" i="1"/>
  <c r="BC1233" i="1"/>
  <c r="AU1224" i="1"/>
  <c r="BC1223" i="1"/>
  <c r="AV1223" i="1"/>
  <c r="BC1213" i="1"/>
  <c r="AV1213" i="1"/>
  <c r="BC1209" i="1"/>
  <c r="AV1209" i="1"/>
  <c r="BC1191" i="1"/>
  <c r="AV1191" i="1"/>
  <c r="BC1190" i="1"/>
  <c r="AV1190" i="1"/>
  <c r="BC1183" i="1"/>
  <c r="AV1183" i="1"/>
  <c r="BC1182" i="1"/>
  <c r="AV1182" i="1"/>
  <c r="BC1175" i="1"/>
  <c r="AV1175" i="1"/>
  <c r="BC1174" i="1"/>
  <c r="AV1174" i="1"/>
  <c r="BC1167" i="1"/>
  <c r="AV1167" i="1"/>
  <c r="BC1166" i="1"/>
  <c r="AV1166" i="1"/>
  <c r="BC1153" i="1"/>
  <c r="AV1153" i="1"/>
  <c r="BC1145" i="1"/>
  <c r="AV1145" i="1"/>
  <c r="BC1137" i="1"/>
  <c r="AV1137" i="1"/>
  <c r="BC1129" i="1"/>
  <c r="AV1129" i="1"/>
  <c r="BC1121" i="1"/>
  <c r="AV1121" i="1"/>
  <c r="BC1113" i="1"/>
  <c r="AV1113" i="1"/>
  <c r="BC1105" i="1"/>
  <c r="AV1105" i="1"/>
  <c r="BC1097" i="1"/>
  <c r="AV1097" i="1"/>
  <c r="BC1089" i="1"/>
  <c r="AV1089" i="1"/>
  <c r="BC1081" i="1"/>
  <c r="AV1081" i="1"/>
  <c r="K1072" i="1"/>
  <c r="G64" i="2" s="1"/>
  <c r="BC1060" i="1"/>
  <c r="AV1060" i="1"/>
  <c r="BC1051" i="1"/>
  <c r="AV1051" i="1"/>
  <c r="AV1041" i="1"/>
  <c r="BC1041" i="1"/>
  <c r="BC1230" i="1"/>
  <c r="AV1230" i="1"/>
  <c r="BC1222" i="1"/>
  <c r="AV1222" i="1"/>
  <c r="BC1195" i="1"/>
  <c r="AV1195" i="1"/>
  <c r="BC1187" i="1"/>
  <c r="AV1187" i="1"/>
  <c r="BC1179" i="1"/>
  <c r="AV1179" i="1"/>
  <c r="BC1171" i="1"/>
  <c r="AV1171" i="1"/>
  <c r="BC1163" i="1"/>
  <c r="AV1163" i="1"/>
  <c r="AU1154" i="1"/>
  <c r="BC1141" i="1"/>
  <c r="AV1141" i="1"/>
  <c r="BC1133" i="1"/>
  <c r="AV1133" i="1"/>
  <c r="BC1125" i="1"/>
  <c r="AV1125" i="1"/>
  <c r="BC1109" i="1"/>
  <c r="AV1109" i="1"/>
  <c r="BC1101" i="1"/>
  <c r="AV1101" i="1"/>
  <c r="BC1093" i="1"/>
  <c r="AV1093" i="1"/>
  <c r="BC1085" i="1"/>
  <c r="AV1085" i="1"/>
  <c r="BC1064" i="1"/>
  <c r="AV1064" i="1"/>
  <c r="BI1248" i="1"/>
  <c r="AE1248" i="1" s="1"/>
  <c r="AV1247" i="1"/>
  <c r="AV1242" i="1"/>
  <c r="BC1242" i="1"/>
  <c r="K1239" i="1"/>
  <c r="G73" i="2" s="1"/>
  <c r="I73" i="2" s="1"/>
  <c r="BH1238" i="1"/>
  <c r="AD1238" i="1" s="1"/>
  <c r="BC1225" i="1"/>
  <c r="BC1217" i="1"/>
  <c r="AV1217" i="1"/>
  <c r="BC1210" i="1"/>
  <c r="AV1210" i="1"/>
  <c r="AU1208" i="1"/>
  <c r="BC1206" i="1"/>
  <c r="AV1206" i="1"/>
  <c r="BC1196" i="1"/>
  <c r="BC1160" i="1"/>
  <c r="BC1158" i="1"/>
  <c r="AV1158" i="1"/>
  <c r="BC1155" i="1"/>
  <c r="AV1155" i="1"/>
  <c r="BC1150" i="1"/>
  <c r="AV1150" i="1"/>
  <c r="BC1142" i="1"/>
  <c r="AV1142" i="1"/>
  <c r="BC1134" i="1"/>
  <c r="AV1134" i="1"/>
  <c r="BC1126" i="1"/>
  <c r="AV1126" i="1"/>
  <c r="BC1118" i="1"/>
  <c r="AV1118" i="1"/>
  <c r="BC1110" i="1"/>
  <c r="AV1110" i="1"/>
  <c r="BC1102" i="1"/>
  <c r="AV1102" i="1"/>
  <c r="BC1099" i="1"/>
  <c r="AV1099" i="1"/>
  <c r="BC1094" i="1"/>
  <c r="AV1094" i="1"/>
  <c r="BC1091" i="1"/>
  <c r="AV1091" i="1"/>
  <c r="BC1086" i="1"/>
  <c r="AV1086" i="1"/>
  <c r="BC1083" i="1"/>
  <c r="AV1083" i="1"/>
  <c r="BC1078" i="1"/>
  <c r="AV1078" i="1"/>
  <c r="BC1075" i="1"/>
  <c r="AV1075" i="1"/>
  <c r="BC1065" i="1"/>
  <c r="AV1065" i="1"/>
  <c r="AU1062" i="1"/>
  <c r="BC1059" i="1"/>
  <c r="AV1059" i="1"/>
  <c r="AU1053" i="1"/>
  <c r="BC1226" i="1"/>
  <c r="BC1221" i="1"/>
  <c r="BC1216" i="1"/>
  <c r="BC1212" i="1"/>
  <c r="BC1205" i="1"/>
  <c r="BC1201" i="1"/>
  <c r="BC1197" i="1"/>
  <c r="BC1193" i="1"/>
  <c r="BC1189" i="1"/>
  <c r="BC1185" i="1"/>
  <c r="BC1181" i="1"/>
  <c r="BC1177" i="1"/>
  <c r="BC1173" i="1"/>
  <c r="BC1169" i="1"/>
  <c r="BC1165" i="1"/>
  <c r="BC1161" i="1"/>
  <c r="BC1157" i="1"/>
  <c r="BC1152" i="1"/>
  <c r="BC1148" i="1"/>
  <c r="BC1144" i="1"/>
  <c r="BC1140" i="1"/>
  <c r="BC1136" i="1"/>
  <c r="BC1132" i="1"/>
  <c r="BC1128" i="1"/>
  <c r="BC1124" i="1"/>
  <c r="BC1120" i="1"/>
  <c r="BC1116" i="1"/>
  <c r="BC1112" i="1"/>
  <c r="BC1108" i="1"/>
  <c r="BC1104" i="1"/>
  <c r="BC1100" i="1"/>
  <c r="BC1096" i="1"/>
  <c r="BC1092" i="1"/>
  <c r="BC1088" i="1"/>
  <c r="BC1084" i="1"/>
  <c r="BC1080" i="1"/>
  <c r="BC1076" i="1"/>
  <c r="AL1074" i="1"/>
  <c r="AU1073" i="1" s="1"/>
  <c r="AL1071" i="1"/>
  <c r="AU1070" i="1" s="1"/>
  <c r="BC1067" i="1"/>
  <c r="BC1063" i="1"/>
  <c r="BI1057" i="1"/>
  <c r="AC1057" i="1" s="1"/>
  <c r="BH1055" i="1"/>
  <c r="AB1055" i="1" s="1"/>
  <c r="AX1055" i="1"/>
  <c r="BC1055" i="1" s="1"/>
  <c r="AL1055" i="1"/>
  <c r="BI1050" i="1"/>
  <c r="AG1050" i="1" s="1"/>
  <c r="AV1042" i="1"/>
  <c r="BH1041" i="1"/>
  <c r="AB1041" i="1" s="1"/>
  <c r="AV1040" i="1"/>
  <c r="BI1039" i="1"/>
  <c r="AC1039" i="1" s="1"/>
  <c r="BC1039" i="1"/>
  <c r="BH1038" i="1"/>
  <c r="AB1038" i="1" s="1"/>
  <c r="BC1031" i="1"/>
  <c r="BC1030" i="1"/>
  <c r="AV1025" i="1"/>
  <c r="BC1025" i="1"/>
  <c r="BC1019" i="1"/>
  <c r="AV1019" i="1"/>
  <c r="BC1014" i="1"/>
  <c r="AV1014" i="1"/>
  <c r="AV1009" i="1"/>
  <c r="BC1009" i="1"/>
  <c r="BC1003" i="1"/>
  <c r="AV1003" i="1"/>
  <c r="BC998" i="1"/>
  <c r="AV998" i="1"/>
  <c r="AV993" i="1"/>
  <c r="BC993" i="1"/>
  <c r="BC987" i="1"/>
  <c r="AV987" i="1"/>
  <c r="BC982" i="1"/>
  <c r="AV982" i="1"/>
  <c r="BC979" i="1"/>
  <c r="AV979" i="1"/>
  <c r="AV977" i="1"/>
  <c r="BC977" i="1"/>
  <c r="BC971" i="1"/>
  <c r="AV971" i="1"/>
  <c r="AV969" i="1"/>
  <c r="BC969" i="1"/>
  <c r="BC963" i="1"/>
  <c r="AV963" i="1"/>
  <c r="AV961" i="1"/>
  <c r="BC961" i="1"/>
  <c r="BC955" i="1"/>
  <c r="AV955" i="1"/>
  <c r="AV953" i="1"/>
  <c r="BC953" i="1"/>
  <c r="BC947" i="1"/>
  <c r="AV947" i="1"/>
  <c r="AV945" i="1"/>
  <c r="BC945" i="1"/>
  <c r="BC939" i="1"/>
  <c r="AV939" i="1"/>
  <c r="AV937" i="1"/>
  <c r="BC937" i="1"/>
  <c r="BC931" i="1"/>
  <c r="AV931" i="1"/>
  <c r="AV929" i="1"/>
  <c r="BC929" i="1"/>
  <c r="BC923" i="1"/>
  <c r="AV923" i="1"/>
  <c r="AV921" i="1"/>
  <c r="BC921" i="1"/>
  <c r="BC915" i="1"/>
  <c r="AV915" i="1"/>
  <c r="AV913" i="1"/>
  <c r="BC913" i="1"/>
  <c r="BC907" i="1"/>
  <c r="AV907" i="1"/>
  <c r="AV905" i="1"/>
  <c r="BC905" i="1"/>
  <c r="BC898" i="1"/>
  <c r="AV898" i="1"/>
  <c r="AV896" i="1"/>
  <c r="BC896" i="1"/>
  <c r="BC889" i="1"/>
  <c r="AV889" i="1"/>
  <c r="AV887" i="1"/>
  <c r="BC887" i="1"/>
  <c r="BC881" i="1"/>
  <c r="AV881" i="1"/>
  <c r="AV879" i="1"/>
  <c r="BC879" i="1"/>
  <c r="BH1057" i="1"/>
  <c r="AB1057" i="1" s="1"/>
  <c r="K1056" i="1"/>
  <c r="G59" i="2" s="1"/>
  <c r="I59" i="2" s="1"/>
  <c r="BH1054" i="1"/>
  <c r="AB1054" i="1" s="1"/>
  <c r="BC1043" i="1"/>
  <c r="BC1042" i="1"/>
  <c r="BC1036" i="1"/>
  <c r="AV1036" i="1"/>
  <c r="AV1034" i="1"/>
  <c r="BH1033" i="1"/>
  <c r="AB1033" i="1" s="1"/>
  <c r="BC1027" i="1"/>
  <c r="BI1026" i="1"/>
  <c r="AC1026" i="1" s="1"/>
  <c r="BC1026" i="1"/>
  <c r="BC1023" i="1"/>
  <c r="AV1023" i="1"/>
  <c r="BC1018" i="1"/>
  <c r="AV1018" i="1"/>
  <c r="AV1013" i="1"/>
  <c r="BC1013" i="1"/>
  <c r="BC1012" i="1"/>
  <c r="BC1007" i="1"/>
  <c r="AV1007" i="1"/>
  <c r="BC1002" i="1"/>
  <c r="AV1002" i="1"/>
  <c r="AV997" i="1"/>
  <c r="BC997" i="1"/>
  <c r="BC996" i="1"/>
  <c r="BC991" i="1"/>
  <c r="AV991" i="1"/>
  <c r="BC986" i="1"/>
  <c r="AV986" i="1"/>
  <c r="AU892" i="1"/>
  <c r="AV872" i="1"/>
  <c r="BC872" i="1"/>
  <c r="K1229" i="1"/>
  <c r="K1208" i="1"/>
  <c r="K1068" i="1"/>
  <c r="G62" i="2" s="1"/>
  <c r="I62" i="2" s="1"/>
  <c r="K1058" i="1"/>
  <c r="G60" i="2" s="1"/>
  <c r="I60" i="2" s="1"/>
  <c r="AV1037" i="1"/>
  <c r="BC1037" i="1"/>
  <c r="AV1033" i="1"/>
  <c r="BC1033" i="1"/>
  <c r="BC1032" i="1"/>
  <c r="AV1032" i="1"/>
  <c r="BC1022" i="1"/>
  <c r="AV1022" i="1"/>
  <c r="AV1017" i="1"/>
  <c r="BC1017" i="1"/>
  <c r="BC1011" i="1"/>
  <c r="AV1011" i="1"/>
  <c r="BC1006" i="1"/>
  <c r="AV1006" i="1"/>
  <c r="AV1001" i="1"/>
  <c r="BC1001" i="1"/>
  <c r="BC1000" i="1"/>
  <c r="BC995" i="1"/>
  <c r="AV995" i="1"/>
  <c r="BC990" i="1"/>
  <c r="AV990" i="1"/>
  <c r="AV985" i="1"/>
  <c r="BC985" i="1"/>
  <c r="BC984" i="1"/>
  <c r="AV981" i="1"/>
  <c r="BC981" i="1"/>
  <c r="BC980" i="1"/>
  <c r="BC975" i="1"/>
  <c r="AV975" i="1"/>
  <c r="AV974" i="1"/>
  <c r="AV973" i="1"/>
  <c r="BC973" i="1"/>
  <c r="BC972" i="1"/>
  <c r="BC967" i="1"/>
  <c r="AV967" i="1"/>
  <c r="AV966" i="1"/>
  <c r="AV965" i="1"/>
  <c r="BC965" i="1"/>
  <c r="BC964" i="1"/>
  <c r="BC959" i="1"/>
  <c r="AV959" i="1"/>
  <c r="AV958" i="1"/>
  <c r="AV957" i="1"/>
  <c r="BC957" i="1"/>
  <c r="BC956" i="1"/>
  <c r="BC951" i="1"/>
  <c r="AV951" i="1"/>
  <c r="AV950" i="1"/>
  <c r="AV949" i="1"/>
  <c r="BC949" i="1"/>
  <c r="BC948" i="1"/>
  <c r="BC943" i="1"/>
  <c r="AV943" i="1"/>
  <c r="AV942" i="1"/>
  <c r="AV941" i="1"/>
  <c r="BC941" i="1"/>
  <c r="BC940" i="1"/>
  <c r="BC935" i="1"/>
  <c r="AV935" i="1"/>
  <c r="AV934" i="1"/>
  <c r="AV933" i="1"/>
  <c r="BC933" i="1"/>
  <c r="BC932" i="1"/>
  <c r="BC927" i="1"/>
  <c r="AV927" i="1"/>
  <c r="AV926" i="1"/>
  <c r="AV925" i="1"/>
  <c r="BC925" i="1"/>
  <c r="BC924" i="1"/>
  <c r="BC919" i="1"/>
  <c r="AV919" i="1"/>
  <c r="AV918" i="1"/>
  <c r="AV917" i="1"/>
  <c r="BC917" i="1"/>
  <c r="BC916" i="1"/>
  <c r="BC911" i="1"/>
  <c r="AV911" i="1"/>
  <c r="AV910" i="1"/>
  <c r="AV909" i="1"/>
  <c r="BC909" i="1"/>
  <c r="BC908" i="1"/>
  <c r="BC902" i="1"/>
  <c r="AV902" i="1"/>
  <c r="AV901" i="1"/>
  <c r="AV900" i="1"/>
  <c r="BC900" i="1"/>
  <c r="BC899" i="1"/>
  <c r="BC894" i="1"/>
  <c r="AV894" i="1"/>
  <c r="AV893" i="1"/>
  <c r="AT892" i="1"/>
  <c r="K892" i="1"/>
  <c r="G54" i="2" s="1"/>
  <c r="I54" i="2" s="1"/>
  <c r="AV891" i="1"/>
  <c r="BC891" i="1"/>
  <c r="BC890" i="1"/>
  <c r="BC885" i="1"/>
  <c r="AV885" i="1"/>
  <c r="AV884" i="1"/>
  <c r="AV883" i="1"/>
  <c r="BC883" i="1"/>
  <c r="BC882" i="1"/>
  <c r="BC877" i="1"/>
  <c r="AV877" i="1"/>
  <c r="AV876" i="1"/>
  <c r="AV875" i="1"/>
  <c r="BC875" i="1"/>
  <c r="AV868" i="1"/>
  <c r="BC868" i="1"/>
  <c r="AS1053" i="1"/>
  <c r="BH1051" i="1"/>
  <c r="AF1051" i="1" s="1"/>
  <c r="C18" i="4" s="1"/>
  <c r="AL1051" i="1"/>
  <c r="AU1048" i="1" s="1"/>
  <c r="BH1049" i="1"/>
  <c r="AF1049" i="1" s="1"/>
  <c r="AV1047" i="1"/>
  <c r="AV1045" i="1"/>
  <c r="BI1044" i="1"/>
  <c r="AC1044" i="1" s="1"/>
  <c r="BC1038" i="1"/>
  <c r="BC1035" i="1"/>
  <c r="AV1029" i="1"/>
  <c r="BC1029" i="1"/>
  <c r="BC1028" i="1"/>
  <c r="AV1028" i="1"/>
  <c r="AV1021" i="1"/>
  <c r="BC1021" i="1"/>
  <c r="BC1015" i="1"/>
  <c r="AV1015" i="1"/>
  <c r="BC1010" i="1"/>
  <c r="AV1010" i="1"/>
  <c r="AV1005" i="1"/>
  <c r="BC1005" i="1"/>
  <c r="BC999" i="1"/>
  <c r="AV999" i="1"/>
  <c r="BC994" i="1"/>
  <c r="AV994" i="1"/>
  <c r="AV989" i="1"/>
  <c r="BC989" i="1"/>
  <c r="BC983" i="1"/>
  <c r="AV983" i="1"/>
  <c r="AS892" i="1"/>
  <c r="AV871" i="1"/>
  <c r="BI870" i="1"/>
  <c r="AC870" i="1" s="1"/>
  <c r="BC870" i="1"/>
  <c r="AV869" i="1"/>
  <c r="BH868" i="1"/>
  <c r="AB868" i="1" s="1"/>
  <c r="AV866" i="1"/>
  <c r="AV862" i="1"/>
  <c r="BC854" i="1"/>
  <c r="AV854" i="1"/>
  <c r="AV852" i="1"/>
  <c r="BC852" i="1"/>
  <c r="AU849" i="1"/>
  <c r="BC845" i="1"/>
  <c r="AV845" i="1"/>
  <c r="BC841" i="1"/>
  <c r="AV841" i="1"/>
  <c r="AV835" i="1"/>
  <c r="BC835" i="1"/>
  <c r="AV827" i="1"/>
  <c r="BC827" i="1"/>
  <c r="AU819" i="1"/>
  <c r="BC818" i="1"/>
  <c r="AV818" i="1"/>
  <c r="BC815" i="1"/>
  <c r="AV815" i="1"/>
  <c r="BC810" i="1"/>
  <c r="AV810" i="1"/>
  <c r="BC805" i="1"/>
  <c r="AV805" i="1"/>
  <c r="AU802" i="1"/>
  <c r="BC801" i="1"/>
  <c r="AV801" i="1"/>
  <c r="AV799" i="1"/>
  <c r="BC799" i="1"/>
  <c r="AV794" i="1"/>
  <c r="BC794" i="1"/>
  <c r="AU786" i="1"/>
  <c r="AV785" i="1"/>
  <c r="BC785" i="1"/>
  <c r="AV781" i="1"/>
  <c r="BC781" i="1"/>
  <c r="AU773" i="1"/>
  <c r="AV772" i="1"/>
  <c r="BC772" i="1"/>
  <c r="AV768" i="1"/>
  <c r="BC768" i="1"/>
  <c r="AV760" i="1"/>
  <c r="BC760" i="1"/>
  <c r="AV752" i="1"/>
  <c r="BC752" i="1"/>
  <c r="AV744" i="1"/>
  <c r="BC744" i="1"/>
  <c r="AV736" i="1"/>
  <c r="BC736" i="1"/>
  <c r="AV728" i="1"/>
  <c r="BC728" i="1"/>
  <c r="AU720" i="1"/>
  <c r="AV719" i="1"/>
  <c r="BC719" i="1"/>
  <c r="AV715" i="1"/>
  <c r="BC715" i="1"/>
  <c r="BC709" i="1"/>
  <c r="AV707" i="1"/>
  <c r="BC707" i="1"/>
  <c r="BC701" i="1"/>
  <c r="AV695" i="1"/>
  <c r="BC695" i="1"/>
  <c r="AV690" i="1"/>
  <c r="BC690" i="1"/>
  <c r="AV686" i="1"/>
  <c r="BC686" i="1"/>
  <c r="AV678" i="1"/>
  <c r="BC678" i="1"/>
  <c r="AT849" i="1"/>
  <c r="BC848" i="1"/>
  <c r="AV848" i="1"/>
  <c r="BC844" i="1"/>
  <c r="AV844" i="1"/>
  <c r="BC837" i="1"/>
  <c r="AV837" i="1"/>
  <c r="BC832" i="1"/>
  <c r="AV832" i="1"/>
  <c r="BC829" i="1"/>
  <c r="AV829" i="1"/>
  <c r="BC824" i="1"/>
  <c r="AV824" i="1"/>
  <c r="AV817" i="1"/>
  <c r="BC817" i="1"/>
  <c r="AV804" i="1"/>
  <c r="BC804" i="1"/>
  <c r="AU796" i="1"/>
  <c r="BC795" i="1"/>
  <c r="AV795" i="1"/>
  <c r="BC791" i="1"/>
  <c r="AV791" i="1"/>
  <c r="BC788" i="1"/>
  <c r="AV788" i="1"/>
  <c r="BC783" i="1"/>
  <c r="AV783" i="1"/>
  <c r="BC778" i="1"/>
  <c r="AV778" i="1"/>
  <c r="BC775" i="1"/>
  <c r="AV775" i="1"/>
  <c r="BC770" i="1"/>
  <c r="AV770" i="1"/>
  <c r="BC765" i="1"/>
  <c r="AV765" i="1"/>
  <c r="BC762" i="1"/>
  <c r="AV762" i="1"/>
  <c r="BC757" i="1"/>
  <c r="AV757" i="1"/>
  <c r="BC754" i="1"/>
  <c r="AV754" i="1"/>
  <c r="BC749" i="1"/>
  <c r="AV749" i="1"/>
  <c r="BC746" i="1"/>
  <c r="AV746" i="1"/>
  <c r="BC741" i="1"/>
  <c r="AV741" i="1"/>
  <c r="BC738" i="1"/>
  <c r="AV738" i="1"/>
  <c r="BC733" i="1"/>
  <c r="AV733" i="1"/>
  <c r="BC730" i="1"/>
  <c r="AV730" i="1"/>
  <c r="BC725" i="1"/>
  <c r="AV725" i="1"/>
  <c r="BC722" i="1"/>
  <c r="AV722" i="1"/>
  <c r="BC717" i="1"/>
  <c r="AV717" i="1"/>
  <c r="BC712" i="1"/>
  <c r="AV712" i="1"/>
  <c r="BC704" i="1"/>
  <c r="AV704" i="1"/>
  <c r="AV699" i="1"/>
  <c r="BC699" i="1"/>
  <c r="AU694" i="1"/>
  <c r="BC687" i="1"/>
  <c r="AV687" i="1"/>
  <c r="BC679" i="1"/>
  <c r="AV679" i="1"/>
  <c r="AU677" i="1"/>
  <c r="AV674" i="1"/>
  <c r="BC674" i="1"/>
  <c r="AV1024" i="1"/>
  <c r="AV1020" i="1"/>
  <c r="AV1016" i="1"/>
  <c r="AV1012" i="1"/>
  <c r="AV1008" i="1"/>
  <c r="AV1004" i="1"/>
  <c r="AV1000" i="1"/>
  <c r="AV996" i="1"/>
  <c r="AV992" i="1"/>
  <c r="AV988" i="1"/>
  <c r="AV984" i="1"/>
  <c r="AV980" i="1"/>
  <c r="AV976" i="1"/>
  <c r="AV972" i="1"/>
  <c r="AV968" i="1"/>
  <c r="AV964" i="1"/>
  <c r="AV960" i="1"/>
  <c r="AV956" i="1"/>
  <c r="AV952" i="1"/>
  <c r="AV948" i="1"/>
  <c r="AV944" i="1"/>
  <c r="AV940" i="1"/>
  <c r="AV936" i="1"/>
  <c r="AV932" i="1"/>
  <c r="AV928" i="1"/>
  <c r="AV924" i="1"/>
  <c r="AV920" i="1"/>
  <c r="AV916" i="1"/>
  <c r="AV912" i="1"/>
  <c r="AV908" i="1"/>
  <c r="AV903" i="1"/>
  <c r="AV899" i="1"/>
  <c r="AV895" i="1"/>
  <c r="AV890" i="1"/>
  <c r="AV886" i="1"/>
  <c r="AV882" i="1"/>
  <c r="AV878" i="1"/>
  <c r="AV864" i="1"/>
  <c r="BC864" i="1"/>
  <c r="AV860" i="1"/>
  <c r="BC860" i="1"/>
  <c r="BC859" i="1"/>
  <c r="BC857" i="1"/>
  <c r="AV857" i="1"/>
  <c r="BC850" i="1"/>
  <c r="AV850" i="1"/>
  <c r="AS849" i="1"/>
  <c r="K849" i="1"/>
  <c r="G53" i="2" s="1"/>
  <c r="I53" i="2" s="1"/>
  <c r="AV847" i="1"/>
  <c r="BC847" i="1"/>
  <c r="AV843" i="1"/>
  <c r="BC843" i="1"/>
  <c r="BC840" i="1"/>
  <c r="AV840" i="1"/>
  <c r="BC838" i="1"/>
  <c r="AV831" i="1"/>
  <c r="BC831" i="1"/>
  <c r="AU823" i="1"/>
  <c r="AV822" i="1"/>
  <c r="BC822" i="1"/>
  <c r="BC820" i="1"/>
  <c r="AV820" i="1"/>
  <c r="BC814" i="1"/>
  <c r="AV814" i="1"/>
  <c r="BC809" i="1"/>
  <c r="AV809" i="1"/>
  <c r="BC806" i="1"/>
  <c r="AV806" i="1"/>
  <c r="AV790" i="1"/>
  <c r="BC790" i="1"/>
  <c r="AV777" i="1"/>
  <c r="BC777" i="1"/>
  <c r="AV764" i="1"/>
  <c r="BC764" i="1"/>
  <c r="AV756" i="1"/>
  <c r="BC756" i="1"/>
  <c r="AV748" i="1"/>
  <c r="BC748" i="1"/>
  <c r="AV740" i="1"/>
  <c r="BC740" i="1"/>
  <c r="AV732" i="1"/>
  <c r="BC732" i="1"/>
  <c r="AV724" i="1"/>
  <c r="BC724" i="1"/>
  <c r="BC713" i="1"/>
  <c r="AV711" i="1"/>
  <c r="BC711" i="1"/>
  <c r="BC705" i="1"/>
  <c r="AV703" i="1"/>
  <c r="BC703" i="1"/>
  <c r="BC696" i="1"/>
  <c r="AV696" i="1"/>
  <c r="BC691" i="1"/>
  <c r="AV691" i="1"/>
  <c r="BC688" i="1"/>
  <c r="AV682" i="1"/>
  <c r="BC682" i="1"/>
  <c r="AV873" i="1"/>
  <c r="BH872" i="1"/>
  <c r="AB872" i="1" s="1"/>
  <c r="BC867" i="1"/>
  <c r="AV867" i="1"/>
  <c r="BC865" i="1"/>
  <c r="BC863" i="1"/>
  <c r="AV863" i="1"/>
  <c r="BC861" i="1"/>
  <c r="BC858" i="1"/>
  <c r="AV858" i="1"/>
  <c r="AV856" i="1"/>
  <c r="BC856" i="1"/>
  <c r="BC853" i="1"/>
  <c r="AV853" i="1"/>
  <c r="AV839" i="1"/>
  <c r="BC839" i="1"/>
  <c r="BC836" i="1"/>
  <c r="AV836" i="1"/>
  <c r="BC833" i="1"/>
  <c r="AV833" i="1"/>
  <c r="BC828" i="1"/>
  <c r="AV828" i="1"/>
  <c r="BC825" i="1"/>
  <c r="AV825" i="1"/>
  <c r="AU813" i="1"/>
  <c r="AV812" i="1"/>
  <c r="BC812" i="1"/>
  <c r="AV808" i="1"/>
  <c r="BC808" i="1"/>
  <c r="BC800" i="1"/>
  <c r="AV800" i="1"/>
  <c r="BC797" i="1"/>
  <c r="AV797" i="1"/>
  <c r="BC792" i="1"/>
  <c r="AV792" i="1"/>
  <c r="BC787" i="1"/>
  <c r="AV787" i="1"/>
  <c r="BC782" i="1"/>
  <c r="AV782" i="1"/>
  <c r="BC779" i="1"/>
  <c r="AV779" i="1"/>
  <c r="BC774" i="1"/>
  <c r="AV774" i="1"/>
  <c r="BC769" i="1"/>
  <c r="AV769" i="1"/>
  <c r="BC766" i="1"/>
  <c r="AV766" i="1"/>
  <c r="BC761" i="1"/>
  <c r="AV761" i="1"/>
  <c r="BC758" i="1"/>
  <c r="AV758" i="1"/>
  <c r="BC753" i="1"/>
  <c r="AV753" i="1"/>
  <c r="BC750" i="1"/>
  <c r="AV750" i="1"/>
  <c r="BC745" i="1"/>
  <c r="AV745" i="1"/>
  <c r="BC742" i="1"/>
  <c r="AV742" i="1"/>
  <c r="BC737" i="1"/>
  <c r="AV737" i="1"/>
  <c r="BC734" i="1"/>
  <c r="AV734" i="1"/>
  <c r="BC729" i="1"/>
  <c r="AV729" i="1"/>
  <c r="BC726" i="1"/>
  <c r="AV726" i="1"/>
  <c r="BC721" i="1"/>
  <c r="AV721" i="1"/>
  <c r="BC716" i="1"/>
  <c r="AV716" i="1"/>
  <c r="BC708" i="1"/>
  <c r="AV708" i="1"/>
  <c r="BC700" i="1"/>
  <c r="AV700" i="1"/>
  <c r="BC683" i="1"/>
  <c r="AV683" i="1"/>
  <c r="C28" i="4"/>
  <c r="F28" i="4" s="1"/>
  <c r="BH674" i="1"/>
  <c r="AD674" i="1" s="1"/>
  <c r="AV673" i="1"/>
  <c r="AV671" i="1"/>
  <c r="BI668" i="1"/>
  <c r="AE668" i="1" s="1"/>
  <c r="BC668" i="1"/>
  <c r="BC666" i="1"/>
  <c r="BC630" i="1"/>
  <c r="BC625" i="1"/>
  <c r="AV625" i="1"/>
  <c r="BC624" i="1"/>
  <c r="AV624" i="1"/>
  <c r="BC609" i="1"/>
  <c r="AV609" i="1"/>
  <c r="BC601" i="1"/>
  <c r="AV601" i="1"/>
  <c r="AS596" i="1"/>
  <c r="BC592" i="1"/>
  <c r="AV592" i="1"/>
  <c r="BC584" i="1"/>
  <c r="AV584" i="1"/>
  <c r="BC576" i="1"/>
  <c r="AV576" i="1"/>
  <c r="BC568" i="1"/>
  <c r="AV568" i="1"/>
  <c r="BC552" i="1"/>
  <c r="AV552" i="1"/>
  <c r="BC544" i="1"/>
  <c r="AV544" i="1"/>
  <c r="BC536" i="1"/>
  <c r="AV536" i="1"/>
  <c r="BC528" i="1"/>
  <c r="AV528" i="1"/>
  <c r="BC520" i="1"/>
  <c r="AV520" i="1"/>
  <c r="BC512" i="1"/>
  <c r="AV512" i="1"/>
  <c r="AV506" i="1"/>
  <c r="BC506" i="1"/>
  <c r="K694" i="1"/>
  <c r="G44" i="2" s="1"/>
  <c r="I44" i="2" s="1"/>
  <c r="K677" i="1"/>
  <c r="G43" i="2" s="1"/>
  <c r="I43" i="2" s="1"/>
  <c r="C21" i="4"/>
  <c r="AS667" i="1"/>
  <c r="BI671" i="1"/>
  <c r="AE671" i="1" s="1"/>
  <c r="AL670" i="1"/>
  <c r="AU667" i="1" s="1"/>
  <c r="BC669" i="1"/>
  <c r="AV664" i="1"/>
  <c r="BC621" i="1"/>
  <c r="AV621" i="1"/>
  <c r="BC620" i="1"/>
  <c r="AV620" i="1"/>
  <c r="BC608" i="1"/>
  <c r="AV608" i="1"/>
  <c r="BC600" i="1"/>
  <c r="AV600" i="1"/>
  <c r="BC591" i="1"/>
  <c r="AV591" i="1"/>
  <c r="BC583" i="1"/>
  <c r="AV583" i="1"/>
  <c r="BC575" i="1"/>
  <c r="AV575" i="1"/>
  <c r="BC567" i="1"/>
  <c r="AV567" i="1"/>
  <c r="BC560" i="1"/>
  <c r="AV560" i="1"/>
  <c r="BC553" i="1"/>
  <c r="AV553" i="1"/>
  <c r="BC545" i="1"/>
  <c r="AV545" i="1"/>
  <c r="BC537" i="1"/>
  <c r="AV537" i="1"/>
  <c r="BC529" i="1"/>
  <c r="AV529" i="1"/>
  <c r="BC521" i="1"/>
  <c r="AV521" i="1"/>
  <c r="BC513" i="1"/>
  <c r="AV513" i="1"/>
  <c r="AV502" i="1"/>
  <c r="BC502" i="1"/>
  <c r="AV859" i="1"/>
  <c r="AV855" i="1"/>
  <c r="AV851" i="1"/>
  <c r="AV846" i="1"/>
  <c r="AV842" i="1"/>
  <c r="AV838" i="1"/>
  <c r="AV834" i="1"/>
  <c r="AV830" i="1"/>
  <c r="AV826" i="1"/>
  <c r="K823" i="1"/>
  <c r="G52" i="2" s="1"/>
  <c r="I52" i="2" s="1"/>
  <c r="AV821" i="1"/>
  <c r="AV816" i="1"/>
  <c r="K813" i="1"/>
  <c r="G50" i="2" s="1"/>
  <c r="I50" i="2" s="1"/>
  <c r="AV811" i="1"/>
  <c r="AV807" i="1"/>
  <c r="AV803" i="1"/>
  <c r="AV798" i="1"/>
  <c r="AV793" i="1"/>
  <c r="AV789" i="1"/>
  <c r="K786" i="1"/>
  <c r="G47" i="2" s="1"/>
  <c r="I47" i="2" s="1"/>
  <c r="AV784" i="1"/>
  <c r="AV780" i="1"/>
  <c r="AV776" i="1"/>
  <c r="K773" i="1"/>
  <c r="G46" i="2" s="1"/>
  <c r="I46" i="2" s="1"/>
  <c r="AV771" i="1"/>
  <c r="AV767" i="1"/>
  <c r="AV763" i="1"/>
  <c r="AV759" i="1"/>
  <c r="AV755" i="1"/>
  <c r="AV751" i="1"/>
  <c r="AV747" i="1"/>
  <c r="AV743" i="1"/>
  <c r="AV739" i="1"/>
  <c r="AV735" i="1"/>
  <c r="AV731" i="1"/>
  <c r="AV727" i="1"/>
  <c r="AV723" i="1"/>
  <c r="K720" i="1"/>
  <c r="G45" i="2" s="1"/>
  <c r="I45" i="2" s="1"/>
  <c r="AV718" i="1"/>
  <c r="AV714" i="1"/>
  <c r="AV710" i="1"/>
  <c r="AV706" i="1"/>
  <c r="AV702" i="1"/>
  <c r="AV698" i="1"/>
  <c r="AV693" i="1"/>
  <c r="AV689" i="1"/>
  <c r="AV685" i="1"/>
  <c r="AV681" i="1"/>
  <c r="AV676" i="1"/>
  <c r="BI675" i="1"/>
  <c r="C20" i="4"/>
  <c r="AV670" i="1"/>
  <c r="BC670" i="1"/>
  <c r="AV669" i="1"/>
  <c r="BC664" i="1"/>
  <c r="BC661" i="1"/>
  <c r="AV661" i="1"/>
  <c r="BC660" i="1"/>
  <c r="AV660" i="1"/>
  <c r="BC657" i="1"/>
  <c r="AV657" i="1"/>
  <c r="BC656" i="1"/>
  <c r="AV656" i="1"/>
  <c r="BC653" i="1"/>
  <c r="AV653" i="1"/>
  <c r="BC652" i="1"/>
  <c r="AV652" i="1"/>
  <c r="BC649" i="1"/>
  <c r="AV649" i="1"/>
  <c r="BC648" i="1"/>
  <c r="AV648" i="1"/>
  <c r="BC645" i="1"/>
  <c r="AV645" i="1"/>
  <c r="BC644" i="1"/>
  <c r="AV644" i="1"/>
  <c r="BC641" i="1"/>
  <c r="AV641" i="1"/>
  <c r="BC640" i="1"/>
  <c r="AV640" i="1"/>
  <c r="BC637" i="1"/>
  <c r="AV637" i="1"/>
  <c r="BC636" i="1"/>
  <c r="AV636" i="1"/>
  <c r="BC633" i="1"/>
  <c r="AV633" i="1"/>
  <c r="BC632" i="1"/>
  <c r="AV632" i="1"/>
  <c r="BC622" i="1"/>
  <c r="BC617" i="1"/>
  <c r="AV617" i="1"/>
  <c r="BC616" i="1"/>
  <c r="AV616" i="1"/>
  <c r="BC613" i="1"/>
  <c r="AV613" i="1"/>
  <c r="BC605" i="1"/>
  <c r="AV605" i="1"/>
  <c r="BC597" i="1"/>
  <c r="AV597" i="1"/>
  <c r="BC588" i="1"/>
  <c r="AV588" i="1"/>
  <c r="BC580" i="1"/>
  <c r="AV580" i="1"/>
  <c r="BC572" i="1"/>
  <c r="AV572" i="1"/>
  <c r="BC564" i="1"/>
  <c r="AV564" i="1"/>
  <c r="BC561" i="1"/>
  <c r="BC556" i="1"/>
  <c r="AV556" i="1"/>
  <c r="BC548" i="1"/>
  <c r="AV548" i="1"/>
  <c r="BC540" i="1"/>
  <c r="AV540" i="1"/>
  <c r="BC532" i="1"/>
  <c r="AV532" i="1"/>
  <c r="BC524" i="1"/>
  <c r="AV524" i="1"/>
  <c r="BC516" i="1"/>
  <c r="AV516" i="1"/>
  <c r="AU500" i="1"/>
  <c r="BC675" i="1"/>
  <c r="AV663" i="1"/>
  <c r="BC663" i="1"/>
  <c r="AV659" i="1"/>
  <c r="BC659" i="1"/>
  <c r="AV655" i="1"/>
  <c r="BC655" i="1"/>
  <c r="AV651" i="1"/>
  <c r="BC651" i="1"/>
  <c r="AV647" i="1"/>
  <c r="BC647" i="1"/>
  <c r="AV643" i="1"/>
  <c r="BC643" i="1"/>
  <c r="AV639" i="1"/>
  <c r="BC639" i="1"/>
  <c r="AV635" i="1"/>
  <c r="BC635" i="1"/>
  <c r="BC629" i="1"/>
  <c r="AV629" i="1"/>
  <c r="BC628" i="1"/>
  <c r="AV628" i="1"/>
  <c r="AV615" i="1"/>
  <c r="BC615" i="1"/>
  <c r="BC612" i="1"/>
  <c r="AV612" i="1"/>
  <c r="BC604" i="1"/>
  <c r="AV604" i="1"/>
  <c r="AT596" i="1"/>
  <c r="K596" i="1"/>
  <c r="G41" i="2" s="1"/>
  <c r="I41" i="2" s="1"/>
  <c r="BC595" i="1"/>
  <c r="AV595" i="1"/>
  <c r="BC587" i="1"/>
  <c r="AV587" i="1"/>
  <c r="BC579" i="1"/>
  <c r="AV579" i="1"/>
  <c r="BC571" i="1"/>
  <c r="AV571" i="1"/>
  <c r="BC563" i="1"/>
  <c r="AV563" i="1"/>
  <c r="BC557" i="1"/>
  <c r="AV557" i="1"/>
  <c r="BC549" i="1"/>
  <c r="AV549" i="1"/>
  <c r="BC541" i="1"/>
  <c r="AV541" i="1"/>
  <c r="BC533" i="1"/>
  <c r="AV533" i="1"/>
  <c r="BC525" i="1"/>
  <c r="AV525" i="1"/>
  <c r="BC517" i="1"/>
  <c r="AV517" i="1"/>
  <c r="BC509" i="1"/>
  <c r="AV509" i="1"/>
  <c r="C19" i="4"/>
  <c r="BC631" i="1"/>
  <c r="BC627" i="1"/>
  <c r="BC623" i="1"/>
  <c r="BC619" i="1"/>
  <c r="BC611" i="1"/>
  <c r="BC607" i="1"/>
  <c r="BC603" i="1"/>
  <c r="BC599" i="1"/>
  <c r="AL597" i="1"/>
  <c r="AU596" i="1" s="1"/>
  <c r="BC594" i="1"/>
  <c r="BC590" i="1"/>
  <c r="BC586" i="1"/>
  <c r="BC582" i="1"/>
  <c r="BC578" i="1"/>
  <c r="BC574" i="1"/>
  <c r="BC570" i="1"/>
  <c r="BC566" i="1"/>
  <c r="BC562" i="1"/>
  <c r="AV559" i="1"/>
  <c r="BC558" i="1"/>
  <c r="AV555" i="1"/>
  <c r="AV551" i="1"/>
  <c r="AV547" i="1"/>
  <c r="AV543" i="1"/>
  <c r="AV539" i="1"/>
  <c r="AV535" i="1"/>
  <c r="AV531" i="1"/>
  <c r="AV527" i="1"/>
  <c r="AV523" i="1"/>
  <c r="AV519" i="1"/>
  <c r="AV515" i="1"/>
  <c r="AV511" i="1"/>
  <c r="BH506" i="1"/>
  <c r="AD506" i="1" s="1"/>
  <c r="AV504" i="1"/>
  <c r="BH503" i="1"/>
  <c r="AD503" i="1" s="1"/>
  <c r="BH502" i="1"/>
  <c r="AD502" i="1" s="1"/>
  <c r="BC496" i="1"/>
  <c r="AV496" i="1"/>
  <c r="AV489" i="1"/>
  <c r="BC489" i="1"/>
  <c r="AV481" i="1"/>
  <c r="BC481" i="1"/>
  <c r="AV473" i="1"/>
  <c r="BC473" i="1"/>
  <c r="AV465" i="1"/>
  <c r="BC465" i="1"/>
  <c r="AV457" i="1"/>
  <c r="BC457" i="1"/>
  <c r="AV449" i="1"/>
  <c r="BC449" i="1"/>
  <c r="AV441" i="1"/>
  <c r="BC441" i="1"/>
  <c r="BC435" i="1"/>
  <c r="AV433" i="1"/>
  <c r="BC433" i="1"/>
  <c r="BC427" i="1"/>
  <c r="AV425" i="1"/>
  <c r="BC425" i="1"/>
  <c r="BC419" i="1"/>
  <c r="AV417" i="1"/>
  <c r="BC417" i="1"/>
  <c r="BC410" i="1"/>
  <c r="AV408" i="1"/>
  <c r="BC408" i="1"/>
  <c r="K500" i="1"/>
  <c r="G40" i="2" s="1"/>
  <c r="I40" i="2" s="1"/>
  <c r="AV498" i="1"/>
  <c r="BC494" i="1"/>
  <c r="AV494" i="1"/>
  <c r="BC491" i="1"/>
  <c r="AV491" i="1"/>
  <c r="BC486" i="1"/>
  <c r="AV486" i="1"/>
  <c r="BC483" i="1"/>
  <c r="AV483" i="1"/>
  <c r="BC478" i="1"/>
  <c r="AV478" i="1"/>
  <c r="BC475" i="1"/>
  <c r="AV475" i="1"/>
  <c r="BC470" i="1"/>
  <c r="AV470" i="1"/>
  <c r="BC467" i="1"/>
  <c r="AV467" i="1"/>
  <c r="BC462" i="1"/>
  <c r="AV462" i="1"/>
  <c r="BC459" i="1"/>
  <c r="AV459" i="1"/>
  <c r="BC454" i="1"/>
  <c r="AV454" i="1"/>
  <c r="BC451" i="1"/>
  <c r="AV451" i="1"/>
  <c r="BC446" i="1"/>
  <c r="AV446" i="1"/>
  <c r="BC443" i="1"/>
  <c r="AV443" i="1"/>
  <c r="BC438" i="1"/>
  <c r="AV438" i="1"/>
  <c r="BC430" i="1"/>
  <c r="AV430" i="1"/>
  <c r="BC422" i="1"/>
  <c r="AV422" i="1"/>
  <c r="AU414" i="1"/>
  <c r="BC413" i="1"/>
  <c r="AV413" i="1"/>
  <c r="AV658" i="1"/>
  <c r="AV654" i="1"/>
  <c r="AV650" i="1"/>
  <c r="AV646" i="1"/>
  <c r="AV642" i="1"/>
  <c r="AV638" i="1"/>
  <c r="AV634" i="1"/>
  <c r="AV630" i="1"/>
  <c r="AV626" i="1"/>
  <c r="AV622" i="1"/>
  <c r="AV618" i="1"/>
  <c r="AV614" i="1"/>
  <c r="AV585" i="1"/>
  <c r="AV577" i="1"/>
  <c r="AV573" i="1"/>
  <c r="AV569" i="1"/>
  <c r="AV561" i="1"/>
  <c r="AV503" i="1"/>
  <c r="AS500" i="1"/>
  <c r="BH497" i="1"/>
  <c r="AD497" i="1" s="1"/>
  <c r="AV493" i="1"/>
  <c r="BC493" i="1"/>
  <c r="AV485" i="1"/>
  <c r="BC485" i="1"/>
  <c r="AV477" i="1"/>
  <c r="BC477" i="1"/>
  <c r="AV469" i="1"/>
  <c r="BC469" i="1"/>
  <c r="AV461" i="1"/>
  <c r="BC461" i="1"/>
  <c r="AV453" i="1"/>
  <c r="BC453" i="1"/>
  <c r="AV445" i="1"/>
  <c r="BC445" i="1"/>
  <c r="BC439" i="1"/>
  <c r="AV437" i="1"/>
  <c r="BC437" i="1"/>
  <c r="BC431" i="1"/>
  <c r="AV429" i="1"/>
  <c r="BC429" i="1"/>
  <c r="BC423" i="1"/>
  <c r="AV421" i="1"/>
  <c r="BC421" i="1"/>
  <c r="BC415" i="1"/>
  <c r="AT414" i="1"/>
  <c r="K414" i="1"/>
  <c r="G39" i="2" s="1"/>
  <c r="I39" i="2" s="1"/>
  <c r="AV412" i="1"/>
  <c r="BC412" i="1"/>
  <c r="AV405" i="1"/>
  <c r="BC405" i="1"/>
  <c r="AV497" i="1"/>
  <c r="BC497" i="1"/>
  <c r="BC495" i="1"/>
  <c r="AV495" i="1"/>
  <c r="BC490" i="1"/>
  <c r="AV490" i="1"/>
  <c r="BC487" i="1"/>
  <c r="AV487" i="1"/>
  <c r="BC482" i="1"/>
  <c r="AV482" i="1"/>
  <c r="BC479" i="1"/>
  <c r="AV479" i="1"/>
  <c r="BC474" i="1"/>
  <c r="AV474" i="1"/>
  <c r="BC471" i="1"/>
  <c r="AV471" i="1"/>
  <c r="BC466" i="1"/>
  <c r="AV466" i="1"/>
  <c r="BC463" i="1"/>
  <c r="AV463" i="1"/>
  <c r="BC458" i="1"/>
  <c r="AV458" i="1"/>
  <c r="BC455" i="1"/>
  <c r="AV455" i="1"/>
  <c r="BC450" i="1"/>
  <c r="AV450" i="1"/>
  <c r="BC447" i="1"/>
  <c r="AV447" i="1"/>
  <c r="BC442" i="1"/>
  <c r="AV442" i="1"/>
  <c r="BC434" i="1"/>
  <c r="AV434" i="1"/>
  <c r="BC426" i="1"/>
  <c r="AV426" i="1"/>
  <c r="BC418" i="1"/>
  <c r="AV418" i="1"/>
  <c r="AS414" i="1"/>
  <c r="BC409" i="1"/>
  <c r="AV409" i="1"/>
  <c r="AV403" i="1"/>
  <c r="AX402" i="1"/>
  <c r="AV402" i="1" s="1"/>
  <c r="AV401" i="1"/>
  <c r="BC401" i="1"/>
  <c r="BC390" i="1"/>
  <c r="AV390" i="1"/>
  <c r="BC382" i="1"/>
  <c r="AV382" i="1"/>
  <c r="BC374" i="1"/>
  <c r="AV374" i="1"/>
  <c r="BC370" i="1"/>
  <c r="AV370" i="1"/>
  <c r="BC366" i="1"/>
  <c r="AV366" i="1"/>
  <c r="BC359" i="1"/>
  <c r="AV359" i="1"/>
  <c r="BC351" i="1"/>
  <c r="AV351" i="1"/>
  <c r="AT338" i="1"/>
  <c r="K338" i="1"/>
  <c r="G38" i="2" s="1"/>
  <c r="I38" i="2" s="1"/>
  <c r="BC337" i="1"/>
  <c r="AV337" i="1"/>
  <c r="BC333" i="1"/>
  <c r="AV333" i="1"/>
  <c r="BC325" i="1"/>
  <c r="AV325" i="1"/>
  <c r="BC317" i="1"/>
  <c r="AV317" i="1"/>
  <c r="BC299" i="1"/>
  <c r="AV299" i="1"/>
  <c r="BC292" i="1"/>
  <c r="AV292" i="1"/>
  <c r="BC286" i="1"/>
  <c r="AV286" i="1"/>
  <c r="BC284" i="1"/>
  <c r="AV284" i="1"/>
  <c r="BC280" i="1"/>
  <c r="AV280" i="1"/>
  <c r="AV406" i="1"/>
  <c r="BC398" i="1"/>
  <c r="AV398" i="1"/>
  <c r="BC391" i="1"/>
  <c r="AV391" i="1"/>
  <c r="BC383" i="1"/>
  <c r="AV383" i="1"/>
  <c r="BC375" i="1"/>
  <c r="AV375" i="1"/>
  <c r="BC371" i="1"/>
  <c r="AV371" i="1"/>
  <c r="BC367" i="1"/>
  <c r="AV367" i="1"/>
  <c r="BC363" i="1"/>
  <c r="AV363" i="1"/>
  <c r="BC354" i="1"/>
  <c r="AV354" i="1"/>
  <c r="BC346" i="1"/>
  <c r="AV346" i="1"/>
  <c r="BC339" i="1"/>
  <c r="AV339" i="1"/>
  <c r="AS338" i="1"/>
  <c r="BC334" i="1"/>
  <c r="AV334" i="1"/>
  <c r="BC326" i="1"/>
  <c r="AV326" i="1"/>
  <c r="BC322" i="1"/>
  <c r="AV322" i="1"/>
  <c r="AU319" i="1"/>
  <c r="BC312" i="1"/>
  <c r="AV312" i="1"/>
  <c r="BC303" i="1"/>
  <c r="AV303" i="1"/>
  <c r="BC296" i="1"/>
  <c r="AV296" i="1"/>
  <c r="AU289" i="1"/>
  <c r="BC281" i="1"/>
  <c r="AV281" i="1"/>
  <c r="BC277" i="1"/>
  <c r="AV277" i="1"/>
  <c r="BC276" i="1"/>
  <c r="AV276" i="1"/>
  <c r="AV492" i="1"/>
  <c r="AV488" i="1"/>
  <c r="AV484" i="1"/>
  <c r="AV480" i="1"/>
  <c r="AV476" i="1"/>
  <c r="AV472" i="1"/>
  <c r="AV468" i="1"/>
  <c r="AV464" i="1"/>
  <c r="AV460" i="1"/>
  <c r="AV456" i="1"/>
  <c r="AV452" i="1"/>
  <c r="AV448" i="1"/>
  <c r="AV444" i="1"/>
  <c r="AV440" i="1"/>
  <c r="AV436" i="1"/>
  <c r="AV432" i="1"/>
  <c r="AV428" i="1"/>
  <c r="AV424" i="1"/>
  <c r="AV420" i="1"/>
  <c r="AV416" i="1"/>
  <c r="AV411" i="1"/>
  <c r="BI406" i="1"/>
  <c r="AE406" i="1" s="1"/>
  <c r="BC406" i="1"/>
  <c r="BI403" i="1"/>
  <c r="AE403" i="1" s="1"/>
  <c r="BC394" i="1"/>
  <c r="AV394" i="1"/>
  <c r="BC386" i="1"/>
  <c r="AV386" i="1"/>
  <c r="BC378" i="1"/>
  <c r="AV378" i="1"/>
  <c r="BC355" i="1"/>
  <c r="AV355" i="1"/>
  <c r="BC347" i="1"/>
  <c r="AV347" i="1"/>
  <c r="BC342" i="1"/>
  <c r="AV342" i="1"/>
  <c r="BC329" i="1"/>
  <c r="AV329" i="1"/>
  <c r="BC321" i="1"/>
  <c r="AV321" i="1"/>
  <c r="BC316" i="1"/>
  <c r="AV316" i="1"/>
  <c r="AU309" i="1"/>
  <c r="BC308" i="1"/>
  <c r="AV308" i="1"/>
  <c r="BC307" i="1"/>
  <c r="AV307" i="1"/>
  <c r="BC300" i="1"/>
  <c r="AV300" i="1"/>
  <c r="BC291" i="1"/>
  <c r="AV291" i="1"/>
  <c r="BC273" i="1"/>
  <c r="AV273" i="1"/>
  <c r="BC272" i="1"/>
  <c r="AV272" i="1"/>
  <c r="BC268" i="1"/>
  <c r="AV268" i="1"/>
  <c r="BC264" i="1"/>
  <c r="AV263" i="1"/>
  <c r="BC263" i="1"/>
  <c r="BH406" i="1"/>
  <c r="AD406" i="1" s="1"/>
  <c r="C16" i="4" s="1"/>
  <c r="BH405" i="1"/>
  <c r="AD405" i="1" s="1"/>
  <c r="BC402" i="1"/>
  <c r="BI399" i="1"/>
  <c r="AE399" i="1" s="1"/>
  <c r="C17" i="4" s="1"/>
  <c r="BC395" i="1"/>
  <c r="AV395" i="1"/>
  <c r="BC387" i="1"/>
  <c r="AV387" i="1"/>
  <c r="BC379" i="1"/>
  <c r="AV379" i="1"/>
  <c r="BC362" i="1"/>
  <c r="AV362" i="1"/>
  <c r="BC358" i="1"/>
  <c r="AV358" i="1"/>
  <c r="BC350" i="1"/>
  <c r="AV350" i="1"/>
  <c r="BC343" i="1"/>
  <c r="AV343" i="1"/>
  <c r="AU338" i="1"/>
  <c r="BC330" i="1"/>
  <c r="AV330" i="1"/>
  <c r="BC313" i="1"/>
  <c r="AV313" i="1"/>
  <c r="BC310" i="1"/>
  <c r="BC304" i="1"/>
  <c r="AV304" i="1"/>
  <c r="BC301" i="1"/>
  <c r="BC295" i="1"/>
  <c r="AV295" i="1"/>
  <c r="BC270" i="1"/>
  <c r="BC269" i="1"/>
  <c r="AV269" i="1"/>
  <c r="BC266" i="1"/>
  <c r="BC397" i="1"/>
  <c r="BC393" i="1"/>
  <c r="BC389" i="1"/>
  <c r="BC385" i="1"/>
  <c r="BC381" i="1"/>
  <c r="BC377" i="1"/>
  <c r="BC373" i="1"/>
  <c r="BC369" i="1"/>
  <c r="BC365" i="1"/>
  <c r="BC361" i="1"/>
  <c r="BC357" i="1"/>
  <c r="BC353" i="1"/>
  <c r="BC349" i="1"/>
  <c r="BC345" i="1"/>
  <c r="BC341" i="1"/>
  <c r="BC336" i="1"/>
  <c r="BC332" i="1"/>
  <c r="BC328" i="1"/>
  <c r="BC324" i="1"/>
  <c r="BC320" i="1"/>
  <c r="BC315" i="1"/>
  <c r="BC311" i="1"/>
  <c r="BC306" i="1"/>
  <c r="BC302" i="1"/>
  <c r="BC298" i="1"/>
  <c r="BC294" i="1"/>
  <c r="BC290" i="1"/>
  <c r="BC283" i="1"/>
  <c r="BC279" i="1"/>
  <c r="BC275" i="1"/>
  <c r="BC271" i="1"/>
  <c r="BC267" i="1"/>
  <c r="K265" i="1"/>
  <c r="G32" i="2" s="1"/>
  <c r="I32" i="2" s="1"/>
  <c r="BI264" i="1"/>
  <c r="AC264" i="1" s="1"/>
  <c r="BC261" i="1"/>
  <c r="AV261" i="1"/>
  <c r="BC248" i="1"/>
  <c r="AV248" i="1"/>
  <c r="BC245" i="1"/>
  <c r="AV245" i="1"/>
  <c r="BC226" i="1"/>
  <c r="AV226" i="1"/>
  <c r="AS225" i="1"/>
  <c r="BC221" i="1"/>
  <c r="AV221" i="1"/>
  <c r="AU265" i="1"/>
  <c r="BC252" i="1"/>
  <c r="AV252" i="1"/>
  <c r="BC249" i="1"/>
  <c r="AV249" i="1"/>
  <c r="BC238" i="1"/>
  <c r="BC237" i="1"/>
  <c r="AV237" i="1"/>
  <c r="BC229" i="1"/>
  <c r="AV229" i="1"/>
  <c r="AV218" i="1"/>
  <c r="BC218" i="1"/>
  <c r="AV396" i="1"/>
  <c r="AV344" i="1"/>
  <c r="AV323" i="1"/>
  <c r="AV318" i="1"/>
  <c r="AV314" i="1"/>
  <c r="AV310" i="1"/>
  <c r="BC256" i="1"/>
  <c r="AV256" i="1"/>
  <c r="BC253" i="1"/>
  <c r="AV253" i="1"/>
  <c r="BC240" i="1"/>
  <c r="AV240" i="1"/>
  <c r="BC236" i="1"/>
  <c r="AV236" i="1"/>
  <c r="BC233" i="1"/>
  <c r="AV233" i="1"/>
  <c r="AU225" i="1"/>
  <c r="AV264" i="1"/>
  <c r="BH263" i="1"/>
  <c r="AB263" i="1" s="1"/>
  <c r="AV262" i="1"/>
  <c r="BC260" i="1"/>
  <c r="AV260" i="1"/>
  <c r="BC257" i="1"/>
  <c r="AV257" i="1"/>
  <c r="BC244" i="1"/>
  <c r="AV244" i="1"/>
  <c r="BC241" i="1"/>
  <c r="AV241" i="1"/>
  <c r="BC232" i="1"/>
  <c r="AV232" i="1"/>
  <c r="BC230" i="1"/>
  <c r="AV230" i="1"/>
  <c r="AT225" i="1"/>
  <c r="K225" i="1"/>
  <c r="G31" i="2" s="1"/>
  <c r="I31" i="2" s="1"/>
  <c r="BC224" i="1"/>
  <c r="AV224" i="1"/>
  <c r="BC217" i="1"/>
  <c r="BC259" i="1"/>
  <c r="BC255" i="1"/>
  <c r="BC251" i="1"/>
  <c r="BC247" i="1"/>
  <c r="BC243" i="1"/>
  <c r="BC239" i="1"/>
  <c r="BC235" i="1"/>
  <c r="BC231" i="1"/>
  <c r="AV228" i="1"/>
  <c r="BC227" i="1"/>
  <c r="AV223" i="1"/>
  <c r="AV216" i="1"/>
  <c r="BI215" i="1"/>
  <c r="AC215" i="1" s="1"/>
  <c r="BC215" i="1"/>
  <c r="AV214" i="1"/>
  <c r="AV213" i="1"/>
  <c r="BC208" i="1"/>
  <c r="AV208" i="1"/>
  <c r="BC207" i="1"/>
  <c r="AV207" i="1"/>
  <c r="BC204" i="1"/>
  <c r="AV204" i="1"/>
  <c r="BC203" i="1"/>
  <c r="AV203" i="1"/>
  <c r="BC200" i="1"/>
  <c r="AV200" i="1"/>
  <c r="BC194" i="1"/>
  <c r="AV194" i="1"/>
  <c r="BC192" i="1"/>
  <c r="AV192" i="1"/>
  <c r="K186" i="1"/>
  <c r="G30" i="2" s="1"/>
  <c r="I30" i="2" s="1"/>
  <c r="BC185" i="1"/>
  <c r="AV185" i="1"/>
  <c r="BC183" i="1"/>
  <c r="AV183" i="1"/>
  <c r="BC176" i="1"/>
  <c r="AV176" i="1"/>
  <c r="BC174" i="1"/>
  <c r="AV174" i="1"/>
  <c r="AU171" i="1"/>
  <c r="BC166" i="1"/>
  <c r="AV166" i="1"/>
  <c r="BC164" i="1"/>
  <c r="AV164" i="1"/>
  <c r="BC158" i="1"/>
  <c r="AV158" i="1"/>
  <c r="BC155" i="1"/>
  <c r="AV155" i="1"/>
  <c r="BC144" i="1"/>
  <c r="AV144" i="1"/>
  <c r="BC141" i="1"/>
  <c r="AV141" i="1"/>
  <c r="BC90" i="1"/>
  <c r="AV90" i="1"/>
  <c r="BI218" i="1"/>
  <c r="AC218" i="1" s="1"/>
  <c r="BI217" i="1"/>
  <c r="AC217" i="1" s="1"/>
  <c r="BH210" i="1"/>
  <c r="AB210" i="1" s="1"/>
  <c r="AU186" i="1"/>
  <c r="AV238" i="1"/>
  <c r="BC213" i="1"/>
  <c r="BC212" i="1"/>
  <c r="BC198" i="1"/>
  <c r="AV198" i="1"/>
  <c r="BC196" i="1"/>
  <c r="AV196" i="1"/>
  <c r="BC190" i="1"/>
  <c r="AV190" i="1"/>
  <c r="BC188" i="1"/>
  <c r="AV188" i="1"/>
  <c r="AT186" i="1"/>
  <c r="AU182" i="1"/>
  <c r="BC180" i="1"/>
  <c r="AV180" i="1"/>
  <c r="BC178" i="1"/>
  <c r="AV178" i="1"/>
  <c r="BC172" i="1"/>
  <c r="AV172" i="1"/>
  <c r="BC168" i="1"/>
  <c r="AV168" i="1"/>
  <c r="BC162" i="1"/>
  <c r="AV162" i="1"/>
  <c r="BC160" i="1"/>
  <c r="AV160" i="1"/>
  <c r="AU154" i="1"/>
  <c r="BC151" i="1"/>
  <c r="AV151" i="1"/>
  <c r="BC147" i="1"/>
  <c r="AV147" i="1"/>
  <c r="AU143" i="1"/>
  <c r="BC139" i="1"/>
  <c r="AV139" i="1"/>
  <c r="AV138" i="1"/>
  <c r="AV217" i="1"/>
  <c r="BC211" i="1"/>
  <c r="BC210" i="1"/>
  <c r="BH208" i="1"/>
  <c r="AB208" i="1" s="1"/>
  <c r="BI205" i="1"/>
  <c r="AC205" i="1" s="1"/>
  <c r="BH204" i="1"/>
  <c r="AB204" i="1" s="1"/>
  <c r="BI201" i="1"/>
  <c r="AC201" i="1" s="1"/>
  <c r="AS186" i="1"/>
  <c r="BC80" i="1"/>
  <c r="AV80" i="1"/>
  <c r="K182" i="1"/>
  <c r="G29" i="2" s="1"/>
  <c r="I29" i="2" s="1"/>
  <c r="K154" i="1"/>
  <c r="G26" i="2" s="1"/>
  <c r="I26" i="2" s="1"/>
  <c r="AU127" i="1"/>
  <c r="BC108" i="1"/>
  <c r="AV108" i="1"/>
  <c r="AL104" i="1"/>
  <c r="AU103" i="1" s="1"/>
  <c r="K103" i="1"/>
  <c r="K12" i="1" s="1"/>
  <c r="G11" i="2" s="1"/>
  <c r="AV102" i="1"/>
  <c r="BC102" i="1"/>
  <c r="AX96" i="1"/>
  <c r="AV96" i="1" s="1"/>
  <c r="BI96" i="1"/>
  <c r="AC96" i="1" s="1"/>
  <c r="AW93" i="1"/>
  <c r="BH93" i="1"/>
  <c r="AB93" i="1" s="1"/>
  <c r="AU85" i="1"/>
  <c r="AV73" i="1"/>
  <c r="BC73" i="1"/>
  <c r="BC72" i="1"/>
  <c r="AV72" i="1"/>
  <c r="BC71" i="1"/>
  <c r="AV71" i="1"/>
  <c r="AW70" i="1"/>
  <c r="BH70" i="1"/>
  <c r="AB70" i="1" s="1"/>
  <c r="C14" i="4" s="1"/>
  <c r="AV69" i="1"/>
  <c r="BC69" i="1"/>
  <c r="AT50" i="1"/>
  <c r="BC49" i="1"/>
  <c r="AV49" i="1"/>
  <c r="BC43" i="1"/>
  <c r="AV43" i="1"/>
  <c r="BC38" i="1"/>
  <c r="AV38" i="1"/>
  <c r="AU36" i="1"/>
  <c r="BC34" i="1"/>
  <c r="AV34" i="1"/>
  <c r="AV199" i="1"/>
  <c r="AV195" i="1"/>
  <c r="AV191" i="1"/>
  <c r="AV187" i="1"/>
  <c r="AV181" i="1"/>
  <c r="AV177" i="1"/>
  <c r="AV173" i="1"/>
  <c r="AV167" i="1"/>
  <c r="AV163" i="1"/>
  <c r="AV159" i="1"/>
  <c r="AV153" i="1"/>
  <c r="AV145" i="1"/>
  <c r="AV140" i="1"/>
  <c r="BC137" i="1"/>
  <c r="AV135" i="1"/>
  <c r="BC128" i="1"/>
  <c r="AV126" i="1"/>
  <c r="AV124" i="1"/>
  <c r="AV122" i="1"/>
  <c r="AT121" i="1"/>
  <c r="BC118" i="1"/>
  <c r="BC115" i="1"/>
  <c r="BC109" i="1"/>
  <c r="BC97" i="1"/>
  <c r="AV97" i="1"/>
  <c r="BI87" i="1"/>
  <c r="AC87" i="1" s="1"/>
  <c r="K171" i="1"/>
  <c r="G28" i="2" s="1"/>
  <c r="I28" i="2" s="1"/>
  <c r="K143" i="1"/>
  <c r="G25" i="2" s="1"/>
  <c r="I25" i="2" s="1"/>
  <c r="BH136" i="1"/>
  <c r="AB136" i="1" s="1"/>
  <c r="AV136" i="1"/>
  <c r="BI129" i="1"/>
  <c r="AC129" i="1" s="1"/>
  <c r="K127" i="1"/>
  <c r="G24" i="2" s="1"/>
  <c r="I24" i="2" s="1"/>
  <c r="BH125" i="1"/>
  <c r="AB125" i="1" s="1"/>
  <c r="AV125" i="1"/>
  <c r="BI119" i="1"/>
  <c r="AC119" i="1" s="1"/>
  <c r="BI117" i="1"/>
  <c r="AC117" i="1" s="1"/>
  <c r="AW114" i="1"/>
  <c r="BH114" i="1"/>
  <c r="AB114" i="1" s="1"/>
  <c r="BC111" i="1"/>
  <c r="AX109" i="1"/>
  <c r="AV109" i="1" s="1"/>
  <c r="BI109" i="1"/>
  <c r="AC109" i="1" s="1"/>
  <c r="AW106" i="1"/>
  <c r="BH106" i="1"/>
  <c r="AB106" i="1" s="1"/>
  <c r="AW104" i="1"/>
  <c r="BH104" i="1"/>
  <c r="AB104" i="1" s="1"/>
  <c r="AV95" i="1"/>
  <c r="BC95" i="1"/>
  <c r="AX94" i="1"/>
  <c r="AV94" i="1" s="1"/>
  <c r="AS85" i="1"/>
  <c r="BC79" i="1"/>
  <c r="AV79" i="1"/>
  <c r="AX78" i="1"/>
  <c r="BI78" i="1"/>
  <c r="AC78" i="1" s="1"/>
  <c r="C15" i="4" s="1"/>
  <c r="BC134" i="1"/>
  <c r="BI133" i="1"/>
  <c r="AC133" i="1" s="1"/>
  <c r="BC133" i="1"/>
  <c r="BI131" i="1"/>
  <c r="AC131" i="1" s="1"/>
  <c r="BC131" i="1"/>
  <c r="AV129" i="1"/>
  <c r="BH128" i="1"/>
  <c r="AB128" i="1" s="1"/>
  <c r="AV128" i="1"/>
  <c r="AS127" i="1"/>
  <c r="BC123" i="1"/>
  <c r="K121" i="1"/>
  <c r="G23" i="2" s="1"/>
  <c r="I23" i="2" s="1"/>
  <c r="AV119" i="1"/>
  <c r="BH118" i="1"/>
  <c r="AB118" i="1" s="1"/>
  <c r="AV118" i="1"/>
  <c r="AV117" i="1"/>
  <c r="AW112" i="1"/>
  <c r="BH112" i="1"/>
  <c r="AB112" i="1" s="1"/>
  <c r="BC110" i="1"/>
  <c r="AV110" i="1"/>
  <c r="AT103" i="1"/>
  <c r="AW101" i="1"/>
  <c r="BH101" i="1"/>
  <c r="AB101" i="1" s="1"/>
  <c r="AW99" i="1"/>
  <c r="BH99" i="1"/>
  <c r="AB99" i="1" s="1"/>
  <c r="AW98" i="1"/>
  <c r="BC96" i="1"/>
  <c r="BC94" i="1"/>
  <c r="AV91" i="1"/>
  <c r="BC91" i="1"/>
  <c r="BH90" i="1"/>
  <c r="AB90" i="1" s="1"/>
  <c r="BC89" i="1"/>
  <c r="AV89" i="1"/>
  <c r="AX88" i="1"/>
  <c r="BI88" i="1"/>
  <c r="AC88" i="1" s="1"/>
  <c r="BC86" i="1"/>
  <c r="AV86" i="1"/>
  <c r="AV81" i="1"/>
  <c r="BC81" i="1"/>
  <c r="BH80" i="1"/>
  <c r="AB80" i="1" s="1"/>
  <c r="BH73" i="1"/>
  <c r="AB73" i="1" s="1"/>
  <c r="AV107" i="1"/>
  <c r="AV87" i="1"/>
  <c r="BH86" i="1"/>
  <c r="AB86" i="1" s="1"/>
  <c r="AT85" i="1"/>
  <c r="BH77" i="1"/>
  <c r="AB77" i="1" s="1"/>
  <c r="AV115" i="1"/>
  <c r="BC107" i="1"/>
  <c r="AV77" i="1"/>
  <c r="BC76" i="1"/>
  <c r="AV76" i="1"/>
  <c r="BC66" i="1"/>
  <c r="AV66" i="1"/>
  <c r="BC55" i="1"/>
  <c r="AV55" i="1"/>
  <c r="AS50" i="1"/>
  <c r="BC35" i="1"/>
  <c r="AV35" i="1"/>
  <c r="BC33" i="1"/>
  <c r="AV33" i="1"/>
  <c r="BC30" i="1"/>
  <c r="AV30" i="1"/>
  <c r="BC23" i="1"/>
  <c r="AV23" i="1"/>
  <c r="BC67" i="1"/>
  <c r="AV67" i="1"/>
  <c r="BC60" i="1"/>
  <c r="BC58" i="1"/>
  <c r="AV58" i="1"/>
  <c r="BC52" i="1"/>
  <c r="BC51" i="1"/>
  <c r="AV51" i="1"/>
  <c r="BC31" i="1"/>
  <c r="AV31" i="1"/>
  <c r="AU22" i="1"/>
  <c r="AV19" i="1"/>
  <c r="BC18" i="1"/>
  <c r="AV18" i="1"/>
  <c r="BC63" i="1"/>
  <c r="AV63" i="1"/>
  <c r="BC62" i="1"/>
  <c r="AV62" i="1"/>
  <c r="BC59" i="1"/>
  <c r="AV59" i="1"/>
  <c r="BC54" i="1"/>
  <c r="AV54" i="1"/>
  <c r="AU50" i="1"/>
  <c r="AU47" i="1"/>
  <c r="BC46" i="1"/>
  <c r="BC44" i="1"/>
  <c r="AV44" i="1"/>
  <c r="AU41" i="1"/>
  <c r="BC40" i="1"/>
  <c r="BC39" i="1"/>
  <c r="AV39" i="1"/>
  <c r="BC27" i="1"/>
  <c r="AV27" i="1"/>
  <c r="BC65" i="1"/>
  <c r="BC61" i="1"/>
  <c r="BC57" i="1"/>
  <c r="BC53" i="1"/>
  <c r="BC48" i="1"/>
  <c r="BC42" i="1"/>
  <c r="BC37" i="1"/>
  <c r="BC32" i="1"/>
  <c r="AV29" i="1"/>
  <c r="BC28" i="1"/>
  <c r="AV25" i="1"/>
  <c r="BC24" i="1"/>
  <c r="AV20" i="1"/>
  <c r="BC19" i="1"/>
  <c r="AV16" i="1"/>
  <c r="AV17" i="1"/>
  <c r="C27" i="4"/>
  <c r="AT667" i="1"/>
  <c r="C22" i="4" l="1"/>
  <c r="K1207" i="1"/>
  <c r="G67" i="2" s="1"/>
  <c r="G68" i="2"/>
  <c r="I68" i="2" s="1"/>
  <c r="AV1055" i="1"/>
  <c r="BC1297" i="1"/>
  <c r="AV1297" i="1"/>
  <c r="AV98" i="1"/>
  <c r="BC98" i="1"/>
  <c r="BC101" i="1"/>
  <c r="AV101" i="1"/>
  <c r="BC106" i="1"/>
  <c r="AV106" i="1"/>
  <c r="AV70" i="1"/>
  <c r="BC70" i="1"/>
  <c r="K1228" i="1"/>
  <c r="G71" i="2" s="1"/>
  <c r="G72" i="2"/>
  <c r="I72" i="2" s="1"/>
  <c r="K1052" i="1"/>
  <c r="G57" i="2" s="1"/>
  <c r="BC112" i="1"/>
  <c r="AV112" i="1"/>
  <c r="BC114" i="1"/>
  <c r="AV114" i="1"/>
  <c r="AV88" i="1"/>
  <c r="BC88" i="1"/>
  <c r="BC93" i="1"/>
  <c r="AV93" i="1"/>
  <c r="AV99" i="1"/>
  <c r="BC99" i="1"/>
  <c r="BC78" i="1"/>
  <c r="AV78" i="1"/>
  <c r="BC104" i="1"/>
  <c r="AV104" i="1"/>
  <c r="G22" i="2"/>
  <c r="I22" i="2" s="1"/>
  <c r="K1302" i="1"/>
  <c r="C29" i="4"/>
  <c r="F29" i="4" s="1"/>
  <c r="AV1263" i="1"/>
  <c r="I28" i="4" l="1"/>
  <c r="I29" i="4" s="1"/>
  <c r="G80" i="2"/>
</calcChain>
</file>

<file path=xl/sharedStrings.xml><?xml version="1.0" encoding="utf-8"?>
<sst xmlns="http://schemas.openxmlformats.org/spreadsheetml/2006/main" count="19710" uniqueCount="4197">
  <si>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</si>
  <si>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</si>
  <si>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</si>
  <si>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</si>
  <si>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</si>
  <si>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</si>
  <si>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</si>
  <si>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</si>
  <si>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</si>
  <si>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</si>
  <si>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</si>
  <si>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</si>
  <si>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</si>
  <si>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</si>
  <si>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</si>
  <si>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</si>
  <si>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</si>
  <si>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</si>
  <si>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</si>
  <si>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</si>
  <si>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</si>
  <si>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</si>
  <si>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</si>
  <si>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</si>
  <si>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</si>
  <si>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</si>
  <si>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</si>
  <si>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</si>
  <si>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</si>
  <si>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</si>
  <si>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</si>
  <si>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</si>
  <si>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</si>
  <si>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</si>
  <si>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</si>
  <si>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</si>
  <si>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</si>
  <si>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</si>
  <si>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</si>
  <si>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</si>
  <si>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</si>
  <si>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</si>
  <si>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</si>
  <si>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</si>
  <si>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</si>
  <si>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</si>
  <si>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</si>
  <si>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</si>
  <si>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</si>
  <si>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</si>
  <si>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</si>
  <si>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</si>
  <si>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</si>
  <si>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</si>
  <si>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</si>
  <si>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</si>
  <si>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</si>
  <si>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</si>
  <si>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</si>
  <si>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</si>
  <si>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</si>
  <si>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</si>
  <si>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</si>
  <si>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</si>
  <si>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</si>
  <si>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</si>
  <si>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</si>
  <si>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</si>
  <si>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</si>
  <si>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</si>
  <si>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</si>
  <si>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</si>
  <si>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</si>
  <si>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</si>
  <si>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</si>
  <si>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</si>
  <si>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</si>
  <si>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</si>
  <si>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</si>
  <si>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</si>
  <si>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</si>
  <si>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</si>
  <si>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</si>
  <si>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</si>
  <si>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</si>
  <si>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</si>
  <si>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</si>
  <si>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</si>
  <si>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</si>
  <si>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</si>
  <si>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</si>
  <si>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</si>
  <si>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</si>
  <si>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</si>
  <si>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</si>
  <si>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</si>
  <si>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</si>
  <si>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</si>
  <si>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</si>
  <si>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</si>
  <si>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</si>
  <si>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</si>
  <si>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</si>
  <si>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</si>
  <si>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</si>
  <si>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</si>
  <si>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</si>
  <si>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</si>
  <si>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</si>
  <si>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</si>
  <si>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</si>
  <si>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</si>
  <si>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</si>
  <si>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</si>
  <si>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</si>
  <si>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</si>
  <si>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</si>
  <si>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</si>
  <si>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</si>
  <si>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</si>
  <si>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</si>
  <si>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</si>
  <si>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</si>
  <si>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</si>
  <si>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</si>
  <si>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</si>
  <si>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</si>
  <si>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</si>
  <si>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</si>
  <si>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</si>
  <si>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</si>
  <si>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</si>
  <si>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</si>
  <si>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</si>
  <si>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</si>
  <si>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</si>
  <si>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</si>
  <si>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</si>
  <si>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</si>
  <si>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</si>
  <si>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</si>
  <si>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</si>
  <si>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</si>
  <si>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</si>
  <si>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</si>
  <si>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</si>
  <si>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</si>
  <si>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</si>
  <si>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</si>
  <si>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</si>
  <si>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</si>
  <si>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</si>
  <si>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</si>
  <si>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</si>
  <si>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</si>
  <si>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</si>
  <si>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</si>
  <si>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</si>
  <si>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</si>
  <si>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</si>
  <si>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</si>
  <si>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</si>
  <si>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</si>
  <si>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</si>
  <si>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</si>
  <si>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</si>
  <si>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</si>
  <si>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</si>
  <si>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</si>
  <si>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</si>
  <si>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</si>
  <si>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</si>
  <si>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</si>
  <si>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</si>
  <si>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</si>
  <si>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</si>
  <si>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</si>
  <si>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</si>
  <si>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</si>
  <si>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</si>
  <si>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</si>
  <si>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</si>
  <si>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</si>
  <si>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</si>
  <si>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</si>
  <si>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</si>
  <si>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</si>
  <si>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</si>
  <si>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</si>
  <si>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</si>
  <si>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</si>
  <si>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</si>
  <si>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</si>
  <si>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</si>
  <si>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</si>
  <si>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</si>
  <si>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</si>
  <si>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</si>
  <si>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</si>
  <si>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</si>
  <si>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</si>
  <si>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</si>
  <si>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</si>
  <si>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</si>
  <si>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</si>
  <si>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</si>
  <si>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</si>
  <si>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</si>
  <si>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</si>
  <si>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</si>
  <si>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</si>
  <si>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</si>
  <si>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</si>
  <si>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</si>
  <si>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</si>
  <si>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</si>
  <si>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</si>
  <si>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</si>
  <si>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</si>
  <si>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</si>
  <si>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</si>
  <si>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</si>
  <si>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</si>
  <si>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</si>
  <si>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</si>
  <si>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</si>
  <si>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</si>
  <si>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</si>
  <si>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</si>
  <si>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</si>
  <si>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</si>
  <si>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</si>
  <si>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</si>
  <si>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</si>
  <si>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</si>
  <si>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</si>
  <si>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</si>
  <si>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</si>
  <si>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</si>
  <si>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</si>
  <si>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</si>
  <si>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</si>
  <si>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</si>
  <si>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</si>
  <si>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</si>
  <si>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</si>
  <si>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</si>
  <si>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</si>
  <si>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</si>
  <si>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</si>
  <si>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</si>
  <si>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</si>
  <si>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</si>
  <si>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</si>
  <si>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</si>
  <si>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</si>
  <si>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</si>
  <si>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</si>
  <si>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</si>
  <si>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</si>
  <si>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</si>
  <si>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</si>
  <si>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</si>
  <si>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</si>
  <si>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</si>
  <si>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</si>
  <si>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</si>
  <si>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</si>
  <si>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</si>
  <si>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</si>
  <si>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</si>
  <si>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</si>
  <si>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</si>
  <si>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</si>
  <si>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</si>
  <si>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</si>
  <si>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</si>
  <si>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</si>
  <si>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</si>
  <si>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</si>
  <si>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</si>
  <si>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</si>
  <si>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</si>
  <si>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</si>
  <si>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</si>
  <si>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</si>
  <si>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</si>
  <si>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</si>
  <si>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</si>
  <si>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</si>
  <si>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</si>
  <si>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</si>
  <si>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</si>
  <si>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</si>
  <si>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</si>
  <si>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</si>
  <si>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</si>
  <si>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</si>
  <si>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</si>
  <si>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</si>
  <si>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</si>
  <si>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</si>
  <si>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</si>
  <si>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</si>
  <si>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</si>
  <si>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</si>
  <si>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</si>
  <si>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</si>
  <si>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</si>
  <si>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</si>
  <si>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</si>
  <si>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</si>
  <si>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</si>
  <si>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</si>
  <si>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</si>
  <si>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</si>
  <si>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</si>
  <si>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</si>
  <si>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</si>
  <si>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</si>
  <si>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</si>
  <si>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</si>
  <si>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</si>
  <si>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</si>
  <si>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</si>
  <si>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</si>
  <si>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</si>
  <si>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</si>
  <si>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</si>
  <si>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</si>
  <si>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</si>
  <si>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</si>
  <si>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</si>
  <si>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</si>
  <si>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</si>
  <si>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</si>
  <si>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</si>
  <si>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</si>
  <si>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</si>
  <si>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</si>
  <si>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</si>
  <si>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</si>
  <si>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</si>
  <si>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</si>
  <si>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</si>
  <si>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</si>
  <si>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</si>
  <si>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</si>
  <si>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</si>
  <si>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</si>
  <si>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</si>
  <si>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</si>
  <si>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</si>
  <si>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</si>
  <si>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</si>
  <si>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</si>
  <si>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</si>
  <si>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</si>
  <si>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</si>
  <si>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</si>
  <si>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</si>
  <si>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</si>
  <si>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</si>
  <si>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</si>
  <si>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</si>
  <si>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</si>
  <si>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</si>
  <si>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</si>
  <si>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</si>
  <si>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</si>
  <si>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</si>
  <si>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</si>
  <si>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</si>
  <si>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</si>
  <si>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</si>
  <si>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</si>
  <si>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</si>
  <si>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</si>
  <si>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</si>
  <si>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</si>
  <si>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</si>
  <si>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</si>
  <si>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</si>
  <si>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</si>
  <si>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</si>
  <si>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</si>
  <si>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</si>
  <si>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</si>
  <si>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</si>
  <si>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</si>
  <si>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</si>
  <si>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</si>
  <si>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</si>
  <si>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</si>
  <si>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</si>
  <si>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</si>
  <si>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</si>
  <si>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</si>
  <si>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</si>
  <si>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</si>
  <si>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</si>
  <si>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</si>
  <si>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</si>
  <si>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</si>
  <si>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</si>
  <si>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</si>
  <si>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</si>
  <si>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</si>
  <si>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</si>
  <si>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</si>
  <si>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</si>
  <si>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</si>
  <si>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</si>
  <si>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</si>
  <si>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</si>
  <si>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</si>
  <si>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</si>
  <si>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</si>
  <si>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</si>
  <si>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</si>
  <si>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</si>
  <si>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</si>
  <si>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</si>
  <si>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</si>
  <si>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</si>
  <si>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</si>
  <si>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</si>
  <si>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</si>
  <si>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</si>
  <si>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</si>
  <si>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</si>
  <si>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</si>
  <si>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</si>
  <si>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</si>
  <si>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</si>
  <si>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</si>
  <si>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</si>
  <si>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</si>
  <si>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</si>
  <si>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</si>
  <si>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</si>
  <si>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</si>
  <si>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</si>
  <si>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</si>
  <si>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</si>
  <si>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</si>
  <si>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</si>
  <si>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</si>
  <si>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</si>
  <si>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</si>
  <si>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</si>
  <si>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</si>
  <si>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</si>
  <si>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</si>
  <si>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</si>
  <si>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</si>
  <si>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</si>
  <si>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</si>
  <si>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</si>
  <si>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</si>
  <si>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</si>
  <si>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</si>
  <si>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</si>
  <si>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</si>
  <si>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</si>
  <si>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</si>
  <si>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</si>
  <si>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</si>
  <si>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</si>
  <si>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</si>
  <si>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</si>
  <si>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</si>
  <si>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</si>
  <si>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</si>
  <si>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</si>
  <si>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</si>
  <si>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</si>
  <si>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</si>
  <si>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</si>
  <si>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</si>
  <si>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</si>
  <si>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</si>
  <si>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</si>
  <si>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</si>
  <si>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</si>
  <si>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</si>
  <si>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</si>
  <si>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</si>
  <si>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</si>
  <si>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</si>
  <si>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</si>
  <si>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</si>
  <si>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</si>
  <si>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</si>
  <si>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</si>
  <si>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</si>
  <si>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</si>
  <si>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</si>
  <si>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</si>
  <si>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</si>
  <si>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</si>
  <si>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</si>
  <si>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</si>
  <si>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</si>
  <si>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</si>
  <si>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</si>
  <si>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</si>
  <si>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</si>
  <si>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</si>
  <si>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</si>
  <si>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</si>
  <si>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</si>
  <si>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</si>
  <si>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</si>
  <si>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</si>
  <si>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</si>
  <si>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</si>
  <si>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</si>
  <si>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</si>
  <si>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</si>
  <si>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</si>
  <si>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</si>
  <si>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</si>
  <si>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</si>
  <si>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</si>
  <si>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</si>
  <si>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</si>
  <si>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</si>
  <si>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</si>
  <si>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</si>
  <si>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</si>
  <si>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</si>
  <si>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</si>
  <si>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</si>
  <si>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</si>
  <si>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</si>
  <si>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</si>
  <si>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</si>
  <si>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</si>
  <si>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</si>
  <si>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</si>
  <si>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</si>
  <si>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</si>
  <si>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</si>
  <si>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</si>
  <si>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</si>
  <si>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</si>
  <si>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</si>
  <si>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</si>
  <si>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</si>
  <si>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</si>
  <si>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</si>
  <si>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</si>
  <si>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</si>
  <si>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</si>
  <si>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</si>
  <si>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</si>
  <si>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</si>
  <si>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</si>
  <si>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</si>
  <si>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</si>
  <si>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</si>
  <si>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</si>
  <si>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</si>
  <si>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</si>
  <si>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</si>
  <si>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</si>
  <si>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</si>
  <si>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</si>
  <si>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</si>
  <si>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</si>
  <si>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</si>
  <si>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</si>
  <si>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</si>
  <si>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</si>
  <si>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</si>
  <si>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</si>
  <si>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</si>
  <si>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</si>
  <si>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</si>
  <si>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</si>
  <si>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</si>
  <si>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</si>
  <si>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</si>
  <si>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</si>
  <si>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</si>
  <si>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</si>
  <si>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</si>
  <si>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</si>
  <si>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</si>
  <si>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</si>
  <si>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</si>
  <si>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</si>
  <si>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</si>
  <si>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</si>
  <si>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</si>
  <si>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</si>
  <si>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</si>
  <si>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</si>
  <si>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</si>
  <si>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</si>
  <si>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</si>
  <si>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</si>
  <si>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</si>
  <si>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</si>
  <si>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</si>
  <si>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</si>
  <si>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</si>
  <si>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</si>
  <si>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</si>
  <si>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</si>
  <si>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</si>
  <si>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</si>
  <si>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</si>
  <si>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</si>
  <si>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</si>
  <si>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</si>
  <si>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</si>
  <si>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</si>
  <si>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</si>
  <si>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</si>
  <si>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</si>
  <si>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</si>
  <si>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</si>
  <si>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</si>
  <si>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</si>
  <si>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</si>
  <si>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</si>
  <si>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</si>
  <si>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</si>
  <si>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</si>
  <si>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</si>
  <si>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</si>
  <si>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</si>
  <si>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</si>
  <si>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</si>
  <si>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</si>
  <si>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</si>
  <si>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</si>
  <si>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</si>
  <si>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</si>
  <si>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</si>
  <si>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</si>
  <si>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</si>
  <si>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</si>
  <si>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</si>
  <si>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</si>
  <si>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</si>
  <si>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</si>
  <si>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</si>
  <si>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</si>
  <si>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</si>
  <si>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</si>
  <si>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</si>
  <si>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</si>
  <si>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</si>
  <si>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</si>
  <si>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</si>
  <si>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</si>
  <si>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</si>
  <si>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</si>
  <si>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</si>
  <si>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</si>
  <si>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</si>
  <si>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</si>
  <si>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</si>
  <si>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</si>
  <si>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</si>
  <si>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</si>
  <si>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</si>
  <si>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</si>
  <si>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</si>
  <si>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</si>
  <si>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</si>
  <si>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</si>
  <si>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</si>
  <si>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</si>
  <si>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</si>
  <si>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</si>
  <si>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</si>
  <si>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</si>
  <si>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</si>
  <si>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</si>
  <si>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</si>
  <si>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</si>
  <si>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</si>
  <si>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</si>
  <si>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</si>
  <si>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</si>
  <si>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</si>
  <si>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</si>
  <si>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</si>
  <si>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</si>
  <si>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</si>
  <si>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</si>
  <si>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</si>
  <si>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</si>
  <si>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</si>
  <si>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</si>
  <si>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</si>
  <si>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</si>
  <si>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</si>
  <si>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</si>
  <si>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</si>
  <si>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</si>
  <si>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</si>
  <si>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</si>
  <si>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</si>
  <si>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</si>
  <si>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</si>
  <si>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</si>
  <si>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</si>
  <si>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</si>
  <si>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</si>
  <si>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</si>
  <si>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</si>
  <si>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</si>
  <si>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</si>
  <si>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</si>
  <si>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</si>
  <si>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</si>
  <si>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</si>
  <si>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</si>
  <si>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</si>
  <si>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</si>
  <si>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</si>
  <si>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</si>
  <si>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</si>
  <si>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</si>
  <si>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</si>
  <si>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</si>
  <si>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</si>
  <si>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</si>
  <si>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</si>
  <si>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</si>
  <si>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</si>
  <si>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</si>
  <si>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</si>
  <si>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</si>
  <si>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</si>
  <si>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</si>
  <si>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</si>
  <si>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</si>
  <si>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</si>
  <si>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</si>
  <si>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</si>
  <si>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</si>
  <si>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</si>
  <si>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</si>
  <si>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</si>
  <si>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</si>
  <si>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</si>
  <si>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</si>
  <si>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</si>
  <si>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</si>
  <si>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</si>
  <si>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</si>
  <si>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</si>
  <si>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</si>
  <si>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</si>
  <si>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</si>
  <si>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</si>
  <si>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</si>
  <si>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</si>
  <si>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</si>
  <si>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</si>
  <si>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</si>
  <si>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</si>
  <si>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</si>
  <si>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</si>
  <si>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</si>
  <si>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</si>
  <si>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</si>
  <si>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</si>
  <si>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</si>
  <si>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</si>
  <si>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</si>
  <si>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</si>
  <si>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</si>
  <si>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</si>
  <si>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</si>
  <si>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</si>
  <si>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</si>
  <si>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</si>
  <si>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</si>
  <si>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</si>
  <si>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</si>
  <si>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</si>
  <si>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</si>
  <si>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</si>
  <si>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</si>
  <si>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</si>
  <si>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</si>
  <si>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</si>
  <si>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</si>
  <si>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</si>
  <si>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</si>
  <si>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</si>
  <si>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</si>
  <si>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</si>
  <si>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</si>
  <si>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</si>
  <si>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</si>
  <si>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</si>
  <si>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</si>
  <si>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</si>
  <si>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</si>
  <si>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</si>
  <si>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</si>
  <si>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</si>
  <si>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</si>
  <si>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</si>
  <si>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</si>
  <si>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</si>
  <si>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</si>
  <si>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</si>
  <si>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</si>
  <si>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</si>
  <si>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</si>
  <si>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</si>
  <si>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</si>
  <si>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</si>
  <si>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</si>
  <si>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</si>
  <si>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</si>
  <si>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</si>
  <si>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</si>
  <si>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</si>
  <si>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</si>
  <si>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</si>
  <si>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</si>
  <si>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</si>
  <si>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</si>
  <si>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</si>
  <si>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</si>
  <si>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</si>
  <si>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</si>
  <si>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</si>
  <si>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</si>
  <si>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</si>
  <si>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</si>
  <si>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</si>
  <si>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</si>
  <si>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</si>
  <si>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</si>
  <si>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</si>
  <si>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</si>
  <si>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</si>
  <si>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</si>
  <si>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</si>
  <si>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</si>
  <si>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</si>
  <si>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</si>
  <si>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</si>
  <si>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</si>
  <si>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</si>
  <si>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</si>
  <si>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</si>
  <si>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</si>
  <si>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</si>
  <si>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</si>
  <si>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</si>
  <si>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</si>
  <si>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</si>
  <si>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</si>
  <si>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</si>
  <si>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</si>
  <si>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</si>
  <si>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</si>
  <si>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</si>
  <si>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</si>
  <si>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</si>
  <si>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</si>
  <si>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</si>
  <si>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</si>
  <si>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</si>
  <si>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</si>
  <si>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</si>
  <si>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</si>
  <si>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</si>
  <si>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</si>
  <si>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</si>
  <si>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</si>
  <si>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</si>
  <si>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</si>
  <si>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</si>
  <si>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</si>
  <si>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</si>
  <si>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</si>
  <si>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</si>
  <si>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</si>
  <si>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</si>
  <si>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</si>
  <si>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</si>
  <si>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</si>
  <si>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</si>
  <si>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</si>
  <si>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</si>
  <si>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</si>
  <si>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</si>
  <si>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</si>
  <si>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</si>
  <si>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</si>
  <si>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</si>
  <si>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</si>
  <si>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</si>
  <si>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</si>
  <si>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</si>
  <si>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</si>
  <si>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</si>
  <si>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</si>
  <si>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</si>
  <si>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</si>
  <si>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</si>
  <si>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</si>
  <si>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</si>
  <si>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</si>
  <si>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</si>
  <si>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</si>
  <si>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</si>
  <si>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</si>
  <si>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</si>
  <si>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</si>
  <si>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</si>
  <si>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</si>
  <si>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</si>
  <si>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</si>
  <si>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</si>
  <si>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</si>
  <si>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</si>
  <si>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</si>
  <si>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</si>
  <si>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</si>
  <si>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</si>
  <si>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</si>
  <si>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</si>
  <si>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</si>
  <si>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</si>
  <si>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</si>
  <si>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</si>
  <si>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</si>
  <si>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</si>
  <si>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</si>
  <si>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</si>
  <si>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</si>
  <si>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</si>
  <si>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</si>
  <si>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</si>
  <si>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</si>
  <si>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</si>
  <si>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</si>
  <si>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</si>
  <si>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</si>
  <si>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</si>
  <si>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</si>
  <si>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</si>
  <si>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</si>
  <si>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</si>
  <si>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</si>
  <si>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</si>
  <si>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</si>
  <si>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</si>
  <si>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</si>
  <si>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</si>
  <si>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</si>
  <si>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</si>
  <si>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</si>
  <si>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</si>
  <si>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</si>
  <si>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</si>
  <si>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</si>
  <si>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</si>
  <si>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</si>
  <si>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</si>
  <si>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</si>
  <si>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</si>
  <si>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</si>
  <si>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</si>
  <si>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</si>
  <si>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</si>
  <si>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</si>
  <si>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</si>
  <si>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</si>
  <si>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</si>
  <si>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</si>
  <si>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</si>
  <si>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</si>
  <si>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</si>
  <si>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</si>
  <si>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</si>
  <si>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</si>
  <si>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</si>
  <si>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</si>
  <si>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</si>
  <si>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</si>
  <si>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</si>
  <si>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</si>
  <si>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</si>
  <si>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</si>
  <si>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</si>
  <si>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</si>
  <si>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</si>
  <si>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</si>
  <si>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</si>
  <si>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</si>
  <si>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</si>
  <si>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</si>
  <si>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</si>
  <si>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</si>
  <si>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</si>
  <si>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</si>
  <si>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</si>
  <si>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</si>
  <si>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</si>
  <si>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</si>
  <si>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</si>
  <si>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</si>
  <si>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</si>
  <si>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</si>
  <si>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</si>
  <si>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</si>
  <si>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</si>
  <si>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</si>
  <si>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</si>
  <si>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</si>
  <si>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</si>
  <si>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</si>
  <si>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</si>
  <si>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</si>
  <si>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</si>
  <si>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</si>
  <si>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</si>
  <si>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</si>
  <si>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</si>
  <si>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</si>
  <si>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</si>
  <si>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</si>
  <si>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</si>
  <si>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</si>
  <si>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</si>
  <si>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</si>
  <si>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</si>
  <si>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</si>
  <si>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</si>
  <si>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</si>
  <si>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</si>
  <si>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</si>
  <si>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</si>
  <si>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</si>
  <si>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</si>
  <si>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</si>
  <si>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</si>
  <si>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</si>
  <si>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</si>
  <si>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</si>
  <si>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</si>
  <si>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</si>
  <si>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</si>
  <si>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</si>
  <si>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</si>
  <si>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</si>
  <si>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</si>
  <si>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</si>
  <si>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</si>
  <si>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</si>
  <si>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</si>
  <si>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</si>
  <si>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</si>
  <si>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</si>
  <si>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</si>
  <si>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</si>
  <si>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</si>
  <si>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</si>
  <si>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</si>
  <si>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</si>
  <si>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</si>
  <si>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</si>
  <si>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</si>
  <si>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</si>
  <si>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</si>
  <si>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</si>
  <si>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</si>
  <si>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</si>
  <si>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</si>
  <si>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</si>
  <si>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</si>
  <si>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</si>
  <si>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</si>
  <si>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</si>
  <si>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</si>
  <si>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</si>
  <si>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</si>
  <si>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</si>
  <si>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</si>
  <si>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</si>
  <si>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</si>
  <si>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</si>
  <si>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</si>
  <si>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</si>
  <si>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</si>
  <si>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</si>
  <si>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</si>
  <si>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</si>
  <si>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</si>
  <si>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</si>
  <si>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</si>
  <si>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</si>
  <si>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</si>
  <si>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</si>
  <si>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</si>
  <si>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</si>
  <si>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</si>
  <si>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</si>
  <si>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</si>
  <si>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</si>
  <si>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</si>
  <si>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</si>
  <si>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</si>
  <si>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</si>
  <si>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</si>
  <si>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</si>
  <si>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</si>
  <si>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</si>
  <si>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</si>
  <si>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</si>
  <si>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</si>
  <si>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</si>
  <si>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</si>
  <si>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</si>
  <si>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</si>
  <si>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</si>
  <si>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</si>
  <si>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</si>
  <si>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</si>
  <si>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</si>
  <si>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</si>
  <si>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</si>
  <si>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</si>
  <si>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</si>
  <si>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</si>
  <si>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</si>
  <si>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</si>
  <si>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</si>
  <si>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</si>
  <si>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</si>
  <si>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</si>
  <si>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</si>
  <si>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</si>
  <si>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</si>
  <si>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</si>
  <si>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</si>
  <si>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</si>
  <si>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</si>
  <si>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</si>
  <si>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</si>
  <si>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</si>
  <si>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</si>
  <si>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</si>
  <si>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</si>
  <si>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</si>
  <si>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</si>
  <si>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</si>
  <si>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</si>
  <si>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</si>
  <si>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</si>
  <si>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</si>
  <si>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</si>
  <si>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</si>
  <si>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</si>
  <si>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</si>
  <si>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</si>
  <si>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</si>
  <si>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</si>
  <si>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</si>
  <si>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</si>
  <si>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</si>
  <si>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</si>
  <si>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</si>
  <si>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</si>
  <si>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</si>
  <si>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</si>
  <si>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</si>
  <si>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</si>
  <si>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</si>
  <si>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</si>
  <si>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</si>
  <si>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</si>
  <si>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</si>
  <si>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</si>
  <si>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</si>
  <si>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</si>
  <si>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</si>
  <si>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</si>
  <si>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</si>
  <si>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</si>
  <si>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</si>
  <si>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</si>
  <si>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</si>
  <si>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</si>
  <si>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</si>
  <si>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</si>
  <si>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</si>
  <si>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</si>
  <si>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</si>
  <si>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</si>
  <si>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</si>
  <si>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</si>
  <si>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</si>
  <si>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</si>
  <si>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</si>
  <si>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</si>
  <si>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</si>
  <si>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</si>
  <si>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</si>
  <si>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</si>
  <si>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</si>
  <si>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</si>
  <si>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</si>
  <si>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</si>
  <si>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</si>
  <si>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</si>
  <si>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</si>
  <si>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</si>
  <si>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Poznámka:</t>
  </si>
  <si>
    <t>Kód</t>
  </si>
  <si>
    <t>012203000R00</t>
  </si>
  <si>
    <t>120901121R00</t>
  </si>
  <si>
    <t>121101101R00</t>
  </si>
  <si>
    <t>122201102R00</t>
  </si>
  <si>
    <t>122201109R00</t>
  </si>
  <si>
    <t>122301102R00</t>
  </si>
  <si>
    <t>122301109R00</t>
  </si>
  <si>
    <t>139711101R00</t>
  </si>
  <si>
    <t>132201111R00</t>
  </si>
  <si>
    <t>132201119R00</t>
  </si>
  <si>
    <t>132201211R00</t>
  </si>
  <si>
    <t>132201219R00</t>
  </si>
  <si>
    <t>132301111R00</t>
  </si>
  <si>
    <t>132301119R00</t>
  </si>
  <si>
    <t>132301211R00</t>
  </si>
  <si>
    <t>132301219R00</t>
  </si>
  <si>
    <t>133201101R00</t>
  </si>
  <si>
    <t>133201109R00</t>
  </si>
  <si>
    <t>133301101R00</t>
  </si>
  <si>
    <t>133301109R00</t>
  </si>
  <si>
    <t>162201102R00</t>
  </si>
  <si>
    <t>162701105R00</t>
  </si>
  <si>
    <t>166101101R00</t>
  </si>
  <si>
    <t>167101102R00</t>
  </si>
  <si>
    <t>174101101R00</t>
  </si>
  <si>
    <t>171201201R00</t>
  </si>
  <si>
    <t>199000002R00</t>
  </si>
  <si>
    <t>212850001RAB</t>
  </si>
  <si>
    <t>215901101RT5</t>
  </si>
  <si>
    <t>271571111R00</t>
  </si>
  <si>
    <t>273313621R00</t>
  </si>
  <si>
    <t>273313711R00</t>
  </si>
  <si>
    <t>273354111R00</t>
  </si>
  <si>
    <t>273354211R00</t>
  </si>
  <si>
    <t>273361921RT9</t>
  </si>
  <si>
    <t>274313621R00</t>
  </si>
  <si>
    <t>274354023R00</t>
  </si>
  <si>
    <t>274354032R00</t>
  </si>
  <si>
    <t>274354033R00</t>
  </si>
  <si>
    <t>274354041R00</t>
  </si>
  <si>
    <t>274354042R00</t>
  </si>
  <si>
    <t>274354043R00</t>
  </si>
  <si>
    <t>274354111R00</t>
  </si>
  <si>
    <t>274354211R00</t>
  </si>
  <si>
    <t>274362111RT1</t>
  </si>
  <si>
    <t>274991015RT1</t>
  </si>
  <si>
    <t>275313621R00</t>
  </si>
  <si>
    <t>279312011R00</t>
  </si>
  <si>
    <t>279351105R00</t>
  </si>
  <si>
    <t>279351106R00</t>
  </si>
  <si>
    <t>279361821R00</t>
  </si>
  <si>
    <t>300100010RA0</t>
  </si>
  <si>
    <t>311238144R00</t>
  </si>
  <si>
    <t>311238143R00</t>
  </si>
  <si>
    <t>310238211RT3</t>
  </si>
  <si>
    <t>317168113R00</t>
  </si>
  <si>
    <t>317168114R00</t>
  </si>
  <si>
    <t>317168130R00</t>
  </si>
  <si>
    <t>317168132R00</t>
  </si>
  <si>
    <t>317168133R00</t>
  </si>
  <si>
    <t>317234410RT2</t>
  </si>
  <si>
    <t>317238111R00</t>
  </si>
  <si>
    <t>317323411R00</t>
  </si>
  <si>
    <t>317351107R00</t>
  </si>
  <si>
    <t>317351108R00</t>
  </si>
  <si>
    <t>317361821R00</t>
  </si>
  <si>
    <t>317941123RT2</t>
  </si>
  <si>
    <t>342248141R00</t>
  </si>
  <si>
    <t>342256253RT3</t>
  </si>
  <si>
    <t>342271212RT2</t>
  </si>
  <si>
    <t>342267111RT4</t>
  </si>
  <si>
    <t>342267112RT4</t>
  </si>
  <si>
    <t>342267113RT4</t>
  </si>
  <si>
    <t>342668111R00</t>
  </si>
  <si>
    <t>342941111R00</t>
  </si>
  <si>
    <t>342948111R00</t>
  </si>
  <si>
    <t>346244381RT2</t>
  </si>
  <si>
    <t>346275111R00</t>
  </si>
  <si>
    <t>346275113R00</t>
  </si>
  <si>
    <t>346275115R00</t>
  </si>
  <si>
    <t>346971142R00</t>
  </si>
  <si>
    <t>349231811RT2</t>
  </si>
  <si>
    <t>416021123R00</t>
  </si>
  <si>
    <t>416061111RT1</t>
  </si>
  <si>
    <t>411120033RAD</t>
  </si>
  <si>
    <t>411320045RAC</t>
  </si>
  <si>
    <t>411354261R00</t>
  </si>
  <si>
    <t>610991004R00</t>
  </si>
  <si>
    <t>610991111R00</t>
  </si>
  <si>
    <t>611421431RT2</t>
  </si>
  <si>
    <t>611456113R00</t>
  </si>
  <si>
    <t>611471411R00</t>
  </si>
  <si>
    <t>612409991RT2</t>
  </si>
  <si>
    <t>612403399R00</t>
  </si>
  <si>
    <t>612421431RT2</t>
  </si>
  <si>
    <t>612421931RT2</t>
  </si>
  <si>
    <t>612421615R00</t>
  </si>
  <si>
    <t>612425931RT2</t>
  </si>
  <si>
    <t>612421739R00</t>
  </si>
  <si>
    <t>612421739RT2</t>
  </si>
  <si>
    <t>612471411R00</t>
  </si>
  <si>
    <t>612481211RT2</t>
  </si>
  <si>
    <t>622300046RAH</t>
  </si>
  <si>
    <t>622300041RAH</t>
  </si>
  <si>
    <t>622300041RBH</t>
  </si>
  <si>
    <t>622300036RAG</t>
  </si>
  <si>
    <t>622300041RAC</t>
  </si>
  <si>
    <t>622311020RT5</t>
  </si>
  <si>
    <t>631313611R00</t>
  </si>
  <si>
    <t>631312711R00</t>
  </si>
  <si>
    <t>632421112RT1</t>
  </si>
  <si>
    <t>632421113RT1</t>
  </si>
  <si>
    <t>632421114RT1</t>
  </si>
  <si>
    <t>632411130R00</t>
  </si>
  <si>
    <t>632441015RT3</t>
  </si>
  <si>
    <t>632441016RT3</t>
  </si>
  <si>
    <t>632441016RT4</t>
  </si>
  <si>
    <t>632441016RT5</t>
  </si>
  <si>
    <t>632441017RT3</t>
  </si>
  <si>
    <t>632411105R00</t>
  </si>
  <si>
    <t>909      R00</t>
  </si>
  <si>
    <t>941941031R00</t>
  </si>
  <si>
    <t>941941191R00</t>
  </si>
  <si>
    <t>941941831R00</t>
  </si>
  <si>
    <t>941955001R00</t>
  </si>
  <si>
    <t>941955002R00</t>
  </si>
  <si>
    <t>941955202R00</t>
  </si>
  <si>
    <t>944944013R00</t>
  </si>
  <si>
    <t>944944033R00</t>
  </si>
  <si>
    <t>944944083R00</t>
  </si>
  <si>
    <t>949942101R00</t>
  </si>
  <si>
    <t>952901110R00</t>
  </si>
  <si>
    <t>952901111R00</t>
  </si>
  <si>
    <t>953981103R00</t>
  </si>
  <si>
    <t>962031114R00</t>
  </si>
  <si>
    <t>962031115R00</t>
  </si>
  <si>
    <t>962031116R00</t>
  </si>
  <si>
    <t>962032231R00</t>
  </si>
  <si>
    <t>962052211R00</t>
  </si>
  <si>
    <t>962081141R00</t>
  </si>
  <si>
    <t>963042819R00</t>
  </si>
  <si>
    <t>963051133R00</t>
  </si>
  <si>
    <t>965042131RT1</t>
  </si>
  <si>
    <t>965043331R00</t>
  </si>
  <si>
    <t>965043341RT1</t>
  </si>
  <si>
    <t>965048150R00</t>
  </si>
  <si>
    <t>965049113R00</t>
  </si>
  <si>
    <t>965081713RT3</t>
  </si>
  <si>
    <t>965081813RT1</t>
  </si>
  <si>
    <t>965082922R00</t>
  </si>
  <si>
    <t>966053121R00</t>
  </si>
  <si>
    <t>966077161RT1</t>
  </si>
  <si>
    <t>966077171RT1</t>
  </si>
  <si>
    <t>967031132R00</t>
  </si>
  <si>
    <t>967031734R00</t>
  </si>
  <si>
    <t>967043111R00</t>
  </si>
  <si>
    <t>967051111R00</t>
  </si>
  <si>
    <t>968061112R00</t>
  </si>
  <si>
    <t>968061125R00</t>
  </si>
  <si>
    <t>968061126R00</t>
  </si>
  <si>
    <t>968062354R00</t>
  </si>
  <si>
    <t>968062355R00</t>
  </si>
  <si>
    <t>968062356R00</t>
  </si>
  <si>
    <t>968072455R00</t>
  </si>
  <si>
    <t>968072456R00</t>
  </si>
  <si>
    <t>968072559R00</t>
  </si>
  <si>
    <t>968098001R00</t>
  </si>
  <si>
    <t>969031101RT1</t>
  </si>
  <si>
    <t>969041101RT1</t>
  </si>
  <si>
    <t>970031030R00</t>
  </si>
  <si>
    <t>970031060R00</t>
  </si>
  <si>
    <t>970031100R00</t>
  </si>
  <si>
    <t>970041100R00</t>
  </si>
  <si>
    <t>970051030R00</t>
  </si>
  <si>
    <t>970051100R00</t>
  </si>
  <si>
    <t>970231100R00</t>
  </si>
  <si>
    <t>970231150R00</t>
  </si>
  <si>
    <t>970231300R00</t>
  </si>
  <si>
    <t>970231350R00</t>
  </si>
  <si>
    <t>970231400R00</t>
  </si>
  <si>
    <t>970251150R00</t>
  </si>
  <si>
    <t>971033251R00</t>
  </si>
  <si>
    <t>971033261R00</t>
  </si>
  <si>
    <t>971033361R00</t>
  </si>
  <si>
    <t>971033451R00</t>
  </si>
  <si>
    <t>971033461R00</t>
  </si>
  <si>
    <t>971033471R00</t>
  </si>
  <si>
    <t>971033541R00</t>
  </si>
  <si>
    <t>971033561R00</t>
  </si>
  <si>
    <t>971033641R00</t>
  </si>
  <si>
    <t>971033651R00</t>
  </si>
  <si>
    <t>972012711R00</t>
  </si>
  <si>
    <t>973031812R00</t>
  </si>
  <si>
    <t>973031813R00</t>
  </si>
  <si>
    <t>973031825R00</t>
  </si>
  <si>
    <t>976075211R00</t>
  </si>
  <si>
    <t>976082131R00</t>
  </si>
  <si>
    <t>978011161R00</t>
  </si>
  <si>
    <t>978011211R00</t>
  </si>
  <si>
    <t>978013161R00</t>
  </si>
  <si>
    <t>978013211R00</t>
  </si>
  <si>
    <t>978015231R00</t>
  </si>
  <si>
    <t>978023411R00</t>
  </si>
  <si>
    <t>978059531R00</t>
  </si>
  <si>
    <t>S</t>
  </si>
  <si>
    <t>979011211R00</t>
  </si>
  <si>
    <t>979081111R00</t>
  </si>
  <si>
    <t>979081121R00</t>
  </si>
  <si>
    <t>979082111R00</t>
  </si>
  <si>
    <t>979082121R00</t>
  </si>
  <si>
    <t>979086112R00</t>
  </si>
  <si>
    <t>979093111R00</t>
  </si>
  <si>
    <t>979990101R00</t>
  </si>
  <si>
    <t>979990103R00</t>
  </si>
  <si>
    <t>979990105R00</t>
  </si>
  <si>
    <t>979990108R00</t>
  </si>
  <si>
    <t>979990109R00</t>
  </si>
  <si>
    <t>979990111R00</t>
  </si>
  <si>
    <t>979990121R00</t>
  </si>
  <si>
    <t>979990143R00</t>
  </si>
  <si>
    <t>979990144R00</t>
  </si>
  <si>
    <t>979990161R00</t>
  </si>
  <si>
    <t>979990162R00</t>
  </si>
  <si>
    <t>979990181R00</t>
  </si>
  <si>
    <t>981011315R00</t>
  </si>
  <si>
    <t>H99</t>
  </si>
  <si>
    <t>999281108R00</t>
  </si>
  <si>
    <t>711111006RZ4</t>
  </si>
  <si>
    <t>711112006RZ4</t>
  </si>
  <si>
    <t>711130101R00</t>
  </si>
  <si>
    <t>711170131R00</t>
  </si>
  <si>
    <t>711140201R00</t>
  </si>
  <si>
    <t>711140101R00</t>
  </si>
  <si>
    <t>711140102R00</t>
  </si>
  <si>
    <t>711141559RY1</t>
  </si>
  <si>
    <t>711141559RY5</t>
  </si>
  <si>
    <t>711141559RZ3</t>
  </si>
  <si>
    <t>711142559RY1</t>
  </si>
  <si>
    <t>711142559RY5</t>
  </si>
  <si>
    <t>711191172RT2</t>
  </si>
  <si>
    <t>998711102R00</t>
  </si>
  <si>
    <t>712300831R00</t>
  </si>
  <si>
    <t>712311106RZ4</t>
  </si>
  <si>
    <t>712331101RZ1</t>
  </si>
  <si>
    <t>712361701RT1</t>
  </si>
  <si>
    <t>712373111RU3</t>
  </si>
  <si>
    <t>712391172RZ5</t>
  </si>
  <si>
    <t>712371801RT5</t>
  </si>
  <si>
    <t>998712102R00</t>
  </si>
  <si>
    <t>713102111R00</t>
  </si>
  <si>
    <t>713102121R00</t>
  </si>
  <si>
    <t>713104111R00</t>
  </si>
  <si>
    <t>713121111RT1</t>
  </si>
  <si>
    <t>28375633</t>
  </si>
  <si>
    <t>713121111R00</t>
  </si>
  <si>
    <t>28376377.A</t>
  </si>
  <si>
    <t>713121121R00</t>
  </si>
  <si>
    <t>713191100RT9</t>
  </si>
  <si>
    <t>713141326R00</t>
  </si>
  <si>
    <t>63151504</t>
  </si>
  <si>
    <t>631514804</t>
  </si>
  <si>
    <t>713141125R00</t>
  </si>
  <si>
    <t>28376256</t>
  </si>
  <si>
    <t>713141125RT4</t>
  </si>
  <si>
    <t>713141125RT5</t>
  </si>
  <si>
    <t>998713102R00</t>
  </si>
  <si>
    <t>72111</t>
  </si>
  <si>
    <t>72112</t>
  </si>
  <si>
    <t>72113</t>
  </si>
  <si>
    <t>72114</t>
  </si>
  <si>
    <t>72115</t>
  </si>
  <si>
    <t>72116</t>
  </si>
  <si>
    <t>72117</t>
  </si>
  <si>
    <t>72118</t>
  </si>
  <si>
    <t>72119</t>
  </si>
  <si>
    <t>721110</t>
  </si>
  <si>
    <t>721111</t>
  </si>
  <si>
    <t>721112</t>
  </si>
  <si>
    <t>721113</t>
  </si>
  <si>
    <t>72121</t>
  </si>
  <si>
    <t>72122</t>
  </si>
  <si>
    <t>72123</t>
  </si>
  <si>
    <t>72131</t>
  </si>
  <si>
    <t>72132</t>
  </si>
  <si>
    <t>72133</t>
  </si>
  <si>
    <t>72134</t>
  </si>
  <si>
    <t>72135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</si>
  <si>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</si>
  <si>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</si>
  <si>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</si>
  <si>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</si>
  <si>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</si>
  <si>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</si>
  <si>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</si>
  <si>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</si>
  <si>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</si>
  <si>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721410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</si>
  <si>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</si>
  <si>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</si>
  <si>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</si>
  <si>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</si>
  <si>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</si>
  <si>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</si>
  <si>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</si>
  <si>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</si>
  <si>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72159</t>
  </si>
  <si>
    <t>721510</t>
  </si>
  <si>
    <t>721511</t>
  </si>
  <si>
    <t>721512</t>
  </si>
  <si>
    <t>721513</t>
  </si>
  <si>
    <t>721514</t>
  </si>
  <si>
    <t>721515</t>
  </si>
  <si>
    <t>721516</t>
  </si>
  <si>
    <t>721517</t>
  </si>
  <si>
    <t>721518</t>
  </si>
  <si>
    <t>721519</t>
  </si>
  <si>
    <t>721520</t>
  </si>
  <si>
    <t>721521</t>
  </si>
  <si>
    <t>721522</t>
  </si>
  <si>
    <t>721523</t>
  </si>
  <si>
    <t>721524</t>
  </si>
  <si>
    <t>721525</t>
  </si>
  <si>
    <t>721526</t>
  </si>
  <si>
    <t>721527</t>
  </si>
  <si>
    <t>721528</t>
  </si>
  <si>
    <t>72161</t>
  </si>
  <si>
    <t>72162</t>
  </si>
  <si>
    <t>72171</t>
  </si>
  <si>
    <t>72172</t>
  </si>
  <si>
    <t>72173</t>
  </si>
  <si>
    <t>72174</t>
  </si>
  <si>
    <t>72175</t>
  </si>
  <si>
    <t>72181</t>
  </si>
  <si>
    <t>72182</t>
  </si>
  <si>
    <t>72183</t>
  </si>
  <si>
    <t>72184</t>
  </si>
  <si>
    <t>72185</t>
  </si>
  <si>
    <t>72186</t>
  </si>
  <si>
    <t>72187</t>
  </si>
  <si>
    <t>72188</t>
  </si>
  <si>
    <t>72189</t>
  </si>
  <si>
    <t>72211</t>
  </si>
  <si>
    <t>72212</t>
  </si>
  <si>
    <t>72213</t>
  </si>
  <si>
    <t>72214</t>
  </si>
  <si>
    <t>72215</t>
  </si>
  <si>
    <t>72216</t>
  </si>
  <si>
    <t>72217</t>
  </si>
  <si>
    <t>72218</t>
  </si>
  <si>
    <t>72219</t>
  </si>
  <si>
    <t>722110</t>
  </si>
  <si>
    <t>722111</t>
  </si>
  <si>
    <t>722112</t>
  </si>
  <si>
    <t>72221</t>
  </si>
  <si>
    <t>72222</t>
  </si>
  <si>
    <t>72223</t>
  </si>
  <si>
    <t>72224</t>
  </si>
  <si>
    <t>72231</t>
  </si>
  <si>
    <t>72232</t>
  </si>
  <si>
    <t>72233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</si>
  <si>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</si>
  <si>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</si>
  <si>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</si>
  <si>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</si>
  <si>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</si>
  <si>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</si>
  <si>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</si>
  <si>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</si>
  <si>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</si>
  <si>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</si>
  <si>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</si>
  <si>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</si>
  <si>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</si>
  <si>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</si>
  <si>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</si>
  <si>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</si>
  <si>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</si>
  <si>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722510</t>
  </si>
  <si>
    <t>722511</t>
  </si>
  <si>
    <t>722512</t>
  </si>
  <si>
    <t>722513</t>
  </si>
  <si>
    <t>722514</t>
  </si>
  <si>
    <t>722515</t>
  </si>
  <si>
    <t>72261</t>
  </si>
  <si>
    <t>72262</t>
  </si>
  <si>
    <t>72263</t>
  </si>
  <si>
    <t>72264</t>
  </si>
  <si>
    <t>72265</t>
  </si>
  <si>
    <t>72266</t>
  </si>
  <si>
    <t>72267</t>
  </si>
  <si>
    <t>72268</t>
  </si>
  <si>
    <t>72269</t>
  </si>
  <si>
    <t>722610</t>
  </si>
  <si>
    <t>722611</t>
  </si>
  <si>
    <t>722612</t>
  </si>
  <si>
    <t>722613</t>
  </si>
  <si>
    <t>722614</t>
  </si>
  <si>
    <t>722615</t>
  </si>
  <si>
    <t>722616</t>
  </si>
  <si>
    <t>722617</t>
  </si>
  <si>
    <t>722618</t>
  </si>
  <si>
    <t>722619</t>
  </si>
  <si>
    <t>722620</t>
  </si>
  <si>
    <t>722621</t>
  </si>
  <si>
    <t>722622</t>
  </si>
  <si>
    <t>722623</t>
  </si>
  <si>
    <t>722624</t>
  </si>
  <si>
    <t>722625</t>
  </si>
  <si>
    <t>722626</t>
  </si>
  <si>
    <t>722627</t>
  </si>
  <si>
    <t>72281</t>
  </si>
  <si>
    <t>72282</t>
  </si>
  <si>
    <t>72283</t>
  </si>
  <si>
    <t>72291</t>
  </si>
  <si>
    <t>72292</t>
  </si>
  <si>
    <t>722101</t>
  </si>
  <si>
    <t>722102</t>
  </si>
  <si>
    <t>722103</t>
  </si>
  <si>
    <t>722104</t>
  </si>
  <si>
    <t>722105</t>
  </si>
  <si>
    <t>722106</t>
  </si>
  <si>
    <t>722107</t>
  </si>
  <si>
    <t>722108</t>
  </si>
  <si>
    <t>722109</t>
  </si>
  <si>
    <t>7221010</t>
  </si>
  <si>
    <t>728101</t>
  </si>
  <si>
    <t>728102</t>
  </si>
  <si>
    <t>728201</t>
  </si>
  <si>
    <t>728201a</t>
  </si>
  <si>
    <t>728201b</t>
  </si>
  <si>
    <t>728202</t>
  </si>
  <si>
    <t>728202a</t>
  </si>
  <si>
    <t>728202b</t>
  </si>
  <si>
    <t>728203</t>
  </si>
  <si>
    <t>728203a</t>
  </si>
  <si>
    <t>728203b</t>
  </si>
  <si>
    <t>728203c</t>
  </si>
  <si>
    <t>728204</t>
  </si>
  <si>
    <t>728204a</t>
  </si>
  <si>
    <t>728204b</t>
  </si>
  <si>
    <t>728204c</t>
  </si>
  <si>
    <t>728205</t>
  </si>
  <si>
    <t>728205a</t>
  </si>
  <si>
    <t>728205b</t>
  </si>
  <si>
    <t>728205c</t>
  </si>
  <si>
    <t>728205d</t>
  </si>
  <si>
    <t>728205e</t>
  </si>
  <si>
    <t>728206</t>
  </si>
  <si>
    <t>728206a</t>
  </si>
  <si>
    <t>728206b</t>
  </si>
  <si>
    <t>728206c</t>
  </si>
  <si>
    <t>728206d</t>
  </si>
  <si>
    <t>728206e</t>
  </si>
  <si>
    <t>728207</t>
  </si>
  <si>
    <t>728208</t>
  </si>
  <si>
    <t>728209</t>
  </si>
  <si>
    <t>728210</t>
  </si>
  <si>
    <t>728211</t>
  </si>
  <si>
    <t>728212</t>
  </si>
  <si>
    <t>728213</t>
  </si>
  <si>
    <t>728214</t>
  </si>
  <si>
    <t>728215</t>
  </si>
  <si>
    <t>728216</t>
  </si>
  <si>
    <t>728217</t>
  </si>
  <si>
    <t>728218</t>
  </si>
  <si>
    <t>728219</t>
  </si>
  <si>
    <t>728220</t>
  </si>
  <si>
    <t>728221</t>
  </si>
  <si>
    <t>728222</t>
  </si>
  <si>
    <t>728223</t>
  </si>
  <si>
    <t>728224</t>
  </si>
  <si>
    <t>728225</t>
  </si>
  <si>
    <t>728226</t>
  </si>
  <si>
    <t>728227</t>
  </si>
  <si>
    <t>728228</t>
  </si>
  <si>
    <t>728301</t>
  </si>
  <si>
    <t>728302</t>
  </si>
  <si>
    <t>728303</t>
  </si>
  <si>
    <t>728304</t>
  </si>
  <si>
    <t>728305</t>
  </si>
  <si>
    <t>728306</t>
  </si>
  <si>
    <t>728307</t>
  </si>
  <si>
    <t>728308</t>
  </si>
  <si>
    <t>728309</t>
  </si>
  <si>
    <t>728310</t>
  </si>
  <si>
    <t>728311</t>
  </si>
  <si>
    <t>728312</t>
  </si>
  <si>
    <t>728313</t>
  </si>
  <si>
    <t>728314</t>
  </si>
  <si>
    <t>728315</t>
  </si>
  <si>
    <t>728316</t>
  </si>
  <si>
    <t>728317</t>
  </si>
  <si>
    <t>728318</t>
  </si>
  <si>
    <t>728319</t>
  </si>
  <si>
    <t>728320</t>
  </si>
  <si>
    <t>728401</t>
  </si>
  <si>
    <t>728402</t>
  </si>
  <si>
    <t>728403</t>
  </si>
  <si>
    <t>728404</t>
  </si>
  <si>
    <t>728405</t>
  </si>
  <si>
    <t>728501</t>
  </si>
  <si>
    <t>728502</t>
  </si>
  <si>
    <t>728503</t>
  </si>
  <si>
    <t>728504</t>
  </si>
  <si>
    <t>728505</t>
  </si>
  <si>
    <t>728601</t>
  </si>
  <si>
    <t>728602</t>
  </si>
  <si>
    <t>728603</t>
  </si>
  <si>
    <t>728604</t>
  </si>
  <si>
    <t>728605</t>
  </si>
  <si>
    <t>728606</t>
  </si>
  <si>
    <t>728607</t>
  </si>
  <si>
    <t>728608</t>
  </si>
  <si>
    <t>728609</t>
  </si>
  <si>
    <t>728610</t>
  </si>
  <si>
    <t>728611</t>
  </si>
  <si>
    <t>728612</t>
  </si>
  <si>
    <t>728613</t>
  </si>
  <si>
    <t>728614</t>
  </si>
  <si>
    <t>728615</t>
  </si>
  <si>
    <t>73111</t>
  </si>
  <si>
    <t>73112</t>
  </si>
  <si>
    <t>73113</t>
  </si>
  <si>
    <t>73114</t>
  </si>
  <si>
    <t>73115</t>
  </si>
  <si>
    <t>73116</t>
  </si>
  <si>
    <t>73121</t>
  </si>
  <si>
    <t>73122</t>
  </si>
  <si>
    <t>73123</t>
  </si>
  <si>
    <t>73131</t>
  </si>
  <si>
    <t>73132</t>
  </si>
  <si>
    <t>73133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</si>
  <si>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</si>
  <si>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</si>
  <si>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</si>
  <si>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</si>
  <si>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</si>
  <si>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</si>
  <si>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</si>
  <si>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</si>
  <si>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</si>
  <si>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731410</t>
  </si>
  <si>
    <t>731411</t>
  </si>
  <si>
    <t>731412</t>
  </si>
  <si>
    <t>731413</t>
  </si>
  <si>
    <t>731414</t>
  </si>
  <si>
    <t>731415</t>
  </si>
  <si>
    <t>73151</t>
  </si>
  <si>
    <t>73152</t>
  </si>
  <si>
    <t>73153</t>
  </si>
  <si>
    <t>73154</t>
  </si>
  <si>
    <t>73155</t>
  </si>
  <si>
    <t>73156</t>
  </si>
  <si>
    <t>73157</t>
  </si>
  <si>
    <t>73158</t>
  </si>
  <si>
    <t>73159</t>
  </si>
  <si>
    <t>731510</t>
  </si>
  <si>
    <t>73161</t>
  </si>
  <si>
    <t>73162</t>
  </si>
  <si>
    <t>73163</t>
  </si>
  <si>
    <t>73164</t>
  </si>
  <si>
    <t>73165</t>
  </si>
  <si>
    <t>73166</t>
  </si>
  <si>
    <t>73167</t>
  </si>
  <si>
    <t>73168</t>
  </si>
  <si>
    <t>73169</t>
  </si>
  <si>
    <t>731610</t>
  </si>
  <si>
    <t>731611</t>
  </si>
  <si>
    <t>731612</t>
  </si>
  <si>
    <t>731613</t>
  </si>
  <si>
    <t>731614</t>
  </si>
  <si>
    <t>73171</t>
  </si>
  <si>
    <t>73172</t>
  </si>
  <si>
    <t>73173</t>
  </si>
  <si>
    <t>73181</t>
  </si>
  <si>
    <t>73182</t>
  </si>
  <si>
    <t>73191</t>
  </si>
  <si>
    <t>73192</t>
  </si>
  <si>
    <t>73193</t>
  </si>
  <si>
    <t>73194</t>
  </si>
  <si>
    <t>73195</t>
  </si>
  <si>
    <t>73196</t>
  </si>
  <si>
    <t>73197</t>
  </si>
  <si>
    <t>73198</t>
  </si>
  <si>
    <t>73199</t>
  </si>
  <si>
    <t>731910</t>
  </si>
  <si>
    <t>731911</t>
  </si>
  <si>
    <t>731912</t>
  </si>
  <si>
    <t>762088113R00</t>
  </si>
  <si>
    <t>762100005RA0</t>
  </si>
  <si>
    <t>762331811R00</t>
  </si>
  <si>
    <t>762331812R00</t>
  </si>
  <si>
    <t>762341811R00</t>
  </si>
  <si>
    <t>762343821R00</t>
  </si>
  <si>
    <t>762341210RT2</t>
  </si>
  <si>
    <t>998762102R00</t>
  </si>
  <si>
    <t>762441112RT4</t>
  </si>
  <si>
    <t>764311822R00</t>
  </si>
  <si>
    <t>764-01.R</t>
  </si>
  <si>
    <t>764-02.R</t>
  </si>
  <si>
    <t>764-03.R</t>
  </si>
  <si>
    <t>764-04.R</t>
  </si>
  <si>
    <t>764-05.R</t>
  </si>
  <si>
    <t>764-06.R</t>
  </si>
  <si>
    <t>764-07.R</t>
  </si>
  <si>
    <t>764-08.R</t>
  </si>
  <si>
    <t>764-09.R</t>
  </si>
  <si>
    <t>764-10.R</t>
  </si>
  <si>
    <t>764-11.R</t>
  </si>
  <si>
    <t>764-12.R</t>
  </si>
  <si>
    <t>764-13.R</t>
  </si>
  <si>
    <t>764-14.R</t>
  </si>
  <si>
    <t>998764102R00</t>
  </si>
  <si>
    <t>766601216R00</t>
  </si>
  <si>
    <t>766601229R00</t>
  </si>
  <si>
    <t>766629321RT1</t>
  </si>
  <si>
    <t>766629322RT1</t>
  </si>
  <si>
    <t>766629323RT1</t>
  </si>
  <si>
    <t>766629324RT1</t>
  </si>
  <si>
    <t>766629325RT1</t>
  </si>
  <si>
    <t>766629326RT1</t>
  </si>
  <si>
    <t>766629327RT1</t>
  </si>
  <si>
    <t>766629331RT1</t>
  </si>
  <si>
    <t>766661101RT1</t>
  </si>
  <si>
    <t>766661102RT1</t>
  </si>
  <si>
    <t>766661103RT1</t>
  </si>
  <si>
    <t>766661104RT1</t>
  </si>
  <si>
    <t>766661105RT1</t>
  </si>
  <si>
    <t>766661106RT1</t>
  </si>
  <si>
    <t>766661107RT1</t>
  </si>
  <si>
    <t>766661108RT1</t>
  </si>
  <si>
    <t>766661109RT1</t>
  </si>
  <si>
    <t>766661110RT1</t>
  </si>
  <si>
    <t>766661111RT1</t>
  </si>
  <si>
    <t>766812113RT1</t>
  </si>
  <si>
    <t>766694120RT1</t>
  </si>
  <si>
    <t>766694120RT2</t>
  </si>
  <si>
    <t>998766102R00</t>
  </si>
  <si>
    <t>767-01a.R</t>
  </si>
  <si>
    <t>767-01b.R</t>
  </si>
  <si>
    <t>767-02a.R</t>
  </si>
  <si>
    <t>767-02b.R</t>
  </si>
  <si>
    <t>767-02c.R</t>
  </si>
  <si>
    <t>767-02d.R</t>
  </si>
  <si>
    <t>767-01.R</t>
  </si>
  <si>
    <t>767-02.R</t>
  </si>
  <si>
    <t>767-03.R</t>
  </si>
  <si>
    <t>767-08.R</t>
  </si>
  <si>
    <t>767-10.R</t>
  </si>
  <si>
    <t>767-12.R</t>
  </si>
  <si>
    <t>767-13.R</t>
  </si>
  <si>
    <t>767-15.R</t>
  </si>
  <si>
    <t>767-16.R</t>
  </si>
  <si>
    <t>767-20.R</t>
  </si>
  <si>
    <t>767-21.R</t>
  </si>
  <si>
    <t>767-22.R</t>
  </si>
  <si>
    <t>767-23.R</t>
  </si>
  <si>
    <t>767-24a.R</t>
  </si>
  <si>
    <t>767-24b.R</t>
  </si>
  <si>
    <t>767-25a.R</t>
  </si>
  <si>
    <t>767-25b.R</t>
  </si>
  <si>
    <t>767-28.R</t>
  </si>
  <si>
    <t>767-29.R</t>
  </si>
  <si>
    <t>767-31.R</t>
  </si>
  <si>
    <t>767-32.R</t>
  </si>
  <si>
    <t>767-33.R</t>
  </si>
  <si>
    <t>767-34.R</t>
  </si>
  <si>
    <t>767-35.R</t>
  </si>
  <si>
    <t>767-36.R</t>
  </si>
  <si>
    <t>767-37.R</t>
  </si>
  <si>
    <t>767-38.R</t>
  </si>
  <si>
    <t>767-39.R</t>
  </si>
  <si>
    <t>767-40.R</t>
  </si>
  <si>
    <t>767-41.R</t>
  </si>
  <si>
    <t>767-42.R</t>
  </si>
  <si>
    <t>767-43.R</t>
  </si>
  <si>
    <t>767-44.R</t>
  </si>
  <si>
    <t>767-45.R</t>
  </si>
  <si>
    <t>767-46.R</t>
  </si>
  <si>
    <t>767-47.R</t>
  </si>
  <si>
    <t>767-48.R</t>
  </si>
  <si>
    <t>767-49.R</t>
  </si>
  <si>
    <t>767-50.R</t>
  </si>
  <si>
    <t>767-51.R</t>
  </si>
  <si>
    <t>767-52.R</t>
  </si>
  <si>
    <t>767-53.R</t>
  </si>
  <si>
    <t>767-54.R</t>
  </si>
  <si>
    <t>767-55.R</t>
  </si>
  <si>
    <t>767-56.R</t>
  </si>
  <si>
    <t>998767102R00</t>
  </si>
  <si>
    <t>771101142RT1</t>
  </si>
  <si>
    <t>771101210R00</t>
  </si>
  <si>
    <t>771212117R00</t>
  </si>
  <si>
    <t>597642070</t>
  </si>
  <si>
    <t>771285210RA1</t>
  </si>
  <si>
    <t>771475014R00</t>
  </si>
  <si>
    <t>597642070.A</t>
  </si>
  <si>
    <t>771577113R00</t>
  </si>
  <si>
    <t>771578011RT4</t>
  </si>
  <si>
    <t>771579795R00</t>
  </si>
  <si>
    <t>771589791R00</t>
  </si>
  <si>
    <t>998771102R00</t>
  </si>
  <si>
    <t>776101101R00</t>
  </si>
  <si>
    <t>776101121R00</t>
  </si>
  <si>
    <t>776421100RU1</t>
  </si>
  <si>
    <t>776511820R00</t>
  </si>
  <si>
    <t>776521100R00</t>
  </si>
  <si>
    <t>28410113</t>
  </si>
  <si>
    <t>28410117</t>
  </si>
  <si>
    <t>998776102R00</t>
  </si>
  <si>
    <t>777511113R00</t>
  </si>
  <si>
    <t>777511193R00</t>
  </si>
  <si>
    <t>777615214R00</t>
  </si>
  <si>
    <t>777615294R00</t>
  </si>
  <si>
    <t>998777102R00</t>
  </si>
  <si>
    <t>781101142R00</t>
  </si>
  <si>
    <t>781101210R00</t>
  </si>
  <si>
    <t>781111151R00</t>
  </si>
  <si>
    <t>59782111</t>
  </si>
  <si>
    <t>781210141R00</t>
  </si>
  <si>
    <t>597813746</t>
  </si>
  <si>
    <t>781419706R00</t>
  </si>
  <si>
    <t>781497111R00</t>
  </si>
  <si>
    <t>781497121R00</t>
  </si>
  <si>
    <t>998781102R00</t>
  </si>
  <si>
    <t>784011121R00</t>
  </si>
  <si>
    <t>784111101R00</t>
  </si>
  <si>
    <t>784111201R00</t>
  </si>
  <si>
    <t>784115312R00</t>
  </si>
  <si>
    <t>784115712R00</t>
  </si>
  <si>
    <t>786612200RT1</t>
  </si>
  <si>
    <t>786622211RT2</t>
  </si>
  <si>
    <t>998786102R00</t>
  </si>
  <si>
    <t>791100101</t>
  </si>
  <si>
    <t>791200101</t>
  </si>
  <si>
    <t>791200102</t>
  </si>
  <si>
    <t>791300101</t>
  </si>
  <si>
    <t>791300102</t>
  </si>
  <si>
    <t>791300103</t>
  </si>
  <si>
    <t>791300104</t>
  </si>
  <si>
    <t>791300105</t>
  </si>
  <si>
    <t>791400101</t>
  </si>
  <si>
    <t>791400102</t>
  </si>
  <si>
    <t>791400103</t>
  </si>
  <si>
    <t>791400104</t>
  </si>
  <si>
    <t>791400105</t>
  </si>
  <si>
    <t>791400106</t>
  </si>
  <si>
    <t>791400107</t>
  </si>
  <si>
    <t>791400108</t>
  </si>
  <si>
    <t>791400109</t>
  </si>
  <si>
    <t>791400110</t>
  </si>
  <si>
    <t>791500101</t>
  </si>
  <si>
    <t>791500102</t>
  </si>
  <si>
    <t>791500103</t>
  </si>
  <si>
    <t>791500104</t>
  </si>
  <si>
    <t>791500105</t>
  </si>
  <si>
    <t>791600101</t>
  </si>
  <si>
    <t>791600102</t>
  </si>
  <si>
    <t>M21</t>
  </si>
  <si>
    <t>460680164</t>
  </si>
  <si>
    <t>460680582</t>
  </si>
  <si>
    <t>740991200</t>
  </si>
  <si>
    <t>743622200</t>
  </si>
  <si>
    <t>354420290</t>
  </si>
  <si>
    <t>718111222</t>
  </si>
  <si>
    <t>341828522</t>
  </si>
  <si>
    <t>746591510</t>
  </si>
  <si>
    <t>10939562</t>
  </si>
  <si>
    <t>749115555</t>
  </si>
  <si>
    <t>340521555</t>
  </si>
  <si>
    <t>749008122</t>
  </si>
  <si>
    <t>340520874</t>
  </si>
  <si>
    <t>749136982</t>
  </si>
  <si>
    <t>340520522</t>
  </si>
  <si>
    <t>749136989</t>
  </si>
  <si>
    <t>340520528</t>
  </si>
  <si>
    <t>749136107</t>
  </si>
  <si>
    <t>340520512</t>
  </si>
  <si>
    <t>749130522</t>
  </si>
  <si>
    <t>340528479</t>
  </si>
  <si>
    <t>749136650</t>
  </si>
  <si>
    <t>340851699</t>
  </si>
  <si>
    <t>749322286</t>
  </si>
  <si>
    <t>340550876</t>
  </si>
  <si>
    <t>749136522</t>
  </si>
  <si>
    <t>749310447R</t>
  </si>
  <si>
    <t>340556354R</t>
  </si>
  <si>
    <t>749300748</t>
  </si>
  <si>
    <t>340550544</t>
  </si>
  <si>
    <t>74991111R</t>
  </si>
  <si>
    <t>340550847R</t>
  </si>
  <si>
    <t>013254000</t>
  </si>
  <si>
    <t>071103000</t>
  </si>
  <si>
    <t>092100008</t>
  </si>
  <si>
    <t>092100410</t>
  </si>
  <si>
    <t>M21+2</t>
  </si>
  <si>
    <t>971033141</t>
  </si>
  <si>
    <t>973031324</t>
  </si>
  <si>
    <t>974082212</t>
  </si>
  <si>
    <t>974082214</t>
  </si>
  <si>
    <t>742231100</t>
  </si>
  <si>
    <t>35711715R</t>
  </si>
  <si>
    <t>35711615R</t>
  </si>
  <si>
    <t>35711289R</t>
  </si>
  <si>
    <t>35711200R</t>
  </si>
  <si>
    <t>35711202R</t>
  </si>
  <si>
    <t>74281111R</t>
  </si>
  <si>
    <t>743112115</t>
  </si>
  <si>
    <t>345710510</t>
  </si>
  <si>
    <t>743411111</t>
  </si>
  <si>
    <t>345715219</t>
  </si>
  <si>
    <t>743411121</t>
  </si>
  <si>
    <t>10033023</t>
  </si>
  <si>
    <t>743611121</t>
  </si>
  <si>
    <t>354410730</t>
  </si>
  <si>
    <t>718004521</t>
  </si>
  <si>
    <t>340052887</t>
  </si>
  <si>
    <t>744211111</t>
  </si>
  <si>
    <t>341408260</t>
  </si>
  <si>
    <t>341408262</t>
  </si>
  <si>
    <t>744211112</t>
  </si>
  <si>
    <t>341408270</t>
  </si>
  <si>
    <t>744411220</t>
  </si>
  <si>
    <t>341110300</t>
  </si>
  <si>
    <t>341110302R</t>
  </si>
  <si>
    <t>341110301R</t>
  </si>
  <si>
    <t>341110004R</t>
  </si>
  <si>
    <t>341110084R</t>
  </si>
  <si>
    <t>341145684R</t>
  </si>
  <si>
    <t>341145946R</t>
  </si>
  <si>
    <t>744411230</t>
  </si>
  <si>
    <t>341110380</t>
  </si>
  <si>
    <t>341110360</t>
  </si>
  <si>
    <t>744411280</t>
  </si>
  <si>
    <t>341110584</t>
  </si>
  <si>
    <t>341110589</t>
  </si>
  <si>
    <t>341110596</t>
  </si>
  <si>
    <t>746211110</t>
  </si>
  <si>
    <t>21060624</t>
  </si>
  <si>
    <t>68500231</t>
  </si>
  <si>
    <t>68500240</t>
  </si>
  <si>
    <t>345723090</t>
  </si>
  <si>
    <t>746211140</t>
  </si>
  <si>
    <t>1025566</t>
  </si>
  <si>
    <t>747111111</t>
  </si>
  <si>
    <t>345357850</t>
  </si>
  <si>
    <t>345357855</t>
  </si>
  <si>
    <t>747111125</t>
  </si>
  <si>
    <t>345355750</t>
  </si>
  <si>
    <t>747111184</t>
  </si>
  <si>
    <t>345355411</t>
  </si>
  <si>
    <t>345355485</t>
  </si>
  <si>
    <t>747111189</t>
  </si>
  <si>
    <t>345350051</t>
  </si>
  <si>
    <t>345350050</t>
  </si>
  <si>
    <t>747111115</t>
  </si>
  <si>
    <t>345357818</t>
  </si>
  <si>
    <t>345357810</t>
  </si>
  <si>
    <t>74711202R</t>
  </si>
  <si>
    <t>10060504</t>
  </si>
  <si>
    <t>747161020</t>
  </si>
  <si>
    <t>345551030</t>
  </si>
  <si>
    <t>345551039</t>
  </si>
  <si>
    <t>345550289</t>
  </si>
  <si>
    <t>345551995</t>
  </si>
  <si>
    <t>747165966</t>
  </si>
  <si>
    <t>345551086</t>
  </si>
  <si>
    <t>747140011</t>
  </si>
  <si>
    <t>345551841R</t>
  </si>
  <si>
    <t>7471400581</t>
  </si>
  <si>
    <t>345000411R</t>
  </si>
  <si>
    <t>7471400001</t>
  </si>
  <si>
    <t>345000041R</t>
  </si>
  <si>
    <t>7471400012</t>
  </si>
  <si>
    <t>345000051R</t>
  </si>
  <si>
    <t>747145005</t>
  </si>
  <si>
    <t>34500011R</t>
  </si>
  <si>
    <t>747145019</t>
  </si>
  <si>
    <t>345000066R</t>
  </si>
  <si>
    <t>747148488</t>
  </si>
  <si>
    <t>345008188R</t>
  </si>
  <si>
    <t>747148012</t>
  </si>
  <si>
    <t>3450080926R</t>
  </si>
  <si>
    <t>747140017</t>
  </si>
  <si>
    <t>345551021R</t>
  </si>
  <si>
    <t>345551341R</t>
  </si>
  <si>
    <t>7471488115</t>
  </si>
  <si>
    <t>345008003R</t>
  </si>
  <si>
    <t>7471488112</t>
  </si>
  <si>
    <t>345048568R</t>
  </si>
  <si>
    <t>7471488107</t>
  </si>
  <si>
    <t>345040486R</t>
  </si>
  <si>
    <t>345040492R</t>
  </si>
  <si>
    <t>7471488088</t>
  </si>
  <si>
    <t>3450404326R</t>
  </si>
  <si>
    <t>7471488418</t>
  </si>
  <si>
    <t>3450400488R</t>
  </si>
  <si>
    <t>7471488410</t>
  </si>
  <si>
    <t>3450400480R</t>
  </si>
  <si>
    <t>7471400849</t>
  </si>
  <si>
    <t>3450400118R</t>
  </si>
  <si>
    <t>7471400801</t>
  </si>
  <si>
    <t>3450029597R</t>
  </si>
  <si>
    <t>7471400832</t>
  </si>
  <si>
    <t>3450028417R</t>
  </si>
  <si>
    <t>7471400803</t>
  </si>
  <si>
    <t>3450028025R</t>
  </si>
  <si>
    <t>7471621R</t>
  </si>
  <si>
    <t>748121142</t>
  </si>
  <si>
    <t>34814435R</t>
  </si>
  <si>
    <t>34814435R1</t>
  </si>
  <si>
    <t>34814435R2</t>
  </si>
  <si>
    <t>34814435R3</t>
  </si>
  <si>
    <t>34814435R4</t>
  </si>
  <si>
    <t>34814435R5</t>
  </si>
  <si>
    <t>34814435R6</t>
  </si>
  <si>
    <t>34814435R7</t>
  </si>
  <si>
    <t>34814435R8</t>
  </si>
  <si>
    <t>34814435R9</t>
  </si>
  <si>
    <t>34814435R10</t>
  </si>
  <si>
    <t>34814435R11</t>
  </si>
  <si>
    <t>34814435R12</t>
  </si>
  <si>
    <t>34814435R13</t>
  </si>
  <si>
    <t>34814435R14</t>
  </si>
  <si>
    <t>748121211</t>
  </si>
  <si>
    <t>348381000</t>
  </si>
  <si>
    <t>74899220R</t>
  </si>
  <si>
    <t>748992300</t>
  </si>
  <si>
    <t>74991811R</t>
  </si>
  <si>
    <t>34932800R</t>
  </si>
  <si>
    <t>092103001</t>
  </si>
  <si>
    <t>092100208</t>
  </si>
  <si>
    <t>092109928D</t>
  </si>
  <si>
    <t>092109912</t>
  </si>
  <si>
    <t>092100200D</t>
  </si>
  <si>
    <t>345715110</t>
  </si>
  <si>
    <t>345715115</t>
  </si>
  <si>
    <t>M33</t>
  </si>
  <si>
    <t>330030320R00</t>
  </si>
  <si>
    <t>M43</t>
  </si>
  <si>
    <t>430471001RA1</t>
  </si>
  <si>
    <t>430471001RT1</t>
  </si>
  <si>
    <t>430471001RT2</t>
  </si>
  <si>
    <t>112100001RAA</t>
  </si>
  <si>
    <t>111200001RA0</t>
  </si>
  <si>
    <t>577000002RA0</t>
  </si>
  <si>
    <t>591100010RAB</t>
  </si>
  <si>
    <t>591100020RAB</t>
  </si>
  <si>
    <t>596831101RT3</t>
  </si>
  <si>
    <t>914001121RT6</t>
  </si>
  <si>
    <t>915711111R00</t>
  </si>
  <si>
    <t>916661111RT3</t>
  </si>
  <si>
    <t>916661111RT1</t>
  </si>
  <si>
    <t>917762111RT8</t>
  </si>
  <si>
    <t>961100001RA0</t>
  </si>
  <si>
    <t>H22</t>
  </si>
  <si>
    <t>998223011R00</t>
  </si>
  <si>
    <t>731341130</t>
  </si>
  <si>
    <t>732111125</t>
  </si>
  <si>
    <t>732111225</t>
  </si>
  <si>
    <t>732111312</t>
  </si>
  <si>
    <t>732111314</t>
  </si>
  <si>
    <t>732111316</t>
  </si>
  <si>
    <t>732112900</t>
  </si>
  <si>
    <t>732199100</t>
  </si>
  <si>
    <t>PC7321</t>
  </si>
  <si>
    <t>732211116</t>
  </si>
  <si>
    <t>732219100</t>
  </si>
  <si>
    <t>PC7322</t>
  </si>
  <si>
    <t>PC7323</t>
  </si>
  <si>
    <t>PC7324</t>
  </si>
  <si>
    <t>732429212</t>
  </si>
  <si>
    <t>PC7325</t>
  </si>
  <si>
    <t>732499100</t>
  </si>
  <si>
    <t>733111102</t>
  </si>
  <si>
    <t>733111103</t>
  </si>
  <si>
    <t>733111104</t>
  </si>
  <si>
    <t>733111105</t>
  </si>
  <si>
    <t>733111107</t>
  </si>
  <si>
    <t>7321213</t>
  </si>
  <si>
    <t>7321215</t>
  </si>
  <si>
    <t>733141102</t>
  </si>
  <si>
    <t>733190107</t>
  </si>
  <si>
    <t>733191113</t>
  </si>
  <si>
    <t>733919100</t>
  </si>
  <si>
    <t>733919110</t>
  </si>
  <si>
    <t>PC7331</t>
  </si>
  <si>
    <t>PC7332</t>
  </si>
  <si>
    <t>PC7333</t>
  </si>
  <si>
    <t>PC7334</t>
  </si>
  <si>
    <t>PC7335</t>
  </si>
  <si>
    <t>733919200</t>
  </si>
  <si>
    <t>734209102</t>
  </si>
  <si>
    <t>734209103</t>
  </si>
  <si>
    <t>734209104</t>
  </si>
  <si>
    <t>734209113</t>
  </si>
  <si>
    <t>734209115</t>
  </si>
  <si>
    <t>734209117</t>
  </si>
  <si>
    <t>734209123</t>
  </si>
  <si>
    <t>734209124</t>
  </si>
  <si>
    <t>734211113</t>
  </si>
  <si>
    <t>PC7341</t>
  </si>
  <si>
    <t>734242412</t>
  </si>
  <si>
    <t>734242414</t>
  </si>
  <si>
    <t>734261233</t>
  </si>
  <si>
    <t>734261234</t>
  </si>
  <si>
    <t>734291123</t>
  </si>
  <si>
    <t>734291124</t>
  </si>
  <si>
    <t>734291242</t>
  </si>
  <si>
    <t>734291244</t>
  </si>
  <si>
    <t>734291246</t>
  </si>
  <si>
    <t>734292772</t>
  </si>
  <si>
    <t>734292774</t>
  </si>
  <si>
    <t>734292776</t>
  </si>
  <si>
    <t>734411127</t>
  </si>
  <si>
    <t>734411128</t>
  </si>
  <si>
    <t>734421130</t>
  </si>
  <si>
    <t>734422110</t>
  </si>
  <si>
    <t>734411601</t>
  </si>
  <si>
    <t>734494111</t>
  </si>
  <si>
    <t>734494121</t>
  </si>
  <si>
    <t>734494213</t>
  </si>
  <si>
    <t>734494214</t>
  </si>
  <si>
    <t>734499211</t>
  </si>
  <si>
    <t>71331…</t>
  </si>
  <si>
    <t>713319100</t>
  </si>
  <si>
    <t>PC7131</t>
  </si>
  <si>
    <t>PC7132</t>
  </si>
  <si>
    <t>713319110</t>
  </si>
  <si>
    <t>713319120</t>
  </si>
  <si>
    <t>783424740</t>
  </si>
  <si>
    <t>783425413</t>
  </si>
  <si>
    <t>783225100</t>
  </si>
  <si>
    <t>799919100</t>
  </si>
  <si>
    <t>799919200</t>
  </si>
  <si>
    <t>M22</t>
  </si>
  <si>
    <t>AVS37294</t>
  </si>
  <si>
    <t>AVS382918</t>
  </si>
  <si>
    <t>AVS82491</t>
  </si>
  <si>
    <t>RVS63283</t>
  </si>
  <si>
    <t>SVS63200</t>
  </si>
  <si>
    <t>OZW67201</t>
  </si>
  <si>
    <t>2201</t>
  </si>
  <si>
    <t>QAC34/101</t>
  </si>
  <si>
    <t>QAD36/101</t>
  </si>
  <si>
    <t>QAZ36526</t>
  </si>
  <si>
    <t>RAMTW2000M</t>
  </si>
  <si>
    <t>611266041</t>
  </si>
  <si>
    <t>SXP452563/230</t>
  </si>
  <si>
    <t>SXP451525/230</t>
  </si>
  <si>
    <t>VAI602022</t>
  </si>
  <si>
    <t>GLB3419E</t>
  </si>
  <si>
    <t>WST8060210</t>
  </si>
  <si>
    <t>2202</t>
  </si>
  <si>
    <t>SB115</t>
  </si>
  <si>
    <t>2203</t>
  </si>
  <si>
    <t>LTS25A</t>
  </si>
  <si>
    <t>DF10A</t>
  </si>
  <si>
    <t>B10/1</t>
  </si>
  <si>
    <t>B6/1</t>
  </si>
  <si>
    <t>PT570730</t>
  </si>
  <si>
    <t>YPT78704</t>
  </si>
  <si>
    <t>MM216863</t>
  </si>
  <si>
    <t>MM216374</t>
  </si>
  <si>
    <t>MM216376</t>
  </si>
  <si>
    <t>CBD4</t>
  </si>
  <si>
    <t>SFR4</t>
  </si>
  <si>
    <t>2204</t>
  </si>
  <si>
    <t>2205</t>
  </si>
  <si>
    <t>2206</t>
  </si>
  <si>
    <t>2207</t>
  </si>
  <si>
    <t>2208</t>
  </si>
  <si>
    <t>2209</t>
  </si>
  <si>
    <t>22010</t>
  </si>
  <si>
    <t>22011</t>
  </si>
  <si>
    <t>22012</t>
  </si>
  <si>
    <t>22013</t>
  </si>
  <si>
    <t>22014</t>
  </si>
  <si>
    <t>22015</t>
  </si>
  <si>
    <t>22016</t>
  </si>
  <si>
    <t>22017</t>
  </si>
  <si>
    <t>22018</t>
  </si>
  <si>
    <t>22019</t>
  </si>
  <si>
    <t>22020</t>
  </si>
  <si>
    <t>22021</t>
  </si>
  <si>
    <t>22022</t>
  </si>
  <si>
    <t>22023</t>
  </si>
  <si>
    <t>22024</t>
  </si>
  <si>
    <t>721-1</t>
  </si>
  <si>
    <t>72104001</t>
  </si>
  <si>
    <t>72104002</t>
  </si>
  <si>
    <t>72104003</t>
  </si>
  <si>
    <t>72104004</t>
  </si>
  <si>
    <t>72104005</t>
  </si>
  <si>
    <t>72104006</t>
  </si>
  <si>
    <t>72104007</t>
  </si>
  <si>
    <t>72104008</t>
  </si>
  <si>
    <t>72104009</t>
  </si>
  <si>
    <t>72104010</t>
  </si>
  <si>
    <t>721-2</t>
  </si>
  <si>
    <t>72104011</t>
  </si>
  <si>
    <t>72104012</t>
  </si>
  <si>
    <t>72104013</t>
  </si>
  <si>
    <t>72104014</t>
  </si>
  <si>
    <t>721-3</t>
  </si>
  <si>
    <t>72104015</t>
  </si>
  <si>
    <t>72104016</t>
  </si>
  <si>
    <t>72104017</t>
  </si>
  <si>
    <t>721-</t>
  </si>
  <si>
    <t>72105001</t>
  </si>
  <si>
    <t>72105002</t>
  </si>
  <si>
    <t>72105003</t>
  </si>
  <si>
    <t>72105004</t>
  </si>
  <si>
    <t>72105005</t>
  </si>
  <si>
    <t>72105006</t>
  </si>
  <si>
    <t>72105007</t>
  </si>
  <si>
    <t>72105008</t>
  </si>
  <si>
    <t>72105009</t>
  </si>
  <si>
    <t>72105010</t>
  </si>
  <si>
    <t>72105011</t>
  </si>
  <si>
    <t>72105012</t>
  </si>
  <si>
    <t>72105013</t>
  </si>
  <si>
    <t>72105014</t>
  </si>
  <si>
    <t>72105015</t>
  </si>
  <si>
    <t>72105016</t>
  </si>
  <si>
    <t>72105017</t>
  </si>
  <si>
    <t>72105018</t>
  </si>
  <si>
    <t>72105019</t>
  </si>
  <si>
    <t>72105020</t>
  </si>
  <si>
    <t>72105021</t>
  </si>
  <si>
    <t>72105022</t>
  </si>
  <si>
    <t>72105023</t>
  </si>
  <si>
    <t>827211</t>
  </si>
  <si>
    <t>827212</t>
  </si>
  <si>
    <t>827213</t>
  </si>
  <si>
    <t>827221</t>
  </si>
  <si>
    <t>827222</t>
  </si>
  <si>
    <t>827223</t>
  </si>
  <si>
    <t>827224</t>
  </si>
  <si>
    <t>827225</t>
  </si>
  <si>
    <t>827227</t>
  </si>
  <si>
    <t>827228</t>
  </si>
  <si>
    <t>827229</t>
  </si>
  <si>
    <t>8272210</t>
  </si>
  <si>
    <t>8272211</t>
  </si>
  <si>
    <t>827231</t>
  </si>
  <si>
    <t>827232</t>
  </si>
  <si>
    <t>827233</t>
  </si>
  <si>
    <t>827241</t>
  </si>
  <si>
    <t>827242</t>
  </si>
  <si>
    <t>827243</t>
  </si>
  <si>
    <t>827244</t>
  </si>
  <si>
    <t>827245</t>
  </si>
  <si>
    <t>827246</t>
  </si>
  <si>
    <t>827247</t>
  </si>
  <si>
    <t>827248</t>
  </si>
  <si>
    <t>827249</t>
  </si>
  <si>
    <t>8272410</t>
  </si>
  <si>
    <t>8272411</t>
  </si>
  <si>
    <t>8272412</t>
  </si>
  <si>
    <t>8272413</t>
  </si>
  <si>
    <t>827251</t>
  </si>
  <si>
    <t>827252</t>
  </si>
  <si>
    <t>827253</t>
  </si>
  <si>
    <t>827254</t>
  </si>
  <si>
    <t>827255</t>
  </si>
  <si>
    <t>827256</t>
  </si>
  <si>
    <t>827257</t>
  </si>
  <si>
    <t>827258</t>
  </si>
  <si>
    <t>827259</t>
  </si>
  <si>
    <t>0</t>
  </si>
  <si>
    <t>005 10-1010.R</t>
  </si>
  <si>
    <t>005 12-1020.R</t>
  </si>
  <si>
    <t>005 12-2010.R</t>
  </si>
  <si>
    <t>005 12-4010.R</t>
  </si>
  <si>
    <t>005-24-1010.R</t>
  </si>
  <si>
    <t>Rekonstrukce Denního stacionáře domovinky Hofmanova č.p.568, Jičín</t>
  </si>
  <si>
    <t>Zkrácený popis / Varianta</t>
  </si>
  <si>
    <t>Rozměry</t>
  </si>
  <si>
    <t>Denní stacionář</t>
  </si>
  <si>
    <t>Přípravné a přidružené práce</t>
  </si>
  <si>
    <t>Vytýčení stávajících inženýrských sítí</t>
  </si>
  <si>
    <t>Odkopávky a prokopávky</t>
  </si>
  <si>
    <t>Bourání konstrukcí z prostého betonu v odkopávkách-podkladní beton -skladba B1-B4</t>
  </si>
  <si>
    <t>Sejmutí ornice s přemístěním do 50 m</t>
  </si>
  <si>
    <t>Odkopávky nezapažené v hor. 3 do 1000 m3</t>
  </si>
  <si>
    <t>Příplatek za lepivost - odkopávky v hor. 3</t>
  </si>
  <si>
    <t>Odkopávky nezapažené v hor. 4 do 1000 m3</t>
  </si>
  <si>
    <t>Příplatek za lepivost - odkopávky v hor. 4</t>
  </si>
  <si>
    <t>Hloubené vykopávky</t>
  </si>
  <si>
    <t>Vykopávka v uzavřených prostorách v hor.1-4 -skladba B1-B4</t>
  </si>
  <si>
    <t>Hloubení rýh š.do 60 cm v hor.3 do 100 m3</t>
  </si>
  <si>
    <t>Přípl.za lepivost,hloubení rýh 60 cm,hor.3</t>
  </si>
  <si>
    <t>Hloubení rýh š.do 200 cm hor.3 do 100 m3</t>
  </si>
  <si>
    <t>Přípl.za lepivost,hloubení rýh 200cm,hor.3</t>
  </si>
  <si>
    <t>Hloubení rýh š.do 60 cm v hor.4 do 100 m3</t>
  </si>
  <si>
    <t>Přípl.za lepivost,hloubení rýh 60 cm,hor.4</t>
  </si>
  <si>
    <t>Hloubení rýh š.do 200 cm hor.4 do 100 m3</t>
  </si>
  <si>
    <t>Přípl.za lepivost,hloubení rýh 200cm,hor.4</t>
  </si>
  <si>
    <t>Hloubení šachet v hor.3 do 100 m3</t>
  </si>
  <si>
    <t>Příplatek za lepivost - hloubení šachet v hor.3</t>
  </si>
  <si>
    <t>Hloubení šachet v hor.4 do 100 m3</t>
  </si>
  <si>
    <t>Příplatek za lepivost - hloubení šachet v hor.4</t>
  </si>
  <si>
    <t>Přemístění výkopku</t>
  </si>
  <si>
    <t>Vodorovné přemístění výkopku z hor.1-4 do 50 m -pro zásyp -tam a zpět</t>
  </si>
  <si>
    <t>Vodorovné přemístění výkopku z hor.1-4 do 10000 m</t>
  </si>
  <si>
    <t>Přehození výkopku z hor.1-4 -pro zásyp</t>
  </si>
  <si>
    <t>Nakládání výkopku z hor.1-4 v množství nad 100 m3</t>
  </si>
  <si>
    <t>Konstrukce ze zemin</t>
  </si>
  <si>
    <t>Zásyp jam, rýh, šachet se zhutněním</t>
  </si>
  <si>
    <t>Zásyp jam, rýh, šachet se zhutněním -zasypání základu přístavku</t>
  </si>
  <si>
    <t>Uložení sypaniny na skl.-sypanina na výšku přes 2m</t>
  </si>
  <si>
    <t>Hloubení pro podzemní stěny, ražení a hloubení důlní</t>
  </si>
  <si>
    <t>Poplatek za skládku horniny 1- 4</t>
  </si>
  <si>
    <t>Úprava podloží a základové spáry</t>
  </si>
  <si>
    <t>Drenážní trubka DN100 na podkl.betonu š.450mm vč. 6 m prostupů a chrániček ozn.OS14 -úplné provedení dle popisu v PD</t>
  </si>
  <si>
    <t>Zhutnění podloží z hornin nesoudržných do 92% PS vibrační deskou</t>
  </si>
  <si>
    <t>Základy</t>
  </si>
  <si>
    <t>Polštář základu ze štěrkopísku tříděného</t>
  </si>
  <si>
    <t>Beton základových desek prostý C 20/25-XC2</t>
  </si>
  <si>
    <t>Beton základových desek prostý C 25/30-XC2, XA1 -podkladní</t>
  </si>
  <si>
    <t>Beton základových desek prostý C 25/30-XC2, XA1 -skladba PDL 5</t>
  </si>
  <si>
    <t>Beton základových desek prostý C 25/30-XC2, XA1 -dojezd výtahu</t>
  </si>
  <si>
    <t>Bednění základových desek zřízení</t>
  </si>
  <si>
    <t>Bednění základových desek zřízení -dojezd výtahu</t>
  </si>
  <si>
    <t>Bednění základových desek odstranění</t>
  </si>
  <si>
    <t>Bednění základových desek odstranění -dojezd výtahu</t>
  </si>
  <si>
    <t>Výztuž základových desek ze svařovaných sítí průměr drátu  8,0, oka 150/150 mm KY50</t>
  </si>
  <si>
    <t>Beton základových pasů prostý C 20/25-XC2</t>
  </si>
  <si>
    <t>Bednění prostupu základem do 0,02 m2, dl.1,0 m 12,5x12,5 cm, dl.85 cm</t>
  </si>
  <si>
    <t>Bednění prostupu základem do 0,05 m2, dl.0,5 m 20x20 cm, dl.60 cm</t>
  </si>
  <si>
    <t>Bednění prostupu základem do 0,05 m2, dl.0,5 m 20x20 cm, dl.70 cm</t>
  </si>
  <si>
    <t>Bednění prostupu základem do 0,05 m2, dl.1,0 m 20x20 cm, dl.110 cm</t>
  </si>
  <si>
    <t>Bednění prostupu základem do 0,10 m2, dl.0,25 m 25x25 cm, dl.29 cm</t>
  </si>
  <si>
    <t>Bednění prostupu základem do 0,10 m2, dl.0,25 m 25x25 cm, dl.31 cm</t>
  </si>
  <si>
    <t>Bednění prostupu základem do 0,10 m2, dl.0,5 m 25x25 cm, dl.56 cm</t>
  </si>
  <si>
    <t>Bednění prostupu základem do 0,10 m2, dl.0,5 m 25x25 cm, dl.65 cm</t>
  </si>
  <si>
    <t>Bednění prostupu základem do 0,10 m2, dl.0,5 m 25x25 cm, dl.765 cm</t>
  </si>
  <si>
    <t>Bednění prostupu základem do 0,10 m2, dl.1,0 m 25x25 cm, dl.95 cm</t>
  </si>
  <si>
    <t>Bednění prostupu základem do 0,10 m2, dl.1,0 m 25x25 cm, dl.1025 cm</t>
  </si>
  <si>
    <t>Bednění prostupu základem do 0,10 m2, dl.1,0 m 25x25 cm, dl.110 cm</t>
  </si>
  <si>
    <t>Bednění základových pasů zřízení</t>
  </si>
  <si>
    <t>Bednění základových pasů odstranění</t>
  </si>
  <si>
    <t>Napojení základ.pasů -8x D 20mm, dl.trnu 1000mm</t>
  </si>
  <si>
    <t>Dilatace zákl.pasů rampy a opěrné zdi</t>
  </si>
  <si>
    <t>Beton základových patek prostý C 20/25-XC2</t>
  </si>
  <si>
    <t>Beton základových zdí prostý C 25/30-XC2, XA1 -dojezd výtahu</t>
  </si>
  <si>
    <t>Bednění stěn základových zdí, oboustranné-zřízení -dojezd výtahu</t>
  </si>
  <si>
    <t>Bednění stěn základových zdí, oboustranné-odstran. -dojezd výtahu</t>
  </si>
  <si>
    <t>Výztuž základových zdí z betonář. oceli 10 505 (R)</t>
  </si>
  <si>
    <t>Svislé a kompletní konstrukce</t>
  </si>
  <si>
    <t>Zeď opěrná železobetonová monolitická, výška do 2 m, beton pohledový</t>
  </si>
  <si>
    <t>Zdi podpěrné a volné</t>
  </si>
  <si>
    <t>Zdivo z cih.brouš.bloků P10, tl. 300 mm</t>
  </si>
  <si>
    <t>Zdivo z cih.brouš.bloků P10, tl. 250 mm</t>
  </si>
  <si>
    <t>Zazdívka otvorů cih.brouš.bloky</t>
  </si>
  <si>
    <t>Překlad spřažený pro zdivo tl.100mm ozn.p*</t>
  </si>
  <si>
    <t>Překlad spřažený pro zdivo tl.115mm ozn.p**</t>
  </si>
  <si>
    <t>Překlad keramický vysoký 70x238x1000 mm ozn.P07</t>
  </si>
  <si>
    <t>Překlad keramický vysoký 70x238x1500 mm ozn.P08</t>
  </si>
  <si>
    <t>Překlad keramický vysoký 70x238x1500 mm ozn.P09</t>
  </si>
  <si>
    <t>Překlad keramický vysoký 70x238x1750 mm ozn.P10</t>
  </si>
  <si>
    <t>Překlad keramický vysoký 70x238x1750 mm ozn.P11</t>
  </si>
  <si>
    <t>Vyzdívka mezi nosníky cihlami pálenými na MC s použitím suché maltové směsi</t>
  </si>
  <si>
    <t>Nadezdívka spřažených překladů na MVC 5</t>
  </si>
  <si>
    <t>Beton ztužujících věnců železový C 20/25-XC1, vč.napojení na stáv.zdivo</t>
  </si>
  <si>
    <t>Bednění ztužujících věnců - zřízení</t>
  </si>
  <si>
    <t>Bednění ztužujících věnců - odstranění</t>
  </si>
  <si>
    <t>Výztuž ztužujících věnců z betonářské oceli 10505(R)</t>
  </si>
  <si>
    <t>Osazení ocelových válcovaných nosníků  č.14-22 včetně dodávky profilu IPN č.140 -překlady ozn.P01-P06, p*</t>
  </si>
  <si>
    <t>Stěny a příčky</t>
  </si>
  <si>
    <t>Příčky z cih.brouš.bloků P8 tl. 115 mm</t>
  </si>
  <si>
    <t>Příčka z tvárnic pórobetonových P2-500, 500x250x100 mm tl.100mm</t>
  </si>
  <si>
    <t>Přízdívky z cihel betonových tl. 150 mm</t>
  </si>
  <si>
    <t>Obklad SDK kanal.potrubí 2str.do 0,5/0,5m desky protipož.impreg. tl. 12,5 mm ozn.OS04</t>
  </si>
  <si>
    <t>Obklad SDK kanal.potrubí 2str.do 0,5/0,5m desky protipož.impreg. tl. 12,5 mm ozn.OS05</t>
  </si>
  <si>
    <t>Obklad SDK sloupů 3str.do 0,5/0,5m desky protipož.impreg. tl. 12,5 mm ozn.OS06</t>
  </si>
  <si>
    <t>Obklad SDK stropních VZT jednotek 1200x1200x400mm desky protipož.impreg. tl. 12,5 mm ozn.OS07</t>
  </si>
  <si>
    <t>Obklad SDK potrubí VZT 1200x500mm desky protipož.impreg. tl. 12,5 mm ozn.OS11</t>
  </si>
  <si>
    <t>Těsnění styku příčky se stropem PU pěnou</t>
  </si>
  <si>
    <t>Připojení příček ke stáv.konstr. kotvou na hmožd.</t>
  </si>
  <si>
    <t>Ukotvení příček k cihel.konstr. kotvami na hmožd.</t>
  </si>
  <si>
    <t>Plentování ocelových nosníků výšky do 20 cm s použitím suché maltové směsi</t>
  </si>
  <si>
    <t>Přizdívky z tvárnic plynosil.P4-550 tl.50 mm+šachta</t>
  </si>
  <si>
    <t>Přizdívky z tvárnic plynosil.P4-550 tl.100 mm</t>
  </si>
  <si>
    <t>Přizdívky z tvárnic plynosil.P4-550 tl.150 mm</t>
  </si>
  <si>
    <t>Izolace pod příčky typová š. do 200 mm</t>
  </si>
  <si>
    <t>Přizdívka ostění s ozubem z cihel, kapsy do 15 cm s použ.such.malt.směsi</t>
  </si>
  <si>
    <t>Stropy a stropní konstrukce (pro pozemní stavby)</t>
  </si>
  <si>
    <t>Podhledy SDK, kovová.kce CD. 1x deska tl.12,5 mm vč.přetmelení a přebroušení</t>
  </si>
  <si>
    <t>Rastrový podhled s akustickými kazetami -dle popisu v PD</t>
  </si>
  <si>
    <t>Strop montovaný z panelů Spiroll, tl. 25 cm -úplné provedení dle PD</t>
  </si>
  <si>
    <t>Strop ze železobetonu beton C 25/30, tl. 25 cm bednění, výztuž 150 kg/m3, podpěrná konstrukce</t>
  </si>
  <si>
    <t>Bednění stropů trapéz.plech -úplné provedení dle skladby STŘ 4</t>
  </si>
  <si>
    <t>Úprava povrchů vnitřní</t>
  </si>
  <si>
    <t>Začišťovací okenní lišta pro vnitř.omítku tl. 15mm</t>
  </si>
  <si>
    <t>Zakrývání výplní vnitřních otvorů</t>
  </si>
  <si>
    <t>Oprava váp.omítek stropů do 50% plochy - štukových s použ.such.malt.směsi</t>
  </si>
  <si>
    <t>Vyrovnání podhledů z prefa dílců šířky do 120 cm</t>
  </si>
  <si>
    <t>Úprava stropů štukem tl. 2 - 3 mm</t>
  </si>
  <si>
    <t>Začištění omítek kolem oken,dveří apod.s použitím suché maltové směsi</t>
  </si>
  <si>
    <t>Hrubá výplň rýh ve stěnách maltou</t>
  </si>
  <si>
    <t>Oprava vápen.omítek stěn do 50 % pl. - štukových s použitím suché maltové směsi</t>
  </si>
  <si>
    <t>Oprava vápen.omítek ostění do 50 % pl. - štukových s použitím suché maltové směsi</t>
  </si>
  <si>
    <t>Omítka vnitřní zdiva, MVC, hrubá zatřená -pod obklady</t>
  </si>
  <si>
    <t>Omítka vápenná vnitřního ostění - štuková  s použitím suché maltové směsi -nové zdivo</t>
  </si>
  <si>
    <t>Omítka vnitřní zdiva, MVC, na pletivu, štuková -nové cihly</t>
  </si>
  <si>
    <t>Omítka vnitřní zdiva, MVC, na pletivu, štuková -porobeton</t>
  </si>
  <si>
    <t>Úprava vnitřních stěn  štukem</t>
  </si>
  <si>
    <t>Montáž výztužné sítě(perlinky)do stěrky-vnit.stěny včetně výztužné sítě a stěrkového tmelu</t>
  </si>
  <si>
    <t>Úprava povrchů vnější</t>
  </si>
  <si>
    <t>Stěny vnitřní zateplované -skladba S5, body 3-7</t>
  </si>
  <si>
    <t>Stěny obvodové -hlavní fasáda-stávající zdivo -skladba S1, body 2 (očištění+odmaštění) -9</t>
  </si>
  <si>
    <t>úplné provedení</t>
  </si>
  <si>
    <t>Stěny obvodové -hlavní fasáda-stávající zdivo -skladba S4, body 3-9</t>
  </si>
  <si>
    <t>Stěny obvodové-soklová část -skladba S3, body 3-9</t>
  </si>
  <si>
    <t>Stěny obvodové (mezi garáží a rampou) -skladba S2, body 3-9</t>
  </si>
  <si>
    <t>Zateplovací systém podhled v garáži -skladba PDL 5 (část výměry skladby)</t>
  </si>
  <si>
    <t>Podlahy a podlahové konstrukce</t>
  </si>
  <si>
    <t>Mazanina betonová tl. 8 - 12 cm tř.2 -skladba PDL 5</t>
  </si>
  <si>
    <t>všechny podlahové konstrukce vč.dilatací i obvodových</t>
  </si>
  <si>
    <t>Mazanina betonová tl. 5 - 8 cm C 25/30 -skladba PDL 4</t>
  </si>
  <si>
    <t>Mazanina betonová tl. 8 - 12 cm -skladba PDL 3 2x</t>
  </si>
  <si>
    <t>Samonivelační stěrka na bázi cementui tl. 2 mm -skladba PDL 2, 3</t>
  </si>
  <si>
    <t>Samonivelační stěrka na bázi cementui tl. 3 mm -skladba PDL 4</t>
  </si>
  <si>
    <t>Samonivelační stěrka na bázi cementui tl. 4 mm na obrokovaný a očištěný povrch-skladba PDL 5</t>
  </si>
  <si>
    <t>Cementový potěr -oprava souvrství vč.obrokování a očištění v ploše cca 20% -skladba PDL 5</t>
  </si>
  <si>
    <t>Litý samonivelační rychleschnoucí cement.potěr CT-C30-F5 tl.50-70mm -skladba PDL 1</t>
  </si>
  <si>
    <t>Litý samonivelační rychleschnoucí cement.potěr CT-C30-F5 tl.54-74mm -skladba PDL 8</t>
  </si>
  <si>
    <t>Litý samonivelační rychleschnoucí cement.potěr CT-C30-F5 tl.58mm -skladba PDL 6</t>
  </si>
  <si>
    <t>Litý samonivelační rychleschnoucí cement.potěr CT-C30-F5 tl.64mm -skladba PDL 7</t>
  </si>
  <si>
    <t>Litý samonivelační rychleschnoucí cement.potěr CT-C30-F5 tl.59-79mm -skladba PDL 2, 3</t>
  </si>
  <si>
    <t>Vyrovnávací cement.stěrka tl.do 5mm vč.očištění povrchu -skladba STŘ 3</t>
  </si>
  <si>
    <t>Hodinové zúčtovací sazby (HZS)</t>
  </si>
  <si>
    <t>Hzs-nezmeritelne stavebni prace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</si>
  <si>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</si>
  <si>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</si>
  <si>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</si>
  <si>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</si>
  <si>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1,2 m</t>
  </si>
  <si>
    <t>Lešení lehké pomocné, výška podlahy do 1,9 m</t>
  </si>
  <si>
    <t>Lešení lehké pomocné,šachta pl.do 6 m2, H do 3,5 m</t>
  </si>
  <si>
    <t>Montáž ochr.sítě z umělých vláken - stínění do 70%</t>
  </si>
  <si>
    <t>Příplatek za každý měsíc použití sítí k pol. 4013</t>
  </si>
  <si>
    <t>Demontáž ochr.sítě z umělých vláken,stínění do 70%</t>
  </si>
  <si>
    <t>Nájem za hydraulickou zvedací plošinu, H do 12 m</t>
  </si>
  <si>
    <t>Různé dokončovací konstrukce a práce na pozemních stavbách</t>
  </si>
  <si>
    <t>Čištění mytím vnějších ploch oken a dveří</t>
  </si>
  <si>
    <t>Vyčištění budov o výšce podlaží do 4 m</t>
  </si>
  <si>
    <t>Chemické kotvy do betonu, hl. 110 mm</t>
  </si>
  <si>
    <t>Bourání konstrukcí</t>
  </si>
  <si>
    <t>Bourání příček z cihel pálených plných tl. 100 mm -dle pozn.12</t>
  </si>
  <si>
    <t>Bourání příček z cihel pálených plných tl. 125 mm -dle pozn.12</t>
  </si>
  <si>
    <t>Bourání příček z cihel pálených plných tl. 140 mm -přizdívka -dle pozn.10</t>
  </si>
  <si>
    <t>Bourání zdiva z cihel pálených na MVC -atika -dle pozn.17</t>
  </si>
  <si>
    <t>Bourání zdiva železobetonového nadzákladového -překlad -dle pozn.25</t>
  </si>
  <si>
    <t>Bourání zdiva železobetonového nadzákladového -průvlak -dle pozn.22</t>
  </si>
  <si>
    <t>Bourání příček ze skleněných tvárnic tl. 15 cm -okna -dle pozn.6</t>
  </si>
  <si>
    <t>Bourání zdiva z cihel pálených na MVC -obvod.zdivo -dle pozn.23</t>
  </si>
  <si>
    <t>Bourání schodišťových stupňů betonových</t>
  </si>
  <si>
    <t>Bourání ŽB stropů z panelů PPD -dle pozn.21</t>
  </si>
  <si>
    <t>Bourání mazanin betonových  tl. 10 cm, pl. 4 m2, ručně tl. mazaniny 5 - 8 cm -skladba B1,B4, STŘ3</t>
  </si>
  <si>
    <t>Bourání podkladů bet., potěr tl. do 10 cm, pl. 4 m2 -skladba B2-B7</t>
  </si>
  <si>
    <t>Bourání podkladů -spád.beton tl.do 10 cm, nad 4 m2 -skladba STŘ3</t>
  </si>
  <si>
    <t>Dočištění povrchu po vybourání dlažeb, tmel do 50% -skladba B2, B3, B6-B8</t>
  </si>
  <si>
    <t>Příplatek, bourání mazanin  rabic.pletivo tl.10 cm -skladba B2-B3, B7, STŘ3</t>
  </si>
  <si>
    <t>Bourání dlažeb keramických tl.10 mm, nad 1 m2 vč.soklíku -skladba B2-B3,B6-B8</t>
  </si>
  <si>
    <t>Bourání dlažeb terac.,čedič. tl.do 30 mm, nad 1 m2, ručně, dlaždice teracové -skladba STŘ3</t>
  </si>
  <si>
    <t>Odstranění násypu tl. do 10 cm, plocha do 2 m2 -štěrkopísek -skladba B4</t>
  </si>
  <si>
    <t>Bourání říms železobetonových vyložení do 25 cm -přesah ploché střechy garáže -dle pozn.16</t>
  </si>
  <si>
    <t>Odstranění klempířských konstrukcí vč.ekolog.likvidace -provedení dle pozn.2</t>
  </si>
  <si>
    <t>Odstranění zámečnických konstrukcí vč.ekolog.likvidace -provedení dle pozn.3</t>
  </si>
  <si>
    <t>Přisekání rovných ostění cihelných na MVC</t>
  </si>
  <si>
    <t>Přisekání plošné zdiva cihelného na MVC tl. 30 cm</t>
  </si>
  <si>
    <t>Odsekání vrstvy betonu na konstrukci tl. do 15 cm</t>
  </si>
  <si>
    <t>Úprava líce podzemních stěn tl. nálitků do 15 cm</t>
  </si>
  <si>
    <t>Úprava líce podzemních stěn tl. nálitků do 15 cm -ubourání přesahu základu</t>
  </si>
  <si>
    <t>Vyvěšení dřevěných okenních křídel pl. do 1,5 m2 -dle pozn.1</t>
  </si>
  <si>
    <t>Vyvěšení dřevěných dveřních křídel pl. do 2 m2 -dle pozn.1</t>
  </si>
  <si>
    <t>Vyvěšení dřevěných dveřních křídel pl. nad 2 m2 -dle pozn.1</t>
  </si>
  <si>
    <t>Vybourání dřevěných rámů oken dvojitých pl. 1 m2 -dle pozn.1</t>
  </si>
  <si>
    <t>Vybourání dřevěných rámů oken dvojitých pl. 2 m2 -dle pozn.1</t>
  </si>
  <si>
    <t>Vybourání dřevěných rámů oken dvojitých pl. 4 m2 -dle pozn.1</t>
  </si>
  <si>
    <t>Vybourání kovových dveřních zárubní pl. do 2 m2 -dle pozn.1</t>
  </si>
  <si>
    <t>Vybourání kovových dveřních zárubní pl. nad 2 m2 -dle pozn.1</t>
  </si>
  <si>
    <t>Vybourání kovových vrat plochy nad 5 m2 -dle pozn.1</t>
  </si>
  <si>
    <t>Demontáže vnitř.vybavení vč.vyklizení prostor -provedení dle pozn.0</t>
  </si>
  <si>
    <t>Vyčištění a ekolog.likvidace lapolu -provedení dle pozn.26</t>
  </si>
  <si>
    <t>Vybourání beton.soklu nádrže, vybourání vany a soklu, schodu na terase -provedení dle pozn.11</t>
  </si>
  <si>
    <t>Prorážení otvorů a ostatní bourací práce</t>
  </si>
  <si>
    <t>Vrtání jádrové do zdiva cihelného d 30 mm</t>
  </si>
  <si>
    <t>Vrtání jádrové do zdiva cihelného do D 60 mm</t>
  </si>
  <si>
    <t>Vrtání jádrové do zdiva cihelného do D 100 mm</t>
  </si>
  <si>
    <t>Vrtání jádrové do prostého betonu do D 100 mm</t>
  </si>
  <si>
    <t>Vrtání jádrové do ŽB d 30 mm</t>
  </si>
  <si>
    <t>Vrtání jádrové do ŽB do D 100 mm</t>
  </si>
  <si>
    <t>Řezání cihelného zdiva hl. řezu 100 mm</t>
  </si>
  <si>
    <t>Řezání cihelného zdiva hl. řezu 150 mm</t>
  </si>
  <si>
    <t>Řezání cihelného zdiva hl. řezu 300 mm</t>
  </si>
  <si>
    <t>Řezání cihelného zdiva hl. řezu 350 mm</t>
  </si>
  <si>
    <t>Řezání cihelného zdiva hl. řezu 400 mm</t>
  </si>
  <si>
    <t>Řezání železobetonu hl. řezu 150 mm</t>
  </si>
  <si>
    <t>Vybourání otv. zeď cihel. 15x15 cm, tl. 41cm, MVC</t>
  </si>
  <si>
    <t>Vybourání otv. zeď cihel. 15x15 cm, tl. 49cm, MVC</t>
  </si>
  <si>
    <t>Vybourání otv. zeď cihel. 25x25 cm, tl. 55cm, MVC</t>
  </si>
  <si>
    <t>Vybourání otv. zeď cihel. 35x35 cm, tl. 35cm, MVC</t>
  </si>
  <si>
    <t>Vybourání otv. zeď cihel. 35x35 cm, tl. 41cm, MVC</t>
  </si>
  <si>
    <t>Vybourání otv. zeď cihel. 35x35 cm, tl. 49cm, MVC</t>
  </si>
  <si>
    <t>Vybourání otv. zeď cihel. 65x30 cm, tl. 49cm, MVC</t>
  </si>
  <si>
    <t>Vybourání otv. zeď cihel. 35x35 cm, tl. 64cm, MVC</t>
  </si>
  <si>
    <t>Vybourání otv. zeď cihel. pl.1 m2, tl.30 cm, MVC -parapet.zdi -dle pozn.24</t>
  </si>
  <si>
    <t>Vybourání otv. zeď cihel. pl.1 m2, tl.60 cm, MVC -parapet.zdi -dle pozn.24</t>
  </si>
  <si>
    <t>Vybourání otv. zeď cihel. pl.4 m2, tl.30 cm, MVC -dle pozn.18</t>
  </si>
  <si>
    <t>Vybourání otv. zeď cihel. pl.4 m2, tl.60 cm, MVC -dle pozn.18</t>
  </si>
  <si>
    <t>Vybourání otvorů strop,podlaha</t>
  </si>
  <si>
    <t>Vysekání kapes pro zavázání příček tl. 10 cm</t>
  </si>
  <si>
    <t>Vysekání kapes pro zavázání příček tl. 15 cm</t>
  </si>
  <si>
    <t>Vysekání kapes pro zavázání zdí tl. 45 cm -dle pozn.23</t>
  </si>
  <si>
    <t>Vybourání ocel.konzol hmotnost do 20 kg</t>
  </si>
  <si>
    <t>Vybourání objímek,držáků apod.ze zdiva cihelného</t>
  </si>
  <si>
    <t>Otlučení omítek vnitřních vápenných stropů do 50 % -dle pozn.7</t>
  </si>
  <si>
    <t>Odstranění štukové vrstvy vnitřních stropů -dle pozn.7</t>
  </si>
  <si>
    <t>Otlučení omítek vnitřních stěn v rozsahu do 50 % -dle pozn.7</t>
  </si>
  <si>
    <t>Otlučení omítek vnitřních stěn v rozsahu do 50 % -ostění -dle pozn.7</t>
  </si>
  <si>
    <t>Odstranění štukové vrstvy omítky z vnitřních stěn -dle pozn.7</t>
  </si>
  <si>
    <t>Odstranění štukové vrstvy omítky z vnitřních stěn -ostění -dle  pozn.7</t>
  </si>
  <si>
    <t>Otlučení omítek vnějších MVC v složit.1-4 do 20 % -skladba S1</t>
  </si>
  <si>
    <t>Vysekání a úprava spár zdiva cihelného mimo komín.</t>
  </si>
  <si>
    <t>Odsekání vnitřních obkladů stěn nad 2 m2 -dle pozn.9</t>
  </si>
  <si>
    <t>Přesuny sutí</t>
  </si>
  <si>
    <t>Svislá doprava suti a vybour. hmot za 2.NP nošením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</si>
  <si>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</si>
  <si>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</si>
  <si>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</si>
  <si>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</si>
  <si>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nebo překládání suti a vybouraných hmot</t>
  </si>
  <si>
    <t>Uložení suti na skládku bez zhutnění</t>
  </si>
  <si>
    <t>Poplatek za sklád.suti-směs kamenivo, omítky, malta</t>
  </si>
  <si>
    <t>Poplatek za skládku suti - beton do 30x30 cm</t>
  </si>
  <si>
    <t>Poplatek za skládku suti-cihel.výrobky do 30x30 cm</t>
  </si>
  <si>
    <t>Poplatek za skládku suti - železobeton</t>
  </si>
  <si>
    <t>Poplatek za skládku suti - skleněné tvárnice</t>
  </si>
  <si>
    <t>Poplatek za skládku suti - stavební keramika -obklady,dlažby</t>
  </si>
  <si>
    <t>Poplatek za skládku suti - asfaltové pásy</t>
  </si>
  <si>
    <t>Poplatek za skládku suti - polystyren</t>
  </si>
  <si>
    <t>Poplatek za skládku suti - minerální vata</t>
  </si>
  <si>
    <t>Poplatek za skládku suti - dřevo</t>
  </si>
  <si>
    <t>Poplatek za skládku suti - dřevo+sklo</t>
  </si>
  <si>
    <t>Poplatek za skládku suti - PVC podlahová krytina</t>
  </si>
  <si>
    <t>Demolice</t>
  </si>
  <si>
    <t>Demolice budov,zdivo,podíl kce.do 30%,MVC,post.roz -přístavek</t>
  </si>
  <si>
    <t>Ostatní přesuny hmot</t>
  </si>
  <si>
    <t>Přesun hmot pro opravy a údržbu do výšky 12 m</t>
  </si>
  <si>
    <t>Izolace proti vodě</t>
  </si>
  <si>
    <t>Izolace proti vlhkosti vodor.,nátěr penetr.emulzí včetně emulze 0,4 kg/m2 -skladba PDL 1-3, 5, PDL 3</t>
  </si>
  <si>
    <t>Izolace proti vlhkosti vodor.,nátěr penetr.emulzí včetně emulze 0,4 kg/m2 -skladba PDL 4</t>
  </si>
  <si>
    <t>Izolace proti vlhkosti svis.,nátěr penetr.emulzí včetně emulze 0,4 kg/m2 -skladba PDL 1-3</t>
  </si>
  <si>
    <t>Izolace proti vlhkosti svis.,nátěr penetr.emulzí včetně emulze 0,4 kg/m2 -skladba PDL 4</t>
  </si>
  <si>
    <t>Odstr.izolace proti vlhk.vodor. pásy na sucho,1vrs -folie PVC podkladní, ochranná -skladba B1-B3</t>
  </si>
  <si>
    <t>Odstr.izolace proti vlhk.vodor. pásy na sucho,1vrs -folie PVC ochranná -skladba B5-B7</t>
  </si>
  <si>
    <t>Odstr.izolace proti vlhk.vodor. pásy na sucho,1vrs -separační lepenka -skladba STŘ1-2</t>
  </si>
  <si>
    <t>Odstr.izolace proti vlhkosti vodorovná-vlhké provozy -skladba B3, B7</t>
  </si>
  <si>
    <t>Odstr.izolace proti vlhk.svis. pásy přitav.,1vrs -skladba S2</t>
  </si>
  <si>
    <t>Odstr.izolace proti vlhk.vodor. pásy přitav.,1vrst -skladba B1-B3</t>
  </si>
  <si>
    <t>Odstr.izolace proti vlhk.vodor. pásy přitav.,2vrst -skladba STŘ3</t>
  </si>
  <si>
    <t>Odstr.izolace proti vlhk.vodor. pásy přitav.,2vrst -skladba B4</t>
  </si>
  <si>
    <t>Izolace proti vlhk. vodorovná pásy přitavením 1 vrstva - vč.dod.asf.pás modif.SBS s posypem -skladba PDL 1-3</t>
  </si>
  <si>
    <t>Izolace proti vlhk. vodorovná pásy přitavením vč.dod.dvojitý asf.pás modif.SBS s posypem -skladba PDL 4</t>
  </si>
  <si>
    <t>Izolace proti vlhk. vodorovná pásy přitavením 1 vrstva - včetně dodávky asf.pásu -skladba PDL 5</t>
  </si>
  <si>
    <t>Izolace proti vlhkosti svislá pásy přitavením 1 vrstva - vč.dod.asf.pás modif.SBS s posypem -skladba PDL 1-3</t>
  </si>
  <si>
    <t>Izolace proti vlhkosti svislá pásy přitavením č.dod.dvojitý asf.pás modif.SBS s posypem -skladba PDL 4</t>
  </si>
  <si>
    <t>Izolace proti zem.vlhkosti,ochr.textilie,vodorovná včetně dodávky textílie skladba PDL 1, 2, 3</t>
  </si>
  <si>
    <t>Přesun hmot pro izolace proti vodě, výšky do 12 m</t>
  </si>
  <si>
    <t>Izolace střech (živičné krytiny)</t>
  </si>
  <si>
    <t>Odstranění povlakové krytiny střech do 10° 1vrstvé -difúzní folie -skladba STŘ1-2</t>
  </si>
  <si>
    <t>Odstranění povlakové krytiny střech do 10° 1vrstvé -parozábrana -skladba STŘ1-2</t>
  </si>
  <si>
    <t>Povlaková krytina střech do 10°, asfalt.pen.emulze včetně emulze 0,4 kg/m2 skladba STŘ 3. 5</t>
  </si>
  <si>
    <t>Povlaková krytina střech do 10°, parozábrana z modif.pásu SBS s posypem, Al vložkou -skladba STŘ 3, 5</t>
  </si>
  <si>
    <t>Povlaková krytina střech do 10°, parozábrana vč.dodávky folie -skladba STŘ 1, 2, 4</t>
  </si>
  <si>
    <t>Krytina střech do 10° fólie, 6 kotev/m2, na beton, tl. izolace do 250 mm, folie tl. 1,5 mm -skladba STŘ 1-5</t>
  </si>
  <si>
    <t>Povlaková krytina střech do 10°, separ.textilie, včetně dodávky textilie -skladba STŘ 1, 2, 3, 4, 5</t>
  </si>
  <si>
    <t>Povlaková krytina střech do 10°, vysoce difúzní folie -skladba STŘ 1, 2</t>
  </si>
  <si>
    <t>Přesun hmot pro povlakové krytiny, výšky do 12 m</t>
  </si>
  <si>
    <t>Izolace tepelné</t>
  </si>
  <si>
    <t>Odstr.tep.izolace podlah,volně, EPS tl.do 100 mm -skladba B1-B3</t>
  </si>
  <si>
    <t>Odstr.tep.izol.podlah,volně,minerál do tl.100 mm -skladba B5-B7</t>
  </si>
  <si>
    <t>Odstr.tep.izolace střech pl.,volně,EPS tl.do 100mm -skladba STŘ1-2</t>
  </si>
  <si>
    <t>Izolace tepelná podlah na sucho, jednovrstvá -skladba PDL 6 - 8</t>
  </si>
  <si>
    <t>Deska EPS T 4000 N/m2 tl. 30 mm</t>
  </si>
  <si>
    <t>Izolace tepelná podlah na sucho, jednovrstvá -skladba PDL 1, 2, 3</t>
  </si>
  <si>
    <t>Deska polystyrén EPS tl.50mm</t>
  </si>
  <si>
    <t>Izolace tepelná podlah na sucho, dvouvrstvá -skladba PDL 1, 2, 3, 8</t>
  </si>
  <si>
    <t>Položení separační fólie včetně dodávky PE fólie -skladba PDL 6, 7</t>
  </si>
  <si>
    <t>Izolace tepelná střech do tl.250 mm,2vrstvy,kotvy -skladba STŘ 1, 2, 4</t>
  </si>
  <si>
    <t>Deska z tuhé minerální plsti tl.120mm</t>
  </si>
  <si>
    <t>Deska z minerální plsti tl.120 mm</t>
  </si>
  <si>
    <t>Izolace tepelná střech, desky EPS -montáž -skladba STŘ 3</t>
  </si>
  <si>
    <t>Deska EPS 150S tl.100mm</t>
  </si>
  <si>
    <t>Izolace tepelná střech -spádové klíny EPS tl.40-240mm skladba STŘ 3</t>
  </si>
  <si>
    <t>Izolace tepelná střech -spádové klíny EPS tl.240-300mm skladba STŘ 5</t>
  </si>
  <si>
    <t>Přesun hmot pro izolace tepelné, výšky do 12 m</t>
  </si>
  <si>
    <t>ZTI-Vnitřní kanalizace</t>
  </si>
  <si>
    <t>Demontáž - Svodné potrubí kameninové / plastové do DN 200 vč. trvarovek, včetně výkopů, oprav podlah a uvedění do původního stavu</t>
  </si>
  <si>
    <t>Demontáž - Stávající veřejná kanalizace betonová stoka 600/900 mm, vč. tvarovek, výkopů, oprav povrchů a uvedění do původního stavu</t>
  </si>
  <si>
    <t>Demontáž - Stávající kanalizační šachta betonová O 1000, hloubky cca 5 m vč. potrubí</t>
  </si>
  <si>
    <t>Demontáž - Odpadní a připojovací potrubí litinové/plastové do DN 200 vč. tvarovek</t>
  </si>
  <si>
    <t>Demontáž - WC - Kombinovaný klozet keramický - odstranit, včetně předstěnového modulu, armatur a potrubí</t>
  </si>
  <si>
    <t>Demontáž - U - Keramické umyvadlo závěsné - odstranit, včetně armatur a potrubí</t>
  </si>
  <si>
    <t>Demontáž - Um - Keramické umývátko závěsné - odstranit, včetně armatur a potrubí</t>
  </si>
  <si>
    <t>Demontáž - Pv - Podlahová vpusť - odstranit, včetně armatur a potrubí</t>
  </si>
  <si>
    <t>Demontáž - V - Smaltovaná vana - odstranit, včetně obezdění, armatur a potrubí</t>
  </si>
  <si>
    <t>Demontáž - M - Připojení myčky - odstranit, včetně armatur a potrubí</t>
  </si>
  <si>
    <t>Demontáž - Vl - Keramická výlevka volně stojící - odstranit, včetně armatur a potrubí</t>
  </si>
  <si>
    <t>Demontáž - D - Nerezový kuchyňský dojitý dřez - odstranit, včetně armatur a potrubí</t>
  </si>
  <si>
    <t>Demontáž - L - Odlučovač tuků LT-2 - odstranit, včetně armatur a potrubí</t>
  </si>
  <si>
    <t>D+M - Ležaté potrubí (PVC-KG systém) DN 110</t>
  </si>
  <si>
    <t>D+M - Ležaté potrubí (PVC-KG systém) DN 125</t>
  </si>
  <si>
    <t>D+M - Ležaté potrubí (PVC-KG systém) DN 160</t>
  </si>
  <si>
    <t>D+M - Odpadní a připojovací potrubí (HT systém) DN 32</t>
  </si>
  <si>
    <t>D+M - Odpadní a připojovací potrubí (HT systém) DN 50</t>
  </si>
  <si>
    <t>D+M - Odpadní a připojovací potrubí (HT systém) DN 75</t>
  </si>
  <si>
    <t>D+M - Odpadní a připojovací potrubí (HT systém) DN 110</t>
  </si>
  <si>
    <t>D+M - Odpadní a připojovací potrubí (HT systém) DN 125</t>
  </si>
  <si>
    <t>Vyvedení a upevnění odpadních výpustek</t>
  </si>
  <si>
    <t>D+M - Čistící kus DN 75</t>
  </si>
  <si>
    <t>D+M - Čistící kus DN 110</t>
  </si>
  <si>
    <t>D+M - Čistící kus DN 125</t>
  </si>
  <si>
    <t>D+M - Krycí Dvířka 300x150 mm pro zazdění bez tvorů</t>
  </si>
  <si>
    <t>D+M - Zátka DN 32</t>
  </si>
  <si>
    <t>D+M - Zátka DN 75</t>
  </si>
  <si>
    <t>D+M - Zátka DN 110</t>
  </si>
  <si>
    <t>D+M - Hadice pro odvod kondenzátu Ř 32 mm</t>
  </si>
  <si>
    <t>D+M - Hadice pro odvod kondenzátu Ř 15 mm</t>
  </si>
  <si>
    <t>D+M - WC - Závěsný klozet keramický, hluboké splachování, duroplastové sedátko</t>
  </si>
  <si>
    <t>D+M - WCi - Závěsný klozet keramický pro imobilní s prodlouženou délkou, hlubokým splachováním, duroplastové sedátko</t>
  </si>
  <si>
    <t>D+M - U - Keramické umyvadlo 55 cm, s otvorem pro baterii, s přepadem, glazovaná spodní strana, umyvadlový sifon</t>
  </si>
  <si>
    <t>D+M - Ui - Zdravotní umyvadlo keramické, závěsné pro imobilní s otvorem pro baterii uprostřed, s přepadem, umyvadlový sifon</t>
  </si>
  <si>
    <t>D+M - Sk1 - Plochý liniový odtokový žlab z nerezové oceli, stavební výška jen 90mm, určený k zabudování do sprchových koutů ke stěně, bez krytu žlábku</t>
  </si>
  <si>
    <t>D+M - Sk1 - Žlab (liniový odtok) do sprchových koutů - ultra ploché provedení - stavební výška jen 68mm, provedení ke stěně bez krytu žlabu</t>
  </si>
  <si>
    <t>D+M - Vl - Výlevka keramická závěsná s plastovou sklopnou mřížkou, instalační sada s chromovanými krytkami</t>
  </si>
  <si>
    <t>D+M - Ur - Keramický urinál s otvorem pro oplachovací růžici, sifon pro urinál</t>
  </si>
  <si>
    <t>D+M - PV - Podlahová vpust DN 50/75 s otočným kloubem na odtoku, odtok s plynule nastavitelným sklonem od 0 - 90° (kulový kloub), s izolačním límcem</t>
  </si>
  <si>
    <t>D+M - D1 - Nerezový kuchyňský dřez s odkapem pro horní montáž, o rozměrech 780 x 490 mm, hloubka vany dřezu je 175 mm, včetně příslušenství</t>
  </si>
  <si>
    <t>D+M - H1 - Přivzdušňovací ventil DN50/75/110 s dvojitou izolační stěnou</t>
  </si>
  <si>
    <t>D+M - H2 - Kanalizační přivzdušňovací ventil určený pro podomítkovou instalaci do příček</t>
  </si>
  <si>
    <t>D+M - Zu - Vodní zápachová uzávěrka DN32 pro odvod kondenzátu s hygienickým adaptérem</t>
  </si>
  <si>
    <t>D+M - Vh1 - Regulovatelný větrací komínek (hlavice) DN 75 s tepelnou izolací, výšky  500 mm</t>
  </si>
  <si>
    <t>D+M - Vh2 - Regulovatelný větrací komínek (hlavice) DN 110 s tepelnou izolací, výšky  500 mm</t>
  </si>
  <si>
    <t>D+M - D - Podomítková zápachová uzávěrka DN40/50</t>
  </si>
  <si>
    <t>D+M - Kv - Podomítková zápachová uzávěrka DN40/50</t>
  </si>
  <si>
    <t>D+M - M - Podomítková zápachová uzávěrka DN40/50</t>
  </si>
  <si>
    <t>D+M - N1 - Podomítková zápachová uzávěrka DN40/50</t>
  </si>
  <si>
    <t>D+M - N2 - Podomítková zápachová uzávěrka DN40/50</t>
  </si>
  <si>
    <t>D+M - Madlo univerzální 600 mm, pevné, závěsné, nerezové</t>
  </si>
  <si>
    <t>D+M - Madlo do sprchy 750 mm x 450 mm x 100 mm, pevné, závěsné, nerezové (levé/pravé)</t>
  </si>
  <si>
    <t>D+M - Sprchová sedačka 490 mm x 340 mm, sklopná, závěsná, nerezové (nosnost max. 120 kg)</t>
  </si>
  <si>
    <t>D+M - Sklopné zrcadlo nad umyvadlo s možností naklopení o 10°, s páčkou, nerezové</t>
  </si>
  <si>
    <t>D+M - Madlo toaletní, 834 mm sklopné, nerezové</t>
  </si>
  <si>
    <t>D+M - Madlo toaletní, 834 mm sklopné, s držákem toaletního papíru, nerezové</t>
  </si>
  <si>
    <t>D+M - Čerpadlo kondenzátu pro vnitřní klimatizační jednotky</t>
  </si>
  <si>
    <t>D+M - Revizní dvířka 150x300 mm</t>
  </si>
  <si>
    <t>D+M - Protipožární manžeta</t>
  </si>
  <si>
    <t>D+M - Požární utěsnění prostupu - min. EI 60-120 min</t>
  </si>
  <si>
    <t>Drážky pro potrubí DN 32 až 50 - 120x120 mm ve stěně + oprava a začištění omítky</t>
  </si>
  <si>
    <t>Prostup stropní (Střešní) konstrukcí pro potrubí + oprava a začištění stropu a střechy + utěsnění</t>
  </si>
  <si>
    <t>Prostup základem pro potrubí + oprava a začištění + utěsnění</t>
  </si>
  <si>
    <t>Drážka v základu pro potrubí + oprava a začištění + utěsnění</t>
  </si>
  <si>
    <t>Ostatní bourací, přípomocné a zednické práce</t>
  </si>
  <si>
    <t>Tlaková zkouška potrubí do DN 125</t>
  </si>
  <si>
    <t>Pročištění potrubí do DN 125</t>
  </si>
  <si>
    <t>Vyčištění LAPOLU - dle popisu v TZ</t>
  </si>
  <si>
    <t>Zkouška těsnosti kanalizačního potrubí do DN 125</t>
  </si>
  <si>
    <t>Zaslepit a zalít bentonitovou směsí stávající kanalizační betonovou stoku 600/900 mm vč. utěsnění</t>
  </si>
  <si>
    <t>Pojízdné lešení, pomocné konstrukce, montážní plošina v rámci výšky jednoho podlaží</t>
  </si>
  <si>
    <t>Přesun hmot</t>
  </si>
  <si>
    <t>Dokumentace skutečného provedení (3 paré)</t>
  </si>
  <si>
    <t>Koordinace - není součástí položky ve VRN</t>
  </si>
  <si>
    <t>ZTI-Vnitřní vodovod</t>
  </si>
  <si>
    <t>Demontáž - Ocelové nebo plastové potrubí do DN 80 - vč. armatur</t>
  </si>
  <si>
    <t>Demontáž - Stávající betonový kanál pro teplovod</t>
  </si>
  <si>
    <t>Demontáž - WC - Rohový nástěnný ventil pro WC + splachovací nádržka, včetně armatur a potrubí</t>
  </si>
  <si>
    <t>Demontáž - U - Umyvadlová baterie nástěnná, včetně armatur a potrubí</t>
  </si>
  <si>
    <t>Demontáž - V - Vanová baterie nástěnná, včetně armatur a potrubí</t>
  </si>
  <si>
    <t>Demontáž - Vl - Rohový nástěnný ventil + splachovací nádržka + baterie nástěnná, včetně armatur a potrubí</t>
  </si>
  <si>
    <t>Demontáž - Sk - Sprchová baterie nástěnná, včetně armatur a potrubí</t>
  </si>
  <si>
    <t>Demontáž - M - Připojení myčky, včetně armatur a potrubí</t>
  </si>
  <si>
    <t>Demontáž - Vs - Vodoměrná sestava, včetně armatur a potrubí</t>
  </si>
  <si>
    <t>Demontáž - D - Dřezová baterie nástěnná, včetně armatur a potrubí</t>
  </si>
  <si>
    <t>Demontáž - Zo - Připojení ocelového zásobníku teplé vody o objemu 6300 l, včetně armatur a potrubí</t>
  </si>
  <si>
    <t>Demontáž - Vybavení výměníkové stanice teplé vody a cirkulace, včetně armatur a potrubí</t>
  </si>
  <si>
    <t>D+M - potrubí PP-RCT (S 3,2) - d 20x2,8 mm</t>
  </si>
  <si>
    <t>D+M - potrubí PP-RCT (S 3,2) - d 25x3,5 mm</t>
  </si>
  <si>
    <t>D+M - potrubí PP-RCT (S 3,2) - d 32x4,4 mm</t>
  </si>
  <si>
    <t>D+M - potrubí PP-RCT (S 3,2) - d 40x5,5 mm</t>
  </si>
  <si>
    <t>D+M - potrubí nerezová ocel 28x1,2 mm</t>
  </si>
  <si>
    <t>D+M - potrubí nerezová ocel 35x1,5 mm</t>
  </si>
  <si>
    <t>D+M - potrubí nerezová ocel 42x1,5 mm</t>
  </si>
  <si>
    <t>D+M - Izolace MV tl. 30 mm + polep ALS fólií na potrubí 20-22 mm</t>
  </si>
  <si>
    <t>D+M - Izolace MV tl. 30 mm + polep ALS fólií na potrubí 25-28 mm</t>
  </si>
  <si>
    <t>D+M - Izolace MV tl. 30 mm + polep ALS fólií na potrubí 32-35 mm</t>
  </si>
  <si>
    <t>D+M - Izolace MV tl. 30 mm + polep ALS fólií na potrubí 40-42 mm</t>
  </si>
  <si>
    <t>D+M - Návleková tepelná izolace PE tl. 20 mm + polep AL fólií na potrubí d 20-22 mm</t>
  </si>
  <si>
    <t>D+M - Návleková tepelná izolace PE tl. 25 mm + polep AL fólií na potrubí d 25-28 mm</t>
  </si>
  <si>
    <t>D+M - Návleková tepelná izolace PE tl. 25 mm + polep AL fólií na potrubí d 32-35 mm</t>
  </si>
  <si>
    <t>D+M - Návleková tepelná izolace PE tl. 25 mm + polep AL fólií na potrubí d 40-42 mm</t>
  </si>
  <si>
    <t>D+M - WC - Podomítkový montážní prvek pro závěsné WC, 108 cm, se splachovací nádržkou pod omítku 12 cm, pro zděné stěny a do předstěnových instalací,</t>
  </si>
  <si>
    <t>D+M - U - Umyvadlová stojánková baterie 10° s výpustí 140 mm</t>
  </si>
  <si>
    <t>D+M - Ui - Umyvadlová stojánková baterie 10° s výpustí 140 mm, s ovládací lékařskou pákou</t>
  </si>
  <si>
    <t>D+M - SK - Sprchový sloup 10°, s termostatickou baterií a sprchovým setem</t>
  </si>
  <si>
    <t>D+M - D - Dřezová stojánková baterie s vytahovací sprškou, výška baterie 453 mm</t>
  </si>
  <si>
    <t>D+M - Vl - Podomítkový montážní prvek pro závěsnou výlevku, se samonosným ocelovým rámem s ukotvením na zem a do zadní stěny, se splachovací nádržkou</t>
  </si>
  <si>
    <t>D+M - Vv - Kulový výtokový kohout s vnějším závitem 3/4" (DN20) a připojením na hadici</t>
  </si>
  <si>
    <t>D+M - Ur - Ventil pro oplach pisoáru.</t>
  </si>
  <si>
    <t>D+M - K1 - Příprava pro napojení kuchňykého zařízení - 1x rohový ventil s rozetou 3/8" x 1/2" pro teplou vodu - nerez</t>
  </si>
  <si>
    <t>D+M - K2 - Příprava pro napojení kuchňykého zařízení - 1x rohový ventil s rozetou 3/8" x 1/2" pro studenou vodu - nerez</t>
  </si>
  <si>
    <t>D+M - H - Nástěnný hydrantový systém s tvarově stálou hadicí o světlosti 19 mm (D 19), délka hadice 30 m</t>
  </si>
  <si>
    <t>D+M - Odvzdušňovací ventil DN 15</t>
  </si>
  <si>
    <t>D+M - Přivzdušňovací ventil DN 15</t>
  </si>
  <si>
    <t>D+M - Připojovací ventil 1/2"</t>
  </si>
  <si>
    <t>D+M - Propojovací nerezové opletené hadice osazených maticemi 3/8" x 1/2" k výtokovým armaturám</t>
  </si>
  <si>
    <t>D+M - Kulový kohout, závitový, chromovaný, páka, DN 20</t>
  </si>
  <si>
    <t>D+M - Kulový kohout, závitový, chromovaný, páka, DN 25</t>
  </si>
  <si>
    <t>D+M - Kulový kohout, závitový, chromovaný, páka, DN 32</t>
  </si>
  <si>
    <t>D+M - Kulový kohout s vypouštěním, závitový, chromovaný, páka, DN 20</t>
  </si>
  <si>
    <t>D+M - Kulový kohout s vypouštěním, závitový, chromovaný, páka, DN 25</t>
  </si>
  <si>
    <t>D+M - Kulový kohout s vypouštěním, závitový, chromovaný, páka, DN 32</t>
  </si>
  <si>
    <t>D+M - Multifunkční termostatický cirkulační ventil DN 15 - termostatický</t>
  </si>
  <si>
    <t>D+M - Kohout kulový vypouštěcí, závitový, mosazný, DN 15</t>
  </si>
  <si>
    <t>D+M - Filtr, závitový, mosazný, DN 32</t>
  </si>
  <si>
    <t>D+M - Přepážkový filtr na studenou vodu s automatickým proplachem DN 32, (Filtrace na přívod pitné vody)</t>
  </si>
  <si>
    <t>D+M - Průmyslový filtr z nerez oceli 304, bez automatického proplachu DN 32, (Filtrace oplachové a dešťové vody)</t>
  </si>
  <si>
    <t>D+M - Přepážkový filtr na studenou vodu s manuálním proplachem DN 32, (Filtrace na přívod pitné vody)</t>
  </si>
  <si>
    <t>D+M - Elektronické cirkulační čerpadlo, časově řízené, P 24-40 W, 0,11-0,1/ A, 230 V, IP 44, 2,7kg, Qmax 2,5 m3/h, Hmax 2,7 m, včetně kabeláže, připoj</t>
  </si>
  <si>
    <t>D+M - Dávkovací čerpadlo v provedení PVDF, (Hygienické zabezpeční vody)</t>
  </si>
  <si>
    <t>D+M - Expanzní nádoba s membránou na vyrovnání zvýšeného tlaku při ohřevu teplé vody o objemu 2-33 l</t>
  </si>
  <si>
    <t>D+M - Kulový kohout průchozí, chromovaný, DN 25</t>
  </si>
  <si>
    <t>D+M - Tlakoměr 0 - 1,0 MPa, vč. tlakoměrného kohoutu</t>
  </si>
  <si>
    <t>D+M - Omezovač průtoku pV 8 Bar, DN 20</t>
  </si>
  <si>
    <t>D+M - Uzavírací armatura se zajištěním a vypouštěním zajišťující průtok expanzní nádobou DN 25, max. 16 bar</t>
  </si>
  <si>
    <t>D+M - Pojistný ventil 0,6 bar, DN 25</t>
  </si>
  <si>
    <t>D+M - Fyzikální úpravna vody na bázi feritové technologie zamezující tvorbě vodního kamene</t>
  </si>
  <si>
    <t>D+M - Záchytná vana</t>
  </si>
  <si>
    <t>D+M - Plně automatický, časově řízený jednoduchý pískový filtr pro filtraci užitkovénebo pitné vody</t>
  </si>
  <si>
    <t>D+M - Vodoměr impulsní Q3 s pulsním a datovým výstupem 1 puls na 1 litr</t>
  </si>
  <si>
    <t>D+M - Zpětná klapka s gumovým těsněním, mosazná, DN 20</t>
  </si>
  <si>
    <t>D+M - Zpětná klapka s gumovým těsněním, mosazná, DN 25</t>
  </si>
  <si>
    <t>D+M - Zpětná klapka s gumovým těsněním, mosazná, DN 32</t>
  </si>
  <si>
    <t>Vyregulování soustavy teplé vody a cirkulace - projekční práce</t>
  </si>
  <si>
    <t>Vyregulování soustavy teplé vody a cirkulace - montážní práce, včetně tlakových zkoušek a revizí</t>
  </si>
  <si>
    <t>Vyvážení všech seřizovacích armatur, včetně tlakových zkoušek a revizí</t>
  </si>
  <si>
    <t>Bourání prostupu nosnou stěnou a stropem pro dvojic až pětici potrubí do DN 80, včetně transportu suti a uložení na skládku + oprava, začištění omítky</t>
  </si>
  <si>
    <t>Vypuštění soustavy</t>
  </si>
  <si>
    <t>Napuštění soustavy</t>
  </si>
  <si>
    <t>Napojení na stávající potrubí</t>
  </si>
  <si>
    <t>Tlaková zkouška vnitřní potrubí do DN 80</t>
  </si>
  <si>
    <t>Proplach a dezinfekce vodovodního potrubí do DN 80</t>
  </si>
  <si>
    <t>Zkouška těsnosti vodovodního potrubí do DN 80</t>
  </si>
  <si>
    <t>Vzduchotechnika</t>
  </si>
  <si>
    <t>Demontáž stropní ventilátor s lopatkami - odstranit včetně příslušenství</t>
  </si>
  <si>
    <t>Demontáž čistička vzduchu - Therapy Air - odstranit včetně příslušenství</t>
  </si>
  <si>
    <t>D+M - Malý úsporný axiální ventilátor 100 se zpětnou klapkou a doběhem</t>
  </si>
  <si>
    <t>D+M - Doběhový spínač - nastavitelný 2–20 minut, 230 V/50 Hz, včetně kabeláže</t>
  </si>
  <si>
    <t>D+M - Měření a regulace (rozváděč, kabeláž, čidla, regulátor, propojení, zprovoznění, vyregulování soustavy…)</t>
  </si>
  <si>
    <t>D+M - Malý tichý axiální ventilátor 300 se zpětnou klapkou a doběhem</t>
  </si>
  <si>
    <t>D+M - Malý radiální ventilátor do podhledu 120 se zpětnou klapkou a doběhem</t>
  </si>
  <si>
    <t>D+M - Regulátor otáček pod omítku - 230 V/50 Hz, včetně kabeláže</t>
  </si>
  <si>
    <t>D+M - Malý radiální ventilátor do podhledu 200 se zpětnou klapkou a doběhem</t>
  </si>
  <si>
    <t>D+M - Diagonální ventilátor do kruhového potrubí 350/125, tichý a úsporný</t>
  </si>
  <si>
    <t>D+M - Montážní konzola</t>
  </si>
  <si>
    <t>D+M - Tlakový snímač 30 - 300 Pa, včetně kabeláže</t>
  </si>
  <si>
    <t>D+M - Regulátor otáček - 10 V DC, krytí IP44, třída II, včetně kabeláže</t>
  </si>
  <si>
    <t>D+M - Diagonální ventilátor do kruhového potrubí 500/160, tichý a úsporný</t>
  </si>
  <si>
    <t>D+M - Potrubí SPIRO do O 80 mm - 40% tvarovek</t>
  </si>
  <si>
    <t>D+M - Potrubí SPIRO do O 100 mm - 40% tvarovek</t>
  </si>
  <si>
    <t>D+M - Potrubí SPIRO do O 125 mm - 40% tvarovek</t>
  </si>
  <si>
    <t>D+M - Potrubí SPIRO do O 160 mm - 40% tvarovek</t>
  </si>
  <si>
    <t>D+M - Potrubí ohebné do O 82 mm</t>
  </si>
  <si>
    <t>D+M - Potrubí ohebné do O 102 mm</t>
  </si>
  <si>
    <t>D+M - Potrubí ohebné do O 160 mm</t>
  </si>
  <si>
    <t>D+M - Plastový talířový ventil O 80 mm</t>
  </si>
  <si>
    <t>D+M - Plastový talířový ventil O 100 mm</t>
  </si>
  <si>
    <t>D+M - Plastový talířový ventil O 160 mm</t>
  </si>
  <si>
    <t>D+M - Zpětná klapka „motýlová“  pro kruhové potrubí O 125 mm, vyrobená z galvanizované oceli</t>
  </si>
  <si>
    <t>D+M - Zpětná klapka „motýlová“  pro kruhové potrubí O 160 mm, vyrobená z galvanizované oceli</t>
  </si>
  <si>
    <t>D+M - Tlumič hluku, plášť tlumiče je z galvanizovaného plechu 125/600 mm</t>
  </si>
  <si>
    <t>D+M - Tlumič hluku, plášť tlumiče je z galvanizovaného plechu 160/600 mm</t>
  </si>
  <si>
    <t>D+M - Samotížná žaluziová klapka plastová O 100 mm s okapničkou, včetně ochrané síťky proti hmyzu</t>
  </si>
  <si>
    <t>D+M - Samotížná žaluziová klapka plastová O 125 mm s okapničkou, včetně ochrané síťky proti hmyzu</t>
  </si>
  <si>
    <t>D+M - Samotížná žaluziová klapka plastová O 160 mm s okapničkou, včetně ochrané síťky proti hmyzu</t>
  </si>
  <si>
    <t>D+M - Zátka vnitřní na potrubí O 100 mm s gumovým těsněním</t>
  </si>
  <si>
    <t>D+M - Zátka vnitřní na potrubí O 125 mm s gumovým těsněním</t>
  </si>
  <si>
    <t>D+M - Tepelná izolace na potrubí, tloušťka izolace 40 mm.</t>
  </si>
  <si>
    <t>Montážní a závěsový materiál</t>
  </si>
  <si>
    <t>Spojovací a těsnící materiál</t>
  </si>
  <si>
    <t>D+M - Univerzální kompaktní VZT jednotka s protiproudým rekuperačním výměníkem (podstropní) s účinností zimní 88 (letní 79) % a teplovodním ohřívačem</t>
  </si>
  <si>
    <t>D+M - Měření a regulace - Kompletní systém od výrobce VZT jednotky</t>
  </si>
  <si>
    <t>D+M - Potrubí SPIRO do O 150 mm - 40% tvarovek</t>
  </si>
  <si>
    <t>D+M - Potrubí SPIRO do O 180 mm - 40% tvarovek</t>
  </si>
  <si>
    <t>D+M - Potrubí SPIRO do O 200 mm - 40% tvarovek</t>
  </si>
  <si>
    <t>D+M - Potrubí SPIRO do O 225 mm - 40% tvarovek</t>
  </si>
  <si>
    <t>D+M - Potrubí SPIRO do O 250 mm - 40% tvarovek</t>
  </si>
  <si>
    <t>D+M - Potrubí do ? 350x200 mm - 40% tvarovek</t>
  </si>
  <si>
    <t>D+M - Komfortní výústka jednořadá 200x75 mm pro kruhové potrubí + regulace</t>
  </si>
  <si>
    <t>D+M - Komfortní výústka jednořadá 400x75 mm pro kruhové potrubí + regulace</t>
  </si>
  <si>
    <t>D+M - Zpětná klapka „motýlová“  pro kruhové potrubí O 250 mm, vyrobená z galvanizované oceli</t>
  </si>
  <si>
    <t>D+M - Tlumič hluku, plášť tlumiče je z galvanizovaného plechu 250/900 mm</t>
  </si>
  <si>
    <t>D+M - Zátka vnitřní na potrubí O 150 mm s gumovým těsněním</t>
  </si>
  <si>
    <t>D+M - Nasávací protidešťová žaluzie - rám a lamely z pozinkovaného plechu, lamely pevné, síť proti vnikání drobného ptactva a pozední rám</t>
  </si>
  <si>
    <t>D+M - Výfuková protidešťová žaluzie - rám a lamely z pozinkovaného plechu, lamely pevné, síť proti vnikání drobného ptactva a pozední rám</t>
  </si>
  <si>
    <t>D+M - Přechod na kruhové potrubí 250/250; O 150 mm</t>
  </si>
  <si>
    <t>D+M - Požární klapka pro kruhové potrubí DN 250 s tavnou pojistkou a s kruhovým vestavěným modulem</t>
  </si>
  <si>
    <t>D + M - Venkovní MULTISPLITOVÁ invertní klimatizační jednotka pro 4 místnosti, včetně kotvící konzoly</t>
  </si>
  <si>
    <t>D + M - Vnitřní klimatizační jednotka - kompaktní kazetový typ, včetně dákového ovladače a kabeláže</t>
  </si>
  <si>
    <t>D+M - Předizolované měděné potrubí - 6,35×0,80 – 9,52×0,80 mm, tloušťka izolace 9 mm</t>
  </si>
  <si>
    <t>Venkovní MULTISPLITOVÁ invertní klimatizační jednotka pro 4 místnosti, včetně kotvící konzoly</t>
  </si>
  <si>
    <t>Vnitřní klimatizační jednotka - kompaktní nástěnný typ, včetně dákového ovladače, komunikační desky a kabeláže</t>
  </si>
  <si>
    <t>Bourání prostupu nosnou stěnou, stropem nebo střechou pro potrubí do DN 250, včetně transportu suti a uložení na skládku + oprava, začištění omítky, u</t>
  </si>
  <si>
    <t>Bourání prostupu příčkou, včetně transportu suti a uložení na skládku + oprava, začištění omítky, utěsnění prostupu a malba</t>
  </si>
  <si>
    <t>Závěsný systém jednoho výrobce - objímky, závěsy, kotvy, příčníky, závitové tyče, konzoly, hmoždinky; vrtání do betonových a jiných konstrukcí; static</t>
  </si>
  <si>
    <t>Manuály</t>
  </si>
  <si>
    <t>Zaškolení</t>
  </si>
  <si>
    <t>Zkušební provoz</t>
  </si>
  <si>
    <t>Energie a jiná media</t>
  </si>
  <si>
    <t>Montáž VZT zařízení</t>
  </si>
  <si>
    <t>Seřízení a zaregulování  celé soustavy, VZT rozvodů a koncových prvků</t>
  </si>
  <si>
    <t>Protokoly, revize, zkoušky, testy</t>
  </si>
  <si>
    <t>Vytápění</t>
  </si>
  <si>
    <t>Demontáž - Stávající ocelové potrubí do DN 150, včetně konzol, tepelných izolací a připojovacích armatur</t>
  </si>
  <si>
    <t>Demontáž - Stávající teplovodní areálové potrubí do DN 150, vedené v zemí, včetně konzol, tepelných izolací a připojovacích armatur</t>
  </si>
  <si>
    <t>Demontáž - Ocelový zásobník teplé vody o objemu 6300 l - odstranit bez náhrady, včetně armatur a připojovacího potrubíí</t>
  </si>
  <si>
    <t>Demontáž - Stávající ocelové deskové otopné těleso - odstranit bez náhrady, vč. armatur a připojovacího potrubí</t>
  </si>
  <si>
    <t>Demontáž - Stávající vybavení kotelny - odstranit bez náhrady, vč. armatur, potrubí a vybavení</t>
  </si>
  <si>
    <t>D+M - Potrubí Oc 18,0x1,2 mm</t>
  </si>
  <si>
    <t>D+M - Potrubí Oc 22,0x1,5 mm</t>
  </si>
  <si>
    <t>D+M - Potrubí Oc 28,0x1,5 mm</t>
  </si>
  <si>
    <t>D+M - Izolace MV tl. 30 mm + polep ALS fólií na potrubí 18</t>
  </si>
  <si>
    <t>D+M - Izolace MV tl. 30 mm + polep ALS fólií na potrubí 28</t>
  </si>
  <si>
    <t>D+M - Návleková tepelná izolace PE tl. 20 mm + polep AL fólií na potrubí d 18 mm</t>
  </si>
  <si>
    <t>D+M - Návleková tepelná izolace PE tl. 25 mm + polep AL fólií na potrubí d 22 mm</t>
  </si>
  <si>
    <t>D+M - Návleková tepelná izolace PE tl. 25 mm + polep AL fólií na potrubí d 28 mm</t>
  </si>
  <si>
    <t>D+M - Trubkové otopné těleso 445.1220 - KRMM (Bílá RAL 9010)</t>
  </si>
  <si>
    <t>D+M - Trubkové otopné těleso 595.1220 - KRMM (Bílá RAL 9010)</t>
  </si>
  <si>
    <t>D+M - Otopné těleso deskové 20 - 5040 - E (Bílá RAL 9010)</t>
  </si>
  <si>
    <t>D+M - Otopné těleso deskové 20 - 5060 - E (Bílá RAL 9010)</t>
  </si>
  <si>
    <t>D+M - Otopné těleso deskové 20 - 5080 - E (Bílá RAL 9010)</t>
  </si>
  <si>
    <t>D+M - Otopné těleso deskové 20 - 5090 - E (Bílá RAL 9010)</t>
  </si>
  <si>
    <t>D+M - Otopné těleso deskové 20 - 5120 - E (Bílá RAL 9010)</t>
  </si>
  <si>
    <t>D+M - Otopné těleso deskové 22 - 5120 - E (Bílá RAL 9010)</t>
  </si>
  <si>
    <t>D+M - Sada navrtávacích konzol 15/120 (6 ks), včetně vrutů a hmoždinek</t>
  </si>
  <si>
    <t>D+M - TRV - Připojovací armatura niklovaná pro tělesa s integrovanými ventily, pro dvoutrubkovou otopnou soustavu</t>
  </si>
  <si>
    <t>D+M - HM - Integrovaná armatura rohová pro trubková otopná tělesa a pro dvoutrubkovou otopnou soustavu</t>
  </si>
  <si>
    <t>D+M - TH - Termostatická hlavice s vestavěným kapalinou plněným čidlem, pro tělesa s integrovaným termostatickým ventilem</t>
  </si>
  <si>
    <t>D+M - OV - Odvzdušňovací radiátorový ventil niklovaný DN 15 (1/2")</t>
  </si>
  <si>
    <t>D+M - Vyregulování ventilů s termostatickým ovládáním</t>
  </si>
  <si>
    <t>D+M - Vypouštěcí nástavec k radiátorům</t>
  </si>
  <si>
    <t>D+M - Kulový kohout, závitový, chromovaný, páka, DN 15</t>
  </si>
  <si>
    <t>D+M - Kulový kohout s vypouštěním, závitový, chromovaný, páka, DN 15</t>
  </si>
  <si>
    <t>D+M - Ultrazvukový kompaktní měřič tepla, DN 15, qp = 1,5 m3/h, l = 110 mm, s párem snímačů a s drátovým modulem M-Bus, včetně modemu, jímek a kabeláž</t>
  </si>
  <si>
    <t>D+M - Ultrazvukový kompaktní měřič tepla, DN 25, qp = 2,5 m3/h, l = 260 mm, s párem snímačů a s drátovým modulem M-Bus, včetně modemu, jímek a kabeláž</t>
  </si>
  <si>
    <t>D+M - Odkalovací ventil (zátka) DN 25</t>
  </si>
  <si>
    <t>D+M - Automatický odvzdušňovací ventil pro topnou vodu 110 °C, DN 10</t>
  </si>
  <si>
    <t>D+M - Odvzdušňovací nádobka</t>
  </si>
  <si>
    <t>D+M - Oběhové čerpadlo s obtékaným rotorem a elekktronickou regulací výkonu - 130 mm, 230 V, PN 10, h max = 6,2 m, Q max = 3,30 m3/hod, P = 3-45 W / 2</t>
  </si>
  <si>
    <t>D+M - Směšovací ventil čtyřcestný - 1"; Kv 12; 5 Nm, se servopohonem 24V</t>
  </si>
  <si>
    <t>D+M - Potrubí PE-RT II/EVOH/PE-RT II 17x2 mm</t>
  </si>
  <si>
    <t>D+M - Dilatační obvodová páska 8x150 mm, s fólií</t>
  </si>
  <si>
    <t>D+M - Rozdělovač podlahového vytápění 1", okruhy 03 + 03</t>
  </si>
  <si>
    <t>D+M - Rozdělovač podlahového vytápění 1", okruhy 08 + 08</t>
  </si>
  <si>
    <t>D+M - Rozdělovač podlahového vytápění 1", okruhy 12 + 12</t>
  </si>
  <si>
    <t>D+M - Skříň kovová pro rozdělovače - podomítková, 435 x 575-665 x 110-175 mm</t>
  </si>
  <si>
    <t>D+M - Skříň kovová pro rozdělovače - podomítková, 715 x 575-665 x 110-175 mm</t>
  </si>
  <si>
    <t>D+M - Skříň kovová pro rozdělovače - podomítková, 965 x 575-665 x 110-175 mm</t>
  </si>
  <si>
    <t>D+M - Kulový ventil (rohový) DN 25, bez teploměrů</t>
  </si>
  <si>
    <t>D+M - Svěrné šroubení pro trubku 17x2 mm, s podložkou</t>
  </si>
  <si>
    <t>D+M - Ochranná trubka (do průměru 18 mm), červená</t>
  </si>
  <si>
    <t>D+M - Ochranná trubka (do průměru 18 mm), modrá</t>
  </si>
  <si>
    <t>D+M - Koleno vodicí 90°</t>
  </si>
  <si>
    <t>D+M - Základová deska - polystyren EPS 150, ?D = 0,034 Wm/K, tloušťky 11/31 mm (1400x800 mm), rozteč 50 mm, pro trubky PE-RT  16x2 mm / 17x2 mm</t>
  </si>
  <si>
    <t>Vyregulování otopné soustavy - projekční práce</t>
  </si>
  <si>
    <t>Vyregulování otopné soustavy - montážní práce, včetně tlakových zkoušek a revizí</t>
  </si>
  <si>
    <t>Bourání prostupu nosnou stěnou a stropem dvojic pro potrubí do DN 50, včetně transportu suti a uložení na skládku + oprava, začištění omítky, utěsnění</t>
  </si>
  <si>
    <t>Topná zkouška celého zařízení 72 hodin</t>
  </si>
  <si>
    <t>Tlaková zkouška celého zařízení</t>
  </si>
  <si>
    <t>Vypuštění otopné soustavy</t>
  </si>
  <si>
    <t>Napuštění otopné soustavy</t>
  </si>
  <si>
    <t>D+M - Orientační štítky a značení potrubí barevnými pruhy, orientačními štítky a popisky</t>
  </si>
  <si>
    <t>Proplach soustavy</t>
  </si>
  <si>
    <t>Konstrukce tesařské</t>
  </si>
  <si>
    <t>Zakrývání provizorní plachtou 12x15m,vč.odstranění</t>
  </si>
  <si>
    <t>Krov dřevěný, kontrola, nová impregnace -skladba STŘ 1, 2</t>
  </si>
  <si>
    <t>Demontáž konstrukcí krovů z hranolů do 120 cm2 -skladba STŘ2</t>
  </si>
  <si>
    <t>Demontáž konstrukcí krovů z hranolů do 224 cm2 -skladba STŘ2</t>
  </si>
  <si>
    <t>Demontáž bednění střech rovných z prken hrubých -skladba STŘ1+STŘ2</t>
  </si>
  <si>
    <t>Demontáž podbití střech z prken do 32 mm</t>
  </si>
  <si>
    <t>Montáž bednění střech rovných, včetně dodávky řeziva, prkna tl. 24 mm a impregnace -skladba STŘ 1, 2</t>
  </si>
  <si>
    <t>Přesun hmot pro tesařské konstrukce, výšky do 12 m</t>
  </si>
  <si>
    <t>Vytvoření tuhého okraje střechy dle detailu D08</t>
  </si>
  <si>
    <t>Konstrukce klempířské</t>
  </si>
  <si>
    <t>Demont. krytiny, tabule 2 x 1 m, nad 25 m2, do 30° -skladba STŘ1+STŘ2</t>
  </si>
  <si>
    <t>Oplechování atiky rš.430mm ozn.K01 -provedení dle PD</t>
  </si>
  <si>
    <t>Podokapní žlab hranatý 150x150mm ozn.K02 -provedení dle PD</t>
  </si>
  <si>
    <t>Svod hranatý 120x120mm ozn.K03 -provedení dle PD</t>
  </si>
  <si>
    <t>Oplechování čela atiky rš.450nn ozn.K04 -provedení dle PD</t>
  </si>
  <si>
    <t>Ochranná mřížka proti ptákům tl.100mm ozn.K05 -provedení dle PD</t>
  </si>
  <si>
    <t>Větrací komínky DN 150mm ozn.K06 -provedení dle PD</t>
  </si>
  <si>
    <t>Svod hranatý 120x120mm ozn.K07 -provedení dle PD</t>
  </si>
  <si>
    <t>Oplechování bočnic-střecha přístavby rš.460nn ozn.K08 -provedení dle PD</t>
  </si>
  <si>
    <t>Oplechování čela-střecha přístavby rš.445+200nn ozn.K09 -provedení dle PD</t>
  </si>
  <si>
    <t>Oplechování okapů STŘ1-STŘ3 rš.220mm bez ozn. -provedení dle PD</t>
  </si>
  <si>
    <t>Ukončovací profil rš.100mm bez ozn. -provedení dle PD</t>
  </si>
  <si>
    <t>Koutový profil rš.200mm bez ozn. -provedení dle PD</t>
  </si>
  <si>
    <t>Parapety vnější,extr.hliník  rš.250mm bez ozn. -provedení dle PD</t>
  </si>
  <si>
    <t>Přesun hmot pro klempířské konstr., výšky do 12 m</t>
  </si>
  <si>
    <t>Konstrukce truhlářské</t>
  </si>
  <si>
    <t>Těsnění oken.spáry, ostění, PT folie + PP páska</t>
  </si>
  <si>
    <t>Těsnění oken.spáry,parapet,PT folie+PP folie+páska</t>
  </si>
  <si>
    <t>M+D Okno plastové 1500x1500mm ozn.F01 -provedení dle popisu v PD</t>
  </si>
  <si>
    <t>M+D Okno plastové 1415x1500mm ozn.F02 -provedení dle popisu v PD</t>
  </si>
  <si>
    <t>M+D Okno plastové 600x600mm ozn.F03 -provedení dle popisu v PD</t>
  </si>
  <si>
    <t>M+D Okno plastové 1100x2210mm ozn.F04 vč.zábradlí ozn.OS17-provedení dle popisu v PD</t>
  </si>
  <si>
    <t>M+D Okno plastové 2000x2210mm ozn.F05 vč.zábradlí ozn.OS17-provedení dle popisu v PD</t>
  </si>
  <si>
    <t>M+D Okno plastové 1350x2580mm ozn.F06 -provedení dle popisu v PD</t>
  </si>
  <si>
    <t>M+D Okno plastové 1250x2250mm ozn.F07 vč.zábradlí ozn.OS17-provedení dle popisu v PD</t>
  </si>
  <si>
    <t>M+D Dveře plastové 900x2010mm ozn.F11 -provedení dle popisu v PD</t>
  </si>
  <si>
    <t>M+D Dveře dřev.600x1970mm vč.kování, zárubně, povrch.úpravy -ozn.D01 -úplné provedení dle popisu v PD</t>
  </si>
  <si>
    <t>M+D Dveře dřev.600x1970mm vč.kování, zárubně, povrch.úpravy -ozn.D02 -úplné provedení dle popisu v PD</t>
  </si>
  <si>
    <t>M+D Dveře dřev.700x1970mm vč.kování, zárubně, povrch.úpravy -ozn.D03 -úplné provedení dle popisu v PD</t>
  </si>
  <si>
    <t>M+D Dveře dřev.800x1970mm vč.kování, zárubně, povrch.úpravy -ozn.D04 -úplné provedení dle popisu v PD</t>
  </si>
  <si>
    <t>M+D Dveře dřev.800x1970mm vč.kování, zárubně, povrch.úpravy -ozn.D05 -úplné provedení dle popisu v PD</t>
  </si>
  <si>
    <t>M+D Dveře dřev.900x1970mm vč.kování, zárubně, povrch.úpravy -ozn.D06 -úplné provedení dle popisu v PD</t>
  </si>
  <si>
    <t>M+D Dveře dřev.900x1970mm vč.kování, zárubně, povrch.úpravy -ozn.D07 -úplné provedení dle popisu v PD</t>
  </si>
  <si>
    <t>M+D Dveře dřev.900x1970mm vč.kování, zárubně, povrch.úpravy -ozn.D08 -úplné provedení dle popisu v PD</t>
  </si>
  <si>
    <t>M+D Dveře dřev.1000x1970mm vč.kování, zárubně, povrch.úpravy -ozn.D09 -úplné provedení dle popisu v PD</t>
  </si>
  <si>
    <t>M+D Dveře dřev.1100x1970mm vč.kování, zárubně, povrch.úpravy -ozn.D11 -úplné provedení dle popisu v PD</t>
  </si>
  <si>
    <t>M+D Dveře dřev.1100x1970mm vč.kování, zárubně, povrch.úpravy -ozn.D12 -úplné provedení dle popisu v PD</t>
  </si>
  <si>
    <t>M+D Kuchyňská linka vč.vestavěných spotřebičů ozn.OS27 -úplné provedení dle popisu v PD</t>
  </si>
  <si>
    <t>M+D Parapety vnitřní š.370mm vč.bočních krytek -provedení dle popisu v PD</t>
  </si>
  <si>
    <t>M+D Parapety vnitřní š.510mm vč.bočních krytek -provedení dle popisu v PD</t>
  </si>
  <si>
    <t>Přesun hmot pro truhlářské konstr., výšky do 12 m</t>
  </si>
  <si>
    <t>Konstrukce doplňkové stavební (zámečnické)</t>
  </si>
  <si>
    <t>M+D Dilatační lišty podlahové -dle popisu v PD</t>
  </si>
  <si>
    <t>M+D Rohožka vnitřní 2000x2000x30mm ozn.ČZ1 -dle popisu v PD</t>
  </si>
  <si>
    <t>M+D Rohožka vnitřní 1200x750x30mm ozn.ČZ2 -dle popisu v PD</t>
  </si>
  <si>
    <t>M+D Rohožka venkovní 2000x750x30mm ozn.ČZ3 -dle popisu v PD</t>
  </si>
  <si>
    <t>M+D Rohožka venkovní 1200x750x30mm ozn.ČZ4 -dle popisu v PD</t>
  </si>
  <si>
    <t>M+D Konstrukce pergoly ozn.OS01 -úplné provedení dle popisu v PD</t>
  </si>
  <si>
    <t>M+D Kazetová markýza stínící  látková s pohonem ozn.OS02 -úplné provedení dle popisu v PD</t>
  </si>
  <si>
    <t>M+D Nosník ztužující 3530x450mm ozn.OS03 -úplné provedení dle popisu v PD</t>
  </si>
  <si>
    <t>M+D Větrací mřížka plast s horizont.žaluziemi 150x250mm ozn.OS08 -dle popisu v PD</t>
  </si>
  <si>
    <t>M+D Větrací mřížka plast s horizont.žaluziemi 150x150mm ozn.OS10 -dle popisu v PD</t>
  </si>
  <si>
    <t>M+D Kotvící prvky fasádního systému ozn.OS12 -úplné provedení dle popisu v PD</t>
  </si>
  <si>
    <t>M+D Kotvící prvky fasádního systému ozn.OS13 -úplné provedení dle popisu v PD</t>
  </si>
  <si>
    <t>M+D Chránička přípojky elektro 100x100x6mm ozn.OS15 -dle popisu v PD</t>
  </si>
  <si>
    <t>M+D Chránička vodovodní přípojky 200x200x6mm ozn.OS16 -dle popisu v PD</t>
  </si>
  <si>
    <t>M+D Vnitřní ochranná dřev.madla ozn.OS20 -provedení dle popisu v PD vč.povrch.úpravy</t>
  </si>
  <si>
    <t>M+D Vnitřní ochranná dřev.svodidla ozn.OS21 -provedení dle popisu v PD vč.povrch.úpravy</t>
  </si>
  <si>
    <t>M+D Madlo pevné 600mm ozn.OS22 -provedení dle popisu v PD</t>
  </si>
  <si>
    <t>M+D Madlo sklopné 813mm ozn.OS23 -provedení dle popisu v PD</t>
  </si>
  <si>
    <t>M+D Nástěnný zásobník na toaletní papír ozn.OS24 -dle popisu v PD</t>
  </si>
  <si>
    <t>M+D Nástěnný držák na WC štětku a WC štětka ozn.OS24 -dle popisu v PD</t>
  </si>
  <si>
    <t>M+D Nástěnný zásobník na papír.ručníky ozn.OS25 -dle popisu v PD</t>
  </si>
  <si>
    <t>M+D Nástěnný dávkovač tekutého mýdla ozn.OS25 -dle popisu v PD</t>
  </si>
  <si>
    <t>M+D Přenosný hasící přístroj PHP 34A práškový ozn.OS28 -dle popisu v PD</t>
  </si>
  <si>
    <t>M+D Požární ucpávka ozn.OS29 -dle popisu v PD</t>
  </si>
  <si>
    <t>M+D Zvonkové tablo+komunikátor ozn.OS31 -dle popisu v PD</t>
  </si>
  <si>
    <t>M+D Schránka na dopisy ozn.OS32 -dle popisu v PD</t>
  </si>
  <si>
    <t>M+D Ocelové zábradlí ozn.Z01 -provedení dle popisu v PD</t>
  </si>
  <si>
    <t>M+D Ocelové zábradlí ozn.Z02 -provedení dle popisu v PD</t>
  </si>
  <si>
    <t>M+D Ocelové zábradlí ozn.Z03 -provedení dle popisu v PD</t>
  </si>
  <si>
    <t>M+D Ocelové zábradlí ozn.Z04 -provedení dle popisu v PD</t>
  </si>
  <si>
    <t>M+D Ocelové zábradlí ozn.Z05 -provedení dle popisu v PD</t>
  </si>
  <si>
    <t>M+D Ocelové zábradlí ozn.Z06 -provedení dle popisu v PD</t>
  </si>
  <si>
    <t>M+D Ocelové zábradlí ozn.Z07 -provedení dle popisu v PD</t>
  </si>
  <si>
    <t>M+D Ocelové zábradlí ozn.Z08 -provedení dle popisu v PD</t>
  </si>
  <si>
    <t>M+D Ocelové zábradlí ozn.Z09 -provedení dle popisu v PD</t>
  </si>
  <si>
    <t>M+D Žebřík s ochranným košem ozn.Z10 -provedení dle popisu v PD</t>
  </si>
  <si>
    <t>M+D Vchodová stříška 2000x1000mm ozn.Z11 -provedení dle popisu v PD</t>
  </si>
  <si>
    <t>M+D Vchodová stříška 2450x1000mm ozn.Z12 -provedení dle popisu v PD</t>
  </si>
  <si>
    <t>M+D Zábradlí z bezp.skla ozn.Z13 -provedení dle popisu v PD</t>
  </si>
  <si>
    <t>M+D Zábradlí z bezp.skla ozn.Z14 -provedení dle popisu v PD</t>
  </si>
  <si>
    <t>M+D Hliníkové dveře+nadsv.1100x2400mm ozn.F08 -provedení dle popisu v PD</t>
  </si>
  <si>
    <t>M+D Hliníkové dveře+nadsv.2000x2400mm ozn.F09 -provedení dle popisu v PD</t>
  </si>
  <si>
    <t>M+D Hliníkové dveře+nadsv.1200x2400mm ozn.F10 -provedení dle popisu v PD</t>
  </si>
  <si>
    <t>M+D Sekční garáž.vrata s el.pokonem 3000x3000mm ozn.F12 -provedení dle popisu v PD</t>
  </si>
  <si>
    <t>M+D Sekční garáž.vrata s el.pokonem 2390x2585mm ozn.F13 -provedení dle popisu v PD</t>
  </si>
  <si>
    <t>M+D Hliníkové proskl.stěna s dveřmi 14225x3200mm ozn.F14 -provedení dle popisu v PD</t>
  </si>
  <si>
    <t>M+D Hliníkové dveře 1200x2100mm ozn.D10 -provedení dle popisu v PD</t>
  </si>
  <si>
    <t>M+D Hliníkové dveře 1250x2400mm ozn.D13 -provedení dle popisu v PD</t>
  </si>
  <si>
    <t>M+D Hliníkové okno 1465x1500mm ozn.D14 -provedení dle popisu v PD</t>
  </si>
  <si>
    <t>M+D Systém generálního klíče</t>
  </si>
  <si>
    <t>Přesun hmot pro zámečnické konstr., výšky do 12 m</t>
  </si>
  <si>
    <t>Podlahy z dlaždic</t>
  </si>
  <si>
    <t>Hydroizolační stěrka -vlhké provozy- pod dlažby</t>
  </si>
  <si>
    <t>Penetrace podkladu pod dlažby</t>
  </si>
  <si>
    <t>Kladení dlažby keramické do TM, vel. do 600x600 mm -skladba PDL 1, 6</t>
  </si>
  <si>
    <t>Dlažba keramická prostiskluzná R10,velkoformátová -dle výběru investora</t>
  </si>
  <si>
    <t>Montáž dlažby na schodišti vč.soklu, vyrovnávací stěrky a dodávky dlažby -skladba PDL 9</t>
  </si>
  <si>
    <t>Obklad soklíků keram.rovných, tmel,výška 10 cm</t>
  </si>
  <si>
    <t>Dlažba pro soklíky výšky 100mm -dle výběru investora</t>
  </si>
  <si>
    <t>Lišta přechodová, montáž a dodávka</t>
  </si>
  <si>
    <t>Spára podlaha - stěna, silikonem+separač.provazec</t>
  </si>
  <si>
    <t>Příplatek za spárování vodotěsnou hmotou - plošně</t>
  </si>
  <si>
    <t>Příplatek za plochu do 5 m2 jednotlivě</t>
  </si>
  <si>
    <t>Přesun hmot pro podlahy z dlaždic, výšky do 12 m</t>
  </si>
  <si>
    <t>Podlahy povlakové</t>
  </si>
  <si>
    <t>Vysávání podlah prům.vysavačem pod povlak.podlahy</t>
  </si>
  <si>
    <t>Penetrace podkladu pod.povlak.podlahy</t>
  </si>
  <si>
    <t>Lepení podlahových soklíků z PVC a vinylu včetně dodávky soklíku PVC -dle výběru investora</t>
  </si>
  <si>
    <t>Odstranění PVC a koberců lepených s podložkou -skladba B1, B5</t>
  </si>
  <si>
    <t>Lepení povlak.podlah z pásů PVC -skladba PDL 2, 7, 8</t>
  </si>
  <si>
    <t>Přírodní linoleum tl. 4,0 mm, třída zátěže 34 - dle výběru investora</t>
  </si>
  <si>
    <t>Lepení povlak.podlah z pásů PVC  -skladba PDL 3</t>
  </si>
  <si>
    <t>Přírodní linoleum tl. 4,0 mm -dle výběru investora</t>
  </si>
  <si>
    <t>Přesun hmot pro podlahy povlakové, výšky do 12 m</t>
  </si>
  <si>
    <t>Podlahy ze syntetických hmot</t>
  </si>
  <si>
    <t>Podlahová stěrka epoxidová litá tl.6mm -skladba PDL 5</t>
  </si>
  <si>
    <t>Sokl k epoxidové stěrce v.100mm</t>
  </si>
  <si>
    <t>Epoxidový nátěr dvojitý -skladba PDL 4</t>
  </si>
  <si>
    <t>Sokl k epoxidovému nátěru -vytažení na stěnu</t>
  </si>
  <si>
    <t>Přesun hmot pro podlahy syntetické, výšky do 12 m</t>
  </si>
  <si>
    <t>Obklady (keramické)</t>
  </si>
  <si>
    <t>Hydroizolační stěrka -vlhké provozy- pod obklady</t>
  </si>
  <si>
    <t>Penetrace podkladu pod obklady</t>
  </si>
  <si>
    <t>Příplatek za sestavení dekoru (listela, bordura)</t>
  </si>
  <si>
    <t>Listela pro velkoformátový obklad -dle výběru investora</t>
  </si>
  <si>
    <t>Obkládání stěn obkl. pórovin. do tmele do 330x600</t>
  </si>
  <si>
    <t>Obkládačka velkoformátová -dle výběru investora</t>
  </si>
  <si>
    <t>Příplatek za spárovací vodotěsnou hmotu - plošně</t>
  </si>
  <si>
    <t>Lišta ukončovací k obkladům -montáž a dodávka</t>
  </si>
  <si>
    <t>Lišta rohová k obkladům -montáž a dodávka</t>
  </si>
  <si>
    <t>Přesun hmot pro obklady keramické, výšky do 12 m</t>
  </si>
  <si>
    <t>Malby</t>
  </si>
  <si>
    <t>Broušení štuků a nových omítek</t>
  </si>
  <si>
    <t>Penetrace podkladu nátěrem   1 x</t>
  </si>
  <si>
    <t>Penetrace podkladu nátěrem  1 x -sádrokarton</t>
  </si>
  <si>
    <t>Malba  bílá, bez penetrace, 2 x -stěny a stropy</t>
  </si>
  <si>
    <t>Malba sádrokarton, bílá, bez penetrace, 2 x -podhledy+kastlíky</t>
  </si>
  <si>
    <t>Čalounické úpravy</t>
  </si>
  <si>
    <t>M+D Vnitřní roleta ozn.OS19 -úplné provedení dle popisu v PD</t>
  </si>
  <si>
    <t>Žaluzie horizont.vnitřní AL lamely vč.dodávky dle výběru investora -ozn.OS18 -úplné provedení dle PD</t>
  </si>
  <si>
    <t>Přesun hmot pro zastiň. techniku, výšky do 12 m</t>
  </si>
  <si>
    <t>Gastro-technologie</t>
  </si>
  <si>
    <t>Lednice na odpad  600x600x1200mm, 230V</t>
  </si>
  <si>
    <t>Mycí stůl s mycí vanou, prolis pracovní desky, oplachová stojánková baterie s ramínkem a sprchou, nerez 1200x700x900mm</t>
  </si>
  <si>
    <t>Regál nerez 4 police, nerez, 1240x500x1800mm</t>
  </si>
  <si>
    <t>Třídící stůl 2 x spodní police, nerez, 600x700x900mm</t>
  </si>
  <si>
    <t>Nádoba nerezová objem 50 l na bio odpad, nerez</t>
  </si>
  <si>
    <t>Mycí stůl s dřezem 400x400, prolis deska, oplachová stojánková baterie s ramínkem a sprchou, nerez, 1600x700x900mm</t>
  </si>
  <si>
    <t>Myčka na nádobí, koš 500x500, 3 programy na mytí, vestavěné dávkovače mycího a oplach.prostředku, 600x600x850mm,  3,6kW/230V</t>
  </si>
  <si>
    <t>Regál na nádobí 5 x police, nerez, 500x700x1800mm</t>
  </si>
  <si>
    <t>Pracovní stůl s dřezem a stojánkovou baterií, nerez, 1400x700x900mm</t>
  </si>
  <si>
    <t>Pracovní stůl 2 x spodní police, nerez, 1500x700x900mm</t>
  </si>
  <si>
    <t>Výdejní vana 4 x GN 1/1 samostné ovládání jednotlivých sekcí, spodní police, 2x bržděná kolečka,  3kW/230V</t>
  </si>
  <si>
    <t>Pojízdný stůl spodní police, 2 x bržděná kolečka, nerez, 1200x600x900mm</t>
  </si>
  <si>
    <t>El. parní konvektomat 5 x vsun na GN 1/1, elektromechanické ovládání, na otevř.poderstavbě,  8kW/400V</t>
  </si>
  <si>
    <t>Pracovní stůl 2 x police, nerez, 1200x500x900mm</t>
  </si>
  <si>
    <t>Mycí stůl s dřezem 600x500 a oplachovou sprchou-stojánk.baterie s ramínkem a sprchou, nerez, 700x700x900mm</t>
  </si>
  <si>
    <t>Regál na nádobí 5 x police, nerez, 900x700x1800mm</t>
  </si>
  <si>
    <t>Lednice objem 540 l profi line, 750x750x1650mm, 230V</t>
  </si>
  <si>
    <t>Regál 5 x police, nerez, 1200x500x1800mm</t>
  </si>
  <si>
    <t>Zásobník na příbory, ubrousky a podnosy, nerez, 1000x600x1100mm</t>
  </si>
  <si>
    <t>Pracovní stůl s prolis deskou, spodní police, nerez</t>
  </si>
  <si>
    <t>Výrobník čaje 10 l, nerez, 3kW/230V</t>
  </si>
  <si>
    <t>Pojezdová dráha trubková na podnosy, nerez, 2900mm</t>
  </si>
  <si>
    <t>Vozíky na sběr nádobí, nerez</t>
  </si>
  <si>
    <t>Montáž a instalace</t>
  </si>
  <si>
    <t>Doprava</t>
  </si>
  <si>
    <t>Elektromontáže-hromosvod</t>
  </si>
  <si>
    <t>Vybourání otvorů ve zdivu cihelném plochy do 0,0225 mm2 a tloušťky přes 45 cm do 60 cm</t>
  </si>
  <si>
    <t>Vysekání rýh pro montáž trubek a kabelů v cihelných zdech do 3 cm hloubky a šířky přes 3 do 5 cm</t>
  </si>
  <si>
    <t>Celková prohlídka elektrického rozvodu a zařízení hromosvodu do 0,5 milionu Kč</t>
  </si>
  <si>
    <t>Montáž svorka hromosvodná typ ST, SJ, SK, SZ, SR01, 02 se 3 šrouby</t>
  </si>
  <si>
    <t>svorka uzemnění  SU nerez univerzální</t>
  </si>
  <si>
    <t>Trubka korugovaná 50/41</t>
  </si>
  <si>
    <t>Montáž pospojení</t>
  </si>
  <si>
    <t>Sada pro ochranné pospojení</t>
  </si>
  <si>
    <t>zemnící drát AlMgSi d8 polotvrdý</t>
  </si>
  <si>
    <t>zemnicí páska FeZn 30/4</t>
  </si>
  <si>
    <t>zemnící páska FeZn 30/4</t>
  </si>
  <si>
    <t>ochranný úhelník  vč. DOT a držáků</t>
  </si>
  <si>
    <t>ochranný úhelník vč. DOT a držáků</t>
  </si>
  <si>
    <t>podpěra na střechu - PV</t>
  </si>
  <si>
    <t>svorka spojovací SS</t>
  </si>
  <si>
    <t>svorka zkušební SZ  vč. čísla svodu</t>
  </si>
  <si>
    <t>svorka zkušební SZ vč. čísla svodu</t>
  </si>
  <si>
    <t>svorka křížová SK</t>
  </si>
  <si>
    <t>svorka okapová SO</t>
  </si>
  <si>
    <t>svorka SR02 (páska-páska)</t>
  </si>
  <si>
    <t>svorka SR02</t>
  </si>
  <si>
    <t>svorka SR03 (páska-drát)</t>
  </si>
  <si>
    <t>Zemnící tyč 1,5 m / FeZn se svorkou</t>
  </si>
  <si>
    <t>Zemnící tyč 1,5m / FeZn se svorkou</t>
  </si>
  <si>
    <t>Svorka AB vč. pásky Cu</t>
  </si>
  <si>
    <t>Izolovaný vodič HVI / CVI vč. příslušenství</t>
  </si>
  <si>
    <t>Podružný, spojovací, připojovací, kotevní a upevňovací materiál, svorky a - veškeré příslušenství, asfaltový nátěr</t>
  </si>
  <si>
    <t>Dokumentace skutečného provedení stavby</t>
  </si>
  <si>
    <t>Vytýčení základového zemniče</t>
  </si>
  <si>
    <t>práce ve výšce nad 6m</t>
  </si>
  <si>
    <t>Stavební přípomoce vč. materiálu</t>
  </si>
  <si>
    <t>Sondy pro napojení svodů</t>
  </si>
  <si>
    <t>Elektromontáže-silnoproud+slaboproud</t>
  </si>
  <si>
    <t>Vybourání otvorů ve zdivu cihelném D do 60 mm na MVC nebo MV tl do 300 mm</t>
  </si>
  <si>
    <t>Vysekání kapes ve zdivu cihelném na MV nebo MVC pl do 0,10 m2 hl do 150 mm</t>
  </si>
  <si>
    <t>Vysekání rýh pro vodiče v omítce MC stěn š do 30 mm</t>
  </si>
  <si>
    <t>Vysekání rýh pro vodiče v omítce MC stěn š do 70 mm</t>
  </si>
  <si>
    <t>Celková prohlídka elektrického rozvodu a zařízení do 1,5 milionu Kč</t>
  </si>
  <si>
    <t>Montáž rozvodné skříně do 50 kg</t>
  </si>
  <si>
    <t>Rozvaděč RH -( výkr.č. E-04 )</t>
  </si>
  <si>
    <t>Rozvaděč R1 ( výkr.č. E-05 )</t>
  </si>
  <si>
    <t>Rozvaděč R2 ( výkr.č. E-06 )</t>
  </si>
  <si>
    <t>Rozvaděč RK ( výkr.č. E-08 )</t>
  </si>
  <si>
    <t>Rozvaděč RD - datový ( 19" rack 600x600x400mm, UPS, PATCH panel 24, DVR -7dní , vyvazovací panel, pomocné a podružné příslušenství )</t>
  </si>
  <si>
    <t>STA - přepěťová ochrana</t>
  </si>
  <si>
    <t>Koordinace s investorem</t>
  </si>
  <si>
    <t>Montáž trubka plastová ohebná D 23 mm uložená pevně</t>
  </si>
  <si>
    <t>trubka elektroinstalační ohebná EN 500 86-1141 2323/LPE-1 D22,9 mm</t>
  </si>
  <si>
    <t>Montáž krabice zapuštěná plastová kruhová typ KU68</t>
  </si>
  <si>
    <t>krabice univerzální z PH KU 68/2-1903</t>
  </si>
  <si>
    <t>Montáž krabice zapuštěná plastová čtyřhranná typ KO100, KO125</t>
  </si>
  <si>
    <t>Krabice  KO125</t>
  </si>
  <si>
    <t>Montáž vodič uzemňovací drát nebo lano D do 10 mm na povrchu</t>
  </si>
  <si>
    <t>drát průměr 10 mm FeZn</t>
  </si>
  <si>
    <t>Lišta vkládací 25x25 mm</t>
  </si>
  <si>
    <t>Montáž vodič Cu izolovaný sk.1 do 1 kV žíla 0,35 až 6 mm2 do stěny</t>
  </si>
  <si>
    <t>vodič silový s Cu jádrem CY H07 V-U 4 mm2 zž</t>
  </si>
  <si>
    <t>vodič silový s Cu jádrem CY H07 V-U 6 mm2 zž</t>
  </si>
  <si>
    <t>Montáž vodič Cu izolovaný sk.1 do 1 kV žíla 10 až 16 mm2 do stěny</t>
  </si>
  <si>
    <t>vodič silový s Cu jádrem CY H07 V-U 10 mm2</t>
  </si>
  <si>
    <t>Montáž kabel Cu sk.2 do 1 kV do 0,20 kg pod omítku stěn</t>
  </si>
  <si>
    <t>kabel silový s Cu jádrem CYKY-J 3x1,5 mm2</t>
  </si>
  <si>
    <t>kabel silový s Cu jádrem CYKY 3Ax1,5 mm2</t>
  </si>
  <si>
    <t>kabel komunikační s Cu jádrem SYKFY 5x2x0,5 mm2</t>
  </si>
  <si>
    <t>kabel komunikační koax 75 ohm</t>
  </si>
  <si>
    <t>kabel datový UTP cat 5e</t>
  </si>
  <si>
    <t>kabel silový s Cu jádrem CMSM 2Ax1,5 mm2</t>
  </si>
  <si>
    <t>kabel komunikační s Cu jádrem JYTY 2x1,5 mm2</t>
  </si>
  <si>
    <t>Montáž kabel Cu sk.2 do 1 kV do 0,40 kg pod omítku stěn</t>
  </si>
  <si>
    <t>kabel silový s Cu jádrem CYKY 5x1,5 mm2</t>
  </si>
  <si>
    <t>kabel silový s Cu jádrem CYKY-J 3x2,5 mm2</t>
  </si>
  <si>
    <t>Montáž kabel Cu sk.2 do 1 kV nad 0,40 kg pod omítku stěn</t>
  </si>
  <si>
    <t>kabel silový s Cu jádrem CYKY-J 3x4mm2</t>
  </si>
  <si>
    <t>kabel silový s Cu jádrem CYKY-J 3x10mm2</t>
  </si>
  <si>
    <t>kabel silový s Cu jádrem CYKY-J 5x10mm2</t>
  </si>
  <si>
    <t>kabel silový s Cu jádrem CYKY 4Bx16mm2</t>
  </si>
  <si>
    <t>Ukončení vodič izolovaný do 2,5mm2 v rozváděči nebo na přístroji</t>
  </si>
  <si>
    <t>SVORKA WAGO 221-415 5x2,5</t>
  </si>
  <si>
    <t>SVORKA ST 5 NA POTRUBI</t>
  </si>
  <si>
    <t>OZNAC.STITEK C.1</t>
  </si>
  <si>
    <t>páska stahovací kabelová VPP 4/280</t>
  </si>
  <si>
    <t>Ukončení vodič izolovaný do 10 mm2 v rozváděči nebo na přístroji</t>
  </si>
  <si>
    <t>Sada hlavního pospojení</t>
  </si>
  <si>
    <t>Montáž vypínač nástěnný 1-jednopólový prostředí obyčejné nebo vlhké</t>
  </si>
  <si>
    <t>spínač jednopólový 10A IP20 - komplet</t>
  </si>
  <si>
    <t>spínač jednopólový 10A IP44</t>
  </si>
  <si>
    <t>Montáž spínač nástěnný tlačítkový zař.0/1 - prostředí obyčejné nebo vlhké</t>
  </si>
  <si>
    <t>Tlačítkový spínač zař.0/1 - komplet</t>
  </si>
  <si>
    <t>Montáž přepínač nástěnný 6-střídavý prostředí obyčejné nebo vlhké</t>
  </si>
  <si>
    <t>spínač řazení 6 10A IP20 - komplet</t>
  </si>
  <si>
    <t>spínač řazení 6 10A IP44</t>
  </si>
  <si>
    <t>Montáž přepínač nástěnný 7-křížový prostředí obyčejné nebo vlhké</t>
  </si>
  <si>
    <t>spínač řazení 7 10A IP20 - komplet</t>
  </si>
  <si>
    <t>spínač řazení 7 10A IP44</t>
  </si>
  <si>
    <t>Montáž přepínač nástěnný 5 - prostředí obyčejné nebo vlhké</t>
  </si>
  <si>
    <t>spínač řazení 5 10A IP20 - komplet</t>
  </si>
  <si>
    <t>spínač řazení 5 10A IP44</t>
  </si>
  <si>
    <t>Montáž ukončovací krabice do 5x2,5 mm2 IP65</t>
  </si>
  <si>
    <t>Ukončovací krabice do 5x2,5 mm2 IP65</t>
  </si>
  <si>
    <t>Montáž zásuvka zapuštěná bezšroubové připojení L+N+PE dvojí zapojení - průběžná / koncová</t>
  </si>
  <si>
    <t>zásuvka 1násobná 16A / 230V- IP20 komplet</t>
  </si>
  <si>
    <t>zásuvka 2násobná 16A / 230V- IP20 komplet</t>
  </si>
  <si>
    <t>zásuvka  16A / 230V- IP44</t>
  </si>
  <si>
    <t>zásuvka 1násobná 16A / 230V- IP20 komplet s přepěťovou ochranou "D"</t>
  </si>
  <si>
    <t>Montáž zásuvka zapuštěná bezšroubové připojení3 L+N+PE dvojí zapojení - průběžná / koncová</t>
  </si>
  <si>
    <t>zásuvka 16A / 400V- IP44</t>
  </si>
  <si>
    <t>Montáž zásuvka zapuštěná bezšroubové připojení anténní zapojení - průběžná / koncová</t>
  </si>
  <si>
    <t>zásuvka televizní koncová - IP 20 komplet</t>
  </si>
  <si>
    <t>Montáž domácí telefon 1 tlač, pod omítku</t>
  </si>
  <si>
    <t>Domácí telefon 1 tlačítkový</t>
  </si>
  <si>
    <t>Zvonkové tablo 2 účastníci</t>
  </si>
  <si>
    <t>El. zámek</t>
  </si>
  <si>
    <t>El.zámek</t>
  </si>
  <si>
    <t>Anténa vč. stožáru a kotvení</t>
  </si>
  <si>
    <t>Rozvaděč STA typový</t>
  </si>
  <si>
    <t>Rozvaděč STA typový - 5 účastníků</t>
  </si>
  <si>
    <t>Montáž spínač nástěnný 3/25A prostředí obyčejné nebo vlhké</t>
  </si>
  <si>
    <t>Spínač nástěnný 3/25A / IP44</t>
  </si>
  <si>
    <t>SOS systém pro imobilní</t>
  </si>
  <si>
    <t>SOS systém pro imobilní ( centrální jednotka se zdrojem, spínač, tahový spínač, akustické a světelné návěští vč. příslušenství)</t>
  </si>
  <si>
    <t>Montáž zásuvka zapuštěná bezšroubové připojení datová</t>
  </si>
  <si>
    <t>zásuvka dvojnásobná datová RJ-45 komplet</t>
  </si>
  <si>
    <t>zásuvka HDMI komplet</t>
  </si>
  <si>
    <t>WIFI router</t>
  </si>
  <si>
    <t>Jednotný čas - analogové hodiny</t>
  </si>
  <si>
    <t>Nástěnné analogové bateriové hodiny s řízením signálem DCF</t>
  </si>
  <si>
    <t>Tlačítko nouze</t>
  </si>
  <si>
    <t>Tlačítko nouze - nástěnné</t>
  </si>
  <si>
    <t>Tlačítko STOP / TOTAL / CENTRAL</t>
  </si>
  <si>
    <t>Tlačítko STOP / TOTAL / CENTRAL v krabici nástěnné</t>
  </si>
  <si>
    <t>Houkačka</t>
  </si>
  <si>
    <t>Houkačka - světlené a akustické návěští - systémová - EZS</t>
  </si>
  <si>
    <t>Kamera vnitřní CCTV</t>
  </si>
  <si>
    <t>Kamera vnitřní CCTV s příslušenství</t>
  </si>
  <si>
    <t>Kamera venkovní CCTV</t>
  </si>
  <si>
    <t>Kamera venkovní CCTV s příslušenství</t>
  </si>
  <si>
    <t>EZS přístupová klávesnice</t>
  </si>
  <si>
    <t>EZS PIR pohybové čidlo</t>
  </si>
  <si>
    <t>EZS PIR pohybové čidlo 180-270°</t>
  </si>
  <si>
    <t>EZS magnetický dveřní kontakt</t>
  </si>
  <si>
    <t>Detektor kouře</t>
  </si>
  <si>
    <t>Podružný montážní materiál</t>
  </si>
  <si>
    <t>Montáž svítidla do 2 zdrojů</t>
  </si>
  <si>
    <t>A - Svítidlo LED 36W  / 5070 lm
kruhové stropní / nástěnné přisazené, IP40</t>
  </si>
  <si>
    <t>A/N - Svítidlo LED 36W  / 5070 lm
kruhové stropní / nástěnné přisazené, IP40 s invertorem</t>
  </si>
  <si>
    <t>B - Svítidlo LED 58W / 8100lm
kruhové stropní / nástěnné přisazené, IP40</t>
  </si>
  <si>
    <t>B/N - Svítidlo LED 58W / 8100lm
kruhové stropní / nástěnné přisazené, IP40 s invertorem</t>
  </si>
  <si>
    <t>B/IR - Svítidlo LED 58W / 8100lm
kruhové stropní / nástěnné přisazené, IP40 s IR čidlem</t>
  </si>
  <si>
    <t>C - Svítidlo LED 2x23W / 2x 3100 lm
průmyslové stropní, přisazené, IP 66</t>
  </si>
  <si>
    <t>C/N - Svítidlo LED 2x23W / 2x 3100 lm
průmyslové stropní, přisazené, IP 66 s invertorem</t>
  </si>
  <si>
    <t>LED - Svítidlo LED páska RGBW 14,4 W/m
v systémové AL liště s opálovým krytem - pod linku / 2m IP54 vč. zdroje</t>
  </si>
  <si>
    <t>D - Svítidlo LED 39W / 3700lm
vestavné do rastru / matná AL mřížka , IP20</t>
  </si>
  <si>
    <t>D/N - Svítidlo LED 39W / 3700lm
vestavné do rastru / matná AL mřížka , IP20 s invertorem</t>
  </si>
  <si>
    <t>E - Svítidlo LED max 50W
na malém výložníku / min IP54</t>
  </si>
  <si>
    <t>F/IR - Svítidlo LED / žárovkové / zářivkové max 60W / IP44</t>
  </si>
  <si>
    <t>H - Svítidlo LED panel s AL rámečkem 70W / 8500 lm opálový kryt, přisazené, IP 40</t>
  </si>
  <si>
    <t>I  - Svítidlo LED 2x10W / 2x 1050 lm
průmyslové stropní, přisazené, IP 66</t>
  </si>
  <si>
    <t>G - Svítidlo LED 2x20W / 2x 2100 lm
průmyslové stropní, přisazené, IP 66</t>
  </si>
  <si>
    <t>Montáž svítidlo zářivkové / LED bytové nástěnné přisazené 1 zdroj</t>
  </si>
  <si>
    <t>N - Svítidlo LED nouzové s piktogramy 8W/1 hod</t>
  </si>
  <si>
    <t>zkouška nouzových svítidel</t>
  </si>
  <si>
    <t>Měření intenzity osvětlení</t>
  </si>
  <si>
    <t>Podružný, spojovací, připojovací, kotevní a upevňovací materiál, svorky, závěsy, kabelová oka a - veškeré příslušenství, asfaltový nátěr</t>
  </si>
  <si>
    <t>práce ve výšce nad 3m</t>
  </si>
  <si>
    <t>Náklady na zkušební provoz</t>
  </si>
  <si>
    <t>Prozatímní zapojení - staveništní rozvaděč</t>
  </si>
  <si>
    <t>Úpravy rozvodů NN DS (25m)</t>
  </si>
  <si>
    <t>Úpravy rozvodů MN DS (55m) vč. geodetického zaměření</t>
  </si>
  <si>
    <t>Likvidace odpadů</t>
  </si>
  <si>
    <t>krabice přístrojová instalační KP 68/1</t>
  </si>
  <si>
    <t>krabice přístrojová instalační KP 68/2</t>
  </si>
  <si>
    <t>Montáže dopravních zařízení a vah</t>
  </si>
  <si>
    <t>M+D El.osobní výtah 1150kg, max.15 osob, 1m/s, zdvih 3,36m ozn.V1 -provedení dle popisu v PD</t>
  </si>
  <si>
    <t>Montáže ocelových konstrukcí</t>
  </si>
  <si>
    <t>Ocelová konstrukce přístavby -výroba, dodávka, montáž, úplné provedení vč.povrch.úpravy</t>
  </si>
  <si>
    <t>Ocelová konstrukce přístavby -prořez</t>
  </si>
  <si>
    <t>Ocelová konstrukce přístavby -spojovací materiál</t>
  </si>
  <si>
    <t>Zpevněné plochy a sadové úpravy</t>
  </si>
  <si>
    <t>Kácení stromů do 500 mm a odstranění pařezů včetně odvozu, spálení větví</t>
  </si>
  <si>
    <t>Odstranění křovin a stromů do 100 mm, spálení</t>
  </si>
  <si>
    <t>Kryty pozemních komunikací, letišť a ploch z kameniva nebo živičné</t>
  </si>
  <si>
    <t>Komunikace s asfaltobeton. krytem  -skladba ZP 3</t>
  </si>
  <si>
    <t>Kryty pozemních komunikací, letišť a ploch dlážděných (předlažby)</t>
  </si>
  <si>
    <t>Komunikace z dlažby zámkové tl.6 cm, podklad beton prostý -skladba ZP 2</t>
  </si>
  <si>
    <t>Komunikace z dlažby zámkové tlk.6 cm, podklad štěrkodrť -skladba ZP1</t>
  </si>
  <si>
    <t>Okapový chodníček vč.detailů -skladba ZP 4</t>
  </si>
  <si>
    <t>Doplňující konstrukce a práce na pozemních komunikacích a zpevněných plochách</t>
  </si>
  <si>
    <t>Osaz.sloupku dopr.značky vč. bet.základu+Al patka včetně dodávky sloupku a značky</t>
  </si>
  <si>
    <t>Vodorovné dopravní značení střík.barvou</t>
  </si>
  <si>
    <t>Osazení  obrubníků do lože z C 12/15 s opěrou včetně obrubníku -nový</t>
  </si>
  <si>
    <t>Osazení obrubníků -obnova</t>
  </si>
  <si>
    <t>Osazení ležat. obrub. bet. s opěrou,lože z C 12/15 vč.obrubníku</t>
  </si>
  <si>
    <t>Bourací a demontážní práce</t>
  </si>
  <si>
    <t>Komunikace pozemní a letiště</t>
  </si>
  <si>
    <t>Přesun hmot, pozemní komunikace, kryt dlážděný</t>
  </si>
  <si>
    <t>Předávací stanice</t>
  </si>
  <si>
    <t>Hadice napouštěcí- O 16/23</t>
  </si>
  <si>
    <t>Rozdělovače a sběrače z ocel. trub bezešvých - DN 65</t>
  </si>
  <si>
    <t>Příplatek za dalších i započatých 0,5, m délky trasy - DN 65</t>
  </si>
  <si>
    <t>Trubková hrdla rozdělovačů a sběračů DN 15</t>
  </si>
  <si>
    <t>Trubková hrdla rozdělovačů a sběračů DN 25</t>
  </si>
  <si>
    <t>Trubková hrdla rozdělovačů a sběračů DN 40</t>
  </si>
  <si>
    <t>Stojny pod rozdělovač a sběrač + montáž rozděl. a sběrače</t>
  </si>
  <si>
    <t>Montáž orientačních štítků</t>
  </si>
  <si>
    <t>Orientační štítky</t>
  </si>
  <si>
    <t>Nepřímotopný zásobníkový ohřívač stacionární objem zásobníku 300 l/1,5m2</t>
  </si>
  <si>
    <t>Montáž zásobníku TV</t>
  </si>
  <si>
    <t>Čerpadlo elektronické,Q=1,5 m3/h, H=4 m v.sl., 1x230V, 50Hz, P=3,4-45W, I=0,05-0,42A V</t>
  </si>
  <si>
    <t>Čerpadlo elektronické, Q=0,75 m3/h, H=3 m v.sl., 1x230V, 50Hz, P=3,4-45W, I=0,05-0,42A V</t>
  </si>
  <si>
    <t>Čerpadlo elektronické, Q=1,8 m3/h, H=2 m v.sl., 1x230V, 50Hz, P=3,4-45W, I=0,05-0,42A V</t>
  </si>
  <si>
    <t>Montáž čerpadel DN 25</t>
  </si>
  <si>
    <t>MĚŘIČ TEPLA ultrazvukový - průtok 3,5 m3/h - TYP UPŘESNĚN PROVOZOVATELEM TEPLOVODNÍ SÍTĚ s možností dálkového odečtu.</t>
  </si>
  <si>
    <t>Montáž měřiče tepla DN 25</t>
  </si>
  <si>
    <t>Potrubí z trubek závitových ocelových bezešvých DN 3/8"</t>
  </si>
  <si>
    <t>Potrubí z trubek závitových ocelových bezešvých DN 1/2"</t>
  </si>
  <si>
    <t>Potrubí z trubek závitových ocelových bezešvých DN 3/4"</t>
  </si>
  <si>
    <t>Potrubí z trubek závitových ocelových bezešvých DN 1"</t>
  </si>
  <si>
    <t>Potrubí z trubek závitových ocelových bezešvých DN 6/4"</t>
  </si>
  <si>
    <t>Zhotovení přechodů z trubek ocel. Hladkých DN 25/15</t>
  </si>
  <si>
    <t>Zhotovení přechodů z trubek ocel. Hladkých DN 40/25</t>
  </si>
  <si>
    <t>Odvzdušňovací nádobky  z trubek ocelových do DN 50</t>
  </si>
  <si>
    <t>Zkoušky těsnosti potrubí z trubek ocel. závitových do DN 40</t>
  </si>
  <si>
    <t>Manžety prostupové pro trubky do DN 50</t>
  </si>
  <si>
    <t>Upevnění potrubí</t>
  </si>
  <si>
    <t>Požární průchodky dle technické zprávy</t>
  </si>
  <si>
    <t>Předizol.potrubí DN 40/110 - oblouk  90°  délka ramene 1500/1500</t>
  </si>
  <si>
    <t>Předizol.potruibí DN 40/110 - oblouk  90°  délka ramene 2000/1500</t>
  </si>
  <si>
    <t>Koncové těsnění 110, koncové těsnění izolace</t>
  </si>
  <si>
    <t xml:space="preserve"> gumová průchodka stěnou 110; DN 40</t>
  </si>
  <si>
    <t>sign. folie, šíře 220 mm (m´) Značkovací páska do výkopu zelená;  potisk. text: TEPLOVOD; velikost písma: 80 mm</t>
  </si>
  <si>
    <t>Zemní práce-Výkop pro předizolované potrubí cca hl.1 m, podsyp potrubí pískovým ložem včetně zásypu a zhutnění dle požadavku výrobce předizolovaného p</t>
  </si>
  <si>
    <t>Montáž 1 závitových armatur G 3/8"  /OV/</t>
  </si>
  <si>
    <t>Montáž 1 závitových armatur G 1/2"  /VK/</t>
  </si>
  <si>
    <t>Montáž 1 závitových armatur G 3/4"  /VK/</t>
  </si>
  <si>
    <t>Montáž 2 závitových armatur G 1/2"</t>
  </si>
  <si>
    <t>Montáž 2 závitových armatur G 1"</t>
  </si>
  <si>
    <t>Montáž 2 závitových armatur G 6/4"</t>
  </si>
  <si>
    <t>Montáž 3 závitových armatur G 1/2"</t>
  </si>
  <si>
    <t>Montáž 3 závitových armatur G 3/4"</t>
  </si>
  <si>
    <t>Ventily odvzdušňovací G 3/8"</t>
  </si>
  <si>
    <t>Vyvažovací ventil tlakově nezávislý 2cestný regulační ,DN25, průtok 3500m3/h</t>
  </si>
  <si>
    <t>Ventily zpětné závitové, s pružinou, Giacomini R60 DN 1/2"</t>
  </si>
  <si>
    <t>Ventily zpětné závitové, s pružinou, Giacomini R60 DN 1"</t>
  </si>
  <si>
    <t>Šroubení topenářské DN 1/2"</t>
  </si>
  <si>
    <t>Šroubení topenářské DN 3/4"</t>
  </si>
  <si>
    <t>Kohouty plnící a vypouštěcí - G 1/2"</t>
  </si>
  <si>
    <t>Filtr závitový, PN 16, T 130°C DN 1/2"</t>
  </si>
  <si>
    <t>Filtr závitový, PN 16, T 130°C DN 1"</t>
  </si>
  <si>
    <t>Filtr závitový, PN 16, T 130°C DN 6/4"</t>
  </si>
  <si>
    <t>Kulový kohout Giacomini R 910 DN 1/2"</t>
  </si>
  <si>
    <t>Kulový kohout Giacomini R 910 DN 1"</t>
  </si>
  <si>
    <t>Kulový kohout Giacomini R 910 DN 6/4"</t>
  </si>
  <si>
    <t>Teploměr kruhový DTU, průměr 100, 0-120 o C</t>
  </si>
  <si>
    <t>Teploměr kruhový DTR, stonek 160 mm, 0-120 o C</t>
  </si>
  <si>
    <t>Tlakoměr deformační D160, 0-600 kPa</t>
  </si>
  <si>
    <t>Tlakoměr diferenční D60, 0-250 kPa</t>
  </si>
  <si>
    <t>Ochranné jímky se závitem (pro regulaci)</t>
  </si>
  <si>
    <t>Návarek s metrickým závitem M 12x1,5, délky do 220 mm</t>
  </si>
  <si>
    <t>Návarek s metrickým závitem M 20x1,5, délky do 220 mm</t>
  </si>
  <si>
    <t>Návarek s trubkovým závitem  G 1/2"</t>
  </si>
  <si>
    <t>Návarek s trubkovým závitem  G 3/4"</t>
  </si>
  <si>
    <t>Montáž návarků</t>
  </si>
  <si>
    <t>Izolace tepelné pro potrubí ocelové - s AL povrchem do DN 20 - tl.25 mm</t>
  </si>
  <si>
    <t>Izolace tepelné pro potrubí ocelové - s AL povrchem do DN 25 - tl.25 mm</t>
  </si>
  <si>
    <t>Izolace tepelné pro potrubí ocelové - s AL povrchem do DN 40 - tl.50 mm</t>
  </si>
  <si>
    <t>Montáž tepelné izolace s AL povrchem</t>
  </si>
  <si>
    <t xml:space="preserve"> dodávka minerální plsti dvouvrstvé tl. 4+4 cm</t>
  </si>
  <si>
    <t xml:space="preserve"> dodávka Al plechu</t>
  </si>
  <si>
    <t xml:space="preserve"> montáž minerální plstě - izolace rozdělovačů a sběračů</t>
  </si>
  <si>
    <t xml:space="preserve"> montáž Al plechu - izolace rozdělovačů a sběračů</t>
  </si>
  <si>
    <t>Nátěry syntetické potrubí - základní do DN 50</t>
  </si>
  <si>
    <t>Nátěry syntetické potrubí 2x antikorozní, 1x základní, 1x email (potrubí bez izolace) do DN 50</t>
  </si>
  <si>
    <t>Nátěry syntetické kovových doplňkových konstrukcí -barva standard.,dvojnás. A 1x email (pro rozdělovače)</t>
  </si>
  <si>
    <t>Topná zkouška</t>
  </si>
  <si>
    <t>Montáže - Měření a regulace</t>
  </si>
  <si>
    <t>OVLÁDACÍ PANEL</t>
  </si>
  <si>
    <t>PLASTOVÁ KRYTKA</t>
  </si>
  <si>
    <t>PROPOJOVACÍ KABEL</t>
  </si>
  <si>
    <t>EKVITERMNÍ REGULÁTOR ŘADY RVS..</t>
  </si>
  <si>
    <t>SVORKOVNICE</t>
  </si>
  <si>
    <t>WEB SERVER PRO DÁLKOVÉ OVLÁDÁNÍ REGULÁTORŮ RVS.. PŘES INTERNET</t>
  </si>
  <si>
    <t>SOFTWAROVÉ OŽIVENÍ VČETNĚ ZPROVOZNĚNÍ  – WEBSERVERU</t>
  </si>
  <si>
    <t>SNÍMAČ TEPLOTY VENKOVNÍ - TES1</t>
  </si>
  <si>
    <t>SNÍMAČ TEPLOTY PŘÍLOŽNÝ – TV1, TV2</t>
  </si>
  <si>
    <t>SNÍMAČ TEPLOTY DO JÍMKY - TUV1</t>
  </si>
  <si>
    <t>PŘÍLOŽNÝ TERMOSTAT RAM – TVH1</t>
  </si>
  <si>
    <t>TERMOSTAT 30-90 stC KAPIL. - TUVH1</t>
  </si>
  <si>
    <t>SMĚŠOVACÍ VENTIL VČETNĚ POHONU 230V/3BOD. - SRVT1</t>
  </si>
  <si>
    <t>SMĚŠOVACÍ VENTIL VČETNĚ POHONU 230V/3BOD. - SRVT2</t>
  </si>
  <si>
    <t>PŘÍMÝ UZAVÍRACÍ KULOVÝ VENTIL DN20 - SRVTUV1</t>
  </si>
  <si>
    <t>SERVOPOHON PRO KULOVÉ VENTILY VAI60, 2-BODOVÉ ŘÍZENÍ 230V – SRVTUV1</t>
  </si>
  <si>
    <t>ROZVADĚČ 800x600x210</t>
  </si>
  <si>
    <t>VÝVODKA PG.. S MATICÍ</t>
  </si>
  <si>
    <t>SVÍTIDLO 15W S VYPÍNAČEM</t>
  </si>
  <si>
    <t>ZÁSUVKA SOKLOVÁ 230V</t>
  </si>
  <si>
    <t>Vypínač LTS25A, 3.pól., červený, 25A, panel</t>
  </si>
  <si>
    <t>SALTEK OCHRANA DA-275 DF 10A</t>
  </si>
  <si>
    <t>JISTIČ 10A 1POL.</t>
  </si>
  <si>
    <t>JISTIČ 6A 1POL.</t>
  </si>
  <si>
    <t>MINIATURNÍ RELÉ PT, CÍVKA 230V AC</t>
  </si>
  <si>
    <t>PATICE, 4 PÓL.,6A</t>
  </si>
  <si>
    <t>OVLÁDAČ 3-POLOHOVY, S ARETACÍ ČERNÝ I-0-II, OTOČNÝ</t>
  </si>
  <si>
    <t>UPEVŇOVACÍ ADAPTÉR 3 POZICE</t>
  </si>
  <si>
    <t>ZAPÍNACÍ KONTAKT</t>
  </si>
  <si>
    <t>SVORKA ŘADOVÁ 0,5 - 4</t>
  </si>
  <si>
    <t>POJISTKOVÁ SVORKA</t>
  </si>
  <si>
    <t>POMOCNÝ MATERIÁL</t>
  </si>
  <si>
    <t>VÝROBA ROZVADĚČE</t>
  </si>
  <si>
    <t>kabel CYKY 5x1.5</t>
  </si>
  <si>
    <t>kabel CYKY 3x1.5</t>
  </si>
  <si>
    <t>kabel JYTY 4x1</t>
  </si>
  <si>
    <t>POKLÁDKA KABELŮ</t>
  </si>
  <si>
    <t>NAPOJENÍ  A OZNAČENÍ KABELŮ</t>
  </si>
  <si>
    <t>VODIČ CY6 ŽLUTOZEL.</t>
  </si>
  <si>
    <t>ŽLAB DRÁTĚNÝ MERKUR M2 150/50 VČETNĚ KONSTRUKČNÍCH DÍLŮ NA ZEĎ</t>
  </si>
  <si>
    <t>ŽLAB DRÁTĚNÝ MERKUR M2 50/50 VČETNĚ KONSTRUKČNÍCH DÍLŮ NA ZEĎ</t>
  </si>
  <si>
    <t>LIŠTA VKLÁDACÍ PVC 40x40</t>
  </si>
  <si>
    <t>LIŠTA VKLÁDACÍ PVC 20x20</t>
  </si>
  <si>
    <t>TRUBKA OHEBNÁ PVC P35</t>
  </si>
  <si>
    <t>DROBNÝ INSTALAČNÍ MATERIÁL</t>
  </si>
  <si>
    <t>MONTÁŽNÍ PRÁCE</t>
  </si>
  <si>
    <t>DOPRAVA</t>
  </si>
  <si>
    <t>REVIZE</t>
  </si>
  <si>
    <t>KOORDINACE, INŽENÝRSKÁ ČINNOST</t>
  </si>
  <si>
    <t>OŽIVENÍ A ZKUŠEBNÍ PROVOZ</t>
  </si>
  <si>
    <t>ZAŠKOLENÍ OBSLUHY</t>
  </si>
  <si>
    <t>PROJEKTOVÁ DOKUMENTACE (dílenské výkresy, DSPS)</t>
  </si>
  <si>
    <t>Splašková kanalizace - přeložka a nové přípojky</t>
  </si>
  <si>
    <t>Trubní vedení a zemní práce</t>
  </si>
  <si>
    <t>Výkop pro potrubí o š. 1,1 m a hloubce do 4,0 m  - těžitelnost dle IGP</t>
  </si>
  <si>
    <t>Pažení a rozepření rýh příložné - zřízení a následné odstranění (obě strany)</t>
  </si>
  <si>
    <t>Podsyp - písek</t>
  </si>
  <si>
    <t>Obsyp - štěrkopísek</t>
  </si>
  <si>
    <t>Zpětný zásyp výkopu štěrkem f64/32 - v komunikaci</t>
  </si>
  <si>
    <t>Odvoz přebytečného materiálu z výkopu</t>
  </si>
  <si>
    <t>PP UR2 DN 150; SN 10</t>
  </si>
  <si>
    <t>PP UR2 DN 200; SN 10</t>
  </si>
  <si>
    <t>PP UR2 DN 250; SN 10</t>
  </si>
  <si>
    <t>Betonové potrubí DN 500 - vystýlka 180°</t>
  </si>
  <si>
    <t>Šachty</t>
  </si>
  <si>
    <t>Šachta betonová DN 1000, prefabrikovaná</t>
  </si>
  <si>
    <t>Napojeno na stávající kanalizaci</t>
  </si>
  <si>
    <t>Poklop kanalizační - litinový - průměr 600 mm (D400)</t>
  </si>
  <si>
    <t>Uliční vpust, mříž litinová 500x500 mm</t>
  </si>
  <si>
    <t>Ostatní</t>
  </si>
  <si>
    <t>Stavební přípomoce a práce</t>
  </si>
  <si>
    <t>Komplexní zkoušky, zkušební provoz</t>
  </si>
  <si>
    <t>Dokumentace skutečného provedení</t>
  </si>
  <si>
    <t>Přeložka vodovodní přípojky</t>
  </si>
  <si>
    <t>Výkop pro potrubí o š. 1,1 m a hloubce do 1,5 m  - těžitelnost dle IGP</t>
  </si>
  <si>
    <t>Obsyp - písek</t>
  </si>
  <si>
    <t>Zpětný zásyp výkopkem - zhutnitelným</t>
  </si>
  <si>
    <t>PE 100, SDR 11, 40x3,7 mm, potrubí pro pitnou vodu</t>
  </si>
  <si>
    <t>Signalizační vodič</t>
  </si>
  <si>
    <t>Výstražná fólie</t>
  </si>
  <si>
    <t>Osazení šachty a hydrantu</t>
  </si>
  <si>
    <t>Vodoměrná šachta 1,5 x 1,0 m, vnitřní výška 1,5 m. Šachta betonová prefabrikovaná</t>
  </si>
  <si>
    <t>Výkop pro vodoměrnou šachtu</t>
  </si>
  <si>
    <t>Podkladní štěrk 15 cm pro osazení šachty, zhutněný</t>
  </si>
  <si>
    <t>Poklop šachty</t>
  </si>
  <si>
    <t>Nadzemní hydrant DN 80</t>
  </si>
  <si>
    <t>Přírubový T-kus DN 80/80</t>
  </si>
  <si>
    <t>Přírubové koleno DN 50 s patkou</t>
  </si>
  <si>
    <t>FF kus DN 80 - 200 mm</t>
  </si>
  <si>
    <t>Napojení na stávající část přípojky - předpoklad PE 90 - lemový kroužek a příruba DN 80</t>
  </si>
  <si>
    <t>X příruba DN 80 s závitem 5/4"</t>
  </si>
  <si>
    <t>Vodoměrná sestava DN 32</t>
  </si>
  <si>
    <t>Areálová dešťová kanalizace</t>
  </si>
  <si>
    <t>Zdravotně technické instalace-kanalizace</t>
  </si>
  <si>
    <t>Demontáž - Potrubí kameninové do DN 250, vč. tvarovek, ekologické likvidace, výkopů a uvedení do původního stavu</t>
  </si>
  <si>
    <t>Demontáž - Betonová uliční vpusť s kalovým košem a uliční vtokovou litinovou mříží D 400 - demontáž včetně potrubí,výkopů, příslušenství a ekologické</t>
  </si>
  <si>
    <t>Demontáž - Dešťového vtoku - demontáž včetně potrubí, příslušenství, výkopů a ekologické likvidace</t>
  </si>
  <si>
    <t>Hloubení rýh šířky do 1000 mm pro odstraněné potrubí, včetně hutněného zasypání výkopu</t>
  </si>
  <si>
    <t>Hloubení rýh šířky do 1000 mm pro nové potrubí, včetně hutněného zasypání výkopu</t>
  </si>
  <si>
    <t>Zemní výstražná fólie</t>
  </si>
  <si>
    <t>Signalizační (propojovací) vodič CYKY 6x6 mm</t>
  </si>
  <si>
    <t>Stavební drenáž včetně obsypu</t>
  </si>
  <si>
    <t>Montážní jáma pro kanalizační šachty 1500x1500x2000 mm, včetně pažení</t>
  </si>
  <si>
    <t>Montážní jáma pro akumulační nádrž 8000x3500x3200 mm, včetně pažení</t>
  </si>
  <si>
    <t>Zhutněný zásyp - kamenivo frakce 8/16 hutněné po vrstvách tl. cca 150 mm</t>
  </si>
  <si>
    <t>Štěrkový podsyp tloušťky 200 mm</t>
  </si>
  <si>
    <t>D+M - Ležaté potrubí PVC-KG DN 125 (127x3,2 mm)</t>
  </si>
  <si>
    <t>D+M - Ležaté potrubí PVC-KG DN 160 (182x4,0 mm)</t>
  </si>
  <si>
    <t>D+M - Ležaté potrubí PVC-KG DN 200 (200x4,9 mm)</t>
  </si>
  <si>
    <t>D+M - Plastová revizní šachta DŠ01 až DŠ05 O 425 s litinovým poklopem A15 a betonovým prstencem, včetně příslušenství, betonáže, osazení, montáže a ze</t>
  </si>
  <si>
    <t>D+M - Plastová revizní šachta DŠ06 O 600 s litinovým poklopem A15 a betonovým prstencem, včetně příslušenství, betonáže, osazení, montáže a zemních pr</t>
  </si>
  <si>
    <t>D+M - Regulátor průtoku DN 160, výška hladiny 0,5-1m / 1-3 l/s</t>
  </si>
  <si>
    <t>D+M - Lapač střešních splavenin DN110/125 s pohledovými díly z litiny, s kloubem na odtoku</t>
  </si>
  <si>
    <t>D+M - Žlab 100/110 s pozinkovaným můstkovým roštem A 15, délky 1,0 m</t>
  </si>
  <si>
    <t>D+M - Žlab 100/110 s pozinkovaným můstkovým roštem A 15, délky 0,5 m</t>
  </si>
  <si>
    <t>D+M - Vpusť 100 s pozinkovaným můstkovým roštem A 15, délky 0,5 m</t>
  </si>
  <si>
    <t>D+M - Čelo plné 100/110</t>
  </si>
  <si>
    <t>D+M - Systém úpravny dešťové vody, včetně příslušenství, armatur, vystrojení, potrubí a kabelu dle PD. Systém obsahuje: Nádrž s výškově nastavitelným</t>
  </si>
  <si>
    <t>D+M - Automatická tlaková stanice s řídící jednotkou včetně hladinových sond H 40, řídící jednotka s připojovací hadicí pro vstup pitné vody, s kulový</t>
  </si>
  <si>
    <t>Benon C20/25 pro vložení liniových žlabů</t>
  </si>
  <si>
    <t>Podkladní betonová deska a štěrkopískový podsysp pod nádrž</t>
  </si>
  <si>
    <t>Tlaková zkouška potrubí do DN 250</t>
  </si>
  <si>
    <t>Pročištění potrubí do DN 250</t>
  </si>
  <si>
    <t>Zkouška těsnosti kanalizačního potrubí do DN 250</t>
  </si>
  <si>
    <t>Napojení na stávající potrubí vč. utěsnění</t>
  </si>
  <si>
    <t>Instalace systému úpravy dešťové vody včetně, uvedení do provozu, zaškolení obsluhy, práce technika, dopravní náklady balné a manipulace</t>
  </si>
  <si>
    <t>Geodetické zaměření skutečného provedení s polohopisem</t>
  </si>
  <si>
    <t>Vedlejší rozpočtové náklady</t>
  </si>
  <si>
    <t>Všeobecné konstrukce a práce</t>
  </si>
  <si>
    <t>Kompletační činnost</t>
  </si>
  <si>
    <t>Zařízení staveniště</t>
  </si>
  <si>
    <t>Provozní a územní vlivy</t>
  </si>
  <si>
    <t>Koordinační činnost</t>
  </si>
  <si>
    <t>Dokumentace dílenská a výrobní</t>
  </si>
  <si>
    <t>Doba výstavby:</t>
  </si>
  <si>
    <t>Začátek výstavby:</t>
  </si>
  <si>
    <t>Konec výstavby:</t>
  </si>
  <si>
    <t>Zpracováno dne:</t>
  </si>
  <si>
    <t>Objednatel:</t>
  </si>
  <si>
    <t>Projektant:</t>
  </si>
  <si>
    <t>Zhotovitel:</t>
  </si>
  <si>
    <t>Zpracoval:</t>
  </si>
  <si>
    <t> </t>
  </si>
  <si>
    <t>MJ</t>
  </si>
  <si>
    <t>kus</t>
  </si>
  <si>
    <t>m3</t>
  </si>
  <si>
    <t>m</t>
  </si>
  <si>
    <t>m2</t>
  </si>
  <si>
    <t>t</t>
  </si>
  <si>
    <t>h</t>
  </si>
  <si>
    <t>kpl</t>
  </si>
  <si>
    <t>hod</t>
  </si>
  <si>
    <t>kg</t>
  </si>
  <si>
    <t>sada</t>
  </si>
  <si>
    <t>ks</t>
  </si>
  <si>
    <t>KS</t>
  </si>
  <si>
    <t>100 kus</t>
  </si>
  <si>
    <t>bm</t>
  </si>
  <si>
    <t>soub</t>
  </si>
  <si>
    <t>soubor</t>
  </si>
  <si>
    <t>Množství</t>
  </si>
  <si>
    <t>Cena/MJ</t>
  </si>
  <si>
    <t>(Kč)</t>
  </si>
  <si>
    <t>Náklady (Kč)</t>
  </si>
  <si>
    <t>Celkem</t>
  </si>
  <si>
    <t>Cenová</t>
  </si>
  <si>
    <t>soustava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</si>
  <si>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</si>
  <si>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</si>
  <si>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</si>
  <si>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</si>
  <si>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</si>
  <si>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</si>
  <si>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</si>
  <si>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</si>
  <si>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</si>
  <si>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</si>
  <si>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 01</t>
  </si>
  <si>
    <t>SO 02</t>
  </si>
  <si>
    <t>SO 03</t>
  </si>
  <si>
    <t>SO 04</t>
  </si>
  <si>
    <t>SO 05</t>
  </si>
  <si>
    <t>SO 06</t>
  </si>
  <si>
    <t>VRN</t>
  </si>
  <si>
    <t>11_</t>
  </si>
  <si>
    <t>12_</t>
  </si>
  <si>
    <t>13_</t>
  </si>
  <si>
    <t>16_</t>
  </si>
  <si>
    <t>17_</t>
  </si>
  <si>
    <t>19_</t>
  </si>
  <si>
    <t>21_</t>
  </si>
  <si>
    <t>27_</t>
  </si>
  <si>
    <t>3_</t>
  </si>
  <si>
    <t>31_</t>
  </si>
  <si>
    <t>34_</t>
  </si>
  <si>
    <t>41_</t>
  </si>
  <si>
    <t>61_</t>
  </si>
  <si>
    <t>62_</t>
  </si>
  <si>
    <t>63_</t>
  </si>
  <si>
    <t>90_</t>
  </si>
  <si>
    <t>94_</t>
  </si>
  <si>
    <t>95_</t>
  </si>
  <si>
    <t>96_</t>
  </si>
  <si>
    <t>97_</t>
  </si>
  <si>
    <t>S_</t>
  </si>
  <si>
    <t>98_</t>
  </si>
  <si>
    <t>H99_</t>
  </si>
  <si>
    <t>711_</t>
  </si>
  <si>
    <t>712_</t>
  </si>
  <si>
    <t>713_</t>
  </si>
  <si>
    <t>721_</t>
  </si>
  <si>
    <t>722_</t>
  </si>
  <si>
    <t>728_</t>
  </si>
  <si>
    <t>731_</t>
  </si>
  <si>
    <t>762_</t>
  </si>
  <si>
    <t>764_</t>
  </si>
  <si>
    <t>766_</t>
  </si>
  <si>
    <t>767_</t>
  </si>
  <si>
    <t>771_</t>
  </si>
  <si>
    <t>776_</t>
  </si>
  <si>
    <t>777_</t>
  </si>
  <si>
    <t>781_</t>
  </si>
  <si>
    <t>784_</t>
  </si>
  <si>
    <t>786_</t>
  </si>
  <si>
    <t>791_</t>
  </si>
  <si>
    <t>M21_</t>
  </si>
  <si>
    <t>M21+2_</t>
  </si>
  <si>
    <t>M33_</t>
  </si>
  <si>
    <t>M43_</t>
  </si>
  <si>
    <t>57_</t>
  </si>
  <si>
    <t>59_</t>
  </si>
  <si>
    <t>91_</t>
  </si>
  <si>
    <t>H22_</t>
  </si>
  <si>
    <t>M22_</t>
  </si>
  <si>
    <t>721-1_</t>
  </si>
  <si>
    <t>721-2_</t>
  </si>
  <si>
    <t>721-3_</t>
  </si>
  <si>
    <t>721-_</t>
  </si>
  <si>
    <t>0_</t>
  </si>
  <si>
    <t>SO 01_1_</t>
  </si>
  <si>
    <t>SO 01_2_</t>
  </si>
  <si>
    <t>SO 01_3_</t>
  </si>
  <si>
    <t>SO 01_4_</t>
  </si>
  <si>
    <t>SO 01_6_</t>
  </si>
  <si>
    <t>SO 01_9_</t>
  </si>
  <si>
    <t>SO 01_71_</t>
  </si>
  <si>
    <t>SO 01_72_</t>
  </si>
  <si>
    <t>SO 01_73_</t>
  </si>
  <si>
    <t>SO 01_76_</t>
  </si>
  <si>
    <t>SO 01_77_</t>
  </si>
  <si>
    <t>SO 01_78_</t>
  </si>
  <si>
    <t>SO 01_79_</t>
  </si>
  <si>
    <t>SO 02_1_</t>
  </si>
  <si>
    <t>SO 02_5_</t>
  </si>
  <si>
    <t>SO 02_9_</t>
  </si>
  <si>
    <t>SO 03_73_</t>
  </si>
  <si>
    <t>SO 03_9_</t>
  </si>
  <si>
    <t>SO 04_72_</t>
  </si>
  <si>
    <t>SO 05_72_</t>
  </si>
  <si>
    <t>SO 06_72_</t>
  </si>
  <si>
    <t>VRN_0_</t>
  </si>
  <si>
    <t>SO 01_</t>
  </si>
  <si>
    <t>SO 02_</t>
  </si>
  <si>
    <t>SO 03_</t>
  </si>
  <si>
    <t>SO 04_</t>
  </si>
  <si>
    <t>SO 05_</t>
  </si>
  <si>
    <t>SO 06_</t>
  </si>
  <si>
    <t>VRN_</t>
  </si>
  <si>
    <t>MAT</t>
  </si>
  <si>
    <t>WORK</t>
  </si>
  <si>
    <t>CELK</t>
  </si>
  <si>
    <t>Slepý stavební rozpočet - rekapitulace</t>
  </si>
  <si>
    <t>Objekt</t>
  </si>
  <si>
    <t>Zkrácený popis</t>
  </si>
  <si>
    <t>Celkem:</t>
  </si>
  <si>
    <t>Náklady (Kč) - celkem</t>
  </si>
  <si>
    <t>F</t>
  </si>
  <si>
    <t>T</t>
  </si>
  <si>
    <t>Výkaz výměr</t>
  </si>
  <si>
    <t>1   </t>
  </si>
  <si>
    <t>2   </t>
  </si>
  <si>
    <t>50   </t>
  </si>
  <si>
    <t>(37,55+42,95+16,21+31,06)*0,1   </t>
  </si>
  <si>
    <t>(6,7*22,54+33,09*4,25+9,55*21,145)*0,2   </t>
  </si>
  <si>
    <t>(6,7*22,54+33,09*4,25+9,55*21,145)*1,65/2   </t>
  </si>
  <si>
    <t>(37,55+42,95+16,21)*0,33+31,06*0,9   </t>
  </si>
  <si>
    <t>(2,35+2,2*2)*0,6*0,7+(6,25*0,55*1,3)+(0,45*0,5*1,0)   </t>
  </si>
  <si>
    <t>(0,47*0,5*0,7)+(0,5*0,5*1,5)+(0,5*0,5*1,2)+(2,35+8,945+21,145+1,9+1,9+8,445)*0,5*0,9+(8,6*0,4*1,1)*2   </t>
  </si>
  <si>
    <t>(5,81*0,5*1,1)+(0,525*0,4*1,0)+(2,7*0,4*1,45)   </t>
  </si>
  <si>
    <t>-41,016/2   </t>
  </si>
  <si>
    <t>20,508   </t>
  </si>
  <si>
    <t>(18,44+4,1+1,2+4,625+9,12)*1,1*0,7+(1,1*0,3*0,3)*3+(1,1*0,6*0,65)+(2,45+2,4*3)*0,77*0,7   </t>
  </si>
  <si>
    <t>(3,6*0,7*0,7)+(1,8*0,9*1,3)+(0,9+1,2)*0,75*0,7   </t>
  </si>
  <si>
    <t>(8,6*1,2*1,1)+(4,625*0,7*0,7)   </t>
  </si>
  <si>
    <t>-53,38155/2   </t>
  </si>
  <si>
    <t>26,69077   </t>
  </si>
  <si>
    <t>(1,2*1,6*0,7)*3/2+(1,4*1,1*0,7)*3/2+(3,3*4,06*1,85)/2   </t>
  </si>
  <si>
    <t>30,521+1,5336   </t>
  </si>
  <si>
    <t>407,20783*2+59,8683+20,508*2+26,69077*2+16,02615*2-32,0546   </t>
  </si>
  <si>
    <t>32,0546   </t>
  </si>
  <si>
    <t>968,6792   </t>
  </si>
  <si>
    <t>24,786-15,615+21,35   </t>
  </si>
  <si>
    <t>(4,15+1,12*2)*0,3*0,8   </t>
  </si>
  <si>
    <t>22   </t>
  </si>
  <si>
    <t>(5,81*3,6+2,9*1,4+4,625*4,045+4,625*2,875+13,47*6,25+2,35*1,1+2,2*1,1*3+2,45*0,45+2,4*0,45*3)   </t>
  </si>
  <si>
    <t>(5,81*3,6+2,9*1,4+4,625*4,045+4,625*2,875+13,47*6,25+2,35*1,1+2,2*1,1*3+2,45*0,45+2,4*0,45*3)*0,15   </t>
  </si>
  <si>
    <t>(4,8*6,67-2,65*3,46+20,445*8,77+2,465*4,25+8,65*4,25+11,445*4,27)*0,15   </t>
  </si>
  <si>
    <t>2,7*3,91*0,1   </t>
  </si>
  <si>
    <t>3,0*3,0*0,1   </t>
  </si>
  <si>
    <t>2,55*3,31*0,3   </t>
  </si>
  <si>
    <t>(4,8+6,67+20,445+8,77+4,25+4,27+8,65+11,445)*2*0,15   </t>
  </si>
  <si>
    <t>(2,55+3,31)*2*0,3   </t>
  </si>
  <si>
    <t>20,79   </t>
  </si>
  <si>
    <t>3,516   </t>
  </si>
  <si>
    <t>2,55*3,31*1,25*0,0054   </t>
  </si>
  <si>
    <t>(4,8*6,67-2,65*3,46+20,445*8,77+2,465*4,25+8,65*4,25+11,445*4,27)*2*1,25*0,0054   </t>
  </si>
  <si>
    <t>(2,35+2,2*2)*0,6*0,7+(3,6*0,7*0,7)+(1,8*0,9*1,3)+(6,25*0,55*1,3)+(0,9+1,2)*0,75*0,7+(0,45*0,5*1,0)   </t>
  </si>
  <si>
    <t>(8,6*1,2*1,1)+(5,81*0,5*1,1)+(4,625*0,7*0,7)+(0,525*0,4*1,0)+(2,7*0,4*1,45)   </t>
  </si>
  <si>
    <t>30,0   </t>
  </si>
  <si>
    <t>1+1   </t>
  </si>
  <si>
    <t>(5,81+8,65+8,6*2)*1,1   </t>
  </si>
  <si>
    <t>0,5*1,0+0,5*1,5+(3,46+2,7)*1,75   </t>
  </si>
  <si>
    <t>(1,2*1,6*0,7)*3+(1,4*1,1*0,7)*3   </t>
  </si>
  <si>
    <t>(2,71+2,55)*2*0,3*1,2   </t>
  </si>
  <si>
    <t>(2,55+3,31)*2*1,2+(2,71+1,9)*2*1,2   </t>
  </si>
  <si>
    <t>3,7872*0,15   </t>
  </si>
  <si>
    <t>12,409   </t>
  </si>
  <si>
    <t>(4,75+9,37)*2*3,0-1,1*2,4-1,25*2,25-2,0*2,4-1,2*2,1-1,325*2,4-1,4*2,3   </t>
  </si>
  <si>
    <t>(3,01+1,9)*3,3-1,1*2,1+(6,0+8,57)*3,25-1,1*2,4-0,6*0,6*5+(8,95*3,3)   </t>
  </si>
  <si>
    <t>(4,75+9,37)*2*2,56-0,6*0,6-1,1*2,2-2,0*2,2-1,2*2,25   </t>
  </si>
  <si>
    <t>(3,01+1,9)*2,56-(1,4*2,3)+(12,54*2+9,74*3)*2,56-(1,5*1,5)*7-(1,415*1,5)-(0,6*0,6)*2-(1,5*2,56)*2   </t>
  </si>
  <si>
    <t>(5,45*2+8,57)*3,0-1,325*2,4-1,4*2,3-1,3*2,1*2+0,55*3,0   </t>
  </si>
  <si>
    <t>(1,325*3,1*0,41)*2+(1,2*1,0*0,505)*3+(1,5*1,5*0,55)   </t>
  </si>
  <si>
    <t>14+16   </t>
  </si>
  <si>
    <t>1+5   </t>
  </si>
  <si>
    <t>4*(5+3)   </t>
  </si>
  <si>
    <t>4*(1+1)   </t>
  </si>
  <si>
    <t>3*(2)   </t>
  </si>
  <si>
    <t>4*(2+1)   </t>
  </si>
  <si>
    <t>3*(2+1)   </t>
  </si>
  <si>
    <t>14,4*0,4*0,14+1,3*0,6*0,14   </t>
  </si>
  <si>
    <t>1,25*(14+16+1+5)   </t>
  </si>
  <si>
    <t>(4,75+9,27)*2*0,3*0,3+(3,01+1,9+6,0+8,57+8,95)*0,3*0,3   </t>
  </si>
  <si>
    <t>(4,75*2+9,37*2+3,01+1,9+12,54*2+9,74*3)*0,3*0,3+(5,45*2+8,57+0,55)*0,25*0,25   </t>
  </si>
  <si>
    <t>(4,75*2+9,27*2+3,01+1,9+6,0+3,57+8,95)*0,45*2   </t>
  </si>
  <si>
    <t>(4,75*2+9,37*2+3,01+1,9+12,54*2+9,74*3)*0,45*2+(5,45*2+8,57+0,55)*0,4*2   </t>
  </si>
  <si>
    <t>141,044   </t>
  </si>
  <si>
    <t>14,20405*0,15   </t>
  </si>
  <si>
    <t>0,9825   </t>
  </si>
  <si>
    <t>(4,415+3,0)*3,16-1,0*2,02   </t>
  </si>
  <si>
    <t>(6,44*2+5,45*2+4,585)*2,74-1,2*2,02*5   </t>
  </si>
  <si>
    <t>(3,65*2+1,5+2,25)*3,5-1,0*2,02*5-1,3*2,1   </t>
  </si>
  <si>
    <t>(4,27*3+2,5+2,76+4,25*2+2,0+2,01+3,83+1,5+3,035)*3,25-0,9*2,02*5-0,8*2,02-0,7*2,02*2-1,1*2,02*2   </t>
  </si>
  <si>
    <t>(2,8*3+2,9+4,45*2+1,615*2+2,01+1,62*2+2,3*2+4,23+7,2+2,9*2+1,2)*2,74-1,2*2,02-1,1*2,02*2-1,0*2,02*2   </t>
  </si>
  <si>
    <t>-0,9*2,02*2-0,8*2,02*2-0,7*2,02*6   </t>
  </si>
  <si>
    <t>(2,55+3,46)*1,35   </t>
  </si>
  <si>
    <t>1,58*2+0,5*2   </t>
  </si>
  <si>
    <t>3,0*2   </t>
  </si>
  <si>
    <t>3,2*3+3,2*1+3,2*1+3,2*3+3,2*1   </t>
  </si>
  <si>
    <t>4   </t>
  </si>
  <si>
    <t>5   </t>
  </si>
  <si>
    <t>(4,415+3,0+6,44*2+5,45*2+4,585)   </t>
  </si>
  <si>
    <t>(3,65*2+1,5+2,25+4,27*3+2,5+2,76+4,25*2+2,0+2,01+3,83+1,5+3,035)   </t>
  </si>
  <si>
    <t>(2,8*3+2,9+4,45*2+1,615*2+2,01+1,62*2+2,3*2+4,23+7,2+2,9*2+1,2)   </t>
  </si>
  <si>
    <t>6*3,5+10*3,25+17*2,74   </t>
  </si>
  <si>
    <t>6*3,5+8*3,25+22*2,74   </t>
  </si>
  <si>
    <t>14,4*1,2+1,3*1,6+1,6*0,5   </t>
  </si>
  <si>
    <t>2,15*2,2*2+(0,75+0,3)*2*2,94   </t>
  </si>
  <si>
    <t>(1,5*2+2,22)*2,1+(0,9+1,5+0,9*3+0,9*3)*2,2   </t>
  </si>
  <si>
    <t>(1,3+1,15+1,0+1,8+2,68)*2,1+(1,485+1,45)*1,8+(1,1*1,6)+(1,0+0,9+0,9*2+1,8*2)*2,2   </t>
  </si>
  <si>
    <t>137,485   </t>
  </si>
  <si>
    <t>23,24   </t>
  </si>
  <si>
    <t>5,4+2,49+2,04+2,29+2,78+4,84+6,03+1,32+1,38+9,66+3,35+1,97+3,92+3,92+3,21+1,97+3,1+1,39+1,4   </t>
  </si>
  <si>
    <t>1,26+1,39+1,4+1,26   </t>
  </si>
  <si>
    <t>25,74+128,74   </t>
  </si>
  <si>
    <t>4,75*9,97-2,71*1,9+12,4*9,79   </t>
  </si>
  <si>
    <t>4,75*9,89+12,49*9,74-2,71*1,9   </t>
  </si>
  <si>
    <t>3,31*2,5   </t>
  </si>
  <si>
    <t>188,4   </t>
  </si>
  <si>
    <t>192,8   </t>
  </si>
  <si>
    <t>33,95   </t>
  </si>
  <si>
    <t>108,55+75,95   </t>
  </si>
  <si>
    <t>10,65   </t>
  </si>
  <si>
    <t>4,5*15+4,415+1,8*12+5,52+6,42+6,51+6,05+5,9*2+6,8+6,0+4,92+20,625   </t>
  </si>
  <si>
    <t>2,25*15+5,83+0,36*12+2,431+4,42+3,483+3,0+2,64*2+4,8+2,88+1,809+9,0+6,178*3+45,52   </t>
  </si>
  <si>
    <t>2,31*2*2+2,64*2*4+2,198*2   </t>
  </si>
  <si>
    <t>358,42   </t>
  </si>
  <si>
    <t>575,86-358,42   </t>
  </si>
  <si>
    <t>34,26+12,97+54,56+21,14+2,95+2,95+7,41+3,62+7,71+2,8+6,54+8,31+14,85+4,53+45,14+56,48+73,94   </t>
  </si>
  <si>
    <t>30,41+8,65+27,33+5,68+18,58+14,61+18,26+29,59+14,16+9,12+12,52+2,29+9,2+9,74+5,56   </t>
  </si>
  <si>
    <t>4,74*2*5+4,74*2*3+4,84*2*5+4,94*2*5+4,94*2*2+5,04*2*3+5,04*2*5+5,04*2+5,14*2*4   </t>
  </si>
  <si>
    <t>5,3*2*2+5,24*2*9+5,24*2+5,9*2*4+4,465*2   </t>
  </si>
  <si>
    <t>45   </t>
  </si>
  <si>
    <t>71,165-8,1+21,9+56,175-18,535+19,095-9,44+0,529+23,7+9,51-4,698+63,87-5,885   </t>
  </si>
  <si>
    <t>104,91-20,715+28,542-8,7+4,591+8,366+22,145-5,018   </t>
  </si>
  <si>
    <t>11,6*0,55+4,94*0,3+6,0*0,55+8,965*0,45+5,01*0,35+4,91*0,49+19,6*0,35+7,2*0,425   </t>
  </si>
  <si>
    <t>15,51*0,45+5,45*0,2   </t>
  </si>
  <si>
    <t>368,551   </t>
  </si>
  <si>
    <t>11,693*0,25+10,7*0,3+(5,75+13,925+12,26+39,515)*0,25+(11,0+6,68)*0,3   </t>
  </si>
  <si>
    <t>40,56-14,58+19,63-9,21+75,773-13,56+24,3-2,02+21,9-2,02+13,14-4,04+35,065+68,865-6,44   </t>
  </si>
  <si>
    <t>20,124-2,78+50,945-7,1+132,245-15,666+61,849-13,36+90,857-11,787   </t>
  </si>
  <si>
    <t>21,3-0,48+0,802+41,856+27,6-5,252+37,44-3,636+15,87+2,829*2+31,08-8,484+11,884+11,008-1,616+17,07   </t>
  </si>
  <si>
    <t>353,407+37,34515   </t>
  </si>
  <si>
    <t>202,1   </t>
  </si>
  <si>
    <t>18,075+28,35   </t>
  </si>
  <si>
    <t>23,05*7,23+10,32*7,96+8,69*3,25+15,745*1,83   </t>
  </si>
  <si>
    <t>10,17*7,36+8,92*4,8+5,0*6,615+5,0*3,21+8,82*1,65+6,15*6,615+9,245*3,53+8,92*1,25   </t>
  </si>
  <si>
    <t>(10,17+8,92+5,0+6,15+9,245)*0,9+23,05*0,25+10,32*0,15   </t>
  </si>
  <si>
    <t>9,245*3,36   </t>
  </si>
  <si>
    <t>56,48   </t>
  </si>
  <si>
    <t>3,0*3,0*0,12   </t>
  </si>
  <si>
    <t>11,8*0,085   </t>
  </si>
  <si>
    <t>45,14*(0,1+0,1)   </t>
  </si>
  <si>
    <t>198,08+45,14   </t>
  </si>
  <si>
    <t>11,8   </t>
  </si>
  <si>
    <t>116,6   </t>
  </si>
  <si>
    <t>89,78   </t>
  </si>
  <si>
    <t>129,94   </t>
  </si>
  <si>
    <t>47,57   </t>
  </si>
  <si>
    <t>41,56   </t>
  </si>
  <si>
    <t>75,156   </t>
  </si>
  <si>
    <t>8*4*10   </t>
  </si>
  <si>
    <t>46   </t>
  </si>
  <si>
    <t>15   </t>
  </si>
  <si>
    <t>7   </t>
  </si>
  <si>
    <t>(31,99+19,09)*2*8,43+(9,245+8,92)*4,45   </t>
  </si>
  <si>
    <t>942,04305*3   </t>
  </si>
  <si>
    <t>942,04305   </t>
  </si>
  <si>
    <t>47,57+41,56+129,94+9,74   </t>
  </si>
  <si>
    <t>89,72+198,08+45,14+116,6   </t>
  </si>
  <si>
    <t>2,31*2+2,64*4   </t>
  </si>
  <si>
    <t>87,78+198,08+45,14+11,8+116,6+47,57+41,56+129,94+9,74   </t>
  </si>
  <si>
    <t>120   </t>
  </si>
  <si>
    <t>(4,27+2,79*3+0,9*3+1,83+7,34+1,49)*3,0-1,414*4-1,818*2-2,02*2   </t>
  </si>
  <si>
    <t>(4,27+2,69*3+2,95+5,65+4,25+3,0+1,1)*2,59-1,414*7-1,818*2   </t>
  </si>
  <si>
    <t>1,15*2,59   </t>
  </si>
  <si>
    <t>(9,25+8,97+3,06+1,37)*1,57   </t>
  </si>
  <si>
    <t>9,74*1,35*0,36+(8,64+7,05)*0,37*0,33+9,97*0,65*0,2*2   </t>
  </si>
  <si>
    <t>(1,43+1,43+3,0)*0,49*0,35   </t>
  </si>
  <si>
    <t>8,95*0,905*0,35+8,95*0,675*0,35*2   </t>
  </si>
  <si>
    <t>1,37*2,58+1,2*1,0*3+1,43*3,1*2   </t>
  </si>
  <si>
    <t>9,215*0,458*1,2   </t>
  </si>
  <si>
    <t>1,2   </t>
  </si>
  <si>
    <t>6,0*1,1*0,25*8+6,25*1,1*0,25*8   </t>
  </si>
  <si>
    <t>37,55*0,1+31,06*0,12   </t>
  </si>
  <si>
    <t>75,038*0,07   </t>
  </si>
  <si>
    <t>42,95*0,035+(16,21+31,06)*0,03+67,96*0,065+9,11*0,04+17,41*0,035   </t>
  </si>
  <si>
    <t>75,038*(0,02+0,15)/2   </t>
  </si>
  <si>
    <t>42,95+16,21+9,11+17,41+13,2   </t>
  </si>
  <si>
    <t>42,95*0,035+16,21*0,03+17,41*0,035   </t>
  </si>
  <si>
    <t>1,78+19,57+18,5+3,1   </t>
  </si>
  <si>
    <t>6,77+2,52+5,08+1,84   </t>
  </si>
  <si>
    <t>5,65*1,5+2,465*0,25   </t>
  </si>
  <si>
    <t>2,75+2,71+2,85   </t>
  </si>
  <si>
    <t>4,255*2,465+1,1*2,465   </t>
  </si>
  <si>
    <t>75,038   </t>
  </si>
  <si>
    <t>(8,95*2,93+9,68*0,5)*0,1   </t>
  </si>
  <si>
    <t>7,7   </t>
  </si>
  <si>
    <t>(4,85+4,85)*0,35+5,5*0,3+9,0*0,49   </t>
  </si>
  <si>
    <t>0,1*3,0*17+(23,21+29,29)*0,1+6,33*0,125   </t>
  </si>
  <si>
    <t>18   </t>
  </si>
  <si>
    <t>(9,1+8,97+3,41)*1,57*0,75   </t>
  </si>
  <si>
    <t>(1,25+0,58+8,9+3,26)*1,1   </t>
  </si>
  <si>
    <t>1+10+6   </t>
  </si>
  <si>
    <t>9+10   </t>
  </si>
  <si>
    <t>1+1+1   </t>
  </si>
  <si>
    <t>1,145*0,6*2+0,56*0,6*6   </t>
  </si>
  <si>
    <t>0,9*2,115+1,165*1,47   </t>
  </si>
  <si>
    <t>1,5*1,5*6+1,465*1,5*2   </t>
  </si>
  <si>
    <t>0,7*2,02*4+0,9*2,02*3+1,0*2,02*2   </t>
  </si>
  <si>
    <t>0,7*2,02*7+0,9*2,02*3   </t>
  </si>
  <si>
    <t>1,45*2,1+0,99*2,1+1,15*2,1   </t>
  </si>
  <si>
    <t>2,39*2,585*3+3,0*4,275   </t>
  </si>
  <si>
    <t>8*4*4   </t>
  </si>
  <si>
    <t>2,2   </t>
  </si>
  <si>
    <t>4,3   </t>
  </si>
  <si>
    <t>5,6   </t>
  </si>
  <si>
    <t>8,4   </t>
  </si>
  <si>
    <t>3,5   </t>
  </si>
  <si>
    <t>8,7   </t>
  </si>
  <si>
    <t>3,0*17+2,92*2   </t>
  </si>
  <si>
    <t>2,59*2   </t>
  </si>
  <si>
    <t>2,4*2   </t>
  </si>
  <si>
    <t>0,95*2+0,88+(1,2+0,9*2+1,145+1,8*2)*2   </t>
  </si>
  <si>
    <t>1,8*2+1,35*2+0,37*4+0,65*2   </t>
  </si>
  <si>
    <t>8,95*8+(0,55+0,5+1,2+0,68)*2+1,2*2   </t>
  </si>
  <si>
    <t>(2,26+4,67+0,5+2,75)*2   </t>
  </si>
  <si>
    <t>2+3   </t>
  </si>
  <si>
    <t>0,88*0,95*0,35   </t>
  </si>
  <si>
    <t>1,2*0,9*0,55+1,145*1,8*0,55   </t>
  </si>
  <si>
    <t>0,8*2,05*0,35+1,2*2,15*0,3+0,8*2,05*0,35   </t>
  </si>
  <si>
    <t>3,0*3,0*0,49   </t>
  </si>
  <si>
    <t>88,92   </t>
  </si>
  <si>
    <t>17,6   </t>
  </si>
  <si>
    <t>1,2*2   </t>
  </si>
  <si>
    <t>0,45   </t>
  </si>
  <si>
    <t>30   </t>
  </si>
  <si>
    <t>271,51+86,91   </t>
  </si>
  <si>
    <t>2,65*3,0-2,415+12,435*5,95-3,483+4,795*3,0-1,818+48,36*3,0-10,643   </t>
  </si>
  <si>
    <t>41,14*5,57-8,866+33,46*3,0-22,135   </t>
  </si>
  <si>
    <t>(4,24+11,1+4,27+4,25+8,45+4,25+6,55+3,69+3,175)*2,59-12,356   </t>
  </si>
  <si>
    <t>(5,315+2,345+1,76*3+4,465+6,53+4,5*3+5,4)*0,25   </t>
  </si>
  <si>
    <t>(3,2*3+7,63*2)*0,2+(7,56*3+11,55+5,13)*0,4   </t>
  </si>
  <si>
    <t>(2,345+1,76*3+4,465+4,5*3+4,105)*0,25+6,1*0,35+4,98*0,35   </t>
  </si>
  <si>
    <t>638,6523   </t>
  </si>
  <si>
    <t>42,7265   </t>
  </si>
  <si>
    <t>9,9*7,05-1,15*2,1-1,165*1,47   </t>
  </si>
  <si>
    <t>12,45*6,613-1,5*1,5*6-1,37*2,58   </t>
  </si>
  <si>
    <t>12,235*6,648-1,145*0,6*2-0,56*0,6*6-1,465*1,5*2-0,99*2,1-1,45*2,1   </t>
  </si>
  <si>
    <t>(1,37+0,1+1,37)*1,47+3,06*6,318   </t>
  </si>
  <si>
    <t>12,49*6,318-1,43*3,1*2-4,0*1,45   </t>
  </si>
  <si>
    <t>9,74*4,65-0,9*2,15-3,0*4,275   </t>
  </si>
  <si>
    <t>8,97*3,25-2,39*2,585*3   </t>
  </si>
  <si>
    <t>9,1*1,9+8,97*1,97-1,2*1,0*3+9,215*2,7   </t>
  </si>
  <si>
    <t>(638,6523+384,53813)/2   </t>
  </si>
  <si>
    <t>2,5*2,1   </t>
  </si>
  <si>
    <t>343,692/3   </t>
  </si>
  <si>
    <t>66,344+72,452+96,326+84,685+1,323+7,405+5,647+1,285+0,908+5,526+1,473+0,318   </t>
  </si>
  <si>
    <t>343,692*34   </t>
  </si>
  <si>
    <t>343,692   </t>
  </si>
  <si>
    <t>343,692*4   </t>
  </si>
  <si>
    <t>4,385+52,832+9,127   </t>
  </si>
  <si>
    <t>72,452   </t>
  </si>
  <si>
    <t>96,326   </t>
  </si>
  <si>
    <t>84,685   </t>
  </si>
  <si>
    <t>1,323   </t>
  </si>
  <si>
    <t>7,405   </t>
  </si>
  <si>
    <t>5,647   </t>
  </si>
  <si>
    <t>1,285   </t>
  </si>
  <si>
    <t>0,908   </t>
  </si>
  <si>
    <t>5,526   </t>
  </si>
  <si>
    <t>1,473   </t>
  </si>
  <si>
    <t>0,318   </t>
  </si>
  <si>
    <t>(4,0*1,47)*(1,0+1,2)   </t>
  </si>
  <si>
    <t>430,6377   </t>
  </si>
  <si>
    <t>9,357+521,27+51,029+157,368+76,507+152,244+89,79+40,749+105,824+21,097+0,029   </t>
  </si>
  <si>
    <t>(89,78+198,08+45,14)*1,1+116,6+(45,14*1,1)   </t>
  </si>
  <si>
    <t>2,7*3,91   </t>
  </si>
  <si>
    <t>76,14*0,5   </t>
  </si>
  <si>
    <t>(2,55+3,31)*2*1,6   </t>
  </si>
  <si>
    <t>(37,55+42,95+16,21)*2   </t>
  </si>
  <si>
    <t>67,96+9,11+17,41   </t>
  </si>
  <si>
    <t>137,676+135,103   </t>
  </si>
  <si>
    <t>16,21+17,41   </t>
  </si>
  <si>
    <t>33,724   </t>
  </si>
  <si>
    <t>37,55+42,95+16,21   </t>
  </si>
  <si>
    <t>8,685*8,64   </t>
  </si>
  <si>
    <t>31,06   </t>
  </si>
  <si>
    <t>(89,78+198,08+45,14)*1,1   </t>
  </si>
  <si>
    <t>10,557   </t>
  </si>
  <si>
    <t>38,07   </t>
  </si>
  <si>
    <t>18,752   </t>
  </si>
  <si>
    <t>333,0   </t>
  </si>
  <si>
    <t>6,0557   </t>
  </si>
  <si>
    <t>75,156+12,718   </t>
  </si>
  <si>
    <t>135,303+187,928+188,4   </t>
  </si>
  <si>
    <t>11,9*11,37   </t>
  </si>
  <si>
    <t>12,49*11,37+5,09*7,16+2,25*4,21   </t>
  </si>
  <si>
    <t>8,99*8,36   </t>
  </si>
  <si>
    <t>21,24*8,87   </t>
  </si>
  <si>
    <t>2,9*3,71+2,95*1,45/2   </t>
  </si>
  <si>
    <t>135,303+187,928+75,156*2+188,4+12,718*2   </t>
  </si>
  <si>
    <t>135,303+187,928   </t>
  </si>
  <si>
    <t>5,0832   </t>
  </si>
  <si>
    <t>(137,676+135,103)*2   </t>
  </si>
  <si>
    <t>47,57+41,56+129,94   </t>
  </si>
  <si>
    <t>219,07   </t>
  </si>
  <si>
    <t>;ztratné 5%; 10,9535   </t>
  </si>
  <si>
    <t>89,78+198,08+45,14   </t>
  </si>
  <si>
    <t>;ztratné 5%; 16,65   </t>
  </si>
  <si>
    <t>89,78+198,08+45,14+129,94   </t>
  </si>
  <si>
    <t>462,94*2   </t>
  </si>
  <si>
    <t>;ztratné 5%; 46,294   </t>
  </si>
  <si>
    <t>47,57+41,56   </t>
  </si>
  <si>
    <t>188,4*2   </t>
  </si>
  <si>
    <t>;ztratné 5%; 18,84   </t>
  </si>
  <si>
    <t>135,303*2+187,928*2   </t>
  </si>
  <si>
    <t>;ztratné 5%; 32,3231   </t>
  </si>
  <si>
    <t>75,156*2   </t>
  </si>
  <si>
    <t>;ztratné 5%; 7,5156   </t>
  </si>
  <si>
    <t>12,718   </t>
  </si>
  <si>
    <t>25,0953   </t>
  </si>
  <si>
    <t>3   </t>
  </si>
  <si>
    <t>140   </t>
  </si>
  <si>
    <t>12,31*12   </t>
  </si>
  <si>
    <t>(137,676+135,103)/2   </t>
  </si>
  <si>
    <t>12,25*0,7*2   </t>
  </si>
  <si>
    <t>20,3218   </t>
  </si>
  <si>
    <t>21,11   </t>
  </si>
  <si>
    <t>0,8*1,45+0,45*1,45+11,37*11,9+0,7*0,2*4   </t>
  </si>
  <si>
    <t>12,31*10,94+0,6*0,36*2   </t>
  </si>
  <si>
    <t>19,1   </t>
  </si>
  <si>
    <t>66   </t>
  </si>
  <si>
    <t>41,5   </t>
  </si>
  <si>
    <t>4,7   </t>
  </si>
  <si>
    <t>60   </t>
  </si>
  <si>
    <t>31   </t>
  </si>
  <si>
    <t>8,8   </t>
  </si>
  <si>
    <t>18,2   </t>
  </si>
  <si>
    <t>21,3   </t>
  </si>
  <si>
    <t>200   </t>
  </si>
  <si>
    <t>100   </t>
  </si>
  <si>
    <t>1,5*15+1,415*1+0,6*12+1,1*1+2,0*1+1,35*1+1,25*1   </t>
  </si>
  <si>
    <t>2,932   </t>
  </si>
  <si>
    <t>4,5*15+4,415*1+1,8*12+5,52*1+6,42*1+6,51*1+6,05*1+5,9*2+6,8*1+6,0*1+4,92*1+20,625*1   </t>
  </si>
  <si>
    <t>12   </t>
  </si>
  <si>
    <t>3+2   </t>
  </si>
  <si>
    <t>1+2   </t>
  </si>
  <si>
    <t>1+4   </t>
  </si>
  <si>
    <t>2+1   </t>
  </si>
  <si>
    <t>1+3   </t>
  </si>
  <si>
    <t>5+4   </t>
  </si>
  <si>
    <t>1,5*7+1,415*1+0,6*8+1,1*1+2,0*1+1,25*1   </t>
  </si>
  <si>
    <t>1,5*8+0,6*4+1,35*1   </t>
  </si>
  <si>
    <t>7,1167   </t>
  </si>
  <si>
    <t>5,3   </t>
  </si>
  <si>
    <t>23   </t>
  </si>
  <si>
    <t>21   </t>
  </si>
  <si>
    <t>150   </t>
  </si>
  <si>
    <t>6   </t>
  </si>
  <si>
    <t>10   </t>
  </si>
  <si>
    <t>16   </t>
  </si>
  <si>
    <t>3+1   </t>
  </si>
  <si>
    <t>9,9619   </t>
  </si>
  <si>
    <t>137,35   </t>
  </si>
  <si>
    <t>5,4+2,49+2,04+2,29+2,49+2,78+4,84+6,03+2,95+7,41+3,62+7,71+2,8+6,54+8,31+14,85+4,53+1,32+1,38   </t>
  </si>
  <si>
    <t>9,64+3,35+1,97+3,92+3,92+3,21+1,97+1,39+1,4+1,26+1,39+1,4+1,26+2,29+9,2   </t>
  </si>
  <si>
    <t>;ztratné 15%; 20,6025   </t>
  </si>
  <si>
    <t>9,74   </t>
  </si>
  <si>
    <t>24,14+9,55+7,06   </t>
  </si>
  <si>
    <t>40,75*0,1   </t>
  </si>
  <si>
    <t>;ztratné 25%; 1,01875   </t>
  </si>
  <si>
    <t>1,1+1,0*2+0,9   </t>
  </si>
  <si>
    <t>1,1*2+0,7*2+0,9*2+1,0*2   </t>
  </si>
  <si>
    <t>7,4+3,3+10,0+4,6+5,9+7,82+8,1+5,92+9,7+6,24+5,99+3,9+3,5   </t>
  </si>
  <si>
    <t>12,86+6,3+5,3+6,9+6,9+5,3+6,1+7,13+4,23+7,86+4,24+7,88+1,4   </t>
  </si>
  <si>
    <t>2,49+2,04+2,29+2,49+2,78+4,84+2,95+3,62+2,8+4,53+1,32+1,38   </t>
  </si>
  <si>
    <t>3,35+1,97+3,92+3,92+3,21+1,97+1,39+1,4+1,26+1,39+1,4+1,26+2,29   </t>
  </si>
  <si>
    <t>4,0428   </t>
  </si>
  <si>
    <t>369,58+45,14   </t>
  </si>
  <si>
    <t>414,72   </t>
  </si>
  <si>
    <t>16,665+37,13+8,025+27,44+20,54+19,72+8,62+20,98+15,45+17,43+20,95+14,19+12,62+12,8   </t>
  </si>
  <si>
    <t>37,55   </t>
  </si>
  <si>
    <t>25,72+24,27+11,31+6,66   </t>
  </si>
  <si>
    <t>34,26+25,74+128,74+9,34   </t>
  </si>
  <si>
    <t>8,65+27,23+5,68   </t>
  </si>
  <si>
    <t>28,58+14,61+18,26+29,59+14,16+9,12+12,52+3,1   </t>
  </si>
  <si>
    <t>369,58   </t>
  </si>
  <si>
    <t>;ztratné 15%; 55,437   </t>
  </si>
  <si>
    <t>45,14   </t>
  </si>
  <si>
    <t>;ztratné 15%; 6,771   </t>
  </si>
  <si>
    <t>2,5777   </t>
  </si>
  <si>
    <t>54,56+56,48+5,56   </t>
  </si>
  <si>
    <t>13,7+27,45+28,16   </t>
  </si>
  <si>
    <t>(2,71+1,9)*2*1,2   </t>
  </si>
  <si>
    <t>1,3569   </t>
  </si>
  <si>
    <t>(7,4+3,3+10,0+4,6+5,9+7,82+6,91+5,92+9,7+6,24+5,99+3,5+3,9)*0,3   </t>
  </si>
  <si>
    <t>(6,3+5,3+6,9+6,9+5,3+6,1+7,13+7,86+7,78+9,4)*0,3   </t>
  </si>
  <si>
    <t>(1,19+12,86+4,23+4,24)*2,1   </t>
  </si>
  <si>
    <t>181,79   </t>
  </si>
  <si>
    <t>;ztratné 5%; 9,0895   </t>
  </si>
  <si>
    <t>15,54+6,93+20,82+9,66+12,21+16,422+17,01+10,656+21,34+11,232+10,782+7,7+8,58   </t>
  </si>
  <si>
    <t>2,4*0,6+1,6*1,6   </t>
  </si>
  <si>
    <t>28,01+13,86+11,378+17,38+17,38+11,378+13,42+15,686+9,306+17,292+9,328+17,336+13,915   </t>
  </si>
  <si>
    <t>;ztratné 5%; 18,42755   </t>
  </si>
  <si>
    <t>7,4+3,3+10,0+4,6+5,9+7,82+8,1+5,92+9,7+6,24+5,99+3,5+3,9   </t>
  </si>
  <si>
    <t>12,86+6,3+5,3+6,9+6,9+5,3+6,1+7,13+4,23+7,86+4,24+7,88+18,42   </t>
  </si>
  <si>
    <t>1,2+1,2+1,2+1,2+4,84+5,04   </t>
  </si>
  <si>
    <t>3,74+3,74+1,54+1,54+9,4   </t>
  </si>
  <si>
    <t>7,841   </t>
  </si>
  <si>
    <t>575,86+390,752+552,69+202,1   </t>
  </si>
  <si>
    <t>117,77   </t>
  </si>
  <si>
    <t>67,77+50,0   </t>
  </si>
  <si>
    <t>0,85*3,1*6+0,825*3,1*5+0,65*3,1*1+1,725*0,65*2   </t>
  </si>
  <si>
    <t>0,8*1,4*13+0,35*1,4*13   </t>
  </si>
  <si>
    <t>0,715*1,4*1+0,35*1,4*1   </t>
  </si>
  <si>
    <t>1,1*2,111*1+1,03*2,11*1+0,62*2,11*1   </t>
  </si>
  <si>
    <t>0,1735   </t>
  </si>
  <si>
    <t>6242,72   </t>
  </si>
  <si>
    <t>6242,72*0,1   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</si>
  <si>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</si>
  <si>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</si>
  <si>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</si>
  <si>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</si>
  <si>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</si>
  <si>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</si>
  <si>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</si>
  <si>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</si>
  <si>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</si>
  <si>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</si>
  <si>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</si>
  <si>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</si>
  <si>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</si>
  <si>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</si>
  <si>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</si>
  <si>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</si>
  <si>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</si>
  <si>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</si>
  <si>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</si>
  <si>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</si>
  <si>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</si>
  <si>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</si>
  <si>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</si>
  <si>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</si>
  <si>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</si>
  <si>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</si>
  <si>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</si>
  <si>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</si>
  <si>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</si>
  <si>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</si>
  <si>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</si>
  <si>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</si>
  <si>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</si>
  <si>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</si>
  <si>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</si>
  <si>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</si>
  <si>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</si>
  <si>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</si>
  <si>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</si>
  <si>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</si>
  <si>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</si>
  <si>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</si>
  <si>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</si>
  <si>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</si>
  <si>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Zateplovací systém podhled v garáži -skladba PDL 8 (část výměry skladby)</t>
  </si>
  <si>
    <t>35711201R</t>
  </si>
  <si>
    <t>1217</t>
  </si>
  <si>
    <t>Ústředna EZS (třísmyčková, analogová, konfigurace, připojení na pult městské policie)</t>
  </si>
  <si>
    <t>Vodorovné přemístění výkopku z hor.1-4 do 35000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</si>
</sst>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4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4"/>
      <name val="Arial"/>
      <charset val="238"/>
    </font>
    <font>
      <b/>
      <sz val="10"/>
      <color indexed="56"/>
      <name val="Arial"/>
      <charset val="238"/>
    </font>
    <font>
      <sz val="10"/>
      <color indexed="59"/>
      <name val="Arial"/>
      <charset val="238"/>
    </font>
    <font>
      <i/>
      <sz val="9"/>
      <color indexed="61"/>
      <name val="Arial"/>
      <charset val="238"/>
    </font>
    <font>
      <i/>
      <sz val="9"/>
      <color indexed="62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10"/>
      <color indexed="12"/>
      <name val="Arial"/>
      <charset val="238"/>
    </font>
    <font>
      <sz val="10"/>
      <color indexed="6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9"/>
      </patternFill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1" fillId="0" borderId="0" xfId="0" applyFont="1" applyAlignment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5" fillId="3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9" fillId="2" borderId="7" xfId="0" applyNumberFormat="1" applyFont="1" applyFill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 applyProtection="1">
      <alignment horizontal="right" vertical="center"/>
    </xf>
    <xf numFmtId="49" fontId="10" fillId="3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49" fontId="9" fillId="2" borderId="0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21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9" fillId="2" borderId="7" xfId="0" applyNumberFormat="1" applyFont="1" applyFill="1" applyBorder="1" applyAlignment="1" applyProtection="1">
      <alignment horizontal="right" vertical="center"/>
    </xf>
    <xf numFmtId="4" fontId="10" fillId="3" borderId="0" xfId="0" applyNumberFormat="1" applyFont="1" applyFill="1" applyBorder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</xf>
    <xf numFmtId="49" fontId="3" fillId="0" borderId="22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3" fillId="0" borderId="2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10" fillId="3" borderId="7" xfId="0" applyNumberFormat="1" applyFont="1" applyFill="1" applyBorder="1" applyAlignment="1" applyProtection="1">
      <alignment horizontal="left" vertical="center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49" fontId="10" fillId="3" borderId="7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49" fontId="15" fillId="4" borderId="30" xfId="0" applyNumberFormat="1" applyFont="1" applyFill="1" applyBorder="1" applyAlignment="1" applyProtection="1">
      <alignment horizontal="center" vertical="center"/>
    </xf>
    <xf numFmtId="49" fontId="16" fillId="0" borderId="31" xfId="0" applyNumberFormat="1" applyFont="1" applyFill="1" applyBorder="1" applyAlignment="1" applyProtection="1">
      <alignment horizontal="left" vertical="center"/>
    </xf>
    <xf numFmtId="49" fontId="16" fillId="0" borderId="32" xfId="0" applyNumberFormat="1" applyFont="1" applyFill="1" applyBorder="1" applyAlignment="1" applyProtection="1">
      <alignment horizontal="left" vertical="center"/>
    </xf>
    <xf numFmtId="0" fontId="1" fillId="0" borderId="34" xfId="0" applyNumberFormat="1" applyFont="1" applyFill="1" applyBorder="1" applyAlignment="1" applyProtection="1">
      <alignment vertical="center"/>
    </xf>
    <xf numFmtId="49" fontId="8" fillId="0" borderId="7" xfId="0" applyNumberFormat="1" applyFont="1" applyFill="1" applyBorder="1" applyAlignment="1" applyProtection="1">
      <alignment horizontal="left" vertical="center"/>
    </xf>
    <xf numFmtId="49" fontId="17" fillId="0" borderId="3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28" xfId="0" applyNumberFormat="1" applyFont="1" applyFill="1" applyBorder="1" applyAlignment="1" applyProtection="1">
      <alignment vertical="center"/>
    </xf>
    <xf numFmtId="4" fontId="17" fillId="0" borderId="30" xfId="0" applyNumberFormat="1" applyFont="1" applyFill="1" applyBorder="1" applyAlignment="1" applyProtection="1">
      <alignment horizontal="right" vertical="center"/>
    </xf>
    <xf numFmtId="49" fontId="17" fillId="0" borderId="30" xfId="0" applyNumberFormat="1" applyFont="1" applyFill="1" applyBorder="1" applyAlignment="1" applyProtection="1">
      <alignment horizontal="right" vertical="center"/>
    </xf>
    <xf numFmtId="4" fontId="17" fillId="0" borderId="41" xfId="0" applyNumberFormat="1" applyFont="1" applyFill="1" applyBorder="1" applyAlignment="1" applyProtection="1">
      <alignment horizontal="righ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33" xfId="0" applyNumberFormat="1" applyFont="1" applyFill="1" applyBorder="1" applyAlignment="1" applyProtection="1">
      <alignment vertical="center"/>
    </xf>
    <xf numFmtId="4" fontId="16" fillId="4" borderId="3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left" vertical="center"/>
    </xf>
    <xf numFmtId="4" fontId="19" fillId="0" borderId="0" xfId="0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Fill="1" applyBorder="1" applyAlignment="1" applyProtection="1">
      <alignment horizontal="righ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vertical="center"/>
    </xf>
    <xf numFmtId="49" fontId="22" fillId="3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17" fillId="0" borderId="21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39" xfId="0" applyNumberFormat="1" applyFont="1" applyFill="1" applyBorder="1" applyAlignment="1" applyProtection="1">
      <alignment horizontal="left" vertical="center"/>
    </xf>
    <xf numFmtId="49" fontId="17" fillId="0" borderId="36" xfId="0" applyNumberFormat="1" applyFont="1" applyFill="1" applyBorder="1" applyAlignment="1" applyProtection="1">
      <alignment horizontal="left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40" xfId="0" applyNumberFormat="1" applyFont="1" applyFill="1" applyBorder="1" applyAlignment="1" applyProtection="1">
      <alignment horizontal="left" vertical="center"/>
    </xf>
    <xf numFmtId="49" fontId="16" fillId="4" borderId="33" xfId="0" applyNumberFormat="1" applyFont="1" applyFill="1" applyBorder="1" applyAlignment="1" applyProtection="1">
      <alignment horizontal="left" vertical="center"/>
    </xf>
    <xf numFmtId="0" fontId="16" fillId="4" borderId="29" xfId="0" applyNumberFormat="1" applyFont="1" applyFill="1" applyBorder="1" applyAlignment="1" applyProtection="1">
      <alignment horizontal="left" vertical="center"/>
    </xf>
    <xf numFmtId="49" fontId="17" fillId="0" borderId="35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7" fillId="0" borderId="38" xfId="0" applyNumberFormat="1" applyFont="1" applyFill="1" applyBorder="1" applyAlignment="1" applyProtection="1">
      <alignment horizontal="left" vertical="center"/>
    </xf>
    <xf numFmtId="49" fontId="16" fillId="0" borderId="33" xfId="0" applyNumberFormat="1" applyFont="1" applyFill="1" applyBorder="1" applyAlignment="1" applyProtection="1">
      <alignment horizontal="left" vertical="center"/>
    </xf>
    <xf numFmtId="0" fontId="16" fillId="0" borderId="37" xfId="0" applyNumberFormat="1" applyFont="1" applyFill="1" applyBorder="1" applyAlignment="1" applyProtection="1">
      <alignment horizontal="left" vertical="center"/>
    </xf>
    <xf numFmtId="49" fontId="17" fillId="0" borderId="33" xfId="0" applyNumberFormat="1" applyFont="1" applyFill="1" applyBorder="1" applyAlignment="1" applyProtection="1">
      <alignment horizontal="left" vertical="center"/>
    </xf>
    <xf numFmtId="0" fontId="17" fillId="0" borderId="37" xfId="0" applyNumberFormat="1" applyFont="1" applyFill="1" applyBorder="1" applyAlignment="1" applyProtection="1">
      <alignment horizontal="left" vertical="center"/>
    </xf>
    <xf numFmtId="49" fontId="14" fillId="0" borderId="29" xfId="0" applyNumberFormat="1" applyFont="1" applyFill="1" applyBorder="1" applyAlignment="1" applyProtection="1">
      <alignment horizontal="center" vertical="center"/>
    </xf>
    <xf numFmtId="0" fontId="14" fillId="0" borderId="29" xfId="0" applyNumberFormat="1" applyFont="1" applyFill="1" applyBorder="1" applyAlignment="1" applyProtection="1">
      <alignment horizontal="center" vertical="center"/>
    </xf>
    <xf numFmtId="49" fontId="18" fillId="0" borderId="33" xfId="0" applyNumberFormat="1" applyFont="1" applyFill="1" applyBorder="1" applyAlignment="1" applyProtection="1">
      <alignment horizontal="left" vertical="center"/>
    </xf>
    <xf numFmtId="0" fontId="18" fillId="0" borderId="37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4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0" fontId="1" fillId="0" borderId="2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49" fontId="1" fillId="0" borderId="18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left" vertical="center"/>
    </xf>
    <xf numFmtId="0" fontId="3" fillId="0" borderId="25" xfId="0" applyNumberFormat="1" applyFont="1" applyFill="1" applyBorder="1" applyAlignment="1" applyProtection="1">
      <alignment horizontal="left" vertical="center"/>
    </xf>
    <xf numFmtId="0" fontId="3" fillId="0" borderId="2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left"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3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49" fontId="9" fillId="2" borderId="7" xfId="0" applyNumberFormat="1" applyFont="1" applyFill="1" applyBorder="1" applyAlignment="1" applyProtection="1">
      <alignment horizontal="left" vertical="center"/>
    </xf>
    <xf numFmtId="0" fontId="9" fillId="2" borderId="7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0" fillId="3" borderId="7" xfId="0" applyNumberFormat="1" applyFont="1" applyFill="1" applyBorder="1" applyAlignment="1" applyProtection="1">
      <alignment horizontal="left" vertical="center"/>
    </xf>
    <xf numFmtId="0" fontId="10" fillId="3" borderId="7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C2" sqref="C2:D3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70"/>
      <c r="B1" s="53"/>
      <c r="C1" s="110" t="s">
        <v>4165</v>
      </c>
      <c r="D1" s="111"/>
      <c r="E1" s="111"/>
      <c r="F1" s="111"/>
      <c r="G1" s="111"/>
      <c r="H1" s="111"/>
      <c r="I1" s="111"/>
    </row>
    <row r="2" spans="1:10" x14ac:dyDescent="0.2">
      <c r="A2" s="112" t="s">
        <v>1</v>
      </c>
      <c r="B2" s="113"/>
      <c r="C2" s="114" t="str">
        <f>'Stavební rozpočet'!C2</f>
        <v>Rekonstrukce Denního stacionáře domovinky Hofmanova č.p.568, Jičín</v>
      </c>
      <c r="D2" s="115"/>
      <c r="E2" s="117" t="s">
        <v>3606</v>
      </c>
      <c r="F2" s="117" t="str">
        <f>'Stavební rozpočet'!H2</f>
        <v> </v>
      </c>
      <c r="G2" s="113"/>
      <c r="H2" s="117" t="s">
        <v>4188</v>
      </c>
      <c r="I2" s="118"/>
      <c r="J2" s="32"/>
    </row>
    <row r="3" spans="1:10" ht="25.7" customHeight="1" x14ac:dyDescent="0.2">
      <c r="A3" s="104"/>
      <c r="B3" s="81"/>
      <c r="C3" s="116"/>
      <c r="D3" s="116"/>
      <c r="E3" s="81"/>
      <c r="F3" s="81"/>
      <c r="G3" s="81"/>
      <c r="H3" s="81"/>
      <c r="I3" s="107"/>
      <c r="J3" s="32"/>
    </row>
    <row r="4" spans="1:10" x14ac:dyDescent="0.2">
      <c r="A4" s="103" t="s">
        <v>2</v>
      </c>
      <c r="B4" s="81"/>
      <c r="C4" s="80" t="str">
        <f>'Stavební rozpočet'!C4</f>
        <v xml:space="preserve"> </v>
      </c>
      <c r="D4" s="81"/>
      <c r="E4" s="80" t="s">
        <v>3607</v>
      </c>
      <c r="F4" s="80" t="str">
        <f>'Stavební rozpočet'!H4</f>
        <v> </v>
      </c>
      <c r="G4" s="81"/>
      <c r="H4" s="80" t="s">
        <v>4188</v>
      </c>
      <c r="I4" s="106"/>
      <c r="J4" s="32"/>
    </row>
    <row r="5" spans="1:10" x14ac:dyDescent="0.2">
      <c r="A5" s="104"/>
      <c r="B5" s="81"/>
      <c r="C5" s="81"/>
      <c r="D5" s="81"/>
      <c r="E5" s="81"/>
      <c r="F5" s="81"/>
      <c r="G5" s="81"/>
      <c r="H5" s="81"/>
      <c r="I5" s="107"/>
      <c r="J5" s="32"/>
    </row>
    <row r="6" spans="1:10" x14ac:dyDescent="0.2">
      <c r="A6" s="103" t="s">
        <v>3</v>
      </c>
      <c r="B6" s="81"/>
      <c r="C6" s="80" t="str">
        <f>'Stavební rozpočet'!C6</f>
        <v xml:space="preserve"> </v>
      </c>
      <c r="D6" s="81"/>
      <c r="E6" s="80" t="s">
        <v>3608</v>
      </c>
      <c r="F6" s="80" t="str">
        <f>'Stavební rozpočet'!H6</f>
        <v> </v>
      </c>
      <c r="G6" s="81"/>
      <c r="H6" s="80" t="s">
        <v>4188</v>
      </c>
      <c r="I6" s="106"/>
      <c r="J6" s="32"/>
    </row>
    <row r="7" spans="1:10" x14ac:dyDescent="0.2">
      <c r="A7" s="104"/>
      <c r="B7" s="81"/>
      <c r="C7" s="81"/>
      <c r="D7" s="81"/>
      <c r="E7" s="81"/>
      <c r="F7" s="81"/>
      <c r="G7" s="81"/>
      <c r="H7" s="81"/>
      <c r="I7" s="107"/>
      <c r="J7" s="32"/>
    </row>
    <row r="8" spans="1:10" x14ac:dyDescent="0.2">
      <c r="A8" s="103" t="s">
        <v>3603</v>
      </c>
      <c r="B8" s="81"/>
      <c r="C8" s="80"/>
      <c r="D8" s="81"/>
      <c r="E8" s="80" t="s">
        <v>3604</v>
      </c>
      <c r="F8" s="80"/>
      <c r="G8" s="81"/>
      <c r="H8" s="105" t="s">
        <v>4189</v>
      </c>
      <c r="I8" s="106" t="s">
        <v>1222</v>
      </c>
      <c r="J8" s="32"/>
    </row>
    <row r="9" spans="1:10" x14ac:dyDescent="0.2">
      <c r="A9" s="104"/>
      <c r="B9" s="81"/>
      <c r="C9" s="81"/>
      <c r="D9" s="81"/>
      <c r="E9" s="81"/>
      <c r="F9" s="81"/>
      <c r="G9" s="81"/>
      <c r="H9" s="81"/>
      <c r="I9" s="107"/>
      <c r="J9" s="32"/>
    </row>
    <row r="10" spans="1:10" x14ac:dyDescent="0.2">
      <c r="A10" s="103" t="s">
        <v>4</v>
      </c>
      <c r="B10" s="81"/>
      <c r="C10" s="80" t="str">
        <f>'Stavební rozpočet'!C8</f>
        <v xml:space="preserve"> </v>
      </c>
      <c r="D10" s="81"/>
      <c r="E10" s="80" t="s">
        <v>3609</v>
      </c>
      <c r="F10" s="80" t="str">
        <f>'Stavební rozpočet'!H8</f>
        <v> </v>
      </c>
      <c r="G10" s="81"/>
      <c r="H10" s="105" t="s">
        <v>4190</v>
      </c>
      <c r="I10" s="101"/>
      <c r="J10" s="32"/>
    </row>
    <row r="11" spans="1:10" x14ac:dyDescent="0.2">
      <c r="A11" s="108"/>
      <c r="B11" s="109"/>
      <c r="C11" s="109"/>
      <c r="D11" s="109"/>
      <c r="E11" s="109"/>
      <c r="F11" s="109"/>
      <c r="G11" s="109"/>
      <c r="H11" s="109"/>
      <c r="I11" s="102"/>
      <c r="J11" s="32"/>
    </row>
    <row r="12" spans="1:10" ht="23.45" customHeight="1" x14ac:dyDescent="0.2">
      <c r="A12" s="97" t="s">
        <v>4149</v>
      </c>
      <c r="B12" s="98"/>
      <c r="C12" s="98"/>
      <c r="D12" s="98"/>
      <c r="E12" s="98"/>
      <c r="F12" s="98"/>
      <c r="G12" s="98"/>
      <c r="H12" s="98"/>
      <c r="I12" s="98"/>
    </row>
    <row r="13" spans="1:10" ht="26.45" customHeight="1" x14ac:dyDescent="0.2">
      <c r="A13" s="54" t="s">
        <v>4150</v>
      </c>
      <c r="B13" s="99" t="s">
        <v>4162</v>
      </c>
      <c r="C13" s="100"/>
      <c r="D13" s="54" t="s">
        <v>4166</v>
      </c>
      <c r="E13" s="99" t="s">
        <v>4175</v>
      </c>
      <c r="F13" s="100"/>
      <c r="G13" s="54" t="s">
        <v>4176</v>
      </c>
      <c r="H13" s="99" t="s">
        <v>4191</v>
      </c>
      <c r="I13" s="100"/>
      <c r="J13" s="32"/>
    </row>
    <row r="14" spans="1:10" ht="15.2" customHeight="1" x14ac:dyDescent="0.2">
      <c r="A14" s="55" t="s">
        <v>4151</v>
      </c>
      <c r="B14" s="59" t="s">
        <v>4163</v>
      </c>
      <c r="C14" s="63">
        <f>SUM('Stavební rozpočet'!AB12:AB1301)</f>
        <v>0</v>
      </c>
      <c r="D14" s="95" t="s">
        <v>4167</v>
      </c>
      <c r="E14" s="96"/>
      <c r="F14" s="63">
        <v>0</v>
      </c>
      <c r="G14" s="95" t="s">
        <v>3598</v>
      </c>
      <c r="H14" s="96"/>
      <c r="I14" s="63">
        <v>0</v>
      </c>
      <c r="J14" s="32"/>
    </row>
    <row r="15" spans="1:10" ht="15.2" customHeight="1" x14ac:dyDescent="0.2">
      <c r="A15" s="56"/>
      <c r="B15" s="59" t="s">
        <v>4164</v>
      </c>
      <c r="C15" s="63">
        <f>SUM('Stavební rozpočet'!AC12:AC1301)</f>
        <v>0</v>
      </c>
      <c r="D15" s="95" t="s">
        <v>4168</v>
      </c>
      <c r="E15" s="96"/>
      <c r="F15" s="63">
        <v>0</v>
      </c>
      <c r="G15" s="95" t="s">
        <v>4177</v>
      </c>
      <c r="H15" s="96"/>
      <c r="I15" s="63">
        <v>0</v>
      </c>
      <c r="J15" s="32"/>
    </row>
    <row r="16" spans="1:10" ht="15.2" customHeight="1" x14ac:dyDescent="0.2">
      <c r="A16" s="55" t="s">
        <v>4152</v>
      </c>
      <c r="B16" s="59" t="s">
        <v>4163</v>
      </c>
      <c r="C16" s="63">
        <f>SUM('Stavební rozpočet'!AD12:AD1301)</f>
        <v>0</v>
      </c>
      <c r="D16" s="95" t="s">
        <v>4169</v>
      </c>
      <c r="E16" s="96"/>
      <c r="F16" s="63">
        <v>0</v>
      </c>
      <c r="G16" s="95" t="s">
        <v>4178</v>
      </c>
      <c r="H16" s="96"/>
      <c r="I16" s="63">
        <v>0</v>
      </c>
      <c r="J16" s="32"/>
    </row>
    <row r="17" spans="1:10" ht="15.2" customHeight="1" x14ac:dyDescent="0.2">
      <c r="A17" s="56"/>
      <c r="B17" s="59" t="s">
        <v>4164</v>
      </c>
      <c r="C17" s="63">
        <f>SUM('Stavební rozpočet'!AE12:AE1301)</f>
        <v>0</v>
      </c>
      <c r="D17" s="95"/>
      <c r="E17" s="96"/>
      <c r="F17" s="64"/>
      <c r="G17" s="95" t="s">
        <v>4179</v>
      </c>
      <c r="H17" s="96"/>
      <c r="I17" s="63">
        <v>0</v>
      </c>
      <c r="J17" s="32"/>
    </row>
    <row r="18" spans="1:10" ht="15.2" customHeight="1" x14ac:dyDescent="0.2">
      <c r="A18" s="55" t="s">
        <v>4153</v>
      </c>
      <c r="B18" s="59" t="s">
        <v>4163</v>
      </c>
      <c r="C18" s="63">
        <f>SUM('Stavební rozpočet'!AF12:AF1301)</f>
        <v>0</v>
      </c>
      <c r="D18" s="95"/>
      <c r="E18" s="96"/>
      <c r="F18" s="64"/>
      <c r="G18" s="95" t="s">
        <v>3537</v>
      </c>
      <c r="H18" s="96"/>
      <c r="I18" s="63">
        <v>0</v>
      </c>
      <c r="J18" s="32"/>
    </row>
    <row r="19" spans="1:10" ht="15.2" customHeight="1" x14ac:dyDescent="0.2">
      <c r="A19" s="56"/>
      <c r="B19" s="59" t="s">
        <v>4164</v>
      </c>
      <c r="C19" s="63">
        <f>SUM('Stavební rozpočet'!AG12:AG1301)</f>
        <v>0</v>
      </c>
      <c r="D19" s="95"/>
      <c r="E19" s="96"/>
      <c r="F19" s="64"/>
      <c r="G19" s="95" t="s">
        <v>4180</v>
      </c>
      <c r="H19" s="96"/>
      <c r="I19" s="63">
        <v>0</v>
      </c>
      <c r="J19" s="32"/>
    </row>
    <row r="20" spans="1:10" ht="15.2" customHeight="1" x14ac:dyDescent="0.2">
      <c r="A20" s="93" t="s">
        <v>4154</v>
      </c>
      <c r="B20" s="94"/>
      <c r="C20" s="63">
        <f>SUM('Stavební rozpočet'!AH12:AH1301)</f>
        <v>0</v>
      </c>
      <c r="D20" s="95"/>
      <c r="E20" s="96"/>
      <c r="F20" s="64"/>
      <c r="G20" s="95"/>
      <c r="H20" s="96"/>
      <c r="I20" s="64"/>
      <c r="J20" s="32"/>
    </row>
    <row r="21" spans="1:10" ht="15.2" customHeight="1" x14ac:dyDescent="0.2">
      <c r="A21" s="93" t="s">
        <v>4155</v>
      </c>
      <c r="B21" s="94"/>
      <c r="C21" s="63">
        <f>SUM('Stavební rozpočet'!Z12:Z1301)</f>
        <v>0</v>
      </c>
      <c r="D21" s="95"/>
      <c r="E21" s="96"/>
      <c r="F21" s="64"/>
      <c r="G21" s="95"/>
      <c r="H21" s="96"/>
      <c r="I21" s="64"/>
      <c r="J21" s="32"/>
    </row>
    <row r="22" spans="1:10" ht="16.7" customHeight="1" x14ac:dyDescent="0.2">
      <c r="A22" s="93" t="s">
        <v>4156</v>
      </c>
      <c r="B22" s="94"/>
      <c r="C22" s="63">
        <f>SUM(C14:C21)</f>
        <v>0</v>
      </c>
      <c r="D22" s="93" t="s">
        <v>4170</v>
      </c>
      <c r="E22" s="94"/>
      <c r="F22" s="63">
        <f>SUM(F14:F21)</f>
        <v>0</v>
      </c>
      <c r="G22" s="93" t="s">
        <v>4181</v>
      </c>
      <c r="H22" s="94"/>
      <c r="I22" s="63">
        <f>SUM(I14:I21)</f>
        <v>0</v>
      </c>
      <c r="J22" s="32"/>
    </row>
    <row r="23" spans="1:10" ht="15.2" customHeight="1" x14ac:dyDescent="0.2">
      <c r="A23" s="9"/>
      <c r="B23" s="9"/>
      <c r="C23" s="61"/>
      <c r="D23" s="93" t="s">
        <v>4171</v>
      </c>
      <c r="E23" s="94"/>
      <c r="F23" s="65">
        <v>0</v>
      </c>
      <c r="G23" s="93" t="s">
        <v>4182</v>
      </c>
      <c r="H23" s="94"/>
      <c r="I23" s="63">
        <v>0</v>
      </c>
      <c r="J23" s="32"/>
    </row>
    <row r="24" spans="1:10" ht="15.2" customHeight="1" x14ac:dyDescent="0.2">
      <c r="D24" s="9"/>
      <c r="E24" s="9"/>
      <c r="F24" s="66"/>
      <c r="G24" s="93" t="s">
        <v>4183</v>
      </c>
      <c r="H24" s="94"/>
      <c r="I24" s="68"/>
    </row>
    <row r="25" spans="1:10" ht="15.2" customHeight="1" x14ac:dyDescent="0.2">
      <c r="F25" s="67"/>
      <c r="G25" s="93" t="s">
        <v>4184</v>
      </c>
      <c r="H25" s="94"/>
      <c r="I25" s="63">
        <v>0</v>
      </c>
      <c r="J25" s="32"/>
    </row>
    <row r="26" spans="1:10" x14ac:dyDescent="0.2">
      <c r="A26" s="53"/>
      <c r="B26" s="53"/>
      <c r="C26" s="53"/>
      <c r="G26" s="9"/>
      <c r="H26" s="9"/>
      <c r="I26" s="9"/>
    </row>
    <row r="27" spans="1:10" ht="15.2" customHeight="1" x14ac:dyDescent="0.2">
      <c r="A27" s="88" t="s">
        <v>4157</v>
      </c>
      <c r="B27" s="89"/>
      <c r="C27" s="69">
        <f>SUM('Stavební rozpočet'!AJ12:AJ1301)</f>
        <v>0</v>
      </c>
      <c r="D27" s="62"/>
      <c r="E27" s="53"/>
      <c r="F27" s="53"/>
      <c r="G27" s="53"/>
      <c r="H27" s="53"/>
      <c r="I27" s="53"/>
    </row>
    <row r="28" spans="1:10" ht="15.2" customHeight="1" x14ac:dyDescent="0.2">
      <c r="A28" s="88" t="s">
        <v>4158</v>
      </c>
      <c r="B28" s="89"/>
      <c r="C28" s="69">
        <f>SUM('Stavební rozpočet'!AK12:AK1301)</f>
        <v>0</v>
      </c>
      <c r="D28" s="88" t="s">
        <v>4172</v>
      </c>
      <c r="E28" s="89"/>
      <c r="F28" s="69">
        <f>ROUND(C28*(15/100),2)</f>
        <v>0</v>
      </c>
      <c r="G28" s="88" t="s">
        <v>4185</v>
      </c>
      <c r="H28" s="89"/>
      <c r="I28" s="69">
        <f>SUM(C27:C29)</f>
        <v>0</v>
      </c>
      <c r="J28" s="32"/>
    </row>
    <row r="29" spans="1:10" ht="15.2" customHeight="1" x14ac:dyDescent="0.2">
      <c r="A29" s="88" t="s">
        <v>4159</v>
      </c>
      <c r="B29" s="89"/>
      <c r="C29" s="69">
        <f>SUM('Stavební rozpočet'!AL12:AL1301)+(F22+I22+F23+I23+I24+I25)</f>
        <v>0</v>
      </c>
      <c r="D29" s="88" t="s">
        <v>4173</v>
      </c>
      <c r="E29" s="89"/>
      <c r="F29" s="69">
        <f>ROUND(C29*(21/100),2)</f>
        <v>0</v>
      </c>
      <c r="G29" s="88" t="s">
        <v>4186</v>
      </c>
      <c r="H29" s="89"/>
      <c r="I29" s="69">
        <f>SUM(F28:F29)+I28</f>
        <v>0</v>
      </c>
      <c r="J29" s="32"/>
    </row>
    <row r="30" spans="1:10" x14ac:dyDescent="0.2">
      <c r="A30" s="57"/>
      <c r="B30" s="57"/>
      <c r="C30" s="57"/>
      <c r="D30" s="57"/>
      <c r="E30" s="57"/>
      <c r="F30" s="57"/>
      <c r="G30" s="57"/>
      <c r="H30" s="57"/>
      <c r="I30" s="57"/>
    </row>
    <row r="31" spans="1:10" ht="14.45" customHeight="1" x14ac:dyDescent="0.2">
      <c r="A31" s="90" t="s">
        <v>4160</v>
      </c>
      <c r="B31" s="91"/>
      <c r="C31" s="92"/>
      <c r="D31" s="90" t="s">
        <v>4174</v>
      </c>
      <c r="E31" s="91"/>
      <c r="F31" s="92"/>
      <c r="G31" s="90" t="s">
        <v>4187</v>
      </c>
      <c r="H31" s="91"/>
      <c r="I31" s="92"/>
      <c r="J31" s="33"/>
    </row>
    <row r="32" spans="1:10" ht="14.45" customHeight="1" x14ac:dyDescent="0.2">
      <c r="A32" s="82"/>
      <c r="B32" s="83"/>
      <c r="C32" s="84"/>
      <c r="D32" s="82"/>
      <c r="E32" s="83"/>
      <c r="F32" s="84"/>
      <c r="G32" s="82"/>
      <c r="H32" s="83"/>
      <c r="I32" s="84"/>
      <c r="J32" s="33"/>
    </row>
    <row r="33" spans="1:10" ht="14.45" customHeight="1" x14ac:dyDescent="0.2">
      <c r="A33" s="82"/>
      <c r="B33" s="83"/>
      <c r="C33" s="84"/>
      <c r="D33" s="82"/>
      <c r="E33" s="83"/>
      <c r="F33" s="84"/>
      <c r="G33" s="82"/>
      <c r="H33" s="83"/>
      <c r="I33" s="84"/>
      <c r="J33" s="33"/>
    </row>
    <row r="34" spans="1:10" ht="14.45" customHeight="1" x14ac:dyDescent="0.2">
      <c r="A34" s="82"/>
      <c r="B34" s="83"/>
      <c r="C34" s="84"/>
      <c r="D34" s="82"/>
      <c r="E34" s="83"/>
      <c r="F34" s="84"/>
      <c r="G34" s="82"/>
      <c r="H34" s="83"/>
      <c r="I34" s="84"/>
      <c r="J34" s="33"/>
    </row>
    <row r="35" spans="1:10" ht="14.45" customHeight="1" x14ac:dyDescent="0.2">
      <c r="A35" s="85" t="s">
        <v>4161</v>
      </c>
      <c r="B35" s="86"/>
      <c r="C35" s="87"/>
      <c r="D35" s="85" t="s">
        <v>4161</v>
      </c>
      <c r="E35" s="86"/>
      <c r="F35" s="87"/>
      <c r="G35" s="85" t="s">
        <v>4161</v>
      </c>
      <c r="H35" s="86"/>
      <c r="I35" s="87"/>
      <c r="J35" s="33"/>
    </row>
    <row r="36" spans="1:10" ht="11.25" customHeight="1" x14ac:dyDescent="0.2">
      <c r="A36" s="58" t="s">
        <v>1223</v>
      </c>
      <c r="B36" s="60"/>
      <c r="C36" s="60"/>
      <c r="D36" s="60"/>
      <c r="E36" s="60"/>
      <c r="F36" s="60"/>
      <c r="G36" s="60"/>
      <c r="H36" s="60"/>
      <c r="I36" s="60"/>
    </row>
    <row r="37" spans="1:10" x14ac:dyDescent="0.2">
      <c r="A37" s="80"/>
      <c r="B37" s="81"/>
      <c r="C37" s="81"/>
      <c r="D37" s="81"/>
      <c r="E37" s="81"/>
      <c r="F37" s="81"/>
      <c r="G37" s="81"/>
      <c r="H37" s="81"/>
      <c r="I37" s="81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>
      <pane ySplit="10" topLeftCell="A11" activePane="bottomLeft" state="frozenSplit"/>
      <selection pane="bottomLeft" activeCell="A2" sqref="A2:A3"/>
    </sheetView>
  </sheetViews>
  <sheetFormatPr defaultColWidth="11.5703125" defaultRowHeight="12.75" x14ac:dyDescent="0.2"/>
  <cols>
    <col min="1" max="2" width="16.5703125" customWidth="1"/>
    <col min="3" max="3" width="41.7109375" customWidth="1"/>
    <col min="7" max="7" width="20.85546875" customWidth="1"/>
    <col min="8" max="9" width="0" hidden="1" customWidth="1"/>
  </cols>
  <sheetData>
    <row r="1" spans="1:9" ht="72.95" customHeight="1" x14ac:dyDescent="0.35">
      <c r="A1" s="127" t="s">
        <v>3739</v>
      </c>
      <c r="B1" s="111"/>
      <c r="C1" s="111"/>
      <c r="D1" s="111"/>
      <c r="E1" s="111"/>
      <c r="F1" s="111"/>
      <c r="G1" s="111"/>
    </row>
    <row r="2" spans="1:9" x14ac:dyDescent="0.2">
      <c r="A2" s="112" t="s">
        <v>1</v>
      </c>
      <c r="B2" s="114" t="str">
        <f>'Stavební rozpočet'!C2</f>
        <v>Rekonstrukce Denního stacionáře domovinky Hofmanova č.p.568, Jičín</v>
      </c>
      <c r="C2" s="115"/>
      <c r="D2" s="117" t="s">
        <v>3606</v>
      </c>
      <c r="E2" s="117" t="str">
        <f>'Stavební rozpočet'!H2</f>
        <v> </v>
      </c>
      <c r="F2" s="113"/>
      <c r="G2" s="128"/>
      <c r="H2" s="32"/>
    </row>
    <row r="3" spans="1:9" x14ac:dyDescent="0.2">
      <c r="A3" s="104"/>
      <c r="B3" s="116"/>
      <c r="C3" s="116"/>
      <c r="D3" s="81"/>
      <c r="E3" s="81"/>
      <c r="F3" s="81"/>
      <c r="G3" s="107"/>
      <c r="H3" s="32"/>
    </row>
    <row r="4" spans="1:9" x14ac:dyDescent="0.2">
      <c r="A4" s="103" t="s">
        <v>2</v>
      </c>
      <c r="B4" s="80" t="str">
        <f>'Stavební rozpočet'!C4</f>
        <v xml:space="preserve"> </v>
      </c>
      <c r="C4" s="81"/>
      <c r="D4" s="80" t="s">
        <v>3607</v>
      </c>
      <c r="E4" s="80" t="str">
        <f>'Stavební rozpočet'!H4</f>
        <v> </v>
      </c>
      <c r="F4" s="81"/>
      <c r="G4" s="107"/>
      <c r="H4" s="32"/>
    </row>
    <row r="5" spans="1:9" x14ac:dyDescent="0.2">
      <c r="A5" s="104"/>
      <c r="B5" s="81"/>
      <c r="C5" s="81"/>
      <c r="D5" s="81"/>
      <c r="E5" s="81"/>
      <c r="F5" s="81"/>
      <c r="G5" s="107"/>
      <c r="H5" s="32"/>
    </row>
    <row r="6" spans="1:9" x14ac:dyDescent="0.2">
      <c r="A6" s="103" t="s">
        <v>3</v>
      </c>
      <c r="B6" s="80" t="str">
        <f>'Stavební rozpočet'!C6</f>
        <v xml:space="preserve"> </v>
      </c>
      <c r="C6" s="81"/>
      <c r="D6" s="80" t="s">
        <v>3608</v>
      </c>
      <c r="E6" s="80" t="str">
        <f>'Stavební rozpočet'!H6</f>
        <v> </v>
      </c>
      <c r="F6" s="81"/>
      <c r="G6" s="107"/>
      <c r="H6" s="32"/>
    </row>
    <row r="7" spans="1:9" x14ac:dyDescent="0.2">
      <c r="A7" s="104"/>
      <c r="B7" s="81"/>
      <c r="C7" s="81"/>
      <c r="D7" s="81"/>
      <c r="E7" s="81"/>
      <c r="F7" s="81"/>
      <c r="G7" s="107"/>
      <c r="H7" s="32"/>
    </row>
    <row r="8" spans="1:9" x14ac:dyDescent="0.2">
      <c r="A8" s="103" t="s">
        <v>3609</v>
      </c>
      <c r="B8" s="80" t="str">
        <f>'Stavební rozpočet'!H8</f>
        <v> </v>
      </c>
      <c r="C8" s="81"/>
      <c r="D8" s="105" t="s">
        <v>3605</v>
      </c>
      <c r="E8" s="80"/>
      <c r="F8" s="81"/>
      <c r="G8" s="107"/>
      <c r="H8" s="32"/>
    </row>
    <row r="9" spans="1:9" x14ac:dyDescent="0.2">
      <c r="A9" s="124"/>
      <c r="B9" s="125"/>
      <c r="C9" s="125"/>
      <c r="D9" s="125"/>
      <c r="E9" s="125"/>
      <c r="F9" s="125"/>
      <c r="G9" s="126"/>
      <c r="H9" s="32"/>
    </row>
    <row r="10" spans="1:9" x14ac:dyDescent="0.2">
      <c r="A10" s="40" t="s">
        <v>3740</v>
      </c>
      <c r="B10" s="42" t="s">
        <v>1224</v>
      </c>
      <c r="C10" s="119" t="s">
        <v>3741</v>
      </c>
      <c r="D10" s="120"/>
      <c r="E10" s="120"/>
      <c r="F10" s="121"/>
      <c r="G10" s="44" t="s">
        <v>3743</v>
      </c>
      <c r="H10" s="32"/>
    </row>
    <row r="11" spans="1:9" x14ac:dyDescent="0.2">
      <c r="A11" s="41" t="s">
        <v>3645</v>
      </c>
      <c r="B11" s="41"/>
      <c r="C11" s="122" t="s">
        <v>2404</v>
      </c>
      <c r="D11" s="123"/>
      <c r="E11" s="123"/>
      <c r="F11" s="123"/>
      <c r="G11" s="45">
        <f>'Stavební rozpočet'!K12</f>
        <v>0</v>
      </c>
      <c r="H11" s="34" t="s">
        <v>3744</v>
      </c>
      <c r="I11" s="34">
        <f t="shared" ref="I11:I42" si="0">IF(H11="F",0,G11)</f>
        <v>0</v>
      </c>
    </row>
    <row r="12" spans="1:9" x14ac:dyDescent="0.2">
      <c r="A12" s="16" t="s">
        <v>3645</v>
      </c>
      <c r="B12" s="16" t="s">
        <v>17</v>
      </c>
      <c r="C12" s="105" t="s">
        <v>2405</v>
      </c>
      <c r="D12" s="81"/>
      <c r="E12" s="81"/>
      <c r="F12" s="81"/>
      <c r="G12" s="34">
        <f>'Stavební rozpočet'!K13</f>
        <v>0</v>
      </c>
      <c r="H12" s="34" t="s">
        <v>3745</v>
      </c>
      <c r="I12" s="34">
        <f t="shared" si="0"/>
        <v>0</v>
      </c>
    </row>
    <row r="13" spans="1:9" x14ac:dyDescent="0.2">
      <c r="A13" s="16" t="s">
        <v>3645</v>
      </c>
      <c r="B13" s="16" t="s">
        <v>18</v>
      </c>
      <c r="C13" s="105" t="s">
        <v>2407</v>
      </c>
      <c r="D13" s="81"/>
      <c r="E13" s="81"/>
      <c r="F13" s="81"/>
      <c r="G13" s="34">
        <f>'Stavební rozpočet'!K15</f>
        <v>0</v>
      </c>
      <c r="H13" s="34" t="s">
        <v>3745</v>
      </c>
      <c r="I13" s="34">
        <f t="shared" si="0"/>
        <v>0</v>
      </c>
    </row>
    <row r="14" spans="1:9" x14ac:dyDescent="0.2">
      <c r="A14" s="16" t="s">
        <v>3645</v>
      </c>
      <c r="B14" s="16" t="s">
        <v>19</v>
      </c>
      <c r="C14" s="105" t="s">
        <v>2414</v>
      </c>
      <c r="D14" s="81"/>
      <c r="E14" s="81"/>
      <c r="F14" s="81"/>
      <c r="G14" s="34">
        <f>'Stavební rozpočet'!K22</f>
        <v>0</v>
      </c>
      <c r="H14" s="34" t="s">
        <v>3745</v>
      </c>
      <c r="I14" s="34">
        <f t="shared" si="0"/>
        <v>0</v>
      </c>
    </row>
    <row r="15" spans="1:9" x14ac:dyDescent="0.2">
      <c r="A15" s="16" t="s">
        <v>3645</v>
      </c>
      <c r="B15" s="16" t="s">
        <v>22</v>
      </c>
      <c r="C15" s="105" t="s">
        <v>2428</v>
      </c>
      <c r="D15" s="81"/>
      <c r="E15" s="81"/>
      <c r="F15" s="81"/>
      <c r="G15" s="34">
        <f>'Stavební rozpočet'!K36</f>
        <v>0</v>
      </c>
      <c r="H15" s="34" t="s">
        <v>3745</v>
      </c>
      <c r="I15" s="34">
        <f t="shared" si="0"/>
        <v>0</v>
      </c>
    </row>
    <row r="16" spans="1:9" x14ac:dyDescent="0.2">
      <c r="A16" s="16" t="s">
        <v>3645</v>
      </c>
      <c r="B16" s="16" t="s">
        <v>23</v>
      </c>
      <c r="C16" s="105" t="s">
        <v>2433</v>
      </c>
      <c r="D16" s="81"/>
      <c r="E16" s="81"/>
      <c r="F16" s="81"/>
      <c r="G16" s="34">
        <f>'Stavební rozpočet'!K41</f>
        <v>0</v>
      </c>
      <c r="H16" s="34" t="s">
        <v>3745</v>
      </c>
      <c r="I16" s="34">
        <f t="shared" si="0"/>
        <v>0</v>
      </c>
    </row>
    <row r="17" spans="1:9" x14ac:dyDescent="0.2">
      <c r="A17" s="16" t="s">
        <v>3645</v>
      </c>
      <c r="B17" s="16" t="s">
        <v>25</v>
      </c>
      <c r="C17" s="105" t="s">
        <v>2437</v>
      </c>
      <c r="D17" s="81"/>
      <c r="E17" s="81"/>
      <c r="F17" s="81"/>
      <c r="G17" s="34">
        <f>'Stavební rozpočet'!K45</f>
        <v>0</v>
      </c>
      <c r="H17" s="34" t="s">
        <v>3745</v>
      </c>
      <c r="I17" s="34">
        <f t="shared" si="0"/>
        <v>0</v>
      </c>
    </row>
    <row r="18" spans="1:9" x14ac:dyDescent="0.2">
      <c r="A18" s="16" t="s">
        <v>3645</v>
      </c>
      <c r="B18" s="16" t="s">
        <v>27</v>
      </c>
      <c r="C18" s="105" t="s">
        <v>2439</v>
      </c>
      <c r="D18" s="81"/>
      <c r="E18" s="81"/>
      <c r="F18" s="81"/>
      <c r="G18" s="34">
        <f>'Stavební rozpočet'!K47</f>
        <v>0</v>
      </c>
      <c r="H18" s="34" t="s">
        <v>3745</v>
      </c>
      <c r="I18" s="34">
        <f t="shared" si="0"/>
        <v>0</v>
      </c>
    </row>
    <row r="19" spans="1:9" x14ac:dyDescent="0.2">
      <c r="A19" s="16" t="s">
        <v>3645</v>
      </c>
      <c r="B19" s="16" t="s">
        <v>33</v>
      </c>
      <c r="C19" s="105" t="s">
        <v>2442</v>
      </c>
      <c r="D19" s="81"/>
      <c r="E19" s="81"/>
      <c r="F19" s="81"/>
      <c r="G19" s="34">
        <f>'Stavební rozpočet'!K50</f>
        <v>0</v>
      </c>
      <c r="H19" s="34" t="s">
        <v>3745</v>
      </c>
      <c r="I19" s="34">
        <f t="shared" si="0"/>
        <v>0</v>
      </c>
    </row>
    <row r="20" spans="1:9" x14ac:dyDescent="0.2">
      <c r="A20" s="16" t="s">
        <v>3645</v>
      </c>
      <c r="B20" s="16" t="s">
        <v>9</v>
      </c>
      <c r="C20" s="105" t="s">
        <v>2475</v>
      </c>
      <c r="D20" s="81"/>
      <c r="E20" s="81"/>
      <c r="F20" s="81"/>
      <c r="G20" s="34">
        <f>'Stavební rozpočet'!K83</f>
        <v>0</v>
      </c>
      <c r="H20" s="34" t="s">
        <v>3745</v>
      </c>
      <c r="I20" s="34">
        <f t="shared" si="0"/>
        <v>0</v>
      </c>
    </row>
    <row r="21" spans="1:9" x14ac:dyDescent="0.2">
      <c r="A21" s="16" t="s">
        <v>3645</v>
      </c>
      <c r="B21" s="16" t="s">
        <v>37</v>
      </c>
      <c r="C21" s="105" t="s">
        <v>2477</v>
      </c>
      <c r="D21" s="81"/>
      <c r="E21" s="81"/>
      <c r="F21" s="81"/>
      <c r="G21" s="34">
        <f>'Stavební rozpočet'!K85</f>
        <v>0</v>
      </c>
      <c r="H21" s="34" t="s">
        <v>3745</v>
      </c>
      <c r="I21" s="34">
        <f t="shared" si="0"/>
        <v>0</v>
      </c>
    </row>
    <row r="22" spans="1:9" x14ac:dyDescent="0.2">
      <c r="A22" s="16" t="s">
        <v>3645</v>
      </c>
      <c r="B22" s="16" t="s">
        <v>40</v>
      </c>
      <c r="C22" s="105" t="s">
        <v>2495</v>
      </c>
      <c r="D22" s="81"/>
      <c r="E22" s="81"/>
      <c r="F22" s="81"/>
      <c r="G22" s="34">
        <f>'Stavební rozpočet'!K103</f>
        <v>0</v>
      </c>
      <c r="H22" s="34" t="s">
        <v>3745</v>
      </c>
      <c r="I22" s="34">
        <f t="shared" si="0"/>
        <v>0</v>
      </c>
    </row>
    <row r="23" spans="1:9" x14ac:dyDescent="0.2">
      <c r="A23" s="16" t="s">
        <v>3645</v>
      </c>
      <c r="B23" s="16" t="s">
        <v>47</v>
      </c>
      <c r="C23" s="105" t="s">
        <v>2513</v>
      </c>
      <c r="D23" s="81"/>
      <c r="E23" s="81"/>
      <c r="F23" s="81"/>
      <c r="G23" s="34">
        <f>'Stavební rozpočet'!K121</f>
        <v>0</v>
      </c>
      <c r="H23" s="34" t="s">
        <v>3745</v>
      </c>
      <c r="I23" s="34">
        <f t="shared" si="0"/>
        <v>0</v>
      </c>
    </row>
    <row r="24" spans="1:9" x14ac:dyDescent="0.2">
      <c r="A24" s="16" t="s">
        <v>3645</v>
      </c>
      <c r="B24" s="16" t="s">
        <v>67</v>
      </c>
      <c r="C24" s="105" t="s">
        <v>2519</v>
      </c>
      <c r="D24" s="81"/>
      <c r="E24" s="81"/>
      <c r="F24" s="81"/>
      <c r="G24" s="34">
        <f>'Stavební rozpočet'!K127</f>
        <v>0</v>
      </c>
      <c r="H24" s="34" t="s">
        <v>3745</v>
      </c>
      <c r="I24" s="34">
        <f t="shared" si="0"/>
        <v>0</v>
      </c>
    </row>
    <row r="25" spans="1:9" x14ac:dyDescent="0.2">
      <c r="A25" s="16" t="s">
        <v>3645</v>
      </c>
      <c r="B25" s="16" t="s">
        <v>68</v>
      </c>
      <c r="C25" s="105" t="s">
        <v>2535</v>
      </c>
      <c r="D25" s="81"/>
      <c r="E25" s="81"/>
      <c r="F25" s="81"/>
      <c r="G25" s="34">
        <f>'Stavební rozpočet'!K143</f>
        <v>0</v>
      </c>
      <c r="H25" s="34" t="s">
        <v>3745</v>
      </c>
      <c r="I25" s="34">
        <f t="shared" si="0"/>
        <v>0</v>
      </c>
    </row>
    <row r="26" spans="1:9" x14ac:dyDescent="0.2">
      <c r="A26" s="16" t="s">
        <v>3645</v>
      </c>
      <c r="B26" s="16" t="s">
        <v>69</v>
      </c>
      <c r="C26" s="105" t="s">
        <v>2543</v>
      </c>
      <c r="D26" s="81"/>
      <c r="E26" s="81"/>
      <c r="F26" s="81"/>
      <c r="G26" s="34">
        <f>'Stavební rozpočet'!K154</f>
        <v>0</v>
      </c>
      <c r="H26" s="34" t="s">
        <v>3745</v>
      </c>
      <c r="I26" s="34">
        <f t="shared" si="0"/>
        <v>0</v>
      </c>
    </row>
    <row r="27" spans="1:9" x14ac:dyDescent="0.2">
      <c r="A27" s="16" t="s">
        <v>3645</v>
      </c>
      <c r="B27" s="16" t="s">
        <v>96</v>
      </c>
      <c r="C27" s="105" t="s">
        <v>2558</v>
      </c>
      <c r="D27" s="81"/>
      <c r="E27" s="81"/>
      <c r="F27" s="81"/>
      <c r="G27" s="34">
        <f>'Stavební rozpočet'!K169</f>
        <v>0</v>
      </c>
      <c r="H27" s="34" t="s">
        <v>3745</v>
      </c>
      <c r="I27" s="34">
        <f t="shared" si="0"/>
        <v>0</v>
      </c>
    </row>
    <row r="28" spans="1:9" x14ac:dyDescent="0.2">
      <c r="A28" s="16" t="s">
        <v>3645</v>
      </c>
      <c r="B28" s="16" t="s">
        <v>100</v>
      </c>
      <c r="C28" s="105" t="s">
        <v>2560</v>
      </c>
      <c r="D28" s="81"/>
      <c r="E28" s="81"/>
      <c r="F28" s="81"/>
      <c r="G28" s="34">
        <f>'Stavební rozpočet'!K171</f>
        <v>0</v>
      </c>
      <c r="H28" s="34" t="s">
        <v>3745</v>
      </c>
      <c r="I28" s="34">
        <f t="shared" si="0"/>
        <v>0</v>
      </c>
    </row>
    <row r="29" spans="1:9" x14ac:dyDescent="0.2">
      <c r="A29" s="16" t="s">
        <v>3645</v>
      </c>
      <c r="B29" s="16" t="s">
        <v>101</v>
      </c>
      <c r="C29" s="105" t="s">
        <v>2571</v>
      </c>
      <c r="D29" s="81"/>
      <c r="E29" s="81"/>
      <c r="F29" s="81"/>
      <c r="G29" s="34">
        <f>'Stavební rozpočet'!K182</f>
        <v>0</v>
      </c>
      <c r="H29" s="34" t="s">
        <v>3745</v>
      </c>
      <c r="I29" s="34">
        <f t="shared" si="0"/>
        <v>0</v>
      </c>
    </row>
    <row r="30" spans="1:9" x14ac:dyDescent="0.2">
      <c r="A30" s="16" t="s">
        <v>3645</v>
      </c>
      <c r="B30" s="16" t="s">
        <v>102</v>
      </c>
      <c r="C30" s="105" t="s">
        <v>2575</v>
      </c>
      <c r="D30" s="81"/>
      <c r="E30" s="81"/>
      <c r="F30" s="81"/>
      <c r="G30" s="34">
        <f>'Stavební rozpočet'!K186</f>
        <v>0</v>
      </c>
      <c r="H30" s="34" t="s">
        <v>3745</v>
      </c>
      <c r="I30" s="34">
        <f t="shared" si="0"/>
        <v>0</v>
      </c>
    </row>
    <row r="31" spans="1:9" x14ac:dyDescent="0.2">
      <c r="A31" s="16" t="s">
        <v>3645</v>
      </c>
      <c r="B31" s="16" t="s">
        <v>103</v>
      </c>
      <c r="C31" s="105" t="s">
        <v>2614</v>
      </c>
      <c r="D31" s="81"/>
      <c r="E31" s="81"/>
      <c r="F31" s="81"/>
      <c r="G31" s="34">
        <f>'Stavební rozpočet'!K225</f>
        <v>0</v>
      </c>
      <c r="H31" s="34" t="s">
        <v>3745</v>
      </c>
      <c r="I31" s="34">
        <f t="shared" si="0"/>
        <v>0</v>
      </c>
    </row>
    <row r="32" spans="1:9" x14ac:dyDescent="0.2">
      <c r="A32" s="16" t="s">
        <v>3645</v>
      </c>
      <c r="B32" s="16" t="s">
        <v>1429</v>
      </c>
      <c r="C32" s="105" t="s">
        <v>2654</v>
      </c>
      <c r="D32" s="81"/>
      <c r="E32" s="81"/>
      <c r="F32" s="81"/>
      <c r="G32" s="34">
        <f>'Stavební rozpočet'!K265</f>
        <v>0</v>
      </c>
      <c r="H32" s="34" t="s">
        <v>3745</v>
      </c>
      <c r="I32" s="34">
        <f t="shared" si="0"/>
        <v>0</v>
      </c>
    </row>
    <row r="33" spans="1:9" x14ac:dyDescent="0.2">
      <c r="A33" s="16" t="s">
        <v>3645</v>
      </c>
      <c r="B33" s="16" t="s">
        <v>104</v>
      </c>
      <c r="C33" s="105" t="s">
        <v>2674</v>
      </c>
      <c r="D33" s="81"/>
      <c r="E33" s="81"/>
      <c r="F33" s="81"/>
      <c r="G33" s="34">
        <f>'Stavební rozpočet'!K285</f>
        <v>0</v>
      </c>
      <c r="H33" s="34" t="s">
        <v>3745</v>
      </c>
      <c r="I33" s="34">
        <f t="shared" si="0"/>
        <v>0</v>
      </c>
    </row>
    <row r="34" spans="1:9" x14ac:dyDescent="0.2">
      <c r="A34" s="16" t="s">
        <v>3645</v>
      </c>
      <c r="B34" s="16" t="s">
        <v>1450</v>
      </c>
      <c r="C34" s="105" t="s">
        <v>2676</v>
      </c>
      <c r="D34" s="81"/>
      <c r="E34" s="81"/>
      <c r="F34" s="81"/>
      <c r="G34" s="34">
        <f>'Stavební rozpočet'!K287</f>
        <v>0</v>
      </c>
      <c r="H34" s="34" t="s">
        <v>3745</v>
      </c>
      <c r="I34" s="34">
        <f t="shared" si="0"/>
        <v>0</v>
      </c>
    </row>
    <row r="35" spans="1:9" x14ac:dyDescent="0.2">
      <c r="A35" s="16" t="s">
        <v>3645</v>
      </c>
      <c r="B35" s="16" t="s">
        <v>717</v>
      </c>
      <c r="C35" s="105" t="s">
        <v>2678</v>
      </c>
      <c r="D35" s="81"/>
      <c r="E35" s="81"/>
      <c r="F35" s="81"/>
      <c r="G35" s="34">
        <f>'Stavební rozpočet'!K289</f>
        <v>0</v>
      </c>
      <c r="H35" s="34" t="s">
        <v>3745</v>
      </c>
      <c r="I35" s="34">
        <f t="shared" si="0"/>
        <v>0</v>
      </c>
    </row>
    <row r="36" spans="1:9" x14ac:dyDescent="0.2">
      <c r="A36" s="16" t="s">
        <v>3645</v>
      </c>
      <c r="B36" s="16" t="s">
        <v>718</v>
      </c>
      <c r="C36" s="105" t="s">
        <v>2698</v>
      </c>
      <c r="D36" s="81"/>
      <c r="E36" s="81"/>
      <c r="F36" s="81"/>
      <c r="G36" s="34">
        <f>'Stavební rozpočet'!K309</f>
        <v>0</v>
      </c>
      <c r="H36" s="34" t="s">
        <v>3745</v>
      </c>
      <c r="I36" s="34">
        <f t="shared" si="0"/>
        <v>0</v>
      </c>
    </row>
    <row r="37" spans="1:9" x14ac:dyDescent="0.2">
      <c r="A37" s="16" t="s">
        <v>3645</v>
      </c>
      <c r="B37" s="16" t="s">
        <v>719</v>
      </c>
      <c r="C37" s="105" t="s">
        <v>2708</v>
      </c>
      <c r="D37" s="81"/>
      <c r="E37" s="81"/>
      <c r="F37" s="81"/>
      <c r="G37" s="34">
        <f>'Stavební rozpočet'!K319</f>
        <v>0</v>
      </c>
      <c r="H37" s="34" t="s">
        <v>3745</v>
      </c>
      <c r="I37" s="34">
        <f t="shared" si="0"/>
        <v>0</v>
      </c>
    </row>
    <row r="38" spans="1:9" x14ac:dyDescent="0.2">
      <c r="A38" s="16" t="s">
        <v>3645</v>
      </c>
      <c r="B38" s="16" t="s">
        <v>727</v>
      </c>
      <c r="C38" s="105" t="s">
        <v>2726</v>
      </c>
      <c r="D38" s="81"/>
      <c r="E38" s="81"/>
      <c r="F38" s="81"/>
      <c r="G38" s="34">
        <f>'Stavební rozpočet'!K338</f>
        <v>0</v>
      </c>
      <c r="H38" s="34" t="s">
        <v>3745</v>
      </c>
      <c r="I38" s="34">
        <f t="shared" si="0"/>
        <v>0</v>
      </c>
    </row>
    <row r="39" spans="1:9" x14ac:dyDescent="0.2">
      <c r="A39" s="16" t="s">
        <v>3645</v>
      </c>
      <c r="B39" s="16" t="s">
        <v>728</v>
      </c>
      <c r="C39" s="105" t="s">
        <v>2802</v>
      </c>
      <c r="D39" s="81"/>
      <c r="E39" s="81"/>
      <c r="F39" s="81"/>
      <c r="G39" s="34">
        <f>'Stavební rozpočet'!K414</f>
        <v>0</v>
      </c>
      <c r="H39" s="34" t="s">
        <v>3745</v>
      </c>
      <c r="I39" s="34">
        <f t="shared" si="0"/>
        <v>0</v>
      </c>
    </row>
    <row r="40" spans="1:9" x14ac:dyDescent="0.2">
      <c r="A40" s="16" t="s">
        <v>3645</v>
      </c>
      <c r="B40" s="16" t="s">
        <v>734</v>
      </c>
      <c r="C40" s="105" t="s">
        <v>2882</v>
      </c>
      <c r="D40" s="81"/>
      <c r="E40" s="81"/>
      <c r="F40" s="81"/>
      <c r="G40" s="34">
        <f>'Stavební rozpočet'!K500</f>
        <v>0</v>
      </c>
      <c r="H40" s="34" t="s">
        <v>3745</v>
      </c>
      <c r="I40" s="34">
        <f t="shared" si="0"/>
        <v>0</v>
      </c>
    </row>
    <row r="41" spans="1:9" x14ac:dyDescent="0.2">
      <c r="A41" s="16" t="s">
        <v>3645</v>
      </c>
      <c r="B41" s="16" t="s">
        <v>737</v>
      </c>
      <c r="C41" s="105" t="s">
        <v>2951</v>
      </c>
      <c r="D41" s="81"/>
      <c r="E41" s="81"/>
      <c r="F41" s="81"/>
      <c r="G41" s="34">
        <f>'Stavební rozpočet'!K596</f>
        <v>0</v>
      </c>
      <c r="H41" s="34" t="s">
        <v>3745</v>
      </c>
      <c r="I41" s="34">
        <f t="shared" si="0"/>
        <v>0</v>
      </c>
    </row>
    <row r="42" spans="1:9" x14ac:dyDescent="0.2">
      <c r="A42" s="16" t="s">
        <v>3645</v>
      </c>
      <c r="B42" s="16" t="s">
        <v>768</v>
      </c>
      <c r="C42" s="105" t="s">
        <v>3012</v>
      </c>
      <c r="D42" s="81"/>
      <c r="E42" s="81"/>
      <c r="F42" s="81"/>
      <c r="G42" s="34">
        <f>'Stavební rozpočet'!K667</f>
        <v>0</v>
      </c>
      <c r="H42" s="34" t="s">
        <v>3745</v>
      </c>
      <c r="I42" s="34">
        <f t="shared" si="0"/>
        <v>0</v>
      </c>
    </row>
    <row r="43" spans="1:9" x14ac:dyDescent="0.2">
      <c r="A43" s="16" t="s">
        <v>3645</v>
      </c>
      <c r="B43" s="16" t="s">
        <v>770</v>
      </c>
      <c r="C43" s="105" t="s">
        <v>3022</v>
      </c>
      <c r="D43" s="81"/>
      <c r="E43" s="81"/>
      <c r="F43" s="81"/>
      <c r="G43" s="34">
        <f>'Stavební rozpočet'!K677</f>
        <v>0</v>
      </c>
      <c r="H43" s="34" t="s">
        <v>3745</v>
      </c>
      <c r="I43" s="34">
        <f t="shared" ref="I43:I74" si="1">IF(H43="F",0,G43)</f>
        <v>0</v>
      </c>
    </row>
    <row r="44" spans="1:9" x14ac:dyDescent="0.2">
      <c r="A44" s="16" t="s">
        <v>3645</v>
      </c>
      <c r="B44" s="16" t="s">
        <v>772</v>
      </c>
      <c r="C44" s="105" t="s">
        <v>3038</v>
      </c>
      <c r="D44" s="81"/>
      <c r="E44" s="81"/>
      <c r="F44" s="81"/>
      <c r="G44" s="34">
        <f>'Stavební rozpočet'!K694</f>
        <v>0</v>
      </c>
      <c r="H44" s="34" t="s">
        <v>3745</v>
      </c>
      <c r="I44" s="34">
        <f t="shared" si="1"/>
        <v>0</v>
      </c>
    </row>
    <row r="45" spans="1:9" x14ac:dyDescent="0.2">
      <c r="A45" s="16" t="s">
        <v>3645</v>
      </c>
      <c r="B45" s="16" t="s">
        <v>773</v>
      </c>
      <c r="C45" s="105" t="s">
        <v>3064</v>
      </c>
      <c r="D45" s="81"/>
      <c r="E45" s="81"/>
      <c r="F45" s="81"/>
      <c r="G45" s="34">
        <f>'Stavební rozpočet'!K720</f>
        <v>0</v>
      </c>
      <c r="H45" s="34" t="s">
        <v>3745</v>
      </c>
      <c r="I45" s="34">
        <f t="shared" si="1"/>
        <v>0</v>
      </c>
    </row>
    <row r="46" spans="1:9" x14ac:dyDescent="0.2">
      <c r="A46" s="16" t="s">
        <v>3645</v>
      </c>
      <c r="B46" s="16" t="s">
        <v>777</v>
      </c>
      <c r="C46" s="105" t="s">
        <v>3116</v>
      </c>
      <c r="D46" s="81"/>
      <c r="E46" s="81"/>
      <c r="F46" s="81"/>
      <c r="G46" s="34">
        <f>'Stavební rozpočet'!K773</f>
        <v>0</v>
      </c>
      <c r="H46" s="34" t="s">
        <v>3745</v>
      </c>
      <c r="I46" s="34">
        <f t="shared" si="1"/>
        <v>0</v>
      </c>
    </row>
    <row r="47" spans="1:9" x14ac:dyDescent="0.2">
      <c r="A47" s="16" t="s">
        <v>3645</v>
      </c>
      <c r="B47" s="16" t="s">
        <v>782</v>
      </c>
      <c r="C47" s="105" t="s">
        <v>3129</v>
      </c>
      <c r="D47" s="81"/>
      <c r="E47" s="81"/>
      <c r="F47" s="81"/>
      <c r="G47" s="34">
        <f>'Stavební rozpočet'!K786</f>
        <v>0</v>
      </c>
      <c r="H47" s="34" t="s">
        <v>3745</v>
      </c>
      <c r="I47" s="34">
        <f t="shared" si="1"/>
        <v>0</v>
      </c>
    </row>
    <row r="48" spans="1:9" x14ac:dyDescent="0.2">
      <c r="A48" s="16" t="s">
        <v>3645</v>
      </c>
      <c r="B48" s="16" t="s">
        <v>783</v>
      </c>
      <c r="C48" s="105" t="s">
        <v>3139</v>
      </c>
      <c r="D48" s="81"/>
      <c r="E48" s="81"/>
      <c r="F48" s="81"/>
      <c r="G48" s="34">
        <f>'Stavební rozpočet'!K796</f>
        <v>0</v>
      </c>
      <c r="H48" s="34" t="s">
        <v>3745</v>
      </c>
      <c r="I48" s="34">
        <f t="shared" si="1"/>
        <v>0</v>
      </c>
    </row>
    <row r="49" spans="1:9" x14ac:dyDescent="0.2">
      <c r="A49" s="16" t="s">
        <v>3645</v>
      </c>
      <c r="B49" s="16" t="s">
        <v>787</v>
      </c>
      <c r="C49" s="105" t="s">
        <v>3145</v>
      </c>
      <c r="D49" s="81"/>
      <c r="E49" s="81"/>
      <c r="F49" s="81"/>
      <c r="G49" s="34">
        <f>'Stavební rozpočet'!K802</f>
        <v>0</v>
      </c>
      <c r="H49" s="34" t="s">
        <v>3745</v>
      </c>
      <c r="I49" s="34">
        <f t="shared" si="1"/>
        <v>0</v>
      </c>
    </row>
    <row r="50" spans="1:9" x14ac:dyDescent="0.2">
      <c r="A50" s="16" t="s">
        <v>3645</v>
      </c>
      <c r="B50" s="16" t="s">
        <v>790</v>
      </c>
      <c r="C50" s="105" t="s">
        <v>3156</v>
      </c>
      <c r="D50" s="81"/>
      <c r="E50" s="81"/>
      <c r="F50" s="81"/>
      <c r="G50" s="34">
        <f>'Stavební rozpočet'!K813</f>
        <v>0</v>
      </c>
      <c r="H50" s="34" t="s">
        <v>3745</v>
      </c>
      <c r="I50" s="34">
        <f t="shared" si="1"/>
        <v>0</v>
      </c>
    </row>
    <row r="51" spans="1:9" x14ac:dyDescent="0.2">
      <c r="A51" s="16" t="s">
        <v>3645</v>
      </c>
      <c r="B51" s="16" t="s">
        <v>792</v>
      </c>
      <c r="C51" s="105" t="s">
        <v>3162</v>
      </c>
      <c r="D51" s="81"/>
      <c r="E51" s="81"/>
      <c r="F51" s="81"/>
      <c r="G51" s="34">
        <f>'Stavební rozpočet'!K819</f>
        <v>0</v>
      </c>
      <c r="H51" s="34" t="s">
        <v>3745</v>
      </c>
      <c r="I51" s="34">
        <f t="shared" si="1"/>
        <v>0</v>
      </c>
    </row>
    <row r="52" spans="1:9" x14ac:dyDescent="0.2">
      <c r="A52" s="16" t="s">
        <v>3645</v>
      </c>
      <c r="B52" s="16" t="s">
        <v>797</v>
      </c>
      <c r="C52" s="105" t="s">
        <v>3166</v>
      </c>
      <c r="D52" s="81"/>
      <c r="E52" s="81"/>
      <c r="F52" s="81"/>
      <c r="G52" s="34">
        <f>'Stavební rozpočet'!K823</f>
        <v>0</v>
      </c>
      <c r="H52" s="34" t="s">
        <v>3745</v>
      </c>
      <c r="I52" s="34">
        <f t="shared" si="1"/>
        <v>0</v>
      </c>
    </row>
    <row r="53" spans="1:9" x14ac:dyDescent="0.2">
      <c r="A53" s="16" t="s">
        <v>3645</v>
      </c>
      <c r="B53" s="16" t="s">
        <v>1983</v>
      </c>
      <c r="C53" s="105" t="s">
        <v>3192</v>
      </c>
      <c r="D53" s="81"/>
      <c r="E53" s="81"/>
      <c r="F53" s="81"/>
      <c r="G53" s="34">
        <f>'Stavební rozpočet'!K849</f>
        <v>0</v>
      </c>
      <c r="H53" s="34" t="s">
        <v>3745</v>
      </c>
      <c r="I53" s="34">
        <f t="shared" si="1"/>
        <v>0</v>
      </c>
    </row>
    <row r="54" spans="1:9" x14ac:dyDescent="0.2">
      <c r="A54" s="16" t="s">
        <v>3645</v>
      </c>
      <c r="B54" s="16" t="s">
        <v>2020</v>
      </c>
      <c r="C54" s="105" t="s">
        <v>3225</v>
      </c>
      <c r="D54" s="81"/>
      <c r="E54" s="81"/>
      <c r="F54" s="81"/>
      <c r="G54" s="34">
        <f>'Stavební rozpočet'!K892</f>
        <v>0</v>
      </c>
      <c r="H54" s="34" t="s">
        <v>3745</v>
      </c>
      <c r="I54" s="34">
        <f t="shared" si="1"/>
        <v>0</v>
      </c>
    </row>
    <row r="55" spans="1:9" x14ac:dyDescent="0.2">
      <c r="A55" s="16" t="s">
        <v>3645</v>
      </c>
      <c r="B55" s="16" t="s">
        <v>2162</v>
      </c>
      <c r="C55" s="105" t="s">
        <v>3364</v>
      </c>
      <c r="D55" s="81"/>
      <c r="E55" s="81"/>
      <c r="F55" s="81"/>
      <c r="G55" s="34">
        <f>'Stavební rozpočet'!K1046</f>
        <v>0</v>
      </c>
      <c r="H55" s="34" t="s">
        <v>3745</v>
      </c>
      <c r="I55" s="34">
        <f t="shared" si="1"/>
        <v>0</v>
      </c>
    </row>
    <row r="56" spans="1:9" x14ac:dyDescent="0.2">
      <c r="A56" s="16" t="s">
        <v>3645</v>
      </c>
      <c r="B56" s="16" t="s">
        <v>2164</v>
      </c>
      <c r="C56" s="105" t="s">
        <v>3366</v>
      </c>
      <c r="D56" s="81"/>
      <c r="E56" s="81"/>
      <c r="F56" s="81"/>
      <c r="G56" s="34">
        <f>'Stavební rozpočet'!K1048</f>
        <v>0</v>
      </c>
      <c r="H56" s="34" t="s">
        <v>3745</v>
      </c>
      <c r="I56" s="34">
        <f t="shared" si="1"/>
        <v>0</v>
      </c>
    </row>
    <row r="57" spans="1:9" x14ac:dyDescent="0.2">
      <c r="A57" s="16" t="s">
        <v>3646</v>
      </c>
      <c r="B57" s="16"/>
      <c r="C57" s="105" t="s">
        <v>3370</v>
      </c>
      <c r="D57" s="81"/>
      <c r="E57" s="81"/>
      <c r="F57" s="81"/>
      <c r="G57" s="34">
        <f>'Stavební rozpočet'!K1052</f>
        <v>0</v>
      </c>
      <c r="H57" s="34" t="s">
        <v>3744</v>
      </c>
      <c r="I57" s="34">
        <f t="shared" si="1"/>
        <v>0</v>
      </c>
    </row>
    <row r="58" spans="1:9" x14ac:dyDescent="0.2">
      <c r="A58" s="16" t="s">
        <v>3646</v>
      </c>
      <c r="B58" s="16" t="s">
        <v>17</v>
      </c>
      <c r="C58" s="105" t="s">
        <v>2405</v>
      </c>
      <c r="D58" s="81"/>
      <c r="E58" s="81"/>
      <c r="F58" s="81"/>
      <c r="G58" s="34">
        <f>'Stavební rozpočet'!K1053</f>
        <v>0</v>
      </c>
      <c r="H58" s="34" t="s">
        <v>3745</v>
      </c>
      <c r="I58" s="34">
        <f t="shared" si="1"/>
        <v>0</v>
      </c>
    </row>
    <row r="59" spans="1:9" x14ac:dyDescent="0.2">
      <c r="A59" s="16" t="s">
        <v>3646</v>
      </c>
      <c r="B59" s="16" t="s">
        <v>63</v>
      </c>
      <c r="C59" s="105" t="s">
        <v>3373</v>
      </c>
      <c r="D59" s="81"/>
      <c r="E59" s="81"/>
      <c r="F59" s="81"/>
      <c r="G59" s="34">
        <f>'Stavební rozpočet'!K1056</f>
        <v>0</v>
      </c>
      <c r="H59" s="34" t="s">
        <v>3745</v>
      </c>
      <c r="I59" s="34">
        <f t="shared" si="1"/>
        <v>0</v>
      </c>
    </row>
    <row r="60" spans="1:9" x14ac:dyDescent="0.2">
      <c r="A60" s="16" t="s">
        <v>3646</v>
      </c>
      <c r="B60" s="16" t="s">
        <v>65</v>
      </c>
      <c r="C60" s="105" t="s">
        <v>3375</v>
      </c>
      <c r="D60" s="81"/>
      <c r="E60" s="81"/>
      <c r="F60" s="81"/>
      <c r="G60" s="34">
        <f>'Stavební rozpočet'!K1058</f>
        <v>0</v>
      </c>
      <c r="H60" s="34" t="s">
        <v>3745</v>
      </c>
      <c r="I60" s="34">
        <f t="shared" si="1"/>
        <v>0</v>
      </c>
    </row>
    <row r="61" spans="1:9" x14ac:dyDescent="0.2">
      <c r="A61" s="16" t="s">
        <v>3646</v>
      </c>
      <c r="B61" s="16" t="s">
        <v>97</v>
      </c>
      <c r="C61" s="105" t="s">
        <v>3379</v>
      </c>
      <c r="D61" s="81"/>
      <c r="E61" s="81"/>
      <c r="F61" s="81"/>
      <c r="G61" s="34">
        <f>'Stavební rozpočet'!K1062</f>
        <v>0</v>
      </c>
      <c r="H61" s="34" t="s">
        <v>3745</v>
      </c>
      <c r="I61" s="34">
        <f t="shared" si="1"/>
        <v>0</v>
      </c>
    </row>
    <row r="62" spans="1:9" x14ac:dyDescent="0.2">
      <c r="A62" s="16" t="s">
        <v>3646</v>
      </c>
      <c r="B62" s="16" t="s">
        <v>102</v>
      </c>
      <c r="C62" s="105" t="s">
        <v>2575</v>
      </c>
      <c r="D62" s="81"/>
      <c r="E62" s="81"/>
      <c r="F62" s="81"/>
      <c r="G62" s="34">
        <f>'Stavební rozpočet'!K1068</f>
        <v>0</v>
      </c>
      <c r="H62" s="34" t="s">
        <v>3745</v>
      </c>
      <c r="I62" s="34">
        <f t="shared" si="1"/>
        <v>0</v>
      </c>
    </row>
    <row r="63" spans="1:9" x14ac:dyDescent="0.2">
      <c r="A63" s="16" t="s">
        <v>3646</v>
      </c>
      <c r="B63" s="16" t="s">
        <v>2180</v>
      </c>
      <c r="C63" s="105" t="s">
        <v>3386</v>
      </c>
      <c r="D63" s="81"/>
      <c r="E63" s="81"/>
      <c r="F63" s="81"/>
      <c r="G63" s="34">
        <f>'Stavební rozpočet'!K1070</f>
        <v>0</v>
      </c>
      <c r="H63" s="34" t="s">
        <v>3745</v>
      </c>
      <c r="I63" s="34">
        <f t="shared" si="1"/>
        <v>0</v>
      </c>
    </row>
    <row r="64" spans="1:9" x14ac:dyDescent="0.2">
      <c r="A64" s="16" t="s">
        <v>3647</v>
      </c>
      <c r="B64" s="16"/>
      <c r="C64" s="105" t="s">
        <v>3388</v>
      </c>
      <c r="D64" s="81"/>
      <c r="E64" s="81"/>
      <c r="F64" s="81"/>
      <c r="G64" s="34">
        <f>'Stavební rozpočet'!K1072</f>
        <v>0</v>
      </c>
      <c r="H64" s="34" t="s">
        <v>3744</v>
      </c>
      <c r="I64" s="34">
        <f t="shared" si="1"/>
        <v>0</v>
      </c>
    </row>
    <row r="65" spans="1:9" x14ac:dyDescent="0.2">
      <c r="A65" s="16" t="s">
        <v>3647</v>
      </c>
      <c r="B65" s="16" t="s">
        <v>737</v>
      </c>
      <c r="C65" s="105" t="s">
        <v>2951</v>
      </c>
      <c r="D65" s="81"/>
      <c r="E65" s="81"/>
      <c r="F65" s="81"/>
      <c r="G65" s="34">
        <f>'Stavební rozpočet'!K1073</f>
        <v>0</v>
      </c>
      <c r="H65" s="34" t="s">
        <v>3745</v>
      </c>
      <c r="I65" s="34">
        <f t="shared" si="1"/>
        <v>0</v>
      </c>
    </row>
    <row r="66" spans="1:9" x14ac:dyDescent="0.2">
      <c r="A66" s="16" t="s">
        <v>3647</v>
      </c>
      <c r="B66" s="16" t="s">
        <v>2260</v>
      </c>
      <c r="C66" s="105" t="s">
        <v>3467</v>
      </c>
      <c r="D66" s="81"/>
      <c r="E66" s="81"/>
      <c r="F66" s="81"/>
      <c r="G66" s="34">
        <f>'Stavební rozpočet'!K1154</f>
        <v>0</v>
      </c>
      <c r="H66" s="34" t="s">
        <v>3745</v>
      </c>
      <c r="I66" s="34">
        <f t="shared" si="1"/>
        <v>0</v>
      </c>
    </row>
    <row r="67" spans="1:9" x14ac:dyDescent="0.2">
      <c r="A67" s="16" t="s">
        <v>3648</v>
      </c>
      <c r="B67" s="16"/>
      <c r="C67" s="105" t="s">
        <v>3520</v>
      </c>
      <c r="D67" s="81"/>
      <c r="E67" s="81"/>
      <c r="F67" s="81"/>
      <c r="G67" s="34">
        <f>'Stavební rozpočet'!K1207</f>
        <v>0</v>
      </c>
      <c r="H67" s="34" t="s">
        <v>3744</v>
      </c>
      <c r="I67" s="34">
        <f t="shared" si="1"/>
        <v>0</v>
      </c>
    </row>
    <row r="68" spans="1:9" x14ac:dyDescent="0.2">
      <c r="A68" s="16" t="s">
        <v>3648</v>
      </c>
      <c r="B68" s="16" t="s">
        <v>2313</v>
      </c>
      <c r="C68" s="105" t="s">
        <v>3521</v>
      </c>
      <c r="D68" s="81"/>
      <c r="E68" s="81"/>
      <c r="F68" s="81"/>
      <c r="G68" s="34">
        <f>'Stavební rozpočet'!K1208</f>
        <v>0</v>
      </c>
      <c r="H68" s="34" t="s">
        <v>3745</v>
      </c>
      <c r="I68" s="34">
        <f t="shared" si="1"/>
        <v>0</v>
      </c>
    </row>
    <row r="69" spans="1:9" x14ac:dyDescent="0.2">
      <c r="A69" s="16" t="s">
        <v>3648</v>
      </c>
      <c r="B69" s="16" t="s">
        <v>2324</v>
      </c>
      <c r="C69" s="105" t="s">
        <v>3532</v>
      </c>
      <c r="D69" s="81"/>
      <c r="E69" s="81"/>
      <c r="F69" s="81"/>
      <c r="G69" s="34">
        <f>'Stavební rozpočet'!K1219</f>
        <v>0</v>
      </c>
      <c r="H69" s="34" t="s">
        <v>3745</v>
      </c>
      <c r="I69" s="34">
        <f t="shared" si="1"/>
        <v>0</v>
      </c>
    </row>
    <row r="70" spans="1:9" x14ac:dyDescent="0.2">
      <c r="A70" s="16" t="s">
        <v>3648</v>
      </c>
      <c r="B70" s="16" t="s">
        <v>2329</v>
      </c>
      <c r="C70" s="105" t="s">
        <v>3537</v>
      </c>
      <c r="D70" s="81"/>
      <c r="E70" s="81"/>
      <c r="F70" s="81"/>
      <c r="G70" s="34">
        <f>'Stavební rozpočet'!K1224</f>
        <v>0</v>
      </c>
      <c r="H70" s="34" t="s">
        <v>3745</v>
      </c>
      <c r="I70" s="34">
        <f t="shared" si="1"/>
        <v>0</v>
      </c>
    </row>
    <row r="71" spans="1:9" x14ac:dyDescent="0.2">
      <c r="A71" s="16" t="s">
        <v>3649</v>
      </c>
      <c r="B71" s="16"/>
      <c r="C71" s="105" t="s">
        <v>3541</v>
      </c>
      <c r="D71" s="81"/>
      <c r="E71" s="81"/>
      <c r="F71" s="81"/>
      <c r="G71" s="34">
        <f>'Stavební rozpočet'!K1228</f>
        <v>0</v>
      </c>
      <c r="H71" s="34" t="s">
        <v>3744</v>
      </c>
      <c r="I71" s="34">
        <f t="shared" si="1"/>
        <v>0</v>
      </c>
    </row>
    <row r="72" spans="1:9" x14ac:dyDescent="0.2">
      <c r="A72" s="16" t="s">
        <v>3649</v>
      </c>
      <c r="B72" s="16" t="s">
        <v>2333</v>
      </c>
      <c r="C72" s="105" t="s">
        <v>3521</v>
      </c>
      <c r="D72" s="81"/>
      <c r="E72" s="81"/>
      <c r="F72" s="81"/>
      <c r="G72" s="34">
        <f>'Stavební rozpočet'!K1229</f>
        <v>0</v>
      </c>
      <c r="H72" s="34" t="s">
        <v>3745</v>
      </c>
      <c r="I72" s="34">
        <f t="shared" si="1"/>
        <v>0</v>
      </c>
    </row>
    <row r="73" spans="1:9" x14ac:dyDescent="0.2">
      <c r="A73" s="16" t="s">
        <v>3649</v>
      </c>
      <c r="B73" s="16" t="s">
        <v>2324</v>
      </c>
      <c r="C73" s="105" t="s">
        <v>3548</v>
      </c>
      <c r="D73" s="81"/>
      <c r="E73" s="81"/>
      <c r="F73" s="81"/>
      <c r="G73" s="34">
        <f>'Stavební rozpočet'!K1239</f>
        <v>0</v>
      </c>
      <c r="H73" s="34" t="s">
        <v>3745</v>
      </c>
      <c r="I73" s="34">
        <f t="shared" si="1"/>
        <v>0</v>
      </c>
    </row>
    <row r="74" spans="1:9" x14ac:dyDescent="0.2">
      <c r="A74" s="16" t="s">
        <v>3649</v>
      </c>
      <c r="B74" s="16" t="s">
        <v>2329</v>
      </c>
      <c r="C74" s="105" t="s">
        <v>3537</v>
      </c>
      <c r="D74" s="81"/>
      <c r="E74" s="81"/>
      <c r="F74" s="81"/>
      <c r="G74" s="34">
        <f>'Stavební rozpočet'!K1251</f>
        <v>0</v>
      </c>
      <c r="H74" s="34" t="s">
        <v>3745</v>
      </c>
      <c r="I74" s="34">
        <f t="shared" si="1"/>
        <v>0</v>
      </c>
    </row>
    <row r="75" spans="1:9" x14ac:dyDescent="0.2">
      <c r="A75" s="16" t="s">
        <v>3650</v>
      </c>
      <c r="B75" s="16"/>
      <c r="C75" s="105" t="s">
        <v>3560</v>
      </c>
      <c r="D75" s="81"/>
      <c r="E75" s="81"/>
      <c r="F75" s="81"/>
      <c r="G75" s="34">
        <f>'Stavební rozpočet'!K1255</f>
        <v>0</v>
      </c>
      <c r="H75" s="34" t="s">
        <v>3744</v>
      </c>
      <c r="I75" s="34">
        <f t="shared" ref="I75:I78" si="2">IF(H75="F",0,G75)</f>
        <v>0</v>
      </c>
    </row>
    <row r="76" spans="1:9" x14ac:dyDescent="0.2">
      <c r="A76" s="16" t="s">
        <v>3650</v>
      </c>
      <c r="B76" s="16" t="s">
        <v>727</v>
      </c>
      <c r="C76" s="105" t="s">
        <v>3561</v>
      </c>
      <c r="D76" s="81"/>
      <c r="E76" s="81"/>
      <c r="F76" s="81"/>
      <c r="G76" s="34">
        <f>'Stavební rozpočet'!K1256</f>
        <v>0</v>
      </c>
      <c r="H76" s="34" t="s">
        <v>3745</v>
      </c>
      <c r="I76" s="34">
        <f t="shared" si="2"/>
        <v>0</v>
      </c>
    </row>
    <row r="77" spans="1:9" x14ac:dyDescent="0.2">
      <c r="A77" s="16" t="s">
        <v>3651</v>
      </c>
      <c r="B77" s="16"/>
      <c r="C77" s="105" t="s">
        <v>3595</v>
      </c>
      <c r="D77" s="81"/>
      <c r="E77" s="81"/>
      <c r="F77" s="81"/>
      <c r="G77" s="34">
        <f>'Stavební rozpočet'!K1295</f>
        <v>0</v>
      </c>
      <c r="H77" s="34" t="s">
        <v>3744</v>
      </c>
      <c r="I77" s="34">
        <f t="shared" si="2"/>
        <v>0</v>
      </c>
    </row>
    <row r="78" spans="1:9" x14ac:dyDescent="0.2">
      <c r="A78" s="16" t="s">
        <v>3651</v>
      </c>
      <c r="B78" s="16" t="s">
        <v>2395</v>
      </c>
      <c r="C78" s="105" t="s">
        <v>3596</v>
      </c>
      <c r="D78" s="81"/>
      <c r="E78" s="81"/>
      <c r="F78" s="81"/>
      <c r="G78" s="34">
        <f>'Stavební rozpočet'!K1296</f>
        <v>0</v>
      </c>
      <c r="H78" s="34" t="s">
        <v>3745</v>
      </c>
      <c r="I78" s="34">
        <f t="shared" si="2"/>
        <v>0</v>
      </c>
    </row>
    <row r="80" spans="1:9" x14ac:dyDescent="0.2">
      <c r="F80" s="43" t="s">
        <v>3742</v>
      </c>
      <c r="G80" s="46">
        <f>SUM(I11:I78)</f>
        <v>0</v>
      </c>
    </row>
  </sheetData>
  <mergeCells count="86">
    <mergeCell ref="A4:A5"/>
    <mergeCell ref="B4:C5"/>
    <mergeCell ref="D4:D5"/>
    <mergeCell ref="E4:G5"/>
    <mergeCell ref="A1:G1"/>
    <mergeCell ref="A2:A3"/>
    <mergeCell ref="B2:C3"/>
    <mergeCell ref="D2:D3"/>
    <mergeCell ref="E2:G3"/>
    <mergeCell ref="A6:A7"/>
    <mergeCell ref="B6:C7"/>
    <mergeCell ref="D6:D7"/>
    <mergeCell ref="E6:G7"/>
    <mergeCell ref="A8:A9"/>
    <mergeCell ref="B8:C9"/>
    <mergeCell ref="D8:D9"/>
    <mergeCell ref="E8:G9"/>
    <mergeCell ref="C21:F21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69:F69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76:F76"/>
    <mergeCell ref="C77:F77"/>
    <mergeCell ref="C78:F78"/>
    <mergeCell ref="C70:F70"/>
    <mergeCell ref="C71:F71"/>
    <mergeCell ref="C72:F72"/>
    <mergeCell ref="C73:F73"/>
    <mergeCell ref="C74:F74"/>
    <mergeCell ref="C75:F75"/>
  </mergeCells>
  <pageMargins left="0.39400000000000002" right="0.39400000000000002" top="0.59099999999999997" bottom="0.59099999999999997" header="0.5" footer="0.5"/>
  <pageSetup paperSize="0" fitToHeight="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304"/>
  <sheetViews>
    <sheetView workbookViewId="0">
      <pane ySplit="11" topLeftCell="A21" activePane="bottomLeft" state="frozenSplit"/>
      <selection pane="bottomLeft" activeCell="C38" sqref="C38:G38"/>
    </sheetView>
  </sheetViews>
  <sheetFormatPr defaultColWidth="11.5703125" defaultRowHeight="12.75" x14ac:dyDescent="0.2"/>
  <cols>
    <col min="1" max="1" width="5" customWidth="1"/>
    <col min="2" max="2" width="14.28515625" customWidth="1"/>
    <col min="3" max="3" width="131.42578125" customWidth="1"/>
    <col min="8" max="8" width="7.42578125" customWidth="1"/>
    <col min="9" max="9" width="12.85546875" customWidth="1"/>
    <col min="10" max="10" width="12" customWidth="1"/>
    <col min="11" max="11" width="14.28515625" customWidth="1"/>
    <col min="12" max="12" width="11.7109375" hidden="1" customWidth="1"/>
    <col min="25" max="62" width="12.140625" hidden="1" customWidth="1"/>
  </cols>
  <sheetData>
    <row r="1" spans="1:62" ht="72.95" customHeight="1" x14ac:dyDescent="0.35">
      <c r="A1" s="127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62" x14ac:dyDescent="0.2">
      <c r="A2" s="112" t="s">
        <v>1</v>
      </c>
      <c r="B2" s="113"/>
      <c r="C2" s="114" t="s">
        <v>2401</v>
      </c>
      <c r="D2" s="144" t="s">
        <v>3602</v>
      </c>
      <c r="E2" s="113"/>
      <c r="F2" s="144" t="s">
        <v>6</v>
      </c>
      <c r="G2" s="117" t="s">
        <v>3606</v>
      </c>
      <c r="H2" s="144" t="s">
        <v>3610</v>
      </c>
      <c r="I2" s="113"/>
      <c r="J2" s="113"/>
      <c r="K2" s="113"/>
      <c r="L2" s="128"/>
      <c r="M2" s="32"/>
    </row>
    <row r="3" spans="1:62" x14ac:dyDescent="0.2">
      <c r="A3" s="104"/>
      <c r="B3" s="81"/>
      <c r="C3" s="116"/>
      <c r="D3" s="81"/>
      <c r="E3" s="81"/>
      <c r="F3" s="81"/>
      <c r="G3" s="81"/>
      <c r="H3" s="81"/>
      <c r="I3" s="81"/>
      <c r="J3" s="81"/>
      <c r="K3" s="81"/>
      <c r="L3" s="107"/>
      <c r="M3" s="32"/>
    </row>
    <row r="4" spans="1:62" x14ac:dyDescent="0.2">
      <c r="A4" s="103" t="s">
        <v>2</v>
      </c>
      <c r="B4" s="81"/>
      <c r="C4" s="80" t="s">
        <v>6</v>
      </c>
      <c r="D4" s="105" t="s">
        <v>3603</v>
      </c>
      <c r="E4" s="81"/>
      <c r="F4" s="105"/>
      <c r="G4" s="80" t="s">
        <v>3607</v>
      </c>
      <c r="H4" s="105" t="s">
        <v>3610</v>
      </c>
      <c r="I4" s="81"/>
      <c r="J4" s="81"/>
      <c r="K4" s="81"/>
      <c r="L4" s="107"/>
      <c r="M4" s="32"/>
    </row>
    <row r="5" spans="1:62" x14ac:dyDescent="0.2">
      <c r="A5" s="104"/>
      <c r="B5" s="81"/>
      <c r="C5" s="81"/>
      <c r="D5" s="81"/>
      <c r="E5" s="81"/>
      <c r="F5" s="81"/>
      <c r="G5" s="81"/>
      <c r="H5" s="81"/>
      <c r="I5" s="81"/>
      <c r="J5" s="81"/>
      <c r="K5" s="81"/>
      <c r="L5" s="107"/>
      <c r="M5" s="32"/>
    </row>
    <row r="6" spans="1:62" x14ac:dyDescent="0.2">
      <c r="A6" s="103" t="s">
        <v>3</v>
      </c>
      <c r="B6" s="81"/>
      <c r="C6" s="80" t="s">
        <v>6</v>
      </c>
      <c r="D6" s="105" t="s">
        <v>3604</v>
      </c>
      <c r="E6" s="81"/>
      <c r="F6" s="105"/>
      <c r="G6" s="80" t="s">
        <v>3608</v>
      </c>
      <c r="H6" s="105" t="s">
        <v>3610</v>
      </c>
      <c r="I6" s="81"/>
      <c r="J6" s="81"/>
      <c r="K6" s="81"/>
      <c r="L6" s="107"/>
      <c r="M6" s="32"/>
    </row>
    <row r="7" spans="1:62" x14ac:dyDescent="0.2">
      <c r="A7" s="104"/>
      <c r="B7" s="81"/>
      <c r="C7" s="81"/>
      <c r="D7" s="81"/>
      <c r="E7" s="81"/>
      <c r="F7" s="81"/>
      <c r="G7" s="81"/>
      <c r="H7" s="81"/>
      <c r="I7" s="81"/>
      <c r="J7" s="81"/>
      <c r="K7" s="81"/>
      <c r="L7" s="107"/>
      <c r="M7" s="32"/>
    </row>
    <row r="8" spans="1:62" x14ac:dyDescent="0.2">
      <c r="A8" s="103" t="s">
        <v>4</v>
      </c>
      <c r="B8" s="81"/>
      <c r="C8" s="80" t="s">
        <v>6</v>
      </c>
      <c r="D8" s="105" t="s">
        <v>3605</v>
      </c>
      <c r="E8" s="81"/>
      <c r="F8" s="105"/>
      <c r="G8" s="80" t="s">
        <v>3609</v>
      </c>
      <c r="H8" s="105" t="s">
        <v>3610</v>
      </c>
      <c r="I8" s="81"/>
      <c r="J8" s="81"/>
      <c r="K8" s="81"/>
      <c r="L8" s="107"/>
      <c r="M8" s="32"/>
    </row>
    <row r="9" spans="1:62" x14ac:dyDescent="0.2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6"/>
      <c r="M9" s="32"/>
    </row>
    <row r="10" spans="1:62" x14ac:dyDescent="0.2">
      <c r="A10" s="1" t="s">
        <v>5</v>
      </c>
      <c r="B10" s="11" t="s">
        <v>1224</v>
      </c>
      <c r="C10" s="145" t="s">
        <v>2402</v>
      </c>
      <c r="D10" s="146"/>
      <c r="E10" s="146"/>
      <c r="F10" s="146"/>
      <c r="G10" s="147"/>
      <c r="H10" s="11" t="s">
        <v>3611</v>
      </c>
      <c r="I10" s="17" t="s">
        <v>3628</v>
      </c>
      <c r="J10" s="21" t="s">
        <v>3629</v>
      </c>
      <c r="K10" s="23" t="s">
        <v>3631</v>
      </c>
      <c r="L10" s="23" t="s">
        <v>3633</v>
      </c>
      <c r="M10" s="33"/>
    </row>
    <row r="11" spans="1:62" x14ac:dyDescent="0.2">
      <c r="A11" s="2" t="s">
        <v>6</v>
      </c>
      <c r="B11" s="12" t="s">
        <v>6</v>
      </c>
      <c r="C11" s="148" t="s">
        <v>2403</v>
      </c>
      <c r="D11" s="149"/>
      <c r="E11" s="149"/>
      <c r="F11" s="149"/>
      <c r="G11" s="150"/>
      <c r="H11" s="12" t="s">
        <v>6</v>
      </c>
      <c r="I11" s="12" t="s">
        <v>6</v>
      </c>
      <c r="J11" s="22" t="s">
        <v>3630</v>
      </c>
      <c r="K11" s="24" t="s">
        <v>3632</v>
      </c>
      <c r="L11" s="25" t="s">
        <v>3634</v>
      </c>
      <c r="M11" s="33"/>
      <c r="Z11" s="27" t="s">
        <v>3636</v>
      </c>
      <c r="AA11" s="27" t="s">
        <v>3637</v>
      </c>
      <c r="AB11" s="27" t="s">
        <v>3638</v>
      </c>
      <c r="AC11" s="27" t="s">
        <v>3639</v>
      </c>
      <c r="AD11" s="27" t="s">
        <v>3640</v>
      </c>
      <c r="AE11" s="27" t="s">
        <v>3641</v>
      </c>
      <c r="AF11" s="27" t="s">
        <v>3642</v>
      </c>
      <c r="AG11" s="27" t="s">
        <v>3643</v>
      </c>
      <c r="AH11" s="27" t="s">
        <v>3644</v>
      </c>
      <c r="BH11" s="27" t="s">
        <v>3736</v>
      </c>
      <c r="BI11" s="27" t="s">
        <v>3737</v>
      </c>
      <c r="BJ11" s="27" t="s">
        <v>3738</v>
      </c>
    </row>
    <row r="12" spans="1:62" x14ac:dyDescent="0.2">
      <c r="A12" s="3"/>
      <c r="B12" s="13"/>
      <c r="C12" s="151" t="s">
        <v>2404</v>
      </c>
      <c r="D12" s="152"/>
      <c r="E12" s="152"/>
      <c r="F12" s="152"/>
      <c r="G12" s="152"/>
      <c r="H12" s="3" t="s">
        <v>6</v>
      </c>
      <c r="I12" s="3" t="s">
        <v>6</v>
      </c>
      <c r="J12" s="3" t="s">
        <v>6</v>
      </c>
      <c r="K12" s="36">
        <f>K13+K15+K22+K36+K41+K45+K47+K50+K83+K85+K103+K121+K127+K143+K154+K169+K171+K182+K186+K225+K265+K285+K287+K289+K309+K319+K338+K414+K500+K596+K667+K677+K694+K720+K773+K786+K796+K802+K813+K819+K823+K849+K892+K1046+K1048</f>
        <v>0</v>
      </c>
      <c r="L12" s="26"/>
    </row>
    <row r="13" spans="1:62" x14ac:dyDescent="0.2">
      <c r="A13" s="4"/>
      <c r="B13" s="14" t="s">
        <v>17</v>
      </c>
      <c r="C13" s="133" t="s">
        <v>2405</v>
      </c>
      <c r="D13" s="134"/>
      <c r="E13" s="134"/>
      <c r="F13" s="134"/>
      <c r="G13" s="134"/>
      <c r="H13" s="4" t="s">
        <v>6</v>
      </c>
      <c r="I13" s="4" t="s">
        <v>6</v>
      </c>
      <c r="J13" s="4" t="s">
        <v>6</v>
      </c>
      <c r="K13" s="37">
        <f>SUM(K14:K14)</f>
        <v>0</v>
      </c>
      <c r="L13" s="27"/>
      <c r="AI13" s="27" t="s">
        <v>3645</v>
      </c>
      <c r="AS13" s="37">
        <f>SUM(AJ14:AJ14)</f>
        <v>0</v>
      </c>
      <c r="AT13" s="37">
        <f>SUM(AK14:AK14)</f>
        <v>0</v>
      </c>
      <c r="AU13" s="37">
        <f>SUM(AL14:AL14)</f>
        <v>0</v>
      </c>
    </row>
    <row r="14" spans="1:62" x14ac:dyDescent="0.2">
      <c r="A14" s="5" t="s">
        <v>7</v>
      </c>
      <c r="B14" s="5" t="s">
        <v>1225</v>
      </c>
      <c r="C14" s="135" t="s">
        <v>2406</v>
      </c>
      <c r="D14" s="136"/>
      <c r="E14" s="136"/>
      <c r="F14" s="136"/>
      <c r="G14" s="136"/>
      <c r="H14" s="5" t="s">
        <v>3612</v>
      </c>
      <c r="I14" s="18">
        <v>1</v>
      </c>
      <c r="J14" s="18">
        <v>0</v>
      </c>
      <c r="K14" s="18">
        <f>I14*J14</f>
        <v>0</v>
      </c>
      <c r="L14" s="28" t="s">
        <v>3635</v>
      </c>
      <c r="Z14" s="34">
        <f>IF(AQ14="5",BJ14,0)</f>
        <v>0</v>
      </c>
      <c r="AB14" s="34">
        <f>IF(AQ14="1",BH14,0)</f>
        <v>0</v>
      </c>
      <c r="AC14" s="34">
        <f>IF(AQ14="1",BI14,0)</f>
        <v>0</v>
      </c>
      <c r="AD14" s="34">
        <f>IF(AQ14="7",BH14,0)</f>
        <v>0</v>
      </c>
      <c r="AE14" s="34">
        <f>IF(AQ14="7",BI14,0)</f>
        <v>0</v>
      </c>
      <c r="AF14" s="34">
        <f>IF(AQ14="2",BH14,0)</f>
        <v>0</v>
      </c>
      <c r="AG14" s="34">
        <f>IF(AQ14="2",BI14,0)</f>
        <v>0</v>
      </c>
      <c r="AH14" s="34">
        <f>IF(AQ14="0",BJ14,0)</f>
        <v>0</v>
      </c>
      <c r="AI14" s="27" t="s">
        <v>3645</v>
      </c>
      <c r="AJ14" s="18">
        <f>IF(AN14=0,K14,0)</f>
        <v>0</v>
      </c>
      <c r="AK14" s="18">
        <f>IF(AN14=15,K14,0)</f>
        <v>0</v>
      </c>
      <c r="AL14" s="18">
        <f>IF(AN14=21,K14,0)</f>
        <v>0</v>
      </c>
      <c r="AN14" s="34">
        <v>21</v>
      </c>
      <c r="AO14" s="34">
        <f>J14*0.042372</f>
        <v>0</v>
      </c>
      <c r="AP14" s="34">
        <f>J14*(1-0.042372)</f>
        <v>0</v>
      </c>
      <c r="AQ14" s="28" t="s">
        <v>7</v>
      </c>
      <c r="AV14" s="34">
        <f>AW14+AX14</f>
        <v>0</v>
      </c>
      <c r="AW14" s="34">
        <f>I14*AO14</f>
        <v>0</v>
      </c>
      <c r="AX14" s="34">
        <f>I14*AP14</f>
        <v>0</v>
      </c>
      <c r="AY14" s="35" t="s">
        <v>3652</v>
      </c>
      <c r="AZ14" s="35" t="s">
        <v>3707</v>
      </c>
      <c r="BA14" s="27" t="s">
        <v>3729</v>
      </c>
      <c r="BC14" s="34">
        <f>AW14+AX14</f>
        <v>0</v>
      </c>
      <c r="BD14" s="34">
        <f>J14/(100-BE14)*100</f>
        <v>0</v>
      </c>
      <c r="BE14" s="34">
        <v>0</v>
      </c>
      <c r="BF14" s="34">
        <f>14</f>
        <v>14</v>
      </c>
      <c r="BH14" s="18">
        <f>I14*AO14</f>
        <v>0</v>
      </c>
      <c r="BI14" s="18">
        <f>I14*AP14</f>
        <v>0</v>
      </c>
      <c r="BJ14" s="18">
        <f>I14*J14</f>
        <v>0</v>
      </c>
    </row>
    <row r="15" spans="1:62" x14ac:dyDescent="0.2">
      <c r="A15" s="4"/>
      <c r="B15" s="14" t="s">
        <v>18</v>
      </c>
      <c r="C15" s="133" t="s">
        <v>2407</v>
      </c>
      <c r="D15" s="134"/>
      <c r="E15" s="134"/>
      <c r="F15" s="134"/>
      <c r="G15" s="134"/>
      <c r="H15" s="4" t="s">
        <v>6</v>
      </c>
      <c r="I15" s="4" t="s">
        <v>6</v>
      </c>
      <c r="J15" s="4" t="s">
        <v>6</v>
      </c>
      <c r="K15" s="37">
        <f>SUM(K16:K21)</f>
        <v>0</v>
      </c>
      <c r="L15" s="27"/>
      <c r="AI15" s="27" t="s">
        <v>3645</v>
      </c>
      <c r="AS15" s="37">
        <f>SUM(AJ16:AJ21)</f>
        <v>0</v>
      </c>
      <c r="AT15" s="37">
        <f>SUM(AK16:AK21)</f>
        <v>0</v>
      </c>
      <c r="AU15" s="37">
        <f>SUM(AL16:AL21)</f>
        <v>0</v>
      </c>
    </row>
    <row r="16" spans="1:62" x14ac:dyDescent="0.2">
      <c r="A16" s="5" t="s">
        <v>8</v>
      </c>
      <c r="B16" s="5" t="s">
        <v>1226</v>
      </c>
      <c r="C16" s="135" t="s">
        <v>2408</v>
      </c>
      <c r="D16" s="136"/>
      <c r="E16" s="136"/>
      <c r="F16" s="136"/>
      <c r="G16" s="136"/>
      <c r="H16" s="5" t="s">
        <v>3613</v>
      </c>
      <c r="I16" s="18">
        <v>12.776999999999999</v>
      </c>
      <c r="J16" s="18">
        <v>0</v>
      </c>
      <c r="K16" s="18">
        <f t="shared" ref="K16:K21" si="0">I16*J16</f>
        <v>0</v>
      </c>
      <c r="L16" s="28" t="s">
        <v>3635</v>
      </c>
      <c r="Z16" s="34">
        <f t="shared" ref="Z16:Z21" si="1">IF(AQ16="5",BJ16,0)</f>
        <v>0</v>
      </c>
      <c r="AB16" s="34">
        <f t="shared" ref="AB16:AB21" si="2">IF(AQ16="1",BH16,0)</f>
        <v>0</v>
      </c>
      <c r="AC16" s="34">
        <f t="shared" ref="AC16:AC21" si="3">IF(AQ16="1",BI16,0)</f>
        <v>0</v>
      </c>
      <c r="AD16" s="34">
        <f t="shared" ref="AD16:AD21" si="4">IF(AQ16="7",BH16,0)</f>
        <v>0</v>
      </c>
      <c r="AE16" s="34">
        <f t="shared" ref="AE16:AE21" si="5">IF(AQ16="7",BI16,0)</f>
        <v>0</v>
      </c>
      <c r="AF16" s="34">
        <f t="shared" ref="AF16:AF21" si="6">IF(AQ16="2",BH16,0)</f>
        <v>0</v>
      </c>
      <c r="AG16" s="34">
        <f t="shared" ref="AG16:AG21" si="7">IF(AQ16="2",BI16,0)</f>
        <v>0</v>
      </c>
      <c r="AH16" s="34">
        <f t="shared" ref="AH16:AH21" si="8">IF(AQ16="0",BJ16,0)</f>
        <v>0</v>
      </c>
      <c r="AI16" s="27" t="s">
        <v>3645</v>
      </c>
      <c r="AJ16" s="18">
        <f t="shared" ref="AJ16:AJ21" si="9">IF(AN16=0,K16,0)</f>
        <v>0</v>
      </c>
      <c r="AK16" s="18">
        <f t="shared" ref="AK16:AK21" si="10">IF(AN16=15,K16,0)</f>
        <v>0</v>
      </c>
      <c r="AL16" s="18">
        <f t="shared" ref="AL16:AL21" si="11">IF(AN16=21,K16,0)</f>
        <v>0</v>
      </c>
      <c r="AN16" s="34">
        <v>21</v>
      </c>
      <c r="AO16" s="34">
        <f t="shared" ref="AO16:AO21" si="12">J16*0</f>
        <v>0</v>
      </c>
      <c r="AP16" s="34">
        <f t="shared" ref="AP16:AP21" si="13">J16*(1-0)</f>
        <v>0</v>
      </c>
      <c r="AQ16" s="28" t="s">
        <v>7</v>
      </c>
      <c r="AV16" s="34">
        <f t="shared" ref="AV16:AV21" si="14">AW16+AX16</f>
        <v>0</v>
      </c>
      <c r="AW16" s="34">
        <f t="shared" ref="AW16:AW21" si="15">I16*AO16</f>
        <v>0</v>
      </c>
      <c r="AX16" s="34">
        <f t="shared" ref="AX16:AX21" si="16">I16*AP16</f>
        <v>0</v>
      </c>
      <c r="AY16" s="35" t="s">
        <v>3653</v>
      </c>
      <c r="AZ16" s="35" t="s">
        <v>3707</v>
      </c>
      <c r="BA16" s="27" t="s">
        <v>3729</v>
      </c>
      <c r="BC16" s="34">
        <f t="shared" ref="BC16:BC21" si="17">AW16+AX16</f>
        <v>0</v>
      </c>
      <c r="BD16" s="34">
        <f t="shared" ref="BD16:BD21" si="18">J16/(100-BE16)*100</f>
        <v>0</v>
      </c>
      <c r="BE16" s="34">
        <v>0</v>
      </c>
      <c r="BF16" s="34">
        <f>16</f>
        <v>16</v>
      </c>
      <c r="BH16" s="18">
        <f t="shared" ref="BH16:BH21" si="19">I16*AO16</f>
        <v>0</v>
      </c>
      <c r="BI16" s="18">
        <f t="shared" ref="BI16:BI21" si="20">I16*AP16</f>
        <v>0</v>
      </c>
      <c r="BJ16" s="18">
        <f t="shared" ref="BJ16:BJ21" si="21">I16*J16</f>
        <v>0</v>
      </c>
    </row>
    <row r="17" spans="1:62" x14ac:dyDescent="0.2">
      <c r="A17" s="5" t="s">
        <v>9</v>
      </c>
      <c r="B17" s="5" t="s">
        <v>1227</v>
      </c>
      <c r="C17" s="135" t="s">
        <v>2409</v>
      </c>
      <c r="D17" s="136"/>
      <c r="E17" s="136"/>
      <c r="F17" s="136"/>
      <c r="G17" s="136"/>
      <c r="H17" s="5" t="s">
        <v>3613</v>
      </c>
      <c r="I17" s="18">
        <v>98.71705</v>
      </c>
      <c r="J17" s="18">
        <v>0</v>
      </c>
      <c r="K17" s="18">
        <f t="shared" si="0"/>
        <v>0</v>
      </c>
      <c r="L17" s="28" t="s">
        <v>3635</v>
      </c>
      <c r="Z17" s="34">
        <f t="shared" si="1"/>
        <v>0</v>
      </c>
      <c r="AB17" s="34">
        <f t="shared" si="2"/>
        <v>0</v>
      </c>
      <c r="AC17" s="34">
        <f t="shared" si="3"/>
        <v>0</v>
      </c>
      <c r="AD17" s="34">
        <f t="shared" si="4"/>
        <v>0</v>
      </c>
      <c r="AE17" s="34">
        <f t="shared" si="5"/>
        <v>0</v>
      </c>
      <c r="AF17" s="34">
        <f t="shared" si="6"/>
        <v>0</v>
      </c>
      <c r="AG17" s="34">
        <f t="shared" si="7"/>
        <v>0</v>
      </c>
      <c r="AH17" s="34">
        <f t="shared" si="8"/>
        <v>0</v>
      </c>
      <c r="AI17" s="27" t="s">
        <v>3645</v>
      </c>
      <c r="AJ17" s="18">
        <f t="shared" si="9"/>
        <v>0</v>
      </c>
      <c r="AK17" s="18">
        <f t="shared" si="10"/>
        <v>0</v>
      </c>
      <c r="AL17" s="18">
        <f t="shared" si="11"/>
        <v>0</v>
      </c>
      <c r="AN17" s="34">
        <v>21</v>
      </c>
      <c r="AO17" s="34">
        <f t="shared" si="12"/>
        <v>0</v>
      </c>
      <c r="AP17" s="34">
        <f t="shared" si="13"/>
        <v>0</v>
      </c>
      <c r="AQ17" s="28" t="s">
        <v>7</v>
      </c>
      <c r="AV17" s="34">
        <f t="shared" si="14"/>
        <v>0</v>
      </c>
      <c r="AW17" s="34">
        <f t="shared" si="15"/>
        <v>0</v>
      </c>
      <c r="AX17" s="34">
        <f t="shared" si="16"/>
        <v>0</v>
      </c>
      <c r="AY17" s="35" t="s">
        <v>3653</v>
      </c>
      <c r="AZ17" s="35" t="s">
        <v>3707</v>
      </c>
      <c r="BA17" s="27" t="s">
        <v>3729</v>
      </c>
      <c r="BC17" s="34">
        <f t="shared" si="17"/>
        <v>0</v>
      </c>
      <c r="BD17" s="34">
        <f t="shared" si="18"/>
        <v>0</v>
      </c>
      <c r="BE17" s="34">
        <v>0</v>
      </c>
      <c r="BF17" s="34">
        <f>17</f>
        <v>17</v>
      </c>
      <c r="BH17" s="18">
        <f t="shared" si="19"/>
        <v>0</v>
      </c>
      <c r="BI17" s="18">
        <f t="shared" si="20"/>
        <v>0</v>
      </c>
      <c r="BJ17" s="18">
        <f t="shared" si="21"/>
        <v>0</v>
      </c>
    </row>
    <row r="18" spans="1:62" x14ac:dyDescent="0.2">
      <c r="A18" s="5" t="s">
        <v>10</v>
      </c>
      <c r="B18" s="5" t="s">
        <v>1228</v>
      </c>
      <c r="C18" s="135" t="s">
        <v>2410</v>
      </c>
      <c r="D18" s="136"/>
      <c r="E18" s="136"/>
      <c r="F18" s="136"/>
      <c r="G18" s="136"/>
      <c r="H18" s="5" t="s">
        <v>3613</v>
      </c>
      <c r="I18" s="18">
        <v>407.20783</v>
      </c>
      <c r="J18" s="18">
        <v>0</v>
      </c>
      <c r="K18" s="18">
        <f t="shared" si="0"/>
        <v>0</v>
      </c>
      <c r="L18" s="28" t="s">
        <v>3635</v>
      </c>
      <c r="Z18" s="34">
        <f t="shared" si="1"/>
        <v>0</v>
      </c>
      <c r="AB18" s="34">
        <f t="shared" si="2"/>
        <v>0</v>
      </c>
      <c r="AC18" s="34">
        <f t="shared" si="3"/>
        <v>0</v>
      </c>
      <c r="AD18" s="34">
        <f t="shared" si="4"/>
        <v>0</v>
      </c>
      <c r="AE18" s="34">
        <f t="shared" si="5"/>
        <v>0</v>
      </c>
      <c r="AF18" s="34">
        <f t="shared" si="6"/>
        <v>0</v>
      </c>
      <c r="AG18" s="34">
        <f t="shared" si="7"/>
        <v>0</v>
      </c>
      <c r="AH18" s="34">
        <f t="shared" si="8"/>
        <v>0</v>
      </c>
      <c r="AI18" s="27" t="s">
        <v>3645</v>
      </c>
      <c r="AJ18" s="18">
        <f t="shared" si="9"/>
        <v>0</v>
      </c>
      <c r="AK18" s="18">
        <f t="shared" si="10"/>
        <v>0</v>
      </c>
      <c r="AL18" s="18">
        <f t="shared" si="11"/>
        <v>0</v>
      </c>
      <c r="AN18" s="34">
        <v>21</v>
      </c>
      <c r="AO18" s="34">
        <f t="shared" si="12"/>
        <v>0</v>
      </c>
      <c r="AP18" s="34">
        <f t="shared" si="13"/>
        <v>0</v>
      </c>
      <c r="AQ18" s="28" t="s">
        <v>7</v>
      </c>
      <c r="AV18" s="34">
        <f t="shared" si="14"/>
        <v>0</v>
      </c>
      <c r="AW18" s="34">
        <f t="shared" si="15"/>
        <v>0</v>
      </c>
      <c r="AX18" s="34">
        <f t="shared" si="16"/>
        <v>0</v>
      </c>
      <c r="AY18" s="35" t="s">
        <v>3653</v>
      </c>
      <c r="AZ18" s="35" t="s">
        <v>3707</v>
      </c>
      <c r="BA18" s="27" t="s">
        <v>3729</v>
      </c>
      <c r="BC18" s="34">
        <f t="shared" si="17"/>
        <v>0</v>
      </c>
      <c r="BD18" s="34">
        <f t="shared" si="18"/>
        <v>0</v>
      </c>
      <c r="BE18" s="34">
        <v>0</v>
      </c>
      <c r="BF18" s="34">
        <f>18</f>
        <v>18</v>
      </c>
      <c r="BH18" s="18">
        <f t="shared" si="19"/>
        <v>0</v>
      </c>
      <c r="BI18" s="18">
        <f t="shared" si="20"/>
        <v>0</v>
      </c>
      <c r="BJ18" s="18">
        <f t="shared" si="21"/>
        <v>0</v>
      </c>
    </row>
    <row r="19" spans="1:62" x14ac:dyDescent="0.2">
      <c r="A19" s="5" t="s">
        <v>11</v>
      </c>
      <c r="B19" s="5" t="s">
        <v>1229</v>
      </c>
      <c r="C19" s="135" t="s">
        <v>2411</v>
      </c>
      <c r="D19" s="136"/>
      <c r="E19" s="136"/>
      <c r="F19" s="136"/>
      <c r="G19" s="136"/>
      <c r="H19" s="5" t="s">
        <v>3613</v>
      </c>
      <c r="I19" s="18">
        <v>407.20783</v>
      </c>
      <c r="J19" s="18">
        <v>0</v>
      </c>
      <c r="K19" s="18">
        <f t="shared" si="0"/>
        <v>0</v>
      </c>
      <c r="L19" s="28" t="s">
        <v>3635</v>
      </c>
      <c r="Z19" s="34">
        <f t="shared" si="1"/>
        <v>0</v>
      </c>
      <c r="AB19" s="34">
        <f t="shared" si="2"/>
        <v>0</v>
      </c>
      <c r="AC19" s="34">
        <f t="shared" si="3"/>
        <v>0</v>
      </c>
      <c r="AD19" s="34">
        <f t="shared" si="4"/>
        <v>0</v>
      </c>
      <c r="AE19" s="34">
        <f t="shared" si="5"/>
        <v>0</v>
      </c>
      <c r="AF19" s="34">
        <f t="shared" si="6"/>
        <v>0</v>
      </c>
      <c r="AG19" s="34">
        <f t="shared" si="7"/>
        <v>0</v>
      </c>
      <c r="AH19" s="34">
        <f t="shared" si="8"/>
        <v>0</v>
      </c>
      <c r="AI19" s="27" t="s">
        <v>3645</v>
      </c>
      <c r="AJ19" s="18">
        <f t="shared" si="9"/>
        <v>0</v>
      </c>
      <c r="AK19" s="18">
        <f t="shared" si="10"/>
        <v>0</v>
      </c>
      <c r="AL19" s="18">
        <f t="shared" si="11"/>
        <v>0</v>
      </c>
      <c r="AN19" s="34">
        <v>21</v>
      </c>
      <c r="AO19" s="34">
        <f t="shared" si="12"/>
        <v>0</v>
      </c>
      <c r="AP19" s="34">
        <f t="shared" si="13"/>
        <v>0</v>
      </c>
      <c r="AQ19" s="28" t="s">
        <v>7</v>
      </c>
      <c r="AV19" s="34">
        <f t="shared" si="14"/>
        <v>0</v>
      </c>
      <c r="AW19" s="34">
        <f t="shared" si="15"/>
        <v>0</v>
      </c>
      <c r="AX19" s="34">
        <f t="shared" si="16"/>
        <v>0</v>
      </c>
      <c r="AY19" s="35" t="s">
        <v>3653</v>
      </c>
      <c r="AZ19" s="35" t="s">
        <v>3707</v>
      </c>
      <c r="BA19" s="27" t="s">
        <v>3729</v>
      </c>
      <c r="BC19" s="34">
        <f t="shared" si="17"/>
        <v>0</v>
      </c>
      <c r="BD19" s="34">
        <f t="shared" si="18"/>
        <v>0</v>
      </c>
      <c r="BE19" s="34">
        <v>0</v>
      </c>
      <c r="BF19" s="34">
        <f>19</f>
        <v>19</v>
      </c>
      <c r="BH19" s="18">
        <f t="shared" si="19"/>
        <v>0</v>
      </c>
      <c r="BI19" s="18">
        <f t="shared" si="20"/>
        <v>0</v>
      </c>
      <c r="BJ19" s="18">
        <f t="shared" si="21"/>
        <v>0</v>
      </c>
    </row>
    <row r="20" spans="1:62" x14ac:dyDescent="0.2">
      <c r="A20" s="5" t="s">
        <v>12</v>
      </c>
      <c r="B20" s="5" t="s">
        <v>1230</v>
      </c>
      <c r="C20" s="135" t="s">
        <v>2412</v>
      </c>
      <c r="D20" s="136"/>
      <c r="E20" s="136"/>
      <c r="F20" s="136"/>
      <c r="G20" s="136"/>
      <c r="H20" s="5" t="s">
        <v>3613</v>
      </c>
      <c r="I20" s="18">
        <v>407.20783</v>
      </c>
      <c r="J20" s="18">
        <v>0</v>
      </c>
      <c r="K20" s="18">
        <f t="shared" si="0"/>
        <v>0</v>
      </c>
      <c r="L20" s="28" t="s">
        <v>3635</v>
      </c>
      <c r="Z20" s="34">
        <f t="shared" si="1"/>
        <v>0</v>
      </c>
      <c r="AB20" s="34">
        <f t="shared" si="2"/>
        <v>0</v>
      </c>
      <c r="AC20" s="34">
        <f t="shared" si="3"/>
        <v>0</v>
      </c>
      <c r="AD20" s="34">
        <f t="shared" si="4"/>
        <v>0</v>
      </c>
      <c r="AE20" s="34">
        <f t="shared" si="5"/>
        <v>0</v>
      </c>
      <c r="AF20" s="34">
        <f t="shared" si="6"/>
        <v>0</v>
      </c>
      <c r="AG20" s="34">
        <f t="shared" si="7"/>
        <v>0</v>
      </c>
      <c r="AH20" s="34">
        <f t="shared" si="8"/>
        <v>0</v>
      </c>
      <c r="AI20" s="27" t="s">
        <v>3645</v>
      </c>
      <c r="AJ20" s="18">
        <f t="shared" si="9"/>
        <v>0</v>
      </c>
      <c r="AK20" s="18">
        <f t="shared" si="10"/>
        <v>0</v>
      </c>
      <c r="AL20" s="18">
        <f t="shared" si="11"/>
        <v>0</v>
      </c>
      <c r="AN20" s="34">
        <v>21</v>
      </c>
      <c r="AO20" s="34">
        <f t="shared" si="12"/>
        <v>0</v>
      </c>
      <c r="AP20" s="34">
        <f t="shared" si="13"/>
        <v>0</v>
      </c>
      <c r="AQ20" s="28" t="s">
        <v>7</v>
      </c>
      <c r="AV20" s="34">
        <f t="shared" si="14"/>
        <v>0</v>
      </c>
      <c r="AW20" s="34">
        <f t="shared" si="15"/>
        <v>0</v>
      </c>
      <c r="AX20" s="34">
        <f t="shared" si="16"/>
        <v>0</v>
      </c>
      <c r="AY20" s="35" t="s">
        <v>3653</v>
      </c>
      <c r="AZ20" s="35" t="s">
        <v>3707</v>
      </c>
      <c r="BA20" s="27" t="s">
        <v>3729</v>
      </c>
      <c r="BC20" s="34">
        <f t="shared" si="17"/>
        <v>0</v>
      </c>
      <c r="BD20" s="34">
        <f t="shared" si="18"/>
        <v>0</v>
      </c>
      <c r="BE20" s="34">
        <v>0</v>
      </c>
      <c r="BF20" s="34">
        <f>20</f>
        <v>20</v>
      </c>
      <c r="BH20" s="18">
        <f t="shared" si="19"/>
        <v>0</v>
      </c>
      <c r="BI20" s="18">
        <f t="shared" si="20"/>
        <v>0</v>
      </c>
      <c r="BJ20" s="18">
        <f t="shared" si="21"/>
        <v>0</v>
      </c>
    </row>
    <row r="21" spans="1:62" x14ac:dyDescent="0.2">
      <c r="A21" s="5" t="s">
        <v>13</v>
      </c>
      <c r="B21" s="5" t="s">
        <v>1231</v>
      </c>
      <c r="C21" s="135" t="s">
        <v>2413</v>
      </c>
      <c r="D21" s="136"/>
      <c r="E21" s="136"/>
      <c r="F21" s="136"/>
      <c r="G21" s="136"/>
      <c r="H21" s="5" t="s">
        <v>3613</v>
      </c>
      <c r="I21" s="18">
        <v>407.20783</v>
      </c>
      <c r="J21" s="18">
        <v>0</v>
      </c>
      <c r="K21" s="18">
        <f t="shared" si="0"/>
        <v>0</v>
      </c>
      <c r="L21" s="28" t="s">
        <v>3635</v>
      </c>
      <c r="Z21" s="34">
        <f t="shared" si="1"/>
        <v>0</v>
      </c>
      <c r="AB21" s="34">
        <f t="shared" si="2"/>
        <v>0</v>
      </c>
      <c r="AC21" s="34">
        <f t="shared" si="3"/>
        <v>0</v>
      </c>
      <c r="AD21" s="34">
        <f t="shared" si="4"/>
        <v>0</v>
      </c>
      <c r="AE21" s="34">
        <f t="shared" si="5"/>
        <v>0</v>
      </c>
      <c r="AF21" s="34">
        <f t="shared" si="6"/>
        <v>0</v>
      </c>
      <c r="AG21" s="34">
        <f t="shared" si="7"/>
        <v>0</v>
      </c>
      <c r="AH21" s="34">
        <f t="shared" si="8"/>
        <v>0</v>
      </c>
      <c r="AI21" s="27" t="s">
        <v>3645</v>
      </c>
      <c r="AJ21" s="18">
        <f t="shared" si="9"/>
        <v>0</v>
      </c>
      <c r="AK21" s="18">
        <f t="shared" si="10"/>
        <v>0</v>
      </c>
      <c r="AL21" s="18">
        <f t="shared" si="11"/>
        <v>0</v>
      </c>
      <c r="AN21" s="34">
        <v>21</v>
      </c>
      <c r="AO21" s="34">
        <f t="shared" si="12"/>
        <v>0</v>
      </c>
      <c r="AP21" s="34">
        <f t="shared" si="13"/>
        <v>0</v>
      </c>
      <c r="AQ21" s="28" t="s">
        <v>7</v>
      </c>
      <c r="AV21" s="34">
        <f t="shared" si="14"/>
        <v>0</v>
      </c>
      <c r="AW21" s="34">
        <f t="shared" si="15"/>
        <v>0</v>
      </c>
      <c r="AX21" s="34">
        <f t="shared" si="16"/>
        <v>0</v>
      </c>
      <c r="AY21" s="35" t="s">
        <v>3653</v>
      </c>
      <c r="AZ21" s="35" t="s">
        <v>3707</v>
      </c>
      <c r="BA21" s="27" t="s">
        <v>3729</v>
      </c>
      <c r="BC21" s="34">
        <f t="shared" si="17"/>
        <v>0</v>
      </c>
      <c r="BD21" s="34">
        <f t="shared" si="18"/>
        <v>0</v>
      </c>
      <c r="BE21" s="34">
        <v>0</v>
      </c>
      <c r="BF21" s="34">
        <f>21</f>
        <v>21</v>
      </c>
      <c r="BH21" s="18">
        <f t="shared" si="19"/>
        <v>0</v>
      </c>
      <c r="BI21" s="18">
        <f t="shared" si="20"/>
        <v>0</v>
      </c>
      <c r="BJ21" s="18">
        <f t="shared" si="21"/>
        <v>0</v>
      </c>
    </row>
    <row r="22" spans="1:62" x14ac:dyDescent="0.2">
      <c r="A22" s="4"/>
      <c r="B22" s="14" t="s">
        <v>19</v>
      </c>
      <c r="C22" s="133" t="s">
        <v>2414</v>
      </c>
      <c r="D22" s="134"/>
      <c r="E22" s="134"/>
      <c r="F22" s="134"/>
      <c r="G22" s="134"/>
      <c r="H22" s="4" t="s">
        <v>6</v>
      </c>
      <c r="I22" s="4" t="s">
        <v>6</v>
      </c>
      <c r="J22" s="4" t="s">
        <v>6</v>
      </c>
      <c r="K22" s="37">
        <f>SUM(K23:K35)</f>
        <v>0</v>
      </c>
      <c r="L22" s="27"/>
      <c r="AI22" s="27" t="s">
        <v>3645</v>
      </c>
      <c r="AS22" s="37">
        <f>SUM(AJ23:AJ35)</f>
        <v>0</v>
      </c>
      <c r="AT22" s="37">
        <f>SUM(AK23:AK35)</f>
        <v>0</v>
      </c>
      <c r="AU22" s="37">
        <f>SUM(AL23:AL35)</f>
        <v>0</v>
      </c>
    </row>
    <row r="23" spans="1:62" x14ac:dyDescent="0.2">
      <c r="A23" s="5" t="s">
        <v>14</v>
      </c>
      <c r="B23" s="5" t="s">
        <v>1232</v>
      </c>
      <c r="C23" s="135" t="s">
        <v>2415</v>
      </c>
      <c r="D23" s="136"/>
      <c r="E23" s="136"/>
      <c r="F23" s="136"/>
      <c r="G23" s="136"/>
      <c r="H23" s="5" t="s">
        <v>3613</v>
      </c>
      <c r="I23" s="18">
        <v>59.868299999999998</v>
      </c>
      <c r="J23" s="18">
        <v>0</v>
      </c>
      <c r="K23" s="18">
        <f t="shared" ref="K23:K35" si="22">I23*J23</f>
        <v>0</v>
      </c>
      <c r="L23" s="28" t="s">
        <v>3635</v>
      </c>
      <c r="Z23" s="34">
        <f t="shared" ref="Z23:Z35" si="23">IF(AQ23="5",BJ23,0)</f>
        <v>0</v>
      </c>
      <c r="AB23" s="34">
        <f t="shared" ref="AB23:AB35" si="24">IF(AQ23="1",BH23,0)</f>
        <v>0</v>
      </c>
      <c r="AC23" s="34">
        <f t="shared" ref="AC23:AC35" si="25">IF(AQ23="1",BI23,0)</f>
        <v>0</v>
      </c>
      <c r="AD23" s="34">
        <f t="shared" ref="AD23:AD35" si="26">IF(AQ23="7",BH23,0)</f>
        <v>0</v>
      </c>
      <c r="AE23" s="34">
        <f t="shared" ref="AE23:AE35" si="27">IF(AQ23="7",BI23,0)</f>
        <v>0</v>
      </c>
      <c r="AF23" s="34">
        <f t="shared" ref="AF23:AF35" si="28">IF(AQ23="2",BH23,0)</f>
        <v>0</v>
      </c>
      <c r="AG23" s="34">
        <f t="shared" ref="AG23:AG35" si="29">IF(AQ23="2",BI23,0)</f>
        <v>0</v>
      </c>
      <c r="AH23" s="34">
        <f t="shared" ref="AH23:AH35" si="30">IF(AQ23="0",BJ23,0)</f>
        <v>0</v>
      </c>
      <c r="AI23" s="27" t="s">
        <v>3645</v>
      </c>
      <c r="AJ23" s="18">
        <f t="shared" ref="AJ23:AJ35" si="31">IF(AN23=0,K23,0)</f>
        <v>0</v>
      </c>
      <c r="AK23" s="18">
        <f t="shared" ref="AK23:AK35" si="32">IF(AN23=15,K23,0)</f>
        <v>0</v>
      </c>
      <c r="AL23" s="18">
        <f t="shared" ref="AL23:AL35" si="33">IF(AN23=21,K23,0)</f>
        <v>0</v>
      </c>
      <c r="AN23" s="34">
        <v>21</v>
      </c>
      <c r="AO23" s="34">
        <f t="shared" ref="AO23:AO35" si="34">J23*0</f>
        <v>0</v>
      </c>
      <c r="AP23" s="34">
        <f t="shared" ref="AP23:AP35" si="35">J23*(1-0)</f>
        <v>0</v>
      </c>
      <c r="AQ23" s="28" t="s">
        <v>7</v>
      </c>
      <c r="AV23" s="34">
        <f t="shared" ref="AV23:AV35" si="36">AW23+AX23</f>
        <v>0</v>
      </c>
      <c r="AW23" s="34">
        <f t="shared" ref="AW23:AW35" si="37">I23*AO23</f>
        <v>0</v>
      </c>
      <c r="AX23" s="34">
        <f t="shared" ref="AX23:AX35" si="38">I23*AP23</f>
        <v>0</v>
      </c>
      <c r="AY23" s="35" t="s">
        <v>3654</v>
      </c>
      <c r="AZ23" s="35" t="s">
        <v>3707</v>
      </c>
      <c r="BA23" s="27" t="s">
        <v>3729</v>
      </c>
      <c r="BC23" s="34">
        <f t="shared" ref="BC23:BC35" si="39">AW23+AX23</f>
        <v>0</v>
      </c>
      <c r="BD23" s="34">
        <f t="shared" ref="BD23:BD35" si="40">J23/(100-BE23)*100</f>
        <v>0</v>
      </c>
      <c r="BE23" s="34">
        <v>0</v>
      </c>
      <c r="BF23" s="34">
        <f>23</f>
        <v>23</v>
      </c>
      <c r="BH23" s="18">
        <f t="shared" ref="BH23:BH35" si="41">I23*AO23</f>
        <v>0</v>
      </c>
      <c r="BI23" s="18">
        <f t="shared" ref="BI23:BI35" si="42">I23*AP23</f>
        <v>0</v>
      </c>
      <c r="BJ23" s="18">
        <f t="shared" ref="BJ23:BJ35" si="43">I23*J23</f>
        <v>0</v>
      </c>
    </row>
    <row r="24" spans="1:62" x14ac:dyDescent="0.2">
      <c r="A24" s="5" t="s">
        <v>15</v>
      </c>
      <c r="B24" s="5" t="s">
        <v>1233</v>
      </c>
      <c r="C24" s="135" t="s">
        <v>2416</v>
      </c>
      <c r="D24" s="136"/>
      <c r="E24" s="136"/>
      <c r="F24" s="136"/>
      <c r="G24" s="136"/>
      <c r="H24" s="5" t="s">
        <v>3613</v>
      </c>
      <c r="I24" s="18">
        <v>20.507999999999999</v>
      </c>
      <c r="J24" s="18">
        <v>0</v>
      </c>
      <c r="K24" s="18">
        <f t="shared" si="22"/>
        <v>0</v>
      </c>
      <c r="L24" s="28" t="s">
        <v>3635</v>
      </c>
      <c r="Z24" s="34">
        <f t="shared" si="23"/>
        <v>0</v>
      </c>
      <c r="AB24" s="34">
        <f t="shared" si="24"/>
        <v>0</v>
      </c>
      <c r="AC24" s="34">
        <f t="shared" si="25"/>
        <v>0</v>
      </c>
      <c r="AD24" s="34">
        <f t="shared" si="26"/>
        <v>0</v>
      </c>
      <c r="AE24" s="34">
        <f t="shared" si="27"/>
        <v>0</v>
      </c>
      <c r="AF24" s="34">
        <f t="shared" si="28"/>
        <v>0</v>
      </c>
      <c r="AG24" s="34">
        <f t="shared" si="29"/>
        <v>0</v>
      </c>
      <c r="AH24" s="34">
        <f t="shared" si="30"/>
        <v>0</v>
      </c>
      <c r="AI24" s="27" t="s">
        <v>3645</v>
      </c>
      <c r="AJ24" s="18">
        <f t="shared" si="31"/>
        <v>0</v>
      </c>
      <c r="AK24" s="18">
        <f t="shared" si="32"/>
        <v>0</v>
      </c>
      <c r="AL24" s="18">
        <f t="shared" si="33"/>
        <v>0</v>
      </c>
      <c r="AN24" s="34">
        <v>21</v>
      </c>
      <c r="AO24" s="34">
        <f t="shared" si="34"/>
        <v>0</v>
      </c>
      <c r="AP24" s="34">
        <f t="shared" si="35"/>
        <v>0</v>
      </c>
      <c r="AQ24" s="28" t="s">
        <v>7</v>
      </c>
      <c r="AV24" s="34">
        <f t="shared" si="36"/>
        <v>0</v>
      </c>
      <c r="AW24" s="34">
        <f t="shared" si="37"/>
        <v>0</v>
      </c>
      <c r="AX24" s="34">
        <f t="shared" si="38"/>
        <v>0</v>
      </c>
      <c r="AY24" s="35" t="s">
        <v>3654</v>
      </c>
      <c r="AZ24" s="35" t="s">
        <v>3707</v>
      </c>
      <c r="BA24" s="27" t="s">
        <v>3729</v>
      </c>
      <c r="BC24" s="34">
        <f t="shared" si="39"/>
        <v>0</v>
      </c>
      <c r="BD24" s="34">
        <f t="shared" si="40"/>
        <v>0</v>
      </c>
      <c r="BE24" s="34">
        <v>0</v>
      </c>
      <c r="BF24" s="34">
        <f>24</f>
        <v>24</v>
      </c>
      <c r="BH24" s="18">
        <f t="shared" si="41"/>
        <v>0</v>
      </c>
      <c r="BI24" s="18">
        <f t="shared" si="42"/>
        <v>0</v>
      </c>
      <c r="BJ24" s="18">
        <f t="shared" si="43"/>
        <v>0</v>
      </c>
    </row>
    <row r="25" spans="1:62" x14ac:dyDescent="0.2">
      <c r="A25" s="5" t="s">
        <v>16</v>
      </c>
      <c r="B25" s="5" t="s">
        <v>1234</v>
      </c>
      <c r="C25" s="135" t="s">
        <v>2417</v>
      </c>
      <c r="D25" s="136"/>
      <c r="E25" s="136"/>
      <c r="F25" s="136"/>
      <c r="G25" s="136"/>
      <c r="H25" s="5" t="s">
        <v>3613</v>
      </c>
      <c r="I25" s="18">
        <v>20.507999999999999</v>
      </c>
      <c r="J25" s="18">
        <v>0</v>
      </c>
      <c r="K25" s="18">
        <f t="shared" si="22"/>
        <v>0</v>
      </c>
      <c r="L25" s="28" t="s">
        <v>3635</v>
      </c>
      <c r="Z25" s="34">
        <f t="shared" si="23"/>
        <v>0</v>
      </c>
      <c r="AB25" s="34">
        <f t="shared" si="24"/>
        <v>0</v>
      </c>
      <c r="AC25" s="34">
        <f t="shared" si="25"/>
        <v>0</v>
      </c>
      <c r="AD25" s="34">
        <f t="shared" si="26"/>
        <v>0</v>
      </c>
      <c r="AE25" s="34">
        <f t="shared" si="27"/>
        <v>0</v>
      </c>
      <c r="AF25" s="34">
        <f t="shared" si="28"/>
        <v>0</v>
      </c>
      <c r="AG25" s="34">
        <f t="shared" si="29"/>
        <v>0</v>
      </c>
      <c r="AH25" s="34">
        <f t="shared" si="30"/>
        <v>0</v>
      </c>
      <c r="AI25" s="27" t="s">
        <v>3645</v>
      </c>
      <c r="AJ25" s="18">
        <f t="shared" si="31"/>
        <v>0</v>
      </c>
      <c r="AK25" s="18">
        <f t="shared" si="32"/>
        <v>0</v>
      </c>
      <c r="AL25" s="18">
        <f t="shared" si="33"/>
        <v>0</v>
      </c>
      <c r="AN25" s="34">
        <v>21</v>
      </c>
      <c r="AO25" s="34">
        <f t="shared" si="34"/>
        <v>0</v>
      </c>
      <c r="AP25" s="34">
        <f t="shared" si="35"/>
        <v>0</v>
      </c>
      <c r="AQ25" s="28" t="s">
        <v>7</v>
      </c>
      <c r="AV25" s="34">
        <f t="shared" si="36"/>
        <v>0</v>
      </c>
      <c r="AW25" s="34">
        <f t="shared" si="37"/>
        <v>0</v>
      </c>
      <c r="AX25" s="34">
        <f t="shared" si="38"/>
        <v>0</v>
      </c>
      <c r="AY25" s="35" t="s">
        <v>3654</v>
      </c>
      <c r="AZ25" s="35" t="s">
        <v>3707</v>
      </c>
      <c r="BA25" s="27" t="s">
        <v>3729</v>
      </c>
      <c r="BC25" s="34">
        <f t="shared" si="39"/>
        <v>0</v>
      </c>
      <c r="BD25" s="34">
        <f t="shared" si="40"/>
        <v>0</v>
      </c>
      <c r="BE25" s="34">
        <v>0</v>
      </c>
      <c r="BF25" s="34">
        <f>25</f>
        <v>25</v>
      </c>
      <c r="BH25" s="18">
        <f t="shared" si="41"/>
        <v>0</v>
      </c>
      <c r="BI25" s="18">
        <f t="shared" si="42"/>
        <v>0</v>
      </c>
      <c r="BJ25" s="18">
        <f t="shared" si="43"/>
        <v>0</v>
      </c>
    </row>
    <row r="26" spans="1:62" x14ac:dyDescent="0.2">
      <c r="A26" s="5" t="s">
        <v>17</v>
      </c>
      <c r="B26" s="5" t="s">
        <v>1235</v>
      </c>
      <c r="C26" s="135" t="s">
        <v>2418</v>
      </c>
      <c r="D26" s="136"/>
      <c r="E26" s="136"/>
      <c r="F26" s="136"/>
      <c r="G26" s="136"/>
      <c r="H26" s="5" t="s">
        <v>3613</v>
      </c>
      <c r="I26" s="18">
        <v>26.690770000000001</v>
      </c>
      <c r="J26" s="18">
        <v>0</v>
      </c>
      <c r="K26" s="18">
        <f t="shared" si="22"/>
        <v>0</v>
      </c>
      <c r="L26" s="28" t="s">
        <v>3635</v>
      </c>
      <c r="Z26" s="34">
        <f t="shared" si="23"/>
        <v>0</v>
      </c>
      <c r="AB26" s="34">
        <f t="shared" si="24"/>
        <v>0</v>
      </c>
      <c r="AC26" s="34">
        <f t="shared" si="25"/>
        <v>0</v>
      </c>
      <c r="AD26" s="34">
        <f t="shared" si="26"/>
        <v>0</v>
      </c>
      <c r="AE26" s="34">
        <f t="shared" si="27"/>
        <v>0</v>
      </c>
      <c r="AF26" s="34">
        <f t="shared" si="28"/>
        <v>0</v>
      </c>
      <c r="AG26" s="34">
        <f t="shared" si="29"/>
        <v>0</v>
      </c>
      <c r="AH26" s="34">
        <f t="shared" si="30"/>
        <v>0</v>
      </c>
      <c r="AI26" s="27" t="s">
        <v>3645</v>
      </c>
      <c r="AJ26" s="18">
        <f t="shared" si="31"/>
        <v>0</v>
      </c>
      <c r="AK26" s="18">
        <f t="shared" si="32"/>
        <v>0</v>
      </c>
      <c r="AL26" s="18">
        <f t="shared" si="33"/>
        <v>0</v>
      </c>
      <c r="AN26" s="34">
        <v>21</v>
      </c>
      <c r="AO26" s="34">
        <f t="shared" si="34"/>
        <v>0</v>
      </c>
      <c r="AP26" s="34">
        <f t="shared" si="35"/>
        <v>0</v>
      </c>
      <c r="AQ26" s="28" t="s">
        <v>7</v>
      </c>
      <c r="AV26" s="34">
        <f t="shared" si="36"/>
        <v>0</v>
      </c>
      <c r="AW26" s="34">
        <f t="shared" si="37"/>
        <v>0</v>
      </c>
      <c r="AX26" s="34">
        <f t="shared" si="38"/>
        <v>0</v>
      </c>
      <c r="AY26" s="35" t="s">
        <v>3654</v>
      </c>
      <c r="AZ26" s="35" t="s">
        <v>3707</v>
      </c>
      <c r="BA26" s="27" t="s">
        <v>3729</v>
      </c>
      <c r="BC26" s="34">
        <f t="shared" si="39"/>
        <v>0</v>
      </c>
      <c r="BD26" s="34">
        <f t="shared" si="40"/>
        <v>0</v>
      </c>
      <c r="BE26" s="34">
        <v>0</v>
      </c>
      <c r="BF26" s="34">
        <f>26</f>
        <v>26</v>
      </c>
      <c r="BH26" s="18">
        <f t="shared" si="41"/>
        <v>0</v>
      </c>
      <c r="BI26" s="18">
        <f t="shared" si="42"/>
        <v>0</v>
      </c>
      <c r="BJ26" s="18">
        <f t="shared" si="43"/>
        <v>0</v>
      </c>
    </row>
    <row r="27" spans="1:62" x14ac:dyDescent="0.2">
      <c r="A27" s="5" t="s">
        <v>18</v>
      </c>
      <c r="B27" s="5" t="s">
        <v>1236</v>
      </c>
      <c r="C27" s="135" t="s">
        <v>2419</v>
      </c>
      <c r="D27" s="136"/>
      <c r="E27" s="136"/>
      <c r="F27" s="136"/>
      <c r="G27" s="136"/>
      <c r="H27" s="5" t="s">
        <v>3613</v>
      </c>
      <c r="I27" s="18">
        <v>26.690770000000001</v>
      </c>
      <c r="J27" s="18">
        <v>0</v>
      </c>
      <c r="K27" s="18">
        <f t="shared" si="22"/>
        <v>0</v>
      </c>
      <c r="L27" s="28" t="s">
        <v>3635</v>
      </c>
      <c r="Z27" s="34">
        <f t="shared" si="23"/>
        <v>0</v>
      </c>
      <c r="AB27" s="34">
        <f t="shared" si="24"/>
        <v>0</v>
      </c>
      <c r="AC27" s="34">
        <f t="shared" si="25"/>
        <v>0</v>
      </c>
      <c r="AD27" s="34">
        <f t="shared" si="26"/>
        <v>0</v>
      </c>
      <c r="AE27" s="34">
        <f t="shared" si="27"/>
        <v>0</v>
      </c>
      <c r="AF27" s="34">
        <f t="shared" si="28"/>
        <v>0</v>
      </c>
      <c r="AG27" s="34">
        <f t="shared" si="29"/>
        <v>0</v>
      </c>
      <c r="AH27" s="34">
        <f t="shared" si="30"/>
        <v>0</v>
      </c>
      <c r="AI27" s="27" t="s">
        <v>3645</v>
      </c>
      <c r="AJ27" s="18">
        <f t="shared" si="31"/>
        <v>0</v>
      </c>
      <c r="AK27" s="18">
        <f t="shared" si="32"/>
        <v>0</v>
      </c>
      <c r="AL27" s="18">
        <f t="shared" si="33"/>
        <v>0</v>
      </c>
      <c r="AN27" s="34">
        <v>21</v>
      </c>
      <c r="AO27" s="34">
        <f t="shared" si="34"/>
        <v>0</v>
      </c>
      <c r="AP27" s="34">
        <f t="shared" si="35"/>
        <v>0</v>
      </c>
      <c r="AQ27" s="28" t="s">
        <v>7</v>
      </c>
      <c r="AV27" s="34">
        <f t="shared" si="36"/>
        <v>0</v>
      </c>
      <c r="AW27" s="34">
        <f t="shared" si="37"/>
        <v>0</v>
      </c>
      <c r="AX27" s="34">
        <f t="shared" si="38"/>
        <v>0</v>
      </c>
      <c r="AY27" s="35" t="s">
        <v>3654</v>
      </c>
      <c r="AZ27" s="35" t="s">
        <v>3707</v>
      </c>
      <c r="BA27" s="27" t="s">
        <v>3729</v>
      </c>
      <c r="BC27" s="34">
        <f t="shared" si="39"/>
        <v>0</v>
      </c>
      <c r="BD27" s="34">
        <f t="shared" si="40"/>
        <v>0</v>
      </c>
      <c r="BE27" s="34">
        <v>0</v>
      </c>
      <c r="BF27" s="34">
        <f>27</f>
        <v>27</v>
      </c>
      <c r="BH27" s="18">
        <f t="shared" si="41"/>
        <v>0</v>
      </c>
      <c r="BI27" s="18">
        <f t="shared" si="42"/>
        <v>0</v>
      </c>
      <c r="BJ27" s="18">
        <f t="shared" si="43"/>
        <v>0</v>
      </c>
    </row>
    <row r="28" spans="1:62" x14ac:dyDescent="0.2">
      <c r="A28" s="5" t="s">
        <v>19</v>
      </c>
      <c r="B28" s="5" t="s">
        <v>1237</v>
      </c>
      <c r="C28" s="135" t="s">
        <v>2420</v>
      </c>
      <c r="D28" s="136"/>
      <c r="E28" s="136"/>
      <c r="F28" s="136"/>
      <c r="G28" s="136"/>
      <c r="H28" s="5" t="s">
        <v>3613</v>
      </c>
      <c r="I28" s="18">
        <v>20.507999999999999</v>
      </c>
      <c r="J28" s="18">
        <v>0</v>
      </c>
      <c r="K28" s="18">
        <f t="shared" si="22"/>
        <v>0</v>
      </c>
      <c r="L28" s="28" t="s">
        <v>3635</v>
      </c>
      <c r="Z28" s="34">
        <f t="shared" si="23"/>
        <v>0</v>
      </c>
      <c r="AB28" s="34">
        <f t="shared" si="24"/>
        <v>0</v>
      </c>
      <c r="AC28" s="34">
        <f t="shared" si="25"/>
        <v>0</v>
      </c>
      <c r="AD28" s="34">
        <f t="shared" si="26"/>
        <v>0</v>
      </c>
      <c r="AE28" s="34">
        <f t="shared" si="27"/>
        <v>0</v>
      </c>
      <c r="AF28" s="34">
        <f t="shared" si="28"/>
        <v>0</v>
      </c>
      <c r="AG28" s="34">
        <f t="shared" si="29"/>
        <v>0</v>
      </c>
      <c r="AH28" s="34">
        <f t="shared" si="30"/>
        <v>0</v>
      </c>
      <c r="AI28" s="27" t="s">
        <v>3645</v>
      </c>
      <c r="AJ28" s="18">
        <f t="shared" si="31"/>
        <v>0</v>
      </c>
      <c r="AK28" s="18">
        <f t="shared" si="32"/>
        <v>0</v>
      </c>
      <c r="AL28" s="18">
        <f t="shared" si="33"/>
        <v>0</v>
      </c>
      <c r="AN28" s="34">
        <v>21</v>
      </c>
      <c r="AO28" s="34">
        <f t="shared" si="34"/>
        <v>0</v>
      </c>
      <c r="AP28" s="34">
        <f t="shared" si="35"/>
        <v>0</v>
      </c>
      <c r="AQ28" s="28" t="s">
        <v>7</v>
      </c>
      <c r="AV28" s="34">
        <f t="shared" si="36"/>
        <v>0</v>
      </c>
      <c r="AW28" s="34">
        <f t="shared" si="37"/>
        <v>0</v>
      </c>
      <c r="AX28" s="34">
        <f t="shared" si="38"/>
        <v>0</v>
      </c>
      <c r="AY28" s="35" t="s">
        <v>3654</v>
      </c>
      <c r="AZ28" s="35" t="s">
        <v>3707</v>
      </c>
      <c r="BA28" s="27" t="s">
        <v>3729</v>
      </c>
      <c r="BC28" s="34">
        <f t="shared" si="39"/>
        <v>0</v>
      </c>
      <c r="BD28" s="34">
        <f t="shared" si="40"/>
        <v>0</v>
      </c>
      <c r="BE28" s="34">
        <v>0</v>
      </c>
      <c r="BF28" s="34">
        <f>28</f>
        <v>28</v>
      </c>
      <c r="BH28" s="18">
        <f t="shared" si="41"/>
        <v>0</v>
      </c>
      <c r="BI28" s="18">
        <f t="shared" si="42"/>
        <v>0</v>
      </c>
      <c r="BJ28" s="18">
        <f t="shared" si="43"/>
        <v>0</v>
      </c>
    </row>
    <row r="29" spans="1:62" x14ac:dyDescent="0.2">
      <c r="A29" s="5" t="s">
        <v>20</v>
      </c>
      <c r="B29" s="5" t="s">
        <v>1238</v>
      </c>
      <c r="C29" s="135" t="s">
        <v>2421</v>
      </c>
      <c r="D29" s="136"/>
      <c r="E29" s="136"/>
      <c r="F29" s="136"/>
      <c r="G29" s="136"/>
      <c r="H29" s="5" t="s">
        <v>3613</v>
      </c>
      <c r="I29" s="18">
        <v>20.507999999999999</v>
      </c>
      <c r="J29" s="18">
        <v>0</v>
      </c>
      <c r="K29" s="18">
        <f t="shared" si="22"/>
        <v>0</v>
      </c>
      <c r="L29" s="28" t="s">
        <v>3635</v>
      </c>
      <c r="Z29" s="34">
        <f t="shared" si="23"/>
        <v>0</v>
      </c>
      <c r="AB29" s="34">
        <f t="shared" si="24"/>
        <v>0</v>
      </c>
      <c r="AC29" s="34">
        <f t="shared" si="25"/>
        <v>0</v>
      </c>
      <c r="AD29" s="34">
        <f t="shared" si="26"/>
        <v>0</v>
      </c>
      <c r="AE29" s="34">
        <f t="shared" si="27"/>
        <v>0</v>
      </c>
      <c r="AF29" s="34">
        <f t="shared" si="28"/>
        <v>0</v>
      </c>
      <c r="AG29" s="34">
        <f t="shared" si="29"/>
        <v>0</v>
      </c>
      <c r="AH29" s="34">
        <f t="shared" si="30"/>
        <v>0</v>
      </c>
      <c r="AI29" s="27" t="s">
        <v>3645</v>
      </c>
      <c r="AJ29" s="18">
        <f t="shared" si="31"/>
        <v>0</v>
      </c>
      <c r="AK29" s="18">
        <f t="shared" si="32"/>
        <v>0</v>
      </c>
      <c r="AL29" s="18">
        <f t="shared" si="33"/>
        <v>0</v>
      </c>
      <c r="AN29" s="34">
        <v>21</v>
      </c>
      <c r="AO29" s="34">
        <f t="shared" si="34"/>
        <v>0</v>
      </c>
      <c r="AP29" s="34">
        <f t="shared" si="35"/>
        <v>0</v>
      </c>
      <c r="AQ29" s="28" t="s">
        <v>7</v>
      </c>
      <c r="AV29" s="34">
        <f t="shared" si="36"/>
        <v>0</v>
      </c>
      <c r="AW29" s="34">
        <f t="shared" si="37"/>
        <v>0</v>
      </c>
      <c r="AX29" s="34">
        <f t="shared" si="38"/>
        <v>0</v>
      </c>
      <c r="AY29" s="35" t="s">
        <v>3654</v>
      </c>
      <c r="AZ29" s="35" t="s">
        <v>3707</v>
      </c>
      <c r="BA29" s="27" t="s">
        <v>3729</v>
      </c>
      <c r="BC29" s="34">
        <f t="shared" si="39"/>
        <v>0</v>
      </c>
      <c r="BD29" s="34">
        <f t="shared" si="40"/>
        <v>0</v>
      </c>
      <c r="BE29" s="34">
        <v>0</v>
      </c>
      <c r="BF29" s="34">
        <f>29</f>
        <v>29</v>
      </c>
      <c r="BH29" s="18">
        <f t="shared" si="41"/>
        <v>0</v>
      </c>
      <c r="BI29" s="18">
        <f t="shared" si="42"/>
        <v>0</v>
      </c>
      <c r="BJ29" s="18">
        <f t="shared" si="43"/>
        <v>0</v>
      </c>
    </row>
    <row r="30" spans="1:62" x14ac:dyDescent="0.2">
      <c r="A30" s="5" t="s">
        <v>21</v>
      </c>
      <c r="B30" s="5" t="s">
        <v>1239</v>
      </c>
      <c r="C30" s="135" t="s">
        <v>2422</v>
      </c>
      <c r="D30" s="136"/>
      <c r="E30" s="136"/>
      <c r="F30" s="136"/>
      <c r="G30" s="136"/>
      <c r="H30" s="5" t="s">
        <v>3613</v>
      </c>
      <c r="I30" s="18">
        <v>26.690770000000001</v>
      </c>
      <c r="J30" s="18">
        <v>0</v>
      </c>
      <c r="K30" s="18">
        <f t="shared" si="22"/>
        <v>0</v>
      </c>
      <c r="L30" s="28" t="s">
        <v>3635</v>
      </c>
      <c r="Z30" s="34">
        <f t="shared" si="23"/>
        <v>0</v>
      </c>
      <c r="AB30" s="34">
        <f t="shared" si="24"/>
        <v>0</v>
      </c>
      <c r="AC30" s="34">
        <f t="shared" si="25"/>
        <v>0</v>
      </c>
      <c r="AD30" s="34">
        <f t="shared" si="26"/>
        <v>0</v>
      </c>
      <c r="AE30" s="34">
        <f t="shared" si="27"/>
        <v>0</v>
      </c>
      <c r="AF30" s="34">
        <f t="shared" si="28"/>
        <v>0</v>
      </c>
      <c r="AG30" s="34">
        <f t="shared" si="29"/>
        <v>0</v>
      </c>
      <c r="AH30" s="34">
        <f t="shared" si="30"/>
        <v>0</v>
      </c>
      <c r="AI30" s="27" t="s">
        <v>3645</v>
      </c>
      <c r="AJ30" s="18">
        <f t="shared" si="31"/>
        <v>0</v>
      </c>
      <c r="AK30" s="18">
        <f t="shared" si="32"/>
        <v>0</v>
      </c>
      <c r="AL30" s="18">
        <f t="shared" si="33"/>
        <v>0</v>
      </c>
      <c r="AN30" s="34">
        <v>21</v>
      </c>
      <c r="AO30" s="34">
        <f t="shared" si="34"/>
        <v>0</v>
      </c>
      <c r="AP30" s="34">
        <f t="shared" si="35"/>
        <v>0</v>
      </c>
      <c r="AQ30" s="28" t="s">
        <v>7</v>
      </c>
      <c r="AV30" s="34">
        <f t="shared" si="36"/>
        <v>0</v>
      </c>
      <c r="AW30" s="34">
        <f t="shared" si="37"/>
        <v>0</v>
      </c>
      <c r="AX30" s="34">
        <f t="shared" si="38"/>
        <v>0</v>
      </c>
      <c r="AY30" s="35" t="s">
        <v>3654</v>
      </c>
      <c r="AZ30" s="35" t="s">
        <v>3707</v>
      </c>
      <c r="BA30" s="27" t="s">
        <v>3729</v>
      </c>
      <c r="BC30" s="34">
        <f t="shared" si="39"/>
        <v>0</v>
      </c>
      <c r="BD30" s="34">
        <f t="shared" si="40"/>
        <v>0</v>
      </c>
      <c r="BE30" s="34">
        <v>0</v>
      </c>
      <c r="BF30" s="34">
        <f>30</f>
        <v>30</v>
      </c>
      <c r="BH30" s="18">
        <f t="shared" si="41"/>
        <v>0</v>
      </c>
      <c r="BI30" s="18">
        <f t="shared" si="42"/>
        <v>0</v>
      </c>
      <c r="BJ30" s="18">
        <f t="shared" si="43"/>
        <v>0</v>
      </c>
    </row>
    <row r="31" spans="1:62" x14ac:dyDescent="0.2">
      <c r="A31" s="5" t="s">
        <v>22</v>
      </c>
      <c r="B31" s="5" t="s">
        <v>1240</v>
      </c>
      <c r="C31" s="135" t="s">
        <v>2423</v>
      </c>
      <c r="D31" s="136"/>
      <c r="E31" s="136"/>
      <c r="F31" s="136"/>
      <c r="G31" s="136"/>
      <c r="H31" s="5" t="s">
        <v>3613</v>
      </c>
      <c r="I31" s="18">
        <v>26.690770000000001</v>
      </c>
      <c r="J31" s="18">
        <v>0</v>
      </c>
      <c r="K31" s="18">
        <f t="shared" si="22"/>
        <v>0</v>
      </c>
      <c r="L31" s="28" t="s">
        <v>3635</v>
      </c>
      <c r="Z31" s="34">
        <f t="shared" si="23"/>
        <v>0</v>
      </c>
      <c r="AB31" s="34">
        <f t="shared" si="24"/>
        <v>0</v>
      </c>
      <c r="AC31" s="34">
        <f t="shared" si="25"/>
        <v>0</v>
      </c>
      <c r="AD31" s="34">
        <f t="shared" si="26"/>
        <v>0</v>
      </c>
      <c r="AE31" s="34">
        <f t="shared" si="27"/>
        <v>0</v>
      </c>
      <c r="AF31" s="34">
        <f t="shared" si="28"/>
        <v>0</v>
      </c>
      <c r="AG31" s="34">
        <f t="shared" si="29"/>
        <v>0</v>
      </c>
      <c r="AH31" s="34">
        <f t="shared" si="30"/>
        <v>0</v>
      </c>
      <c r="AI31" s="27" t="s">
        <v>3645</v>
      </c>
      <c r="AJ31" s="18">
        <f t="shared" si="31"/>
        <v>0</v>
      </c>
      <c r="AK31" s="18">
        <f t="shared" si="32"/>
        <v>0</v>
      </c>
      <c r="AL31" s="18">
        <f t="shared" si="33"/>
        <v>0</v>
      </c>
      <c r="AN31" s="34">
        <v>21</v>
      </c>
      <c r="AO31" s="34">
        <f t="shared" si="34"/>
        <v>0</v>
      </c>
      <c r="AP31" s="34">
        <f t="shared" si="35"/>
        <v>0</v>
      </c>
      <c r="AQ31" s="28" t="s">
        <v>7</v>
      </c>
      <c r="AV31" s="34">
        <f t="shared" si="36"/>
        <v>0</v>
      </c>
      <c r="AW31" s="34">
        <f t="shared" si="37"/>
        <v>0</v>
      </c>
      <c r="AX31" s="34">
        <f t="shared" si="38"/>
        <v>0</v>
      </c>
      <c r="AY31" s="35" t="s">
        <v>3654</v>
      </c>
      <c r="AZ31" s="35" t="s">
        <v>3707</v>
      </c>
      <c r="BA31" s="27" t="s">
        <v>3729</v>
      </c>
      <c r="BC31" s="34">
        <f t="shared" si="39"/>
        <v>0</v>
      </c>
      <c r="BD31" s="34">
        <f t="shared" si="40"/>
        <v>0</v>
      </c>
      <c r="BE31" s="34">
        <v>0</v>
      </c>
      <c r="BF31" s="34">
        <f>31</f>
        <v>31</v>
      </c>
      <c r="BH31" s="18">
        <f t="shared" si="41"/>
        <v>0</v>
      </c>
      <c r="BI31" s="18">
        <f t="shared" si="42"/>
        <v>0</v>
      </c>
      <c r="BJ31" s="18">
        <f t="shared" si="43"/>
        <v>0</v>
      </c>
    </row>
    <row r="32" spans="1:62" x14ac:dyDescent="0.2">
      <c r="A32" s="5" t="s">
        <v>23</v>
      </c>
      <c r="B32" s="5" t="s">
        <v>1241</v>
      </c>
      <c r="C32" s="135" t="s">
        <v>2424</v>
      </c>
      <c r="D32" s="136"/>
      <c r="E32" s="136"/>
      <c r="F32" s="136"/>
      <c r="G32" s="136"/>
      <c r="H32" s="5" t="s">
        <v>3613</v>
      </c>
      <c r="I32" s="18">
        <v>16.026150000000001</v>
      </c>
      <c r="J32" s="18">
        <v>0</v>
      </c>
      <c r="K32" s="18">
        <f t="shared" si="22"/>
        <v>0</v>
      </c>
      <c r="L32" s="28" t="s">
        <v>3635</v>
      </c>
      <c r="Z32" s="34">
        <f t="shared" si="23"/>
        <v>0</v>
      </c>
      <c r="AB32" s="34">
        <f t="shared" si="24"/>
        <v>0</v>
      </c>
      <c r="AC32" s="34">
        <f t="shared" si="25"/>
        <v>0</v>
      </c>
      <c r="AD32" s="34">
        <f t="shared" si="26"/>
        <v>0</v>
      </c>
      <c r="AE32" s="34">
        <f t="shared" si="27"/>
        <v>0</v>
      </c>
      <c r="AF32" s="34">
        <f t="shared" si="28"/>
        <v>0</v>
      </c>
      <c r="AG32" s="34">
        <f t="shared" si="29"/>
        <v>0</v>
      </c>
      <c r="AH32" s="34">
        <f t="shared" si="30"/>
        <v>0</v>
      </c>
      <c r="AI32" s="27" t="s">
        <v>3645</v>
      </c>
      <c r="AJ32" s="18">
        <f t="shared" si="31"/>
        <v>0</v>
      </c>
      <c r="AK32" s="18">
        <f t="shared" si="32"/>
        <v>0</v>
      </c>
      <c r="AL32" s="18">
        <f t="shared" si="33"/>
        <v>0</v>
      </c>
      <c r="AN32" s="34">
        <v>21</v>
      </c>
      <c r="AO32" s="34">
        <f t="shared" si="34"/>
        <v>0</v>
      </c>
      <c r="AP32" s="34">
        <f t="shared" si="35"/>
        <v>0</v>
      </c>
      <c r="AQ32" s="28" t="s">
        <v>7</v>
      </c>
      <c r="AV32" s="34">
        <f t="shared" si="36"/>
        <v>0</v>
      </c>
      <c r="AW32" s="34">
        <f t="shared" si="37"/>
        <v>0</v>
      </c>
      <c r="AX32" s="34">
        <f t="shared" si="38"/>
        <v>0</v>
      </c>
      <c r="AY32" s="35" t="s">
        <v>3654</v>
      </c>
      <c r="AZ32" s="35" t="s">
        <v>3707</v>
      </c>
      <c r="BA32" s="27" t="s">
        <v>3729</v>
      </c>
      <c r="BC32" s="34">
        <f t="shared" si="39"/>
        <v>0</v>
      </c>
      <c r="BD32" s="34">
        <f t="shared" si="40"/>
        <v>0</v>
      </c>
      <c r="BE32" s="34">
        <v>0</v>
      </c>
      <c r="BF32" s="34">
        <f>32</f>
        <v>32</v>
      </c>
      <c r="BH32" s="18">
        <f t="shared" si="41"/>
        <v>0</v>
      </c>
      <c r="BI32" s="18">
        <f t="shared" si="42"/>
        <v>0</v>
      </c>
      <c r="BJ32" s="18">
        <f t="shared" si="43"/>
        <v>0</v>
      </c>
    </row>
    <row r="33" spans="1:62" x14ac:dyDescent="0.2">
      <c r="A33" s="5" t="s">
        <v>24</v>
      </c>
      <c r="B33" s="5" t="s">
        <v>1242</v>
      </c>
      <c r="C33" s="135" t="s">
        <v>2425</v>
      </c>
      <c r="D33" s="136"/>
      <c r="E33" s="136"/>
      <c r="F33" s="136"/>
      <c r="G33" s="136"/>
      <c r="H33" s="5" t="s">
        <v>3613</v>
      </c>
      <c r="I33" s="18">
        <v>16.026150000000001</v>
      </c>
      <c r="J33" s="18">
        <v>0</v>
      </c>
      <c r="K33" s="18">
        <f t="shared" si="22"/>
        <v>0</v>
      </c>
      <c r="L33" s="28" t="s">
        <v>3635</v>
      </c>
      <c r="Z33" s="34">
        <f t="shared" si="23"/>
        <v>0</v>
      </c>
      <c r="AB33" s="34">
        <f t="shared" si="24"/>
        <v>0</v>
      </c>
      <c r="AC33" s="34">
        <f t="shared" si="25"/>
        <v>0</v>
      </c>
      <c r="AD33" s="34">
        <f t="shared" si="26"/>
        <v>0</v>
      </c>
      <c r="AE33" s="34">
        <f t="shared" si="27"/>
        <v>0</v>
      </c>
      <c r="AF33" s="34">
        <f t="shared" si="28"/>
        <v>0</v>
      </c>
      <c r="AG33" s="34">
        <f t="shared" si="29"/>
        <v>0</v>
      </c>
      <c r="AH33" s="34">
        <f t="shared" si="30"/>
        <v>0</v>
      </c>
      <c r="AI33" s="27" t="s">
        <v>3645</v>
      </c>
      <c r="AJ33" s="18">
        <f t="shared" si="31"/>
        <v>0</v>
      </c>
      <c r="AK33" s="18">
        <f t="shared" si="32"/>
        <v>0</v>
      </c>
      <c r="AL33" s="18">
        <f t="shared" si="33"/>
        <v>0</v>
      </c>
      <c r="AN33" s="34">
        <v>21</v>
      </c>
      <c r="AO33" s="34">
        <f t="shared" si="34"/>
        <v>0</v>
      </c>
      <c r="AP33" s="34">
        <f t="shared" si="35"/>
        <v>0</v>
      </c>
      <c r="AQ33" s="28" t="s">
        <v>7</v>
      </c>
      <c r="AV33" s="34">
        <f t="shared" si="36"/>
        <v>0</v>
      </c>
      <c r="AW33" s="34">
        <f t="shared" si="37"/>
        <v>0</v>
      </c>
      <c r="AX33" s="34">
        <f t="shared" si="38"/>
        <v>0</v>
      </c>
      <c r="AY33" s="35" t="s">
        <v>3654</v>
      </c>
      <c r="AZ33" s="35" t="s">
        <v>3707</v>
      </c>
      <c r="BA33" s="27" t="s">
        <v>3729</v>
      </c>
      <c r="BC33" s="34">
        <f t="shared" si="39"/>
        <v>0</v>
      </c>
      <c r="BD33" s="34">
        <f t="shared" si="40"/>
        <v>0</v>
      </c>
      <c r="BE33" s="34">
        <v>0</v>
      </c>
      <c r="BF33" s="34">
        <f>33</f>
        <v>33</v>
      </c>
      <c r="BH33" s="18">
        <f t="shared" si="41"/>
        <v>0</v>
      </c>
      <c r="BI33" s="18">
        <f t="shared" si="42"/>
        <v>0</v>
      </c>
      <c r="BJ33" s="18">
        <f t="shared" si="43"/>
        <v>0</v>
      </c>
    </row>
    <row r="34" spans="1:62" x14ac:dyDescent="0.2">
      <c r="A34" s="5" t="s">
        <v>25</v>
      </c>
      <c r="B34" s="5" t="s">
        <v>1243</v>
      </c>
      <c r="C34" s="135" t="s">
        <v>2426</v>
      </c>
      <c r="D34" s="136"/>
      <c r="E34" s="136"/>
      <c r="F34" s="136"/>
      <c r="G34" s="136"/>
      <c r="H34" s="5" t="s">
        <v>3613</v>
      </c>
      <c r="I34" s="18">
        <v>16.026150000000001</v>
      </c>
      <c r="J34" s="18">
        <v>0</v>
      </c>
      <c r="K34" s="18">
        <f t="shared" si="22"/>
        <v>0</v>
      </c>
      <c r="L34" s="28" t="s">
        <v>3635</v>
      </c>
      <c r="Z34" s="34">
        <f t="shared" si="23"/>
        <v>0</v>
      </c>
      <c r="AB34" s="34">
        <f t="shared" si="24"/>
        <v>0</v>
      </c>
      <c r="AC34" s="34">
        <f t="shared" si="25"/>
        <v>0</v>
      </c>
      <c r="AD34" s="34">
        <f t="shared" si="26"/>
        <v>0</v>
      </c>
      <c r="AE34" s="34">
        <f t="shared" si="27"/>
        <v>0</v>
      </c>
      <c r="AF34" s="34">
        <f t="shared" si="28"/>
        <v>0</v>
      </c>
      <c r="AG34" s="34">
        <f t="shared" si="29"/>
        <v>0</v>
      </c>
      <c r="AH34" s="34">
        <f t="shared" si="30"/>
        <v>0</v>
      </c>
      <c r="AI34" s="27" t="s">
        <v>3645</v>
      </c>
      <c r="AJ34" s="18">
        <f t="shared" si="31"/>
        <v>0</v>
      </c>
      <c r="AK34" s="18">
        <f t="shared" si="32"/>
        <v>0</v>
      </c>
      <c r="AL34" s="18">
        <f t="shared" si="33"/>
        <v>0</v>
      </c>
      <c r="AN34" s="34">
        <v>21</v>
      </c>
      <c r="AO34" s="34">
        <f t="shared" si="34"/>
        <v>0</v>
      </c>
      <c r="AP34" s="34">
        <f t="shared" si="35"/>
        <v>0</v>
      </c>
      <c r="AQ34" s="28" t="s">
        <v>7</v>
      </c>
      <c r="AV34" s="34">
        <f t="shared" si="36"/>
        <v>0</v>
      </c>
      <c r="AW34" s="34">
        <f t="shared" si="37"/>
        <v>0</v>
      </c>
      <c r="AX34" s="34">
        <f t="shared" si="38"/>
        <v>0</v>
      </c>
      <c r="AY34" s="35" t="s">
        <v>3654</v>
      </c>
      <c r="AZ34" s="35" t="s">
        <v>3707</v>
      </c>
      <c r="BA34" s="27" t="s">
        <v>3729</v>
      </c>
      <c r="BC34" s="34">
        <f t="shared" si="39"/>
        <v>0</v>
      </c>
      <c r="BD34" s="34">
        <f t="shared" si="40"/>
        <v>0</v>
      </c>
      <c r="BE34" s="34">
        <v>0</v>
      </c>
      <c r="BF34" s="34">
        <f>34</f>
        <v>34</v>
      </c>
      <c r="BH34" s="18">
        <f t="shared" si="41"/>
        <v>0</v>
      </c>
      <c r="BI34" s="18">
        <f t="shared" si="42"/>
        <v>0</v>
      </c>
      <c r="BJ34" s="18">
        <f t="shared" si="43"/>
        <v>0</v>
      </c>
    </row>
    <row r="35" spans="1:62" x14ac:dyDescent="0.2">
      <c r="A35" s="5" t="s">
        <v>26</v>
      </c>
      <c r="B35" s="5" t="s">
        <v>1244</v>
      </c>
      <c r="C35" s="135" t="s">
        <v>2427</v>
      </c>
      <c r="D35" s="136"/>
      <c r="E35" s="136"/>
      <c r="F35" s="136"/>
      <c r="G35" s="136"/>
      <c r="H35" s="5" t="s">
        <v>3613</v>
      </c>
      <c r="I35" s="18">
        <v>16.026150000000001</v>
      </c>
      <c r="J35" s="18">
        <v>0</v>
      </c>
      <c r="K35" s="18">
        <f t="shared" si="22"/>
        <v>0</v>
      </c>
      <c r="L35" s="28" t="s">
        <v>3635</v>
      </c>
      <c r="Z35" s="34">
        <f t="shared" si="23"/>
        <v>0</v>
      </c>
      <c r="AB35" s="34">
        <f t="shared" si="24"/>
        <v>0</v>
      </c>
      <c r="AC35" s="34">
        <f t="shared" si="25"/>
        <v>0</v>
      </c>
      <c r="AD35" s="34">
        <f t="shared" si="26"/>
        <v>0</v>
      </c>
      <c r="AE35" s="34">
        <f t="shared" si="27"/>
        <v>0</v>
      </c>
      <c r="AF35" s="34">
        <f t="shared" si="28"/>
        <v>0</v>
      </c>
      <c r="AG35" s="34">
        <f t="shared" si="29"/>
        <v>0</v>
      </c>
      <c r="AH35" s="34">
        <f t="shared" si="30"/>
        <v>0</v>
      </c>
      <c r="AI35" s="27" t="s">
        <v>3645</v>
      </c>
      <c r="AJ35" s="18">
        <f t="shared" si="31"/>
        <v>0</v>
      </c>
      <c r="AK35" s="18">
        <f t="shared" si="32"/>
        <v>0</v>
      </c>
      <c r="AL35" s="18">
        <f t="shared" si="33"/>
        <v>0</v>
      </c>
      <c r="AN35" s="34">
        <v>21</v>
      </c>
      <c r="AO35" s="34">
        <f t="shared" si="34"/>
        <v>0</v>
      </c>
      <c r="AP35" s="34">
        <f t="shared" si="35"/>
        <v>0</v>
      </c>
      <c r="AQ35" s="28" t="s">
        <v>7</v>
      </c>
      <c r="AV35" s="34">
        <f t="shared" si="36"/>
        <v>0</v>
      </c>
      <c r="AW35" s="34">
        <f t="shared" si="37"/>
        <v>0</v>
      </c>
      <c r="AX35" s="34">
        <f t="shared" si="38"/>
        <v>0</v>
      </c>
      <c r="AY35" s="35" t="s">
        <v>3654</v>
      </c>
      <c r="AZ35" s="35" t="s">
        <v>3707</v>
      </c>
      <c r="BA35" s="27" t="s">
        <v>3729</v>
      </c>
      <c r="BC35" s="34">
        <f t="shared" si="39"/>
        <v>0</v>
      </c>
      <c r="BD35" s="34">
        <f t="shared" si="40"/>
        <v>0</v>
      </c>
      <c r="BE35" s="34">
        <v>0</v>
      </c>
      <c r="BF35" s="34">
        <f>35</f>
        <v>35</v>
      </c>
      <c r="BH35" s="18">
        <f t="shared" si="41"/>
        <v>0</v>
      </c>
      <c r="BI35" s="18">
        <f t="shared" si="42"/>
        <v>0</v>
      </c>
      <c r="BJ35" s="18">
        <f t="shared" si="43"/>
        <v>0</v>
      </c>
    </row>
    <row r="36" spans="1:62" x14ac:dyDescent="0.2">
      <c r="A36" s="4"/>
      <c r="B36" s="14" t="s">
        <v>22</v>
      </c>
      <c r="C36" s="133" t="s">
        <v>2428</v>
      </c>
      <c r="D36" s="134"/>
      <c r="E36" s="134"/>
      <c r="F36" s="134"/>
      <c r="G36" s="134"/>
      <c r="H36" s="4" t="s">
        <v>6</v>
      </c>
      <c r="I36" s="4" t="s">
        <v>6</v>
      </c>
      <c r="J36" s="4" t="s">
        <v>6</v>
      </c>
      <c r="K36" s="37">
        <f>SUM(K37:K40)</f>
        <v>0</v>
      </c>
      <c r="L36" s="27"/>
      <c r="AI36" s="27" t="s">
        <v>3645</v>
      </c>
      <c r="AS36" s="37">
        <f>SUM(AJ37:AJ40)</f>
        <v>0</v>
      </c>
      <c r="AT36" s="37">
        <f>SUM(AK37:AK40)</f>
        <v>0</v>
      </c>
      <c r="AU36" s="37">
        <f>SUM(AL37:AL40)</f>
        <v>0</v>
      </c>
    </row>
    <row r="37" spans="1:62" x14ac:dyDescent="0.2">
      <c r="A37" s="5" t="s">
        <v>27</v>
      </c>
      <c r="B37" s="5" t="s">
        <v>1245</v>
      </c>
      <c r="C37" s="135" t="s">
        <v>2429</v>
      </c>
      <c r="D37" s="136"/>
      <c r="E37" s="136"/>
      <c r="F37" s="136"/>
      <c r="G37" s="136"/>
      <c r="H37" s="5" t="s">
        <v>3613</v>
      </c>
      <c r="I37" s="18">
        <v>32.054600000000001</v>
      </c>
      <c r="J37" s="18">
        <v>0</v>
      </c>
      <c r="K37" s="18">
        <f>I37*J37</f>
        <v>0</v>
      </c>
      <c r="L37" s="28" t="s">
        <v>3635</v>
      </c>
      <c r="Z37" s="34">
        <f>IF(AQ37="5",BJ37,0)</f>
        <v>0</v>
      </c>
      <c r="AB37" s="34">
        <f>IF(AQ37="1",BH37,0)</f>
        <v>0</v>
      </c>
      <c r="AC37" s="34">
        <f>IF(AQ37="1",BI37,0)</f>
        <v>0</v>
      </c>
      <c r="AD37" s="34">
        <f>IF(AQ37="7",BH37,0)</f>
        <v>0</v>
      </c>
      <c r="AE37" s="34">
        <f>IF(AQ37="7",BI37,0)</f>
        <v>0</v>
      </c>
      <c r="AF37" s="34">
        <f>IF(AQ37="2",BH37,0)</f>
        <v>0</v>
      </c>
      <c r="AG37" s="34">
        <f>IF(AQ37="2",BI37,0)</f>
        <v>0</v>
      </c>
      <c r="AH37" s="34">
        <f>IF(AQ37="0",BJ37,0)</f>
        <v>0</v>
      </c>
      <c r="AI37" s="27" t="s">
        <v>3645</v>
      </c>
      <c r="AJ37" s="18">
        <f>IF(AN37=0,K37,0)</f>
        <v>0</v>
      </c>
      <c r="AK37" s="18">
        <f>IF(AN37=15,K37,0)</f>
        <v>0</v>
      </c>
      <c r="AL37" s="18">
        <f>IF(AN37=21,K37,0)</f>
        <v>0</v>
      </c>
      <c r="AN37" s="34">
        <v>21</v>
      </c>
      <c r="AO37" s="34">
        <f>J37*0</f>
        <v>0</v>
      </c>
      <c r="AP37" s="34">
        <f>J37*(1-0)</f>
        <v>0</v>
      </c>
      <c r="AQ37" s="28" t="s">
        <v>7</v>
      </c>
      <c r="AV37" s="34">
        <f>AW37+AX37</f>
        <v>0</v>
      </c>
      <c r="AW37" s="34">
        <f>I37*AO37</f>
        <v>0</v>
      </c>
      <c r="AX37" s="34">
        <f>I37*AP37</f>
        <v>0</v>
      </c>
      <c r="AY37" s="35" t="s">
        <v>3655</v>
      </c>
      <c r="AZ37" s="35" t="s">
        <v>3707</v>
      </c>
      <c r="BA37" s="27" t="s">
        <v>3729</v>
      </c>
      <c r="BC37" s="34">
        <f>AW37+AX37</f>
        <v>0</v>
      </c>
      <c r="BD37" s="34">
        <f>J37/(100-BE37)*100</f>
        <v>0</v>
      </c>
      <c r="BE37" s="34">
        <v>0</v>
      </c>
      <c r="BF37" s="34">
        <f>37</f>
        <v>37</v>
      </c>
      <c r="BH37" s="18">
        <f>I37*AO37</f>
        <v>0</v>
      </c>
      <c r="BI37" s="18">
        <f>I37*AP37</f>
        <v>0</v>
      </c>
      <c r="BJ37" s="18">
        <f>I37*J37</f>
        <v>0</v>
      </c>
    </row>
    <row r="38" spans="1:62" x14ac:dyDescent="0.2">
      <c r="A38" s="5" t="s">
        <v>28</v>
      </c>
      <c r="B38" s="5" t="s">
        <v>1246</v>
      </c>
      <c r="C38" s="135" t="s">
        <v>4196</v>
      </c>
      <c r="D38" s="136"/>
      <c r="E38" s="136"/>
      <c r="F38" s="136"/>
      <c r="G38" s="136"/>
      <c r="H38" s="5" t="s">
        <v>3613</v>
      </c>
      <c r="I38" s="18">
        <v>968.67920000000004</v>
      </c>
      <c r="J38" s="18">
        <v>0</v>
      </c>
      <c r="K38" s="18">
        <f>I38*J38</f>
        <v>0</v>
      </c>
      <c r="L38" s="28" t="s">
        <v>3635</v>
      </c>
      <c r="Z38" s="34">
        <f>IF(AQ38="5",BJ38,0)</f>
        <v>0</v>
      </c>
      <c r="AB38" s="34">
        <f>IF(AQ38="1",BH38,0)</f>
        <v>0</v>
      </c>
      <c r="AC38" s="34">
        <f>IF(AQ38="1",BI38,0)</f>
        <v>0</v>
      </c>
      <c r="AD38" s="34">
        <f>IF(AQ38="7",BH38,0)</f>
        <v>0</v>
      </c>
      <c r="AE38" s="34">
        <f>IF(AQ38="7",BI38,0)</f>
        <v>0</v>
      </c>
      <c r="AF38" s="34">
        <f>IF(AQ38="2",BH38,0)</f>
        <v>0</v>
      </c>
      <c r="AG38" s="34">
        <f>IF(AQ38="2",BI38,0)</f>
        <v>0</v>
      </c>
      <c r="AH38" s="34">
        <f>IF(AQ38="0",BJ38,0)</f>
        <v>0</v>
      </c>
      <c r="AI38" s="27" t="s">
        <v>3645</v>
      </c>
      <c r="AJ38" s="18">
        <f>IF(AN38=0,K38,0)</f>
        <v>0</v>
      </c>
      <c r="AK38" s="18">
        <f>IF(AN38=15,K38,0)</f>
        <v>0</v>
      </c>
      <c r="AL38" s="18">
        <f>IF(AN38=21,K38,0)</f>
        <v>0</v>
      </c>
      <c r="AN38" s="34">
        <v>21</v>
      </c>
      <c r="AO38" s="34">
        <f>J38*0</f>
        <v>0</v>
      </c>
      <c r="AP38" s="34">
        <f>J38*(1-0)</f>
        <v>0</v>
      </c>
      <c r="AQ38" s="28" t="s">
        <v>7</v>
      </c>
      <c r="AV38" s="34">
        <f>AW38+AX38</f>
        <v>0</v>
      </c>
      <c r="AW38" s="34">
        <f>I38*AO38</f>
        <v>0</v>
      </c>
      <c r="AX38" s="34">
        <f>I38*AP38</f>
        <v>0</v>
      </c>
      <c r="AY38" s="35" t="s">
        <v>3655</v>
      </c>
      <c r="AZ38" s="35" t="s">
        <v>3707</v>
      </c>
      <c r="BA38" s="27" t="s">
        <v>3729</v>
      </c>
      <c r="BC38" s="34">
        <f>AW38+AX38</f>
        <v>0</v>
      </c>
      <c r="BD38" s="34">
        <f>J38/(100-BE38)*100</f>
        <v>0</v>
      </c>
      <c r="BE38" s="34">
        <v>0</v>
      </c>
      <c r="BF38" s="34">
        <f>38</f>
        <v>38</v>
      </c>
      <c r="BH38" s="18">
        <f>I38*AO38</f>
        <v>0</v>
      </c>
      <c r="BI38" s="18">
        <f>I38*AP38</f>
        <v>0</v>
      </c>
      <c r="BJ38" s="18">
        <f>I38*J38</f>
        <v>0</v>
      </c>
    </row>
    <row r="39" spans="1:62" x14ac:dyDescent="0.2">
      <c r="A39" s="5" t="s">
        <v>29</v>
      </c>
      <c r="B39" s="5" t="s">
        <v>1247</v>
      </c>
      <c r="C39" s="135" t="s">
        <v>2431</v>
      </c>
      <c r="D39" s="136"/>
      <c r="E39" s="136"/>
      <c r="F39" s="136"/>
      <c r="G39" s="136"/>
      <c r="H39" s="5" t="s">
        <v>3613</v>
      </c>
      <c r="I39" s="18">
        <v>32.054600000000001</v>
      </c>
      <c r="J39" s="18">
        <v>0</v>
      </c>
      <c r="K39" s="18">
        <f>I39*J39</f>
        <v>0</v>
      </c>
      <c r="L39" s="28" t="s">
        <v>3635</v>
      </c>
      <c r="Z39" s="34">
        <f>IF(AQ39="5",BJ39,0)</f>
        <v>0</v>
      </c>
      <c r="AB39" s="34">
        <f>IF(AQ39="1",BH39,0)</f>
        <v>0</v>
      </c>
      <c r="AC39" s="34">
        <f>IF(AQ39="1",BI39,0)</f>
        <v>0</v>
      </c>
      <c r="AD39" s="34">
        <f>IF(AQ39="7",BH39,0)</f>
        <v>0</v>
      </c>
      <c r="AE39" s="34">
        <f>IF(AQ39="7",BI39,0)</f>
        <v>0</v>
      </c>
      <c r="AF39" s="34">
        <f>IF(AQ39="2",BH39,0)</f>
        <v>0</v>
      </c>
      <c r="AG39" s="34">
        <f>IF(AQ39="2",BI39,0)</f>
        <v>0</v>
      </c>
      <c r="AH39" s="34">
        <f>IF(AQ39="0",BJ39,0)</f>
        <v>0</v>
      </c>
      <c r="AI39" s="27" t="s">
        <v>3645</v>
      </c>
      <c r="AJ39" s="18">
        <f>IF(AN39=0,K39,0)</f>
        <v>0</v>
      </c>
      <c r="AK39" s="18">
        <f>IF(AN39=15,K39,0)</f>
        <v>0</v>
      </c>
      <c r="AL39" s="18">
        <f>IF(AN39=21,K39,0)</f>
        <v>0</v>
      </c>
      <c r="AN39" s="34">
        <v>21</v>
      </c>
      <c r="AO39" s="34">
        <f>J39*0</f>
        <v>0</v>
      </c>
      <c r="AP39" s="34">
        <f>J39*(1-0)</f>
        <v>0</v>
      </c>
      <c r="AQ39" s="28" t="s">
        <v>7</v>
      </c>
      <c r="AV39" s="34">
        <f>AW39+AX39</f>
        <v>0</v>
      </c>
      <c r="AW39" s="34">
        <f>I39*AO39</f>
        <v>0</v>
      </c>
      <c r="AX39" s="34">
        <f>I39*AP39</f>
        <v>0</v>
      </c>
      <c r="AY39" s="35" t="s">
        <v>3655</v>
      </c>
      <c r="AZ39" s="35" t="s">
        <v>3707</v>
      </c>
      <c r="BA39" s="27" t="s">
        <v>3729</v>
      </c>
      <c r="BC39" s="34">
        <f>AW39+AX39</f>
        <v>0</v>
      </c>
      <c r="BD39" s="34">
        <f>J39/(100-BE39)*100</f>
        <v>0</v>
      </c>
      <c r="BE39" s="34">
        <v>0</v>
      </c>
      <c r="BF39" s="34">
        <f>39</f>
        <v>39</v>
      </c>
      <c r="BH39" s="18">
        <f>I39*AO39</f>
        <v>0</v>
      </c>
      <c r="BI39" s="18">
        <f>I39*AP39</f>
        <v>0</v>
      </c>
      <c r="BJ39" s="18">
        <f>I39*J39</f>
        <v>0</v>
      </c>
    </row>
    <row r="40" spans="1:62" x14ac:dyDescent="0.2">
      <c r="A40" s="5" t="s">
        <v>30</v>
      </c>
      <c r="B40" s="5" t="s">
        <v>1248</v>
      </c>
      <c r="C40" s="135" t="s">
        <v>2432</v>
      </c>
      <c r="D40" s="136"/>
      <c r="E40" s="136"/>
      <c r="F40" s="136"/>
      <c r="G40" s="136"/>
      <c r="H40" s="5" t="s">
        <v>3613</v>
      </c>
      <c r="I40" s="18">
        <v>968.67920000000004</v>
      </c>
      <c r="J40" s="18">
        <v>0</v>
      </c>
      <c r="K40" s="18">
        <f>I40*J40</f>
        <v>0</v>
      </c>
      <c r="L40" s="28" t="s">
        <v>3635</v>
      </c>
      <c r="Z40" s="34">
        <f>IF(AQ40="5",BJ40,0)</f>
        <v>0</v>
      </c>
      <c r="AB40" s="34">
        <f>IF(AQ40="1",BH40,0)</f>
        <v>0</v>
      </c>
      <c r="AC40" s="34">
        <f>IF(AQ40="1",BI40,0)</f>
        <v>0</v>
      </c>
      <c r="AD40" s="34">
        <f>IF(AQ40="7",BH40,0)</f>
        <v>0</v>
      </c>
      <c r="AE40" s="34">
        <f>IF(AQ40="7",BI40,0)</f>
        <v>0</v>
      </c>
      <c r="AF40" s="34">
        <f>IF(AQ40="2",BH40,0)</f>
        <v>0</v>
      </c>
      <c r="AG40" s="34">
        <f>IF(AQ40="2",BI40,0)</f>
        <v>0</v>
      </c>
      <c r="AH40" s="34">
        <f>IF(AQ40="0",BJ40,0)</f>
        <v>0</v>
      </c>
      <c r="AI40" s="27" t="s">
        <v>3645</v>
      </c>
      <c r="AJ40" s="18">
        <f>IF(AN40=0,K40,0)</f>
        <v>0</v>
      </c>
      <c r="AK40" s="18">
        <f>IF(AN40=15,K40,0)</f>
        <v>0</v>
      </c>
      <c r="AL40" s="18">
        <f>IF(AN40=21,K40,0)</f>
        <v>0</v>
      </c>
      <c r="AN40" s="34">
        <v>21</v>
      </c>
      <c r="AO40" s="34">
        <f>J40*0</f>
        <v>0</v>
      </c>
      <c r="AP40" s="34">
        <f>J40*(1-0)</f>
        <v>0</v>
      </c>
      <c r="AQ40" s="28" t="s">
        <v>7</v>
      </c>
      <c r="AV40" s="34">
        <f>AW40+AX40</f>
        <v>0</v>
      </c>
      <c r="AW40" s="34">
        <f>I40*AO40</f>
        <v>0</v>
      </c>
      <c r="AX40" s="34">
        <f>I40*AP40</f>
        <v>0</v>
      </c>
      <c r="AY40" s="35" t="s">
        <v>3655</v>
      </c>
      <c r="AZ40" s="35" t="s">
        <v>3707</v>
      </c>
      <c r="BA40" s="27" t="s">
        <v>3729</v>
      </c>
      <c r="BC40" s="34">
        <f>AW40+AX40</f>
        <v>0</v>
      </c>
      <c r="BD40" s="34">
        <f>J40/(100-BE40)*100</f>
        <v>0</v>
      </c>
      <c r="BE40" s="34">
        <v>0</v>
      </c>
      <c r="BF40" s="34">
        <f>40</f>
        <v>40</v>
      </c>
      <c r="BH40" s="18">
        <f>I40*AO40</f>
        <v>0</v>
      </c>
      <c r="BI40" s="18">
        <f>I40*AP40</f>
        <v>0</v>
      </c>
      <c r="BJ40" s="18">
        <f>I40*J40</f>
        <v>0</v>
      </c>
    </row>
    <row r="41" spans="1:62" x14ac:dyDescent="0.2">
      <c r="A41" s="4"/>
      <c r="B41" s="14" t="s">
        <v>23</v>
      </c>
      <c r="C41" s="133" t="s">
        <v>2433</v>
      </c>
      <c r="D41" s="134"/>
      <c r="E41" s="134"/>
      <c r="F41" s="134"/>
      <c r="G41" s="134"/>
      <c r="H41" s="4" t="s">
        <v>6</v>
      </c>
      <c r="I41" s="4" t="s">
        <v>6</v>
      </c>
      <c r="J41" s="4" t="s">
        <v>6</v>
      </c>
      <c r="K41" s="37">
        <f>SUM(K42:K44)</f>
        <v>0</v>
      </c>
      <c r="L41" s="27"/>
      <c r="AI41" s="27" t="s">
        <v>3645</v>
      </c>
      <c r="AS41" s="37">
        <f>SUM(AJ42:AJ44)</f>
        <v>0</v>
      </c>
      <c r="AT41" s="37">
        <f>SUM(AK42:AK44)</f>
        <v>0</v>
      </c>
      <c r="AU41" s="37">
        <f>SUM(AL42:AL44)</f>
        <v>0</v>
      </c>
    </row>
    <row r="42" spans="1:62" x14ac:dyDescent="0.2">
      <c r="A42" s="5" t="s">
        <v>31</v>
      </c>
      <c r="B42" s="5" t="s">
        <v>1249</v>
      </c>
      <c r="C42" s="135" t="s">
        <v>2434</v>
      </c>
      <c r="D42" s="136"/>
      <c r="E42" s="136"/>
      <c r="F42" s="136"/>
      <c r="G42" s="136"/>
      <c r="H42" s="5" t="s">
        <v>3613</v>
      </c>
      <c r="I42" s="18">
        <v>30.521000000000001</v>
      </c>
      <c r="J42" s="18">
        <v>0</v>
      </c>
      <c r="K42" s="18">
        <f>I42*J42</f>
        <v>0</v>
      </c>
      <c r="L42" s="28" t="s">
        <v>3635</v>
      </c>
      <c r="Z42" s="34">
        <f>IF(AQ42="5",BJ42,0)</f>
        <v>0</v>
      </c>
      <c r="AB42" s="34">
        <f>IF(AQ42="1",BH42,0)</f>
        <v>0</v>
      </c>
      <c r="AC42" s="34">
        <f>IF(AQ42="1",BI42,0)</f>
        <v>0</v>
      </c>
      <c r="AD42" s="34">
        <f>IF(AQ42="7",BH42,0)</f>
        <v>0</v>
      </c>
      <c r="AE42" s="34">
        <f>IF(AQ42="7",BI42,0)</f>
        <v>0</v>
      </c>
      <c r="AF42" s="34">
        <f>IF(AQ42="2",BH42,0)</f>
        <v>0</v>
      </c>
      <c r="AG42" s="34">
        <f>IF(AQ42="2",BI42,0)</f>
        <v>0</v>
      </c>
      <c r="AH42" s="34">
        <f>IF(AQ42="0",BJ42,0)</f>
        <v>0</v>
      </c>
      <c r="AI42" s="27" t="s">
        <v>3645</v>
      </c>
      <c r="AJ42" s="18">
        <f>IF(AN42=0,K42,0)</f>
        <v>0</v>
      </c>
      <c r="AK42" s="18">
        <f>IF(AN42=15,K42,0)</f>
        <v>0</v>
      </c>
      <c r="AL42" s="18">
        <f>IF(AN42=21,K42,0)</f>
        <v>0</v>
      </c>
      <c r="AN42" s="34">
        <v>21</v>
      </c>
      <c r="AO42" s="34">
        <f>J42*0</f>
        <v>0</v>
      </c>
      <c r="AP42" s="34">
        <f>J42*(1-0)</f>
        <v>0</v>
      </c>
      <c r="AQ42" s="28" t="s">
        <v>7</v>
      </c>
      <c r="AV42" s="34">
        <f>AW42+AX42</f>
        <v>0</v>
      </c>
      <c r="AW42" s="34">
        <f>I42*AO42</f>
        <v>0</v>
      </c>
      <c r="AX42" s="34">
        <f>I42*AP42</f>
        <v>0</v>
      </c>
      <c r="AY42" s="35" t="s">
        <v>3656</v>
      </c>
      <c r="AZ42" s="35" t="s">
        <v>3707</v>
      </c>
      <c r="BA42" s="27" t="s">
        <v>3729</v>
      </c>
      <c r="BC42" s="34">
        <f>AW42+AX42</f>
        <v>0</v>
      </c>
      <c r="BD42" s="34">
        <f>J42/(100-BE42)*100</f>
        <v>0</v>
      </c>
      <c r="BE42" s="34">
        <v>0</v>
      </c>
      <c r="BF42" s="34">
        <f>42</f>
        <v>42</v>
      </c>
      <c r="BH42" s="18">
        <f>I42*AO42</f>
        <v>0</v>
      </c>
      <c r="BI42" s="18">
        <f>I42*AP42</f>
        <v>0</v>
      </c>
      <c r="BJ42" s="18">
        <f>I42*J42</f>
        <v>0</v>
      </c>
    </row>
    <row r="43" spans="1:62" x14ac:dyDescent="0.2">
      <c r="A43" s="5" t="s">
        <v>32</v>
      </c>
      <c r="B43" s="5" t="s">
        <v>1249</v>
      </c>
      <c r="C43" s="135" t="s">
        <v>2435</v>
      </c>
      <c r="D43" s="136"/>
      <c r="E43" s="136"/>
      <c r="F43" s="136"/>
      <c r="G43" s="136"/>
      <c r="H43" s="5" t="s">
        <v>3613</v>
      </c>
      <c r="I43" s="18">
        <v>1.5336000000000001</v>
      </c>
      <c r="J43" s="18">
        <v>0</v>
      </c>
      <c r="K43" s="18">
        <f>I43*J43</f>
        <v>0</v>
      </c>
      <c r="L43" s="28" t="s">
        <v>3635</v>
      </c>
      <c r="Z43" s="34">
        <f>IF(AQ43="5",BJ43,0)</f>
        <v>0</v>
      </c>
      <c r="AB43" s="34">
        <f>IF(AQ43="1",BH43,0)</f>
        <v>0</v>
      </c>
      <c r="AC43" s="34">
        <f>IF(AQ43="1",BI43,0)</f>
        <v>0</v>
      </c>
      <c r="AD43" s="34">
        <f>IF(AQ43="7",BH43,0)</f>
        <v>0</v>
      </c>
      <c r="AE43" s="34">
        <f>IF(AQ43="7",BI43,0)</f>
        <v>0</v>
      </c>
      <c r="AF43" s="34">
        <f>IF(AQ43="2",BH43,0)</f>
        <v>0</v>
      </c>
      <c r="AG43" s="34">
        <f>IF(AQ43="2",BI43,0)</f>
        <v>0</v>
      </c>
      <c r="AH43" s="34">
        <f>IF(AQ43="0",BJ43,0)</f>
        <v>0</v>
      </c>
      <c r="AI43" s="27" t="s">
        <v>3645</v>
      </c>
      <c r="AJ43" s="18">
        <f>IF(AN43=0,K43,0)</f>
        <v>0</v>
      </c>
      <c r="AK43" s="18">
        <f>IF(AN43=15,K43,0)</f>
        <v>0</v>
      </c>
      <c r="AL43" s="18">
        <f>IF(AN43=21,K43,0)</f>
        <v>0</v>
      </c>
      <c r="AN43" s="34">
        <v>21</v>
      </c>
      <c r="AO43" s="34">
        <f>J43*0</f>
        <v>0</v>
      </c>
      <c r="AP43" s="34">
        <f>J43*(1-0)</f>
        <v>0</v>
      </c>
      <c r="AQ43" s="28" t="s">
        <v>7</v>
      </c>
      <c r="AV43" s="34">
        <f>AW43+AX43</f>
        <v>0</v>
      </c>
      <c r="AW43" s="34">
        <f>I43*AO43</f>
        <v>0</v>
      </c>
      <c r="AX43" s="34">
        <f>I43*AP43</f>
        <v>0</v>
      </c>
      <c r="AY43" s="35" t="s">
        <v>3656</v>
      </c>
      <c r="AZ43" s="35" t="s">
        <v>3707</v>
      </c>
      <c r="BA43" s="27" t="s">
        <v>3729</v>
      </c>
      <c r="BC43" s="34">
        <f>AW43+AX43</f>
        <v>0</v>
      </c>
      <c r="BD43" s="34">
        <f>J43/(100-BE43)*100</f>
        <v>0</v>
      </c>
      <c r="BE43" s="34">
        <v>0</v>
      </c>
      <c r="BF43" s="34">
        <f>43</f>
        <v>43</v>
      </c>
      <c r="BH43" s="18">
        <f>I43*AO43</f>
        <v>0</v>
      </c>
      <c r="BI43" s="18">
        <f>I43*AP43</f>
        <v>0</v>
      </c>
      <c r="BJ43" s="18">
        <f>I43*J43</f>
        <v>0</v>
      </c>
    </row>
    <row r="44" spans="1:62" x14ac:dyDescent="0.2">
      <c r="A44" s="5" t="s">
        <v>33</v>
      </c>
      <c r="B44" s="5" t="s">
        <v>1250</v>
      </c>
      <c r="C44" s="135" t="s">
        <v>2436</v>
      </c>
      <c r="D44" s="136"/>
      <c r="E44" s="136"/>
      <c r="F44" s="136"/>
      <c r="G44" s="136"/>
      <c r="H44" s="5" t="s">
        <v>3613</v>
      </c>
      <c r="I44" s="18">
        <v>968.67920000000004</v>
      </c>
      <c r="J44" s="18">
        <v>0</v>
      </c>
      <c r="K44" s="18">
        <f>I44*J44</f>
        <v>0</v>
      </c>
      <c r="L44" s="28" t="s">
        <v>3635</v>
      </c>
      <c r="Z44" s="34">
        <f>IF(AQ44="5",BJ44,0)</f>
        <v>0</v>
      </c>
      <c r="AB44" s="34">
        <f>IF(AQ44="1",BH44,0)</f>
        <v>0</v>
      </c>
      <c r="AC44" s="34">
        <f>IF(AQ44="1",BI44,0)</f>
        <v>0</v>
      </c>
      <c r="AD44" s="34">
        <f>IF(AQ44="7",BH44,0)</f>
        <v>0</v>
      </c>
      <c r="AE44" s="34">
        <f>IF(AQ44="7",BI44,0)</f>
        <v>0</v>
      </c>
      <c r="AF44" s="34">
        <f>IF(AQ44="2",BH44,0)</f>
        <v>0</v>
      </c>
      <c r="AG44" s="34">
        <f>IF(AQ44="2",BI44,0)</f>
        <v>0</v>
      </c>
      <c r="AH44" s="34">
        <f>IF(AQ44="0",BJ44,0)</f>
        <v>0</v>
      </c>
      <c r="AI44" s="27" t="s">
        <v>3645</v>
      </c>
      <c r="AJ44" s="18">
        <f>IF(AN44=0,K44,0)</f>
        <v>0</v>
      </c>
      <c r="AK44" s="18">
        <f>IF(AN44=15,K44,0)</f>
        <v>0</v>
      </c>
      <c r="AL44" s="18">
        <f>IF(AN44=21,K44,0)</f>
        <v>0</v>
      </c>
      <c r="AN44" s="34">
        <v>21</v>
      </c>
      <c r="AO44" s="34">
        <f>J44*0</f>
        <v>0</v>
      </c>
      <c r="AP44" s="34">
        <f>J44*(1-0)</f>
        <v>0</v>
      </c>
      <c r="AQ44" s="28" t="s">
        <v>7</v>
      </c>
      <c r="AV44" s="34">
        <f>AW44+AX44</f>
        <v>0</v>
      </c>
      <c r="AW44" s="34">
        <f>I44*AO44</f>
        <v>0</v>
      </c>
      <c r="AX44" s="34">
        <f>I44*AP44</f>
        <v>0</v>
      </c>
      <c r="AY44" s="35" t="s">
        <v>3656</v>
      </c>
      <c r="AZ44" s="35" t="s">
        <v>3707</v>
      </c>
      <c r="BA44" s="27" t="s">
        <v>3729</v>
      </c>
      <c r="BC44" s="34">
        <f>AW44+AX44</f>
        <v>0</v>
      </c>
      <c r="BD44" s="34">
        <f>J44/(100-BE44)*100</f>
        <v>0</v>
      </c>
      <c r="BE44" s="34">
        <v>0</v>
      </c>
      <c r="BF44" s="34">
        <f>44</f>
        <v>44</v>
      </c>
      <c r="BH44" s="18">
        <f>I44*AO44</f>
        <v>0</v>
      </c>
      <c r="BI44" s="18">
        <f>I44*AP44</f>
        <v>0</v>
      </c>
      <c r="BJ44" s="18">
        <f>I44*J44</f>
        <v>0</v>
      </c>
    </row>
    <row r="45" spans="1:62" x14ac:dyDescent="0.2">
      <c r="A45" s="4"/>
      <c r="B45" s="14" t="s">
        <v>25</v>
      </c>
      <c r="C45" s="133" t="s">
        <v>2437</v>
      </c>
      <c r="D45" s="134"/>
      <c r="E45" s="134"/>
      <c r="F45" s="134"/>
      <c r="G45" s="134"/>
      <c r="H45" s="4" t="s">
        <v>6</v>
      </c>
      <c r="I45" s="4" t="s">
        <v>6</v>
      </c>
      <c r="J45" s="4" t="s">
        <v>6</v>
      </c>
      <c r="K45" s="37">
        <f>SUM(K46:K46)</f>
        <v>0</v>
      </c>
      <c r="L45" s="27"/>
      <c r="AI45" s="27" t="s">
        <v>3645</v>
      </c>
      <c r="AS45" s="37">
        <f>SUM(AJ46:AJ46)</f>
        <v>0</v>
      </c>
      <c r="AT45" s="37">
        <f>SUM(AK46:AK46)</f>
        <v>0</v>
      </c>
      <c r="AU45" s="37">
        <f>SUM(AL46:AL46)</f>
        <v>0</v>
      </c>
    </row>
    <row r="46" spans="1:62" x14ac:dyDescent="0.2">
      <c r="A46" s="5" t="s">
        <v>34</v>
      </c>
      <c r="B46" s="5" t="s">
        <v>1251</v>
      </c>
      <c r="C46" s="135" t="s">
        <v>2438</v>
      </c>
      <c r="D46" s="136"/>
      <c r="E46" s="136"/>
      <c r="F46" s="136"/>
      <c r="G46" s="136"/>
      <c r="H46" s="5" t="s">
        <v>3613</v>
      </c>
      <c r="I46" s="18">
        <v>968.67920000000004</v>
      </c>
      <c r="J46" s="18">
        <v>0</v>
      </c>
      <c r="K46" s="18">
        <f>I46*J46</f>
        <v>0</v>
      </c>
      <c r="L46" s="28" t="s">
        <v>3635</v>
      </c>
      <c r="Z46" s="34">
        <f>IF(AQ46="5",BJ46,0)</f>
        <v>0</v>
      </c>
      <c r="AB46" s="34">
        <f>IF(AQ46="1",BH46,0)</f>
        <v>0</v>
      </c>
      <c r="AC46" s="34">
        <f>IF(AQ46="1",BI46,0)</f>
        <v>0</v>
      </c>
      <c r="AD46" s="34">
        <f>IF(AQ46="7",BH46,0)</f>
        <v>0</v>
      </c>
      <c r="AE46" s="34">
        <f>IF(AQ46="7",BI46,0)</f>
        <v>0</v>
      </c>
      <c r="AF46" s="34">
        <f>IF(AQ46="2",BH46,0)</f>
        <v>0</v>
      </c>
      <c r="AG46" s="34">
        <f>IF(AQ46="2",BI46,0)</f>
        <v>0</v>
      </c>
      <c r="AH46" s="34">
        <f>IF(AQ46="0",BJ46,0)</f>
        <v>0</v>
      </c>
      <c r="AI46" s="27" t="s">
        <v>3645</v>
      </c>
      <c r="AJ46" s="18">
        <f>IF(AN46=0,K46,0)</f>
        <v>0</v>
      </c>
      <c r="AK46" s="18">
        <f>IF(AN46=15,K46,0)</f>
        <v>0</v>
      </c>
      <c r="AL46" s="18">
        <f>IF(AN46=21,K46,0)</f>
        <v>0</v>
      </c>
      <c r="AN46" s="34">
        <v>21</v>
      </c>
      <c r="AO46" s="34">
        <f>J46*0</f>
        <v>0</v>
      </c>
      <c r="AP46" s="34">
        <f>J46*(1-0)</f>
        <v>0</v>
      </c>
      <c r="AQ46" s="28" t="s">
        <v>7</v>
      </c>
      <c r="AV46" s="34">
        <f>AW46+AX46</f>
        <v>0</v>
      </c>
      <c r="AW46" s="34">
        <f>I46*AO46</f>
        <v>0</v>
      </c>
      <c r="AX46" s="34">
        <f>I46*AP46</f>
        <v>0</v>
      </c>
      <c r="AY46" s="35" t="s">
        <v>3657</v>
      </c>
      <c r="AZ46" s="35" t="s">
        <v>3707</v>
      </c>
      <c r="BA46" s="27" t="s">
        <v>3729</v>
      </c>
      <c r="BC46" s="34">
        <f>AW46+AX46</f>
        <v>0</v>
      </c>
      <c r="BD46" s="34">
        <f>J46/(100-BE46)*100</f>
        <v>0</v>
      </c>
      <c r="BE46" s="34">
        <v>0</v>
      </c>
      <c r="BF46" s="34">
        <f>46</f>
        <v>46</v>
      </c>
      <c r="BH46" s="18">
        <f>I46*AO46</f>
        <v>0</v>
      </c>
      <c r="BI46" s="18">
        <f>I46*AP46</f>
        <v>0</v>
      </c>
      <c r="BJ46" s="18">
        <f>I46*J46</f>
        <v>0</v>
      </c>
    </row>
    <row r="47" spans="1:62" x14ac:dyDescent="0.2">
      <c r="A47" s="4"/>
      <c r="B47" s="14" t="s">
        <v>27</v>
      </c>
      <c r="C47" s="133" t="s">
        <v>2439</v>
      </c>
      <c r="D47" s="134"/>
      <c r="E47" s="134"/>
      <c r="F47" s="134"/>
      <c r="G47" s="134"/>
      <c r="H47" s="4" t="s">
        <v>6</v>
      </c>
      <c r="I47" s="4" t="s">
        <v>6</v>
      </c>
      <c r="J47" s="4" t="s">
        <v>6</v>
      </c>
      <c r="K47" s="37">
        <f>SUM(K48:K49)</f>
        <v>0</v>
      </c>
      <c r="L47" s="27"/>
      <c r="AI47" s="27" t="s">
        <v>3645</v>
      </c>
      <c r="AS47" s="37">
        <f>SUM(AJ48:AJ49)</f>
        <v>0</v>
      </c>
      <c r="AT47" s="37">
        <f>SUM(AK48:AK49)</f>
        <v>0</v>
      </c>
      <c r="AU47" s="37">
        <f>SUM(AL48:AL49)</f>
        <v>0</v>
      </c>
    </row>
    <row r="48" spans="1:62" x14ac:dyDescent="0.2">
      <c r="A48" s="5" t="s">
        <v>35</v>
      </c>
      <c r="B48" s="5" t="s">
        <v>1252</v>
      </c>
      <c r="C48" s="135" t="s">
        <v>2440</v>
      </c>
      <c r="D48" s="136"/>
      <c r="E48" s="136"/>
      <c r="F48" s="136"/>
      <c r="G48" s="136"/>
      <c r="H48" s="5" t="s">
        <v>3614</v>
      </c>
      <c r="I48" s="18">
        <v>22</v>
      </c>
      <c r="J48" s="18">
        <v>0</v>
      </c>
      <c r="K48" s="18">
        <f>I48*J48</f>
        <v>0</v>
      </c>
      <c r="L48" s="28" t="s">
        <v>3635</v>
      </c>
      <c r="Z48" s="34">
        <f>IF(AQ48="5",BJ48,0)</f>
        <v>0</v>
      </c>
      <c r="AB48" s="34">
        <f>IF(AQ48="1",BH48,0)</f>
        <v>0</v>
      </c>
      <c r="AC48" s="34">
        <f>IF(AQ48="1",BI48,0)</f>
        <v>0</v>
      </c>
      <c r="AD48" s="34">
        <f>IF(AQ48="7",BH48,0)</f>
        <v>0</v>
      </c>
      <c r="AE48" s="34">
        <f>IF(AQ48="7",BI48,0)</f>
        <v>0</v>
      </c>
      <c r="AF48" s="34">
        <f>IF(AQ48="2",BH48,0)</f>
        <v>0</v>
      </c>
      <c r="AG48" s="34">
        <f>IF(AQ48="2",BI48,0)</f>
        <v>0</v>
      </c>
      <c r="AH48" s="34">
        <f>IF(AQ48="0",BJ48,0)</f>
        <v>0</v>
      </c>
      <c r="AI48" s="27" t="s">
        <v>3645</v>
      </c>
      <c r="AJ48" s="18">
        <f>IF(AN48=0,K48,0)</f>
        <v>0</v>
      </c>
      <c r="AK48" s="18">
        <f>IF(AN48=15,K48,0)</f>
        <v>0</v>
      </c>
      <c r="AL48" s="18">
        <f>IF(AN48=21,K48,0)</f>
        <v>0</v>
      </c>
      <c r="AN48" s="34">
        <v>21</v>
      </c>
      <c r="AO48" s="34">
        <f>J48*0.671668256854309</f>
        <v>0</v>
      </c>
      <c r="AP48" s="34">
        <f>J48*(1-0.671668256854309)</f>
        <v>0</v>
      </c>
      <c r="AQ48" s="28" t="s">
        <v>7</v>
      </c>
      <c r="AV48" s="34">
        <f>AW48+AX48</f>
        <v>0</v>
      </c>
      <c r="AW48" s="34">
        <f>I48*AO48</f>
        <v>0</v>
      </c>
      <c r="AX48" s="34">
        <f>I48*AP48</f>
        <v>0</v>
      </c>
      <c r="AY48" s="35" t="s">
        <v>3658</v>
      </c>
      <c r="AZ48" s="35" t="s">
        <v>3708</v>
      </c>
      <c r="BA48" s="27" t="s">
        <v>3729</v>
      </c>
      <c r="BC48" s="34">
        <f>AW48+AX48</f>
        <v>0</v>
      </c>
      <c r="BD48" s="34">
        <f>J48/(100-BE48)*100</f>
        <v>0</v>
      </c>
      <c r="BE48" s="34">
        <v>0</v>
      </c>
      <c r="BF48" s="34">
        <f>48</f>
        <v>48</v>
      </c>
      <c r="BH48" s="18">
        <f>I48*AO48</f>
        <v>0</v>
      </c>
      <c r="BI48" s="18">
        <f>I48*AP48</f>
        <v>0</v>
      </c>
      <c r="BJ48" s="18">
        <f>I48*J48</f>
        <v>0</v>
      </c>
    </row>
    <row r="49" spans="1:62" x14ac:dyDescent="0.2">
      <c r="A49" s="5" t="s">
        <v>36</v>
      </c>
      <c r="B49" s="5" t="s">
        <v>1253</v>
      </c>
      <c r="C49" s="135" t="s">
        <v>2441</v>
      </c>
      <c r="D49" s="136"/>
      <c r="E49" s="136"/>
      <c r="F49" s="136"/>
      <c r="G49" s="136"/>
      <c r="H49" s="5" t="s">
        <v>3615</v>
      </c>
      <c r="I49" s="18">
        <v>155.35599999999999</v>
      </c>
      <c r="J49" s="18">
        <v>0</v>
      </c>
      <c r="K49" s="18">
        <f>I49*J49</f>
        <v>0</v>
      </c>
      <c r="L49" s="28" t="s">
        <v>3635</v>
      </c>
      <c r="Z49" s="34">
        <f>IF(AQ49="5",BJ49,0)</f>
        <v>0</v>
      </c>
      <c r="AB49" s="34">
        <f>IF(AQ49="1",BH49,0)</f>
        <v>0</v>
      </c>
      <c r="AC49" s="34">
        <f>IF(AQ49="1",BI49,0)</f>
        <v>0</v>
      </c>
      <c r="AD49" s="34">
        <f>IF(AQ49="7",BH49,0)</f>
        <v>0</v>
      </c>
      <c r="AE49" s="34">
        <f>IF(AQ49="7",BI49,0)</f>
        <v>0</v>
      </c>
      <c r="AF49" s="34">
        <f>IF(AQ49="2",BH49,0)</f>
        <v>0</v>
      </c>
      <c r="AG49" s="34">
        <f>IF(AQ49="2",BI49,0)</f>
        <v>0</v>
      </c>
      <c r="AH49" s="34">
        <f>IF(AQ49="0",BJ49,0)</f>
        <v>0</v>
      </c>
      <c r="AI49" s="27" t="s">
        <v>3645</v>
      </c>
      <c r="AJ49" s="18">
        <f>IF(AN49=0,K49,0)</f>
        <v>0</v>
      </c>
      <c r="AK49" s="18">
        <f>IF(AN49=15,K49,0)</f>
        <v>0</v>
      </c>
      <c r="AL49" s="18">
        <f>IF(AN49=21,K49,0)</f>
        <v>0</v>
      </c>
      <c r="AN49" s="34">
        <v>21</v>
      </c>
      <c r="AO49" s="34">
        <f>J49*0</f>
        <v>0</v>
      </c>
      <c r="AP49" s="34">
        <f>J49*(1-0)</f>
        <v>0</v>
      </c>
      <c r="AQ49" s="28" t="s">
        <v>7</v>
      </c>
      <c r="AV49" s="34">
        <f>AW49+AX49</f>
        <v>0</v>
      </c>
      <c r="AW49" s="34">
        <f>I49*AO49</f>
        <v>0</v>
      </c>
      <c r="AX49" s="34">
        <f>I49*AP49</f>
        <v>0</v>
      </c>
      <c r="AY49" s="35" t="s">
        <v>3658</v>
      </c>
      <c r="AZ49" s="35" t="s">
        <v>3708</v>
      </c>
      <c r="BA49" s="27" t="s">
        <v>3729</v>
      </c>
      <c r="BC49" s="34">
        <f>AW49+AX49</f>
        <v>0</v>
      </c>
      <c r="BD49" s="34">
        <f>J49/(100-BE49)*100</f>
        <v>0</v>
      </c>
      <c r="BE49" s="34">
        <v>0</v>
      </c>
      <c r="BF49" s="34">
        <f>49</f>
        <v>49</v>
      </c>
      <c r="BH49" s="18">
        <f>I49*AO49</f>
        <v>0</v>
      </c>
      <c r="BI49" s="18">
        <f>I49*AP49</f>
        <v>0</v>
      </c>
      <c r="BJ49" s="18">
        <f>I49*J49</f>
        <v>0</v>
      </c>
    </row>
    <row r="50" spans="1:62" x14ac:dyDescent="0.2">
      <c r="A50" s="4"/>
      <c r="B50" s="14" t="s">
        <v>33</v>
      </c>
      <c r="C50" s="133" t="s">
        <v>2442</v>
      </c>
      <c r="D50" s="134"/>
      <c r="E50" s="134"/>
      <c r="F50" s="134"/>
      <c r="G50" s="134"/>
      <c r="H50" s="4" t="s">
        <v>6</v>
      </c>
      <c r="I50" s="4" t="s">
        <v>6</v>
      </c>
      <c r="J50" s="4" t="s">
        <v>6</v>
      </c>
      <c r="K50" s="37">
        <f>SUM(K51:K82)</f>
        <v>0</v>
      </c>
      <c r="L50" s="27"/>
      <c r="AI50" s="27" t="s">
        <v>3645</v>
      </c>
      <c r="AS50" s="37">
        <f>SUM(AJ51:AJ82)</f>
        <v>0</v>
      </c>
      <c r="AT50" s="37">
        <f>SUM(AK51:AK82)</f>
        <v>0</v>
      </c>
      <c r="AU50" s="37">
        <f>SUM(AL51:AL82)</f>
        <v>0</v>
      </c>
    </row>
    <row r="51" spans="1:62" x14ac:dyDescent="0.2">
      <c r="A51" s="5" t="s">
        <v>37</v>
      </c>
      <c r="B51" s="5" t="s">
        <v>1254</v>
      </c>
      <c r="C51" s="135" t="s">
        <v>2443</v>
      </c>
      <c r="D51" s="136"/>
      <c r="E51" s="136"/>
      <c r="F51" s="136"/>
      <c r="G51" s="136"/>
      <c r="H51" s="5" t="s">
        <v>3613</v>
      </c>
      <c r="I51" s="18">
        <v>23.3034</v>
      </c>
      <c r="J51" s="18">
        <v>0</v>
      </c>
      <c r="K51" s="18">
        <f t="shared" ref="K51:K82" si="44">I51*J51</f>
        <v>0</v>
      </c>
      <c r="L51" s="28" t="s">
        <v>3635</v>
      </c>
      <c r="Z51" s="34">
        <f t="shared" ref="Z51:Z82" si="45">IF(AQ51="5",BJ51,0)</f>
        <v>0</v>
      </c>
      <c r="AB51" s="34">
        <f t="shared" ref="AB51:AB82" si="46">IF(AQ51="1",BH51,0)</f>
        <v>0</v>
      </c>
      <c r="AC51" s="34">
        <f t="shared" ref="AC51:AC82" si="47">IF(AQ51="1",BI51,0)</f>
        <v>0</v>
      </c>
      <c r="AD51" s="34">
        <f t="shared" ref="AD51:AD82" si="48">IF(AQ51="7",BH51,0)</f>
        <v>0</v>
      </c>
      <c r="AE51" s="34">
        <f t="shared" ref="AE51:AE82" si="49">IF(AQ51="7",BI51,0)</f>
        <v>0</v>
      </c>
      <c r="AF51" s="34">
        <f t="shared" ref="AF51:AF82" si="50">IF(AQ51="2",BH51,0)</f>
        <v>0</v>
      </c>
      <c r="AG51" s="34">
        <f t="shared" ref="AG51:AG82" si="51">IF(AQ51="2",BI51,0)</f>
        <v>0</v>
      </c>
      <c r="AH51" s="34">
        <f t="shared" ref="AH51:AH82" si="52">IF(AQ51="0",BJ51,0)</f>
        <v>0</v>
      </c>
      <c r="AI51" s="27" t="s">
        <v>3645</v>
      </c>
      <c r="AJ51" s="18">
        <f t="shared" ref="AJ51:AJ82" si="53">IF(AN51=0,K51,0)</f>
        <v>0</v>
      </c>
      <c r="AK51" s="18">
        <f t="shared" ref="AK51:AK82" si="54">IF(AN51=15,K51,0)</f>
        <v>0</v>
      </c>
      <c r="AL51" s="18">
        <f t="shared" ref="AL51:AL82" si="55">IF(AN51=21,K51,0)</f>
        <v>0</v>
      </c>
      <c r="AN51" s="34">
        <v>21</v>
      </c>
      <c r="AO51" s="34">
        <f>J51*0.608239648630839</f>
        <v>0</v>
      </c>
      <c r="AP51" s="34">
        <f>J51*(1-0.608239648630839)</f>
        <v>0</v>
      </c>
      <c r="AQ51" s="28" t="s">
        <v>7</v>
      </c>
      <c r="AV51" s="34">
        <f t="shared" ref="AV51:AV82" si="56">AW51+AX51</f>
        <v>0</v>
      </c>
      <c r="AW51" s="34">
        <f t="shared" ref="AW51:AW82" si="57">I51*AO51</f>
        <v>0</v>
      </c>
      <c r="AX51" s="34">
        <f t="shared" ref="AX51:AX82" si="58">I51*AP51</f>
        <v>0</v>
      </c>
      <c r="AY51" s="35" t="s">
        <v>3659</v>
      </c>
      <c r="AZ51" s="35" t="s">
        <v>3708</v>
      </c>
      <c r="BA51" s="27" t="s">
        <v>3729</v>
      </c>
      <c r="BC51" s="34">
        <f t="shared" ref="BC51:BC82" si="59">AW51+AX51</f>
        <v>0</v>
      </c>
      <c r="BD51" s="34">
        <f t="shared" ref="BD51:BD82" si="60">J51/(100-BE51)*100</f>
        <v>0</v>
      </c>
      <c r="BE51" s="34">
        <v>0</v>
      </c>
      <c r="BF51" s="34">
        <f>51</f>
        <v>51</v>
      </c>
      <c r="BH51" s="18">
        <f t="shared" ref="BH51:BH82" si="61">I51*AO51</f>
        <v>0</v>
      </c>
      <c r="BI51" s="18">
        <f t="shared" ref="BI51:BI82" si="62">I51*AP51</f>
        <v>0</v>
      </c>
      <c r="BJ51" s="18">
        <f t="shared" ref="BJ51:BJ82" si="63">I51*J51</f>
        <v>0</v>
      </c>
    </row>
    <row r="52" spans="1:62" x14ac:dyDescent="0.2">
      <c r="A52" s="5" t="s">
        <v>38</v>
      </c>
      <c r="B52" s="5" t="s">
        <v>1255</v>
      </c>
      <c r="C52" s="135" t="s">
        <v>2444</v>
      </c>
      <c r="D52" s="136"/>
      <c r="E52" s="136"/>
      <c r="F52" s="136"/>
      <c r="G52" s="136"/>
      <c r="H52" s="5" t="s">
        <v>3613</v>
      </c>
      <c r="I52" s="18">
        <v>44.738779999999998</v>
      </c>
      <c r="J52" s="18">
        <v>0</v>
      </c>
      <c r="K52" s="18">
        <f t="shared" si="44"/>
        <v>0</v>
      </c>
      <c r="L52" s="28" t="s">
        <v>3635</v>
      </c>
      <c r="Z52" s="34">
        <f t="shared" si="45"/>
        <v>0</v>
      </c>
      <c r="AB52" s="34">
        <f t="shared" si="46"/>
        <v>0</v>
      </c>
      <c r="AC52" s="34">
        <f t="shared" si="47"/>
        <v>0</v>
      </c>
      <c r="AD52" s="34">
        <f t="shared" si="48"/>
        <v>0</v>
      </c>
      <c r="AE52" s="34">
        <f t="shared" si="49"/>
        <v>0</v>
      </c>
      <c r="AF52" s="34">
        <f t="shared" si="50"/>
        <v>0</v>
      </c>
      <c r="AG52" s="34">
        <f t="shared" si="51"/>
        <v>0</v>
      </c>
      <c r="AH52" s="34">
        <f t="shared" si="52"/>
        <v>0</v>
      </c>
      <c r="AI52" s="27" t="s">
        <v>3645</v>
      </c>
      <c r="AJ52" s="18">
        <f t="shared" si="53"/>
        <v>0</v>
      </c>
      <c r="AK52" s="18">
        <f t="shared" si="54"/>
        <v>0</v>
      </c>
      <c r="AL52" s="18">
        <f t="shared" si="55"/>
        <v>0</v>
      </c>
      <c r="AN52" s="34">
        <v>21</v>
      </c>
      <c r="AO52" s="34">
        <f>J52*0.897569980687824</f>
        <v>0</v>
      </c>
      <c r="AP52" s="34">
        <f>J52*(1-0.897569980687824)</f>
        <v>0</v>
      </c>
      <c r="AQ52" s="28" t="s">
        <v>7</v>
      </c>
      <c r="AV52" s="34">
        <f t="shared" si="56"/>
        <v>0</v>
      </c>
      <c r="AW52" s="34">
        <f t="shared" si="57"/>
        <v>0</v>
      </c>
      <c r="AX52" s="34">
        <f t="shared" si="58"/>
        <v>0</v>
      </c>
      <c r="AY52" s="35" t="s">
        <v>3659</v>
      </c>
      <c r="AZ52" s="35" t="s">
        <v>3708</v>
      </c>
      <c r="BA52" s="27" t="s">
        <v>3729</v>
      </c>
      <c r="BC52" s="34">
        <f t="shared" si="59"/>
        <v>0</v>
      </c>
      <c r="BD52" s="34">
        <f t="shared" si="60"/>
        <v>0</v>
      </c>
      <c r="BE52" s="34">
        <v>0</v>
      </c>
      <c r="BF52" s="34">
        <f>52</f>
        <v>52</v>
      </c>
      <c r="BH52" s="18">
        <f t="shared" si="61"/>
        <v>0</v>
      </c>
      <c r="BI52" s="18">
        <f t="shared" si="62"/>
        <v>0</v>
      </c>
      <c r="BJ52" s="18">
        <f t="shared" si="63"/>
        <v>0</v>
      </c>
    </row>
    <row r="53" spans="1:62" x14ac:dyDescent="0.2">
      <c r="A53" s="5" t="s">
        <v>39</v>
      </c>
      <c r="B53" s="5" t="s">
        <v>1256</v>
      </c>
      <c r="C53" s="135" t="s">
        <v>2445</v>
      </c>
      <c r="D53" s="136"/>
      <c r="E53" s="136"/>
      <c r="F53" s="136"/>
      <c r="G53" s="136"/>
      <c r="H53" s="5" t="s">
        <v>3613</v>
      </c>
      <c r="I53" s="18">
        <v>1.0557000000000001</v>
      </c>
      <c r="J53" s="18">
        <v>0</v>
      </c>
      <c r="K53" s="18">
        <f t="shared" si="44"/>
        <v>0</v>
      </c>
      <c r="L53" s="28" t="s">
        <v>3635</v>
      </c>
      <c r="Z53" s="34">
        <f t="shared" si="45"/>
        <v>0</v>
      </c>
      <c r="AB53" s="34">
        <f t="shared" si="46"/>
        <v>0</v>
      </c>
      <c r="AC53" s="34">
        <f t="shared" si="47"/>
        <v>0</v>
      </c>
      <c r="AD53" s="34">
        <f t="shared" si="48"/>
        <v>0</v>
      </c>
      <c r="AE53" s="34">
        <f t="shared" si="49"/>
        <v>0</v>
      </c>
      <c r="AF53" s="34">
        <f t="shared" si="50"/>
        <v>0</v>
      </c>
      <c r="AG53" s="34">
        <f t="shared" si="51"/>
        <v>0</v>
      </c>
      <c r="AH53" s="34">
        <f t="shared" si="52"/>
        <v>0</v>
      </c>
      <c r="AI53" s="27" t="s">
        <v>3645</v>
      </c>
      <c r="AJ53" s="18">
        <f t="shared" si="53"/>
        <v>0</v>
      </c>
      <c r="AK53" s="18">
        <f t="shared" si="54"/>
        <v>0</v>
      </c>
      <c r="AL53" s="18">
        <f t="shared" si="55"/>
        <v>0</v>
      </c>
      <c r="AN53" s="34">
        <v>21</v>
      </c>
      <c r="AO53" s="34">
        <f>J53*0.901403656926345</f>
        <v>0</v>
      </c>
      <c r="AP53" s="34">
        <f>J53*(1-0.901403656926345)</f>
        <v>0</v>
      </c>
      <c r="AQ53" s="28" t="s">
        <v>7</v>
      </c>
      <c r="AV53" s="34">
        <f t="shared" si="56"/>
        <v>0</v>
      </c>
      <c r="AW53" s="34">
        <f t="shared" si="57"/>
        <v>0</v>
      </c>
      <c r="AX53" s="34">
        <f t="shared" si="58"/>
        <v>0</v>
      </c>
      <c r="AY53" s="35" t="s">
        <v>3659</v>
      </c>
      <c r="AZ53" s="35" t="s">
        <v>3708</v>
      </c>
      <c r="BA53" s="27" t="s">
        <v>3729</v>
      </c>
      <c r="BC53" s="34">
        <f t="shared" si="59"/>
        <v>0</v>
      </c>
      <c r="BD53" s="34">
        <f t="shared" si="60"/>
        <v>0</v>
      </c>
      <c r="BE53" s="34">
        <v>0</v>
      </c>
      <c r="BF53" s="34">
        <f>53</f>
        <v>53</v>
      </c>
      <c r="BH53" s="18">
        <f t="shared" si="61"/>
        <v>0</v>
      </c>
      <c r="BI53" s="18">
        <f t="shared" si="62"/>
        <v>0</v>
      </c>
      <c r="BJ53" s="18">
        <f t="shared" si="63"/>
        <v>0</v>
      </c>
    </row>
    <row r="54" spans="1:62" x14ac:dyDescent="0.2">
      <c r="A54" s="5" t="s">
        <v>40</v>
      </c>
      <c r="B54" s="5" t="s">
        <v>1256</v>
      </c>
      <c r="C54" s="135" t="s">
        <v>2446</v>
      </c>
      <c r="D54" s="136"/>
      <c r="E54" s="136"/>
      <c r="F54" s="136"/>
      <c r="G54" s="136"/>
      <c r="H54" s="5" t="s">
        <v>3613</v>
      </c>
      <c r="I54" s="18">
        <v>0.9</v>
      </c>
      <c r="J54" s="18">
        <v>0</v>
      </c>
      <c r="K54" s="18">
        <f t="shared" si="44"/>
        <v>0</v>
      </c>
      <c r="L54" s="28" t="s">
        <v>3635</v>
      </c>
      <c r="Z54" s="34">
        <f t="shared" si="45"/>
        <v>0</v>
      </c>
      <c r="AB54" s="34">
        <f t="shared" si="46"/>
        <v>0</v>
      </c>
      <c r="AC54" s="34">
        <f t="shared" si="47"/>
        <v>0</v>
      </c>
      <c r="AD54" s="34">
        <f t="shared" si="48"/>
        <v>0</v>
      </c>
      <c r="AE54" s="34">
        <f t="shared" si="49"/>
        <v>0</v>
      </c>
      <c r="AF54" s="34">
        <f t="shared" si="50"/>
        <v>0</v>
      </c>
      <c r="AG54" s="34">
        <f t="shared" si="51"/>
        <v>0</v>
      </c>
      <c r="AH54" s="34">
        <f t="shared" si="52"/>
        <v>0</v>
      </c>
      <c r="AI54" s="27" t="s">
        <v>3645</v>
      </c>
      <c r="AJ54" s="18">
        <f t="shared" si="53"/>
        <v>0</v>
      </c>
      <c r="AK54" s="18">
        <f t="shared" si="54"/>
        <v>0</v>
      </c>
      <c r="AL54" s="18">
        <f t="shared" si="55"/>
        <v>0</v>
      </c>
      <c r="AN54" s="34">
        <v>21</v>
      </c>
      <c r="AO54" s="34">
        <f>J54*0.901404640145138</f>
        <v>0</v>
      </c>
      <c r="AP54" s="34">
        <f>J54*(1-0.901404640145138)</f>
        <v>0</v>
      </c>
      <c r="AQ54" s="28" t="s">
        <v>7</v>
      </c>
      <c r="AV54" s="34">
        <f t="shared" si="56"/>
        <v>0</v>
      </c>
      <c r="AW54" s="34">
        <f t="shared" si="57"/>
        <v>0</v>
      </c>
      <c r="AX54" s="34">
        <f t="shared" si="58"/>
        <v>0</v>
      </c>
      <c r="AY54" s="35" t="s">
        <v>3659</v>
      </c>
      <c r="AZ54" s="35" t="s">
        <v>3708</v>
      </c>
      <c r="BA54" s="27" t="s">
        <v>3729</v>
      </c>
      <c r="BC54" s="34">
        <f t="shared" si="59"/>
        <v>0</v>
      </c>
      <c r="BD54" s="34">
        <f t="shared" si="60"/>
        <v>0</v>
      </c>
      <c r="BE54" s="34">
        <v>0</v>
      </c>
      <c r="BF54" s="34">
        <f>54</f>
        <v>54</v>
      </c>
      <c r="BH54" s="18">
        <f t="shared" si="61"/>
        <v>0</v>
      </c>
      <c r="BI54" s="18">
        <f t="shared" si="62"/>
        <v>0</v>
      </c>
      <c r="BJ54" s="18">
        <f t="shared" si="63"/>
        <v>0</v>
      </c>
    </row>
    <row r="55" spans="1:62" x14ac:dyDescent="0.2">
      <c r="A55" s="5" t="s">
        <v>41</v>
      </c>
      <c r="B55" s="5" t="s">
        <v>1256</v>
      </c>
      <c r="C55" s="135" t="s">
        <v>2447</v>
      </c>
      <c r="D55" s="136"/>
      <c r="E55" s="136"/>
      <c r="F55" s="136"/>
      <c r="G55" s="136"/>
      <c r="H55" s="5" t="s">
        <v>3613</v>
      </c>
      <c r="I55" s="18">
        <v>2.5321500000000001</v>
      </c>
      <c r="J55" s="18">
        <v>0</v>
      </c>
      <c r="K55" s="18">
        <f t="shared" si="44"/>
        <v>0</v>
      </c>
      <c r="L55" s="28" t="s">
        <v>3635</v>
      </c>
      <c r="Z55" s="34">
        <f t="shared" si="45"/>
        <v>0</v>
      </c>
      <c r="AB55" s="34">
        <f t="shared" si="46"/>
        <v>0</v>
      </c>
      <c r="AC55" s="34">
        <f t="shared" si="47"/>
        <v>0</v>
      </c>
      <c r="AD55" s="34">
        <f t="shared" si="48"/>
        <v>0</v>
      </c>
      <c r="AE55" s="34">
        <f t="shared" si="49"/>
        <v>0</v>
      </c>
      <c r="AF55" s="34">
        <f t="shared" si="50"/>
        <v>0</v>
      </c>
      <c r="AG55" s="34">
        <f t="shared" si="51"/>
        <v>0</v>
      </c>
      <c r="AH55" s="34">
        <f t="shared" si="52"/>
        <v>0</v>
      </c>
      <c r="AI55" s="27" t="s">
        <v>3645</v>
      </c>
      <c r="AJ55" s="18">
        <f t="shared" si="53"/>
        <v>0</v>
      </c>
      <c r="AK55" s="18">
        <f t="shared" si="54"/>
        <v>0</v>
      </c>
      <c r="AL55" s="18">
        <f t="shared" si="55"/>
        <v>0</v>
      </c>
      <c r="AN55" s="34">
        <v>21</v>
      </c>
      <c r="AO55" s="34">
        <f>J55*0.901403702908488</f>
        <v>0</v>
      </c>
      <c r="AP55" s="34">
        <f>J55*(1-0.901403702908488)</f>
        <v>0</v>
      </c>
      <c r="AQ55" s="28" t="s">
        <v>7</v>
      </c>
      <c r="AV55" s="34">
        <f t="shared" si="56"/>
        <v>0</v>
      </c>
      <c r="AW55" s="34">
        <f t="shared" si="57"/>
        <v>0</v>
      </c>
      <c r="AX55" s="34">
        <f t="shared" si="58"/>
        <v>0</v>
      </c>
      <c r="AY55" s="35" t="s">
        <v>3659</v>
      </c>
      <c r="AZ55" s="35" t="s">
        <v>3708</v>
      </c>
      <c r="BA55" s="27" t="s">
        <v>3729</v>
      </c>
      <c r="BC55" s="34">
        <f t="shared" si="59"/>
        <v>0</v>
      </c>
      <c r="BD55" s="34">
        <f t="shared" si="60"/>
        <v>0</v>
      </c>
      <c r="BE55" s="34">
        <v>0</v>
      </c>
      <c r="BF55" s="34">
        <f>55</f>
        <v>55</v>
      </c>
      <c r="BH55" s="18">
        <f t="shared" si="61"/>
        <v>0</v>
      </c>
      <c r="BI55" s="18">
        <f t="shared" si="62"/>
        <v>0</v>
      </c>
      <c r="BJ55" s="18">
        <f t="shared" si="63"/>
        <v>0</v>
      </c>
    </row>
    <row r="56" spans="1:62" x14ac:dyDescent="0.2">
      <c r="A56" s="5" t="s">
        <v>42</v>
      </c>
      <c r="B56" s="5" t="s">
        <v>1257</v>
      </c>
      <c r="C56" s="135" t="s">
        <v>2448</v>
      </c>
      <c r="D56" s="136"/>
      <c r="E56" s="136"/>
      <c r="F56" s="136"/>
      <c r="G56" s="136"/>
      <c r="H56" s="5" t="s">
        <v>3615</v>
      </c>
      <c r="I56" s="18">
        <v>20.79</v>
      </c>
      <c r="J56" s="18">
        <v>0</v>
      </c>
      <c r="K56" s="18">
        <f t="shared" si="44"/>
        <v>0</v>
      </c>
      <c r="L56" s="28" t="s">
        <v>3635</v>
      </c>
      <c r="Z56" s="34">
        <f t="shared" si="45"/>
        <v>0</v>
      </c>
      <c r="AB56" s="34">
        <f t="shared" si="46"/>
        <v>0</v>
      </c>
      <c r="AC56" s="34">
        <f t="shared" si="47"/>
        <v>0</v>
      </c>
      <c r="AD56" s="34">
        <f t="shared" si="48"/>
        <v>0</v>
      </c>
      <c r="AE56" s="34">
        <f t="shared" si="49"/>
        <v>0</v>
      </c>
      <c r="AF56" s="34">
        <f t="shared" si="50"/>
        <v>0</v>
      </c>
      <c r="AG56" s="34">
        <f t="shared" si="51"/>
        <v>0</v>
      </c>
      <c r="AH56" s="34">
        <f t="shared" si="52"/>
        <v>0</v>
      </c>
      <c r="AI56" s="27" t="s">
        <v>3645</v>
      </c>
      <c r="AJ56" s="18">
        <f t="shared" si="53"/>
        <v>0</v>
      </c>
      <c r="AK56" s="18">
        <f t="shared" si="54"/>
        <v>0</v>
      </c>
      <c r="AL56" s="18">
        <f t="shared" si="55"/>
        <v>0</v>
      </c>
      <c r="AN56" s="34">
        <v>21</v>
      </c>
      <c r="AO56" s="34">
        <f>J56*0.0266822429906542</f>
        <v>0</v>
      </c>
      <c r="AP56" s="34">
        <f>J56*(1-0.0266822429906542)</f>
        <v>0</v>
      </c>
      <c r="AQ56" s="28" t="s">
        <v>7</v>
      </c>
      <c r="AV56" s="34">
        <f t="shared" si="56"/>
        <v>0</v>
      </c>
      <c r="AW56" s="34">
        <f t="shared" si="57"/>
        <v>0</v>
      </c>
      <c r="AX56" s="34">
        <f t="shared" si="58"/>
        <v>0</v>
      </c>
      <c r="AY56" s="35" t="s">
        <v>3659</v>
      </c>
      <c r="AZ56" s="35" t="s">
        <v>3708</v>
      </c>
      <c r="BA56" s="27" t="s">
        <v>3729</v>
      </c>
      <c r="BC56" s="34">
        <f t="shared" si="59"/>
        <v>0</v>
      </c>
      <c r="BD56" s="34">
        <f t="shared" si="60"/>
        <v>0</v>
      </c>
      <c r="BE56" s="34">
        <v>0</v>
      </c>
      <c r="BF56" s="34">
        <f>56</f>
        <v>56</v>
      </c>
      <c r="BH56" s="18">
        <f t="shared" si="61"/>
        <v>0</v>
      </c>
      <c r="BI56" s="18">
        <f t="shared" si="62"/>
        <v>0</v>
      </c>
      <c r="BJ56" s="18">
        <f t="shared" si="63"/>
        <v>0</v>
      </c>
    </row>
    <row r="57" spans="1:62" x14ac:dyDescent="0.2">
      <c r="A57" s="5" t="s">
        <v>43</v>
      </c>
      <c r="B57" s="5" t="s">
        <v>1257</v>
      </c>
      <c r="C57" s="135" t="s">
        <v>2449</v>
      </c>
      <c r="D57" s="136"/>
      <c r="E57" s="136"/>
      <c r="F57" s="136"/>
      <c r="G57" s="136"/>
      <c r="H57" s="5" t="s">
        <v>3615</v>
      </c>
      <c r="I57" s="18">
        <v>3.516</v>
      </c>
      <c r="J57" s="18">
        <v>0</v>
      </c>
      <c r="K57" s="18">
        <f t="shared" si="44"/>
        <v>0</v>
      </c>
      <c r="L57" s="28" t="s">
        <v>3635</v>
      </c>
      <c r="Z57" s="34">
        <f t="shared" si="45"/>
        <v>0</v>
      </c>
      <c r="AB57" s="34">
        <f t="shared" si="46"/>
        <v>0</v>
      </c>
      <c r="AC57" s="34">
        <f t="shared" si="47"/>
        <v>0</v>
      </c>
      <c r="AD57" s="34">
        <f t="shared" si="48"/>
        <v>0</v>
      </c>
      <c r="AE57" s="34">
        <f t="shared" si="49"/>
        <v>0</v>
      </c>
      <c r="AF57" s="34">
        <f t="shared" si="50"/>
        <v>0</v>
      </c>
      <c r="AG57" s="34">
        <f t="shared" si="51"/>
        <v>0</v>
      </c>
      <c r="AH57" s="34">
        <f t="shared" si="52"/>
        <v>0</v>
      </c>
      <c r="AI57" s="27" t="s">
        <v>3645</v>
      </c>
      <c r="AJ57" s="18">
        <f t="shared" si="53"/>
        <v>0</v>
      </c>
      <c r="AK57" s="18">
        <f t="shared" si="54"/>
        <v>0</v>
      </c>
      <c r="AL57" s="18">
        <f t="shared" si="55"/>
        <v>0</v>
      </c>
      <c r="AN57" s="34">
        <v>21</v>
      </c>
      <c r="AO57" s="34">
        <f>J57*0.0266822666318163</f>
        <v>0</v>
      </c>
      <c r="AP57" s="34">
        <f>J57*(1-0.0266822666318163)</f>
        <v>0</v>
      </c>
      <c r="AQ57" s="28" t="s">
        <v>7</v>
      </c>
      <c r="AV57" s="34">
        <f t="shared" si="56"/>
        <v>0</v>
      </c>
      <c r="AW57" s="34">
        <f t="shared" si="57"/>
        <v>0</v>
      </c>
      <c r="AX57" s="34">
        <f t="shared" si="58"/>
        <v>0</v>
      </c>
      <c r="AY57" s="35" t="s">
        <v>3659</v>
      </c>
      <c r="AZ57" s="35" t="s">
        <v>3708</v>
      </c>
      <c r="BA57" s="27" t="s">
        <v>3729</v>
      </c>
      <c r="BC57" s="34">
        <f t="shared" si="59"/>
        <v>0</v>
      </c>
      <c r="BD57" s="34">
        <f t="shared" si="60"/>
        <v>0</v>
      </c>
      <c r="BE57" s="34">
        <v>0</v>
      </c>
      <c r="BF57" s="34">
        <f>57</f>
        <v>57</v>
      </c>
      <c r="BH57" s="18">
        <f t="shared" si="61"/>
        <v>0</v>
      </c>
      <c r="BI57" s="18">
        <f t="shared" si="62"/>
        <v>0</v>
      </c>
      <c r="BJ57" s="18">
        <f t="shared" si="63"/>
        <v>0</v>
      </c>
    </row>
    <row r="58" spans="1:62" x14ac:dyDescent="0.2">
      <c r="A58" s="5" t="s">
        <v>44</v>
      </c>
      <c r="B58" s="5" t="s">
        <v>1258</v>
      </c>
      <c r="C58" s="135" t="s">
        <v>2450</v>
      </c>
      <c r="D58" s="136"/>
      <c r="E58" s="136"/>
      <c r="F58" s="136"/>
      <c r="G58" s="136"/>
      <c r="H58" s="5" t="s">
        <v>3615</v>
      </c>
      <c r="I58" s="18">
        <v>20.79</v>
      </c>
      <c r="J58" s="18">
        <v>0</v>
      </c>
      <c r="K58" s="18">
        <f t="shared" si="44"/>
        <v>0</v>
      </c>
      <c r="L58" s="28" t="s">
        <v>3635</v>
      </c>
      <c r="Z58" s="34">
        <f t="shared" si="45"/>
        <v>0</v>
      </c>
      <c r="AB58" s="34">
        <f t="shared" si="46"/>
        <v>0</v>
      </c>
      <c r="AC58" s="34">
        <f t="shared" si="47"/>
        <v>0</v>
      </c>
      <c r="AD58" s="34">
        <f t="shared" si="48"/>
        <v>0</v>
      </c>
      <c r="AE58" s="34">
        <f t="shared" si="49"/>
        <v>0</v>
      </c>
      <c r="AF58" s="34">
        <f t="shared" si="50"/>
        <v>0</v>
      </c>
      <c r="AG58" s="34">
        <f t="shared" si="51"/>
        <v>0</v>
      </c>
      <c r="AH58" s="34">
        <f t="shared" si="52"/>
        <v>0</v>
      </c>
      <c r="AI58" s="27" t="s">
        <v>3645</v>
      </c>
      <c r="AJ58" s="18">
        <f t="shared" si="53"/>
        <v>0</v>
      </c>
      <c r="AK58" s="18">
        <f t="shared" si="54"/>
        <v>0</v>
      </c>
      <c r="AL58" s="18">
        <f t="shared" si="55"/>
        <v>0</v>
      </c>
      <c r="AN58" s="34">
        <v>21</v>
      </c>
      <c r="AO58" s="34">
        <f>J58*0</f>
        <v>0</v>
      </c>
      <c r="AP58" s="34">
        <f>J58*(1-0)</f>
        <v>0</v>
      </c>
      <c r="AQ58" s="28" t="s">
        <v>7</v>
      </c>
      <c r="AV58" s="34">
        <f t="shared" si="56"/>
        <v>0</v>
      </c>
      <c r="AW58" s="34">
        <f t="shared" si="57"/>
        <v>0</v>
      </c>
      <c r="AX58" s="34">
        <f t="shared" si="58"/>
        <v>0</v>
      </c>
      <c r="AY58" s="35" t="s">
        <v>3659</v>
      </c>
      <c r="AZ58" s="35" t="s">
        <v>3708</v>
      </c>
      <c r="BA58" s="27" t="s">
        <v>3729</v>
      </c>
      <c r="BC58" s="34">
        <f t="shared" si="59"/>
        <v>0</v>
      </c>
      <c r="BD58" s="34">
        <f t="shared" si="60"/>
        <v>0</v>
      </c>
      <c r="BE58" s="34">
        <v>0</v>
      </c>
      <c r="BF58" s="34">
        <f>58</f>
        <v>58</v>
      </c>
      <c r="BH58" s="18">
        <f t="shared" si="61"/>
        <v>0</v>
      </c>
      <c r="BI58" s="18">
        <f t="shared" si="62"/>
        <v>0</v>
      </c>
      <c r="BJ58" s="18">
        <f t="shared" si="63"/>
        <v>0</v>
      </c>
    </row>
    <row r="59" spans="1:62" x14ac:dyDescent="0.2">
      <c r="A59" s="5" t="s">
        <v>45</v>
      </c>
      <c r="B59" s="5" t="s">
        <v>1258</v>
      </c>
      <c r="C59" s="135" t="s">
        <v>2451</v>
      </c>
      <c r="D59" s="136"/>
      <c r="E59" s="136"/>
      <c r="F59" s="136"/>
      <c r="G59" s="136"/>
      <c r="H59" s="5" t="s">
        <v>3615</v>
      </c>
      <c r="I59" s="18">
        <v>3.516</v>
      </c>
      <c r="J59" s="18">
        <v>0</v>
      </c>
      <c r="K59" s="18">
        <f t="shared" si="44"/>
        <v>0</v>
      </c>
      <c r="L59" s="28" t="s">
        <v>3635</v>
      </c>
      <c r="Z59" s="34">
        <f t="shared" si="45"/>
        <v>0</v>
      </c>
      <c r="AB59" s="34">
        <f t="shared" si="46"/>
        <v>0</v>
      </c>
      <c r="AC59" s="34">
        <f t="shared" si="47"/>
        <v>0</v>
      </c>
      <c r="AD59" s="34">
        <f t="shared" si="48"/>
        <v>0</v>
      </c>
      <c r="AE59" s="34">
        <f t="shared" si="49"/>
        <v>0</v>
      </c>
      <c r="AF59" s="34">
        <f t="shared" si="50"/>
        <v>0</v>
      </c>
      <c r="AG59" s="34">
        <f t="shared" si="51"/>
        <v>0</v>
      </c>
      <c r="AH59" s="34">
        <f t="shared" si="52"/>
        <v>0</v>
      </c>
      <c r="AI59" s="27" t="s">
        <v>3645</v>
      </c>
      <c r="AJ59" s="18">
        <f t="shared" si="53"/>
        <v>0</v>
      </c>
      <c r="AK59" s="18">
        <f t="shared" si="54"/>
        <v>0</v>
      </c>
      <c r="AL59" s="18">
        <f t="shared" si="55"/>
        <v>0</v>
      </c>
      <c r="AN59" s="34">
        <v>21</v>
      </c>
      <c r="AO59" s="34">
        <f>J59*0</f>
        <v>0</v>
      </c>
      <c r="AP59" s="34">
        <f>J59*(1-0)</f>
        <v>0</v>
      </c>
      <c r="AQ59" s="28" t="s">
        <v>7</v>
      </c>
      <c r="AV59" s="34">
        <f t="shared" si="56"/>
        <v>0</v>
      </c>
      <c r="AW59" s="34">
        <f t="shared" si="57"/>
        <v>0</v>
      </c>
      <c r="AX59" s="34">
        <f t="shared" si="58"/>
        <v>0</v>
      </c>
      <c r="AY59" s="35" t="s">
        <v>3659</v>
      </c>
      <c r="AZ59" s="35" t="s">
        <v>3708</v>
      </c>
      <c r="BA59" s="27" t="s">
        <v>3729</v>
      </c>
      <c r="BC59" s="34">
        <f t="shared" si="59"/>
        <v>0</v>
      </c>
      <c r="BD59" s="34">
        <f t="shared" si="60"/>
        <v>0</v>
      </c>
      <c r="BE59" s="34">
        <v>0</v>
      </c>
      <c r="BF59" s="34">
        <f>59</f>
        <v>59</v>
      </c>
      <c r="BH59" s="18">
        <f t="shared" si="61"/>
        <v>0</v>
      </c>
      <c r="BI59" s="18">
        <f t="shared" si="62"/>
        <v>0</v>
      </c>
      <c r="BJ59" s="18">
        <f t="shared" si="63"/>
        <v>0</v>
      </c>
    </row>
    <row r="60" spans="1:62" x14ac:dyDescent="0.2">
      <c r="A60" s="5" t="s">
        <v>46</v>
      </c>
      <c r="B60" s="5" t="s">
        <v>1259</v>
      </c>
      <c r="C60" s="135" t="s">
        <v>2452</v>
      </c>
      <c r="D60" s="136"/>
      <c r="E60" s="136"/>
      <c r="F60" s="136"/>
      <c r="G60" s="136"/>
      <c r="H60" s="5" t="s">
        <v>3616</v>
      </c>
      <c r="I60" s="18">
        <v>4.0834599999999996</v>
      </c>
      <c r="J60" s="18">
        <v>0</v>
      </c>
      <c r="K60" s="18">
        <f t="shared" si="44"/>
        <v>0</v>
      </c>
      <c r="L60" s="28" t="s">
        <v>3635</v>
      </c>
      <c r="Z60" s="34">
        <f t="shared" si="45"/>
        <v>0</v>
      </c>
      <c r="AB60" s="34">
        <f t="shared" si="46"/>
        <v>0</v>
      </c>
      <c r="AC60" s="34">
        <f t="shared" si="47"/>
        <v>0</v>
      </c>
      <c r="AD60" s="34">
        <f t="shared" si="48"/>
        <v>0</v>
      </c>
      <c r="AE60" s="34">
        <f t="shared" si="49"/>
        <v>0</v>
      </c>
      <c r="AF60" s="34">
        <f t="shared" si="50"/>
        <v>0</v>
      </c>
      <c r="AG60" s="34">
        <f t="shared" si="51"/>
        <v>0</v>
      </c>
      <c r="AH60" s="34">
        <f t="shared" si="52"/>
        <v>0</v>
      </c>
      <c r="AI60" s="27" t="s">
        <v>3645</v>
      </c>
      <c r="AJ60" s="18">
        <f t="shared" si="53"/>
        <v>0</v>
      </c>
      <c r="AK60" s="18">
        <f t="shared" si="54"/>
        <v>0</v>
      </c>
      <c r="AL60" s="18">
        <f t="shared" si="55"/>
        <v>0</v>
      </c>
      <c r="AN60" s="34">
        <v>21</v>
      </c>
      <c r="AO60" s="34">
        <f>J60*0.807460721130864</f>
        <v>0</v>
      </c>
      <c r="AP60" s="34">
        <f>J60*(1-0.807460721130864)</f>
        <v>0</v>
      </c>
      <c r="AQ60" s="28" t="s">
        <v>7</v>
      </c>
      <c r="AV60" s="34">
        <f t="shared" si="56"/>
        <v>0</v>
      </c>
      <c r="AW60" s="34">
        <f t="shared" si="57"/>
        <v>0</v>
      </c>
      <c r="AX60" s="34">
        <f t="shared" si="58"/>
        <v>0</v>
      </c>
      <c r="AY60" s="35" t="s">
        <v>3659</v>
      </c>
      <c r="AZ60" s="35" t="s">
        <v>3708</v>
      </c>
      <c r="BA60" s="27" t="s">
        <v>3729</v>
      </c>
      <c r="BC60" s="34">
        <f t="shared" si="59"/>
        <v>0</v>
      </c>
      <c r="BD60" s="34">
        <f t="shared" si="60"/>
        <v>0</v>
      </c>
      <c r="BE60" s="34">
        <v>0</v>
      </c>
      <c r="BF60" s="34">
        <f>60</f>
        <v>60</v>
      </c>
      <c r="BH60" s="18">
        <f t="shared" si="61"/>
        <v>0</v>
      </c>
      <c r="BI60" s="18">
        <f t="shared" si="62"/>
        <v>0</v>
      </c>
      <c r="BJ60" s="18">
        <f t="shared" si="63"/>
        <v>0</v>
      </c>
    </row>
    <row r="61" spans="1:62" x14ac:dyDescent="0.2">
      <c r="A61" s="5" t="s">
        <v>47</v>
      </c>
      <c r="B61" s="5" t="s">
        <v>1260</v>
      </c>
      <c r="C61" s="135" t="s">
        <v>2453</v>
      </c>
      <c r="D61" s="136"/>
      <c r="E61" s="136"/>
      <c r="F61" s="136"/>
      <c r="G61" s="136"/>
      <c r="H61" s="5" t="s">
        <v>3613</v>
      </c>
      <c r="I61" s="18">
        <v>124.39755</v>
      </c>
      <c r="J61" s="18">
        <v>0</v>
      </c>
      <c r="K61" s="18">
        <f t="shared" si="44"/>
        <v>0</v>
      </c>
      <c r="L61" s="28" t="s">
        <v>3635</v>
      </c>
      <c r="Z61" s="34">
        <f t="shared" si="45"/>
        <v>0</v>
      </c>
      <c r="AB61" s="34">
        <f t="shared" si="46"/>
        <v>0</v>
      </c>
      <c r="AC61" s="34">
        <f t="shared" si="47"/>
        <v>0</v>
      </c>
      <c r="AD61" s="34">
        <f t="shared" si="48"/>
        <v>0</v>
      </c>
      <c r="AE61" s="34">
        <f t="shared" si="49"/>
        <v>0</v>
      </c>
      <c r="AF61" s="34">
        <f t="shared" si="50"/>
        <v>0</v>
      </c>
      <c r="AG61" s="34">
        <f t="shared" si="51"/>
        <v>0</v>
      </c>
      <c r="AH61" s="34">
        <f t="shared" si="52"/>
        <v>0</v>
      </c>
      <c r="AI61" s="27" t="s">
        <v>3645</v>
      </c>
      <c r="AJ61" s="18">
        <f t="shared" si="53"/>
        <v>0</v>
      </c>
      <c r="AK61" s="18">
        <f t="shared" si="54"/>
        <v>0</v>
      </c>
      <c r="AL61" s="18">
        <f t="shared" si="55"/>
        <v>0</v>
      </c>
      <c r="AN61" s="34">
        <v>21</v>
      </c>
      <c r="AO61" s="34">
        <f>J61*0.897569993737795</f>
        <v>0</v>
      </c>
      <c r="AP61" s="34">
        <f>J61*(1-0.897569993737795)</f>
        <v>0</v>
      </c>
      <c r="AQ61" s="28" t="s">
        <v>7</v>
      </c>
      <c r="AV61" s="34">
        <f t="shared" si="56"/>
        <v>0</v>
      </c>
      <c r="AW61" s="34">
        <f t="shared" si="57"/>
        <v>0</v>
      </c>
      <c r="AX61" s="34">
        <f t="shared" si="58"/>
        <v>0</v>
      </c>
      <c r="AY61" s="35" t="s">
        <v>3659</v>
      </c>
      <c r="AZ61" s="35" t="s">
        <v>3708</v>
      </c>
      <c r="BA61" s="27" t="s">
        <v>3729</v>
      </c>
      <c r="BC61" s="34">
        <f t="shared" si="59"/>
        <v>0</v>
      </c>
      <c r="BD61" s="34">
        <f t="shared" si="60"/>
        <v>0</v>
      </c>
      <c r="BE61" s="34">
        <v>0</v>
      </c>
      <c r="BF61" s="34">
        <f>61</f>
        <v>61</v>
      </c>
      <c r="BH61" s="18">
        <f t="shared" si="61"/>
        <v>0</v>
      </c>
      <c r="BI61" s="18">
        <f t="shared" si="62"/>
        <v>0</v>
      </c>
      <c r="BJ61" s="18">
        <f t="shared" si="63"/>
        <v>0</v>
      </c>
    </row>
    <row r="62" spans="1:62" x14ac:dyDescent="0.2">
      <c r="A62" s="5" t="s">
        <v>48</v>
      </c>
      <c r="B62" s="5" t="s">
        <v>1261</v>
      </c>
      <c r="C62" s="135" t="s">
        <v>2454</v>
      </c>
      <c r="D62" s="136"/>
      <c r="E62" s="136"/>
      <c r="F62" s="136"/>
      <c r="G62" s="136"/>
      <c r="H62" s="5" t="s">
        <v>3612</v>
      </c>
      <c r="I62" s="18">
        <v>1</v>
      </c>
      <c r="J62" s="18">
        <v>0</v>
      </c>
      <c r="K62" s="18">
        <f t="shared" si="44"/>
        <v>0</v>
      </c>
      <c r="L62" s="28" t="s">
        <v>3635</v>
      </c>
      <c r="Z62" s="34">
        <f t="shared" si="45"/>
        <v>0</v>
      </c>
      <c r="AB62" s="34">
        <f t="shared" si="46"/>
        <v>0</v>
      </c>
      <c r="AC62" s="34">
        <f t="shared" si="47"/>
        <v>0</v>
      </c>
      <c r="AD62" s="34">
        <f t="shared" si="48"/>
        <v>0</v>
      </c>
      <c r="AE62" s="34">
        <f t="shared" si="49"/>
        <v>0</v>
      </c>
      <c r="AF62" s="34">
        <f t="shared" si="50"/>
        <v>0</v>
      </c>
      <c r="AG62" s="34">
        <f t="shared" si="51"/>
        <v>0</v>
      </c>
      <c r="AH62" s="34">
        <f t="shared" si="52"/>
        <v>0</v>
      </c>
      <c r="AI62" s="27" t="s">
        <v>3645</v>
      </c>
      <c r="AJ62" s="18">
        <f t="shared" si="53"/>
        <v>0</v>
      </c>
      <c r="AK62" s="18">
        <f t="shared" si="54"/>
        <v>0</v>
      </c>
      <c r="AL62" s="18">
        <f t="shared" si="55"/>
        <v>0</v>
      </c>
      <c r="AN62" s="34">
        <v>21</v>
      </c>
      <c r="AO62" s="34">
        <f>J62*0.360348162475822</f>
        <v>0</v>
      </c>
      <c r="AP62" s="34">
        <f>J62*(1-0.360348162475822)</f>
        <v>0</v>
      </c>
      <c r="AQ62" s="28" t="s">
        <v>7</v>
      </c>
      <c r="AV62" s="34">
        <f t="shared" si="56"/>
        <v>0</v>
      </c>
      <c r="AW62" s="34">
        <f t="shared" si="57"/>
        <v>0</v>
      </c>
      <c r="AX62" s="34">
        <f t="shared" si="58"/>
        <v>0</v>
      </c>
      <c r="AY62" s="35" t="s">
        <v>3659</v>
      </c>
      <c r="AZ62" s="35" t="s">
        <v>3708</v>
      </c>
      <c r="BA62" s="27" t="s">
        <v>3729</v>
      </c>
      <c r="BC62" s="34">
        <f t="shared" si="59"/>
        <v>0</v>
      </c>
      <c r="BD62" s="34">
        <f t="shared" si="60"/>
        <v>0</v>
      </c>
      <c r="BE62" s="34">
        <v>0</v>
      </c>
      <c r="BF62" s="34">
        <f>62</f>
        <v>62</v>
      </c>
      <c r="BH62" s="18">
        <f t="shared" si="61"/>
        <v>0</v>
      </c>
      <c r="BI62" s="18">
        <f t="shared" si="62"/>
        <v>0</v>
      </c>
      <c r="BJ62" s="18">
        <f t="shared" si="63"/>
        <v>0</v>
      </c>
    </row>
    <row r="63" spans="1:62" x14ac:dyDescent="0.2">
      <c r="A63" s="5" t="s">
        <v>49</v>
      </c>
      <c r="B63" s="5" t="s">
        <v>1262</v>
      </c>
      <c r="C63" s="135" t="s">
        <v>2455</v>
      </c>
      <c r="D63" s="136"/>
      <c r="E63" s="136"/>
      <c r="F63" s="136"/>
      <c r="G63" s="136"/>
      <c r="H63" s="5" t="s">
        <v>3612</v>
      </c>
      <c r="I63" s="18">
        <v>1</v>
      </c>
      <c r="J63" s="18">
        <v>0</v>
      </c>
      <c r="K63" s="18">
        <f t="shared" si="44"/>
        <v>0</v>
      </c>
      <c r="L63" s="28" t="s">
        <v>3635</v>
      </c>
      <c r="Z63" s="34">
        <f t="shared" si="45"/>
        <v>0</v>
      </c>
      <c r="AB63" s="34">
        <f t="shared" si="46"/>
        <v>0</v>
      </c>
      <c r="AC63" s="34">
        <f t="shared" si="47"/>
        <v>0</v>
      </c>
      <c r="AD63" s="34">
        <f t="shared" si="48"/>
        <v>0</v>
      </c>
      <c r="AE63" s="34">
        <f t="shared" si="49"/>
        <v>0</v>
      </c>
      <c r="AF63" s="34">
        <f t="shared" si="50"/>
        <v>0</v>
      </c>
      <c r="AG63" s="34">
        <f t="shared" si="51"/>
        <v>0</v>
      </c>
      <c r="AH63" s="34">
        <f t="shared" si="52"/>
        <v>0</v>
      </c>
      <c r="AI63" s="27" t="s">
        <v>3645</v>
      </c>
      <c r="AJ63" s="18">
        <f t="shared" si="53"/>
        <v>0</v>
      </c>
      <c r="AK63" s="18">
        <f t="shared" si="54"/>
        <v>0</v>
      </c>
      <c r="AL63" s="18">
        <f t="shared" si="55"/>
        <v>0</v>
      </c>
      <c r="AN63" s="34">
        <v>21</v>
      </c>
      <c r="AO63" s="34">
        <f>J63*0.561405835543767</f>
        <v>0</v>
      </c>
      <c r="AP63" s="34">
        <f>J63*(1-0.561405835543767)</f>
        <v>0</v>
      </c>
      <c r="AQ63" s="28" t="s">
        <v>7</v>
      </c>
      <c r="AV63" s="34">
        <f t="shared" si="56"/>
        <v>0</v>
      </c>
      <c r="AW63" s="34">
        <f t="shared" si="57"/>
        <v>0</v>
      </c>
      <c r="AX63" s="34">
        <f t="shared" si="58"/>
        <v>0</v>
      </c>
      <c r="AY63" s="35" t="s">
        <v>3659</v>
      </c>
      <c r="AZ63" s="35" t="s">
        <v>3708</v>
      </c>
      <c r="BA63" s="27" t="s">
        <v>3729</v>
      </c>
      <c r="BC63" s="34">
        <f t="shared" si="59"/>
        <v>0</v>
      </c>
      <c r="BD63" s="34">
        <f t="shared" si="60"/>
        <v>0</v>
      </c>
      <c r="BE63" s="34">
        <v>0</v>
      </c>
      <c r="BF63" s="34">
        <f>63</f>
        <v>63</v>
      </c>
      <c r="BH63" s="18">
        <f t="shared" si="61"/>
        <v>0</v>
      </c>
      <c r="BI63" s="18">
        <f t="shared" si="62"/>
        <v>0</v>
      </c>
      <c r="BJ63" s="18">
        <f t="shared" si="63"/>
        <v>0</v>
      </c>
    </row>
    <row r="64" spans="1:62" x14ac:dyDescent="0.2">
      <c r="A64" s="5" t="s">
        <v>50</v>
      </c>
      <c r="B64" s="5" t="s">
        <v>1262</v>
      </c>
      <c r="C64" s="135" t="s">
        <v>2456</v>
      </c>
      <c r="D64" s="136"/>
      <c r="E64" s="136"/>
      <c r="F64" s="136"/>
      <c r="G64" s="136"/>
      <c r="H64" s="5" t="s">
        <v>3612</v>
      </c>
      <c r="I64" s="18">
        <v>1</v>
      </c>
      <c r="J64" s="18">
        <v>0</v>
      </c>
      <c r="K64" s="18">
        <f t="shared" si="44"/>
        <v>0</v>
      </c>
      <c r="L64" s="28" t="s">
        <v>3635</v>
      </c>
      <c r="Z64" s="34">
        <f t="shared" si="45"/>
        <v>0</v>
      </c>
      <c r="AB64" s="34">
        <f t="shared" si="46"/>
        <v>0</v>
      </c>
      <c r="AC64" s="34">
        <f t="shared" si="47"/>
        <v>0</v>
      </c>
      <c r="AD64" s="34">
        <f t="shared" si="48"/>
        <v>0</v>
      </c>
      <c r="AE64" s="34">
        <f t="shared" si="49"/>
        <v>0</v>
      </c>
      <c r="AF64" s="34">
        <f t="shared" si="50"/>
        <v>0</v>
      </c>
      <c r="AG64" s="34">
        <f t="shared" si="51"/>
        <v>0</v>
      </c>
      <c r="AH64" s="34">
        <f t="shared" si="52"/>
        <v>0</v>
      </c>
      <c r="AI64" s="27" t="s">
        <v>3645</v>
      </c>
      <c r="AJ64" s="18">
        <f t="shared" si="53"/>
        <v>0</v>
      </c>
      <c r="AK64" s="18">
        <f t="shared" si="54"/>
        <v>0</v>
      </c>
      <c r="AL64" s="18">
        <f t="shared" si="55"/>
        <v>0</v>
      </c>
      <c r="AN64" s="34">
        <v>21</v>
      </c>
      <c r="AO64" s="34">
        <f>J64*0.561405835543767</f>
        <v>0</v>
      </c>
      <c r="AP64" s="34">
        <f>J64*(1-0.561405835543767)</f>
        <v>0</v>
      </c>
      <c r="AQ64" s="28" t="s">
        <v>7</v>
      </c>
      <c r="AV64" s="34">
        <f t="shared" si="56"/>
        <v>0</v>
      </c>
      <c r="AW64" s="34">
        <f t="shared" si="57"/>
        <v>0</v>
      </c>
      <c r="AX64" s="34">
        <f t="shared" si="58"/>
        <v>0</v>
      </c>
      <c r="AY64" s="35" t="s">
        <v>3659</v>
      </c>
      <c r="AZ64" s="35" t="s">
        <v>3708</v>
      </c>
      <c r="BA64" s="27" t="s">
        <v>3729</v>
      </c>
      <c r="BC64" s="34">
        <f t="shared" si="59"/>
        <v>0</v>
      </c>
      <c r="BD64" s="34">
        <f t="shared" si="60"/>
        <v>0</v>
      </c>
      <c r="BE64" s="34">
        <v>0</v>
      </c>
      <c r="BF64" s="34">
        <f>64</f>
        <v>64</v>
      </c>
      <c r="BH64" s="18">
        <f t="shared" si="61"/>
        <v>0</v>
      </c>
      <c r="BI64" s="18">
        <f t="shared" si="62"/>
        <v>0</v>
      </c>
      <c r="BJ64" s="18">
        <f t="shared" si="63"/>
        <v>0</v>
      </c>
    </row>
    <row r="65" spans="1:62" x14ac:dyDescent="0.2">
      <c r="A65" s="5" t="s">
        <v>51</v>
      </c>
      <c r="B65" s="5" t="s">
        <v>1263</v>
      </c>
      <c r="C65" s="135" t="s">
        <v>2457</v>
      </c>
      <c r="D65" s="136"/>
      <c r="E65" s="136"/>
      <c r="F65" s="136"/>
      <c r="G65" s="136"/>
      <c r="H65" s="5" t="s">
        <v>3612</v>
      </c>
      <c r="I65" s="18">
        <v>1</v>
      </c>
      <c r="J65" s="18">
        <v>0</v>
      </c>
      <c r="K65" s="18">
        <f t="shared" si="44"/>
        <v>0</v>
      </c>
      <c r="L65" s="28" t="s">
        <v>3635</v>
      </c>
      <c r="Z65" s="34">
        <f t="shared" si="45"/>
        <v>0</v>
      </c>
      <c r="AB65" s="34">
        <f t="shared" si="46"/>
        <v>0</v>
      </c>
      <c r="AC65" s="34">
        <f t="shared" si="47"/>
        <v>0</v>
      </c>
      <c r="AD65" s="34">
        <f t="shared" si="48"/>
        <v>0</v>
      </c>
      <c r="AE65" s="34">
        <f t="shared" si="49"/>
        <v>0</v>
      </c>
      <c r="AF65" s="34">
        <f t="shared" si="50"/>
        <v>0</v>
      </c>
      <c r="AG65" s="34">
        <f t="shared" si="51"/>
        <v>0</v>
      </c>
      <c r="AH65" s="34">
        <f t="shared" si="52"/>
        <v>0</v>
      </c>
      <c r="AI65" s="27" t="s">
        <v>3645</v>
      </c>
      <c r="AJ65" s="18">
        <f t="shared" si="53"/>
        <v>0</v>
      </c>
      <c r="AK65" s="18">
        <f t="shared" si="54"/>
        <v>0</v>
      </c>
      <c r="AL65" s="18">
        <f t="shared" si="55"/>
        <v>0</v>
      </c>
      <c r="AN65" s="34">
        <v>21</v>
      </c>
      <c r="AO65" s="34">
        <f>J65*0.66047227926078</f>
        <v>0</v>
      </c>
      <c r="AP65" s="34">
        <f>J65*(1-0.66047227926078)</f>
        <v>0</v>
      </c>
      <c r="AQ65" s="28" t="s">
        <v>7</v>
      </c>
      <c r="AV65" s="34">
        <f t="shared" si="56"/>
        <v>0</v>
      </c>
      <c r="AW65" s="34">
        <f t="shared" si="57"/>
        <v>0</v>
      </c>
      <c r="AX65" s="34">
        <f t="shared" si="58"/>
        <v>0</v>
      </c>
      <c r="AY65" s="35" t="s">
        <v>3659</v>
      </c>
      <c r="AZ65" s="35" t="s">
        <v>3708</v>
      </c>
      <c r="BA65" s="27" t="s">
        <v>3729</v>
      </c>
      <c r="BC65" s="34">
        <f t="shared" si="59"/>
        <v>0</v>
      </c>
      <c r="BD65" s="34">
        <f t="shared" si="60"/>
        <v>0</v>
      </c>
      <c r="BE65" s="34">
        <v>0</v>
      </c>
      <c r="BF65" s="34">
        <f>65</f>
        <v>65</v>
      </c>
      <c r="BH65" s="18">
        <f t="shared" si="61"/>
        <v>0</v>
      </c>
      <c r="BI65" s="18">
        <f t="shared" si="62"/>
        <v>0</v>
      </c>
      <c r="BJ65" s="18">
        <f t="shared" si="63"/>
        <v>0</v>
      </c>
    </row>
    <row r="66" spans="1:62" x14ac:dyDescent="0.2">
      <c r="A66" s="5" t="s">
        <v>52</v>
      </c>
      <c r="B66" s="5" t="s">
        <v>1264</v>
      </c>
      <c r="C66" s="135" t="s">
        <v>2458</v>
      </c>
      <c r="D66" s="136"/>
      <c r="E66" s="136"/>
      <c r="F66" s="136"/>
      <c r="G66" s="136"/>
      <c r="H66" s="5" t="s">
        <v>3612</v>
      </c>
      <c r="I66" s="18">
        <v>2</v>
      </c>
      <c r="J66" s="18">
        <v>0</v>
      </c>
      <c r="K66" s="18">
        <f t="shared" si="44"/>
        <v>0</v>
      </c>
      <c r="L66" s="28" t="s">
        <v>3635</v>
      </c>
      <c r="Z66" s="34">
        <f t="shared" si="45"/>
        <v>0</v>
      </c>
      <c r="AB66" s="34">
        <f t="shared" si="46"/>
        <v>0</v>
      </c>
      <c r="AC66" s="34">
        <f t="shared" si="47"/>
        <v>0</v>
      </c>
      <c r="AD66" s="34">
        <f t="shared" si="48"/>
        <v>0</v>
      </c>
      <c r="AE66" s="34">
        <f t="shared" si="49"/>
        <v>0</v>
      </c>
      <c r="AF66" s="34">
        <f t="shared" si="50"/>
        <v>0</v>
      </c>
      <c r="AG66" s="34">
        <f t="shared" si="51"/>
        <v>0</v>
      </c>
      <c r="AH66" s="34">
        <f t="shared" si="52"/>
        <v>0</v>
      </c>
      <c r="AI66" s="27" t="s">
        <v>3645</v>
      </c>
      <c r="AJ66" s="18">
        <f t="shared" si="53"/>
        <v>0</v>
      </c>
      <c r="AK66" s="18">
        <f t="shared" si="54"/>
        <v>0</v>
      </c>
      <c r="AL66" s="18">
        <f t="shared" si="55"/>
        <v>0</v>
      </c>
      <c r="AN66" s="34">
        <v>21</v>
      </c>
      <c r="AO66" s="34">
        <f>J66*0.63579295154185</f>
        <v>0</v>
      </c>
      <c r="AP66" s="34">
        <f>J66*(1-0.63579295154185)</f>
        <v>0</v>
      </c>
      <c r="AQ66" s="28" t="s">
        <v>7</v>
      </c>
      <c r="AV66" s="34">
        <f t="shared" si="56"/>
        <v>0</v>
      </c>
      <c r="AW66" s="34">
        <f t="shared" si="57"/>
        <v>0</v>
      </c>
      <c r="AX66" s="34">
        <f t="shared" si="58"/>
        <v>0</v>
      </c>
      <c r="AY66" s="35" t="s">
        <v>3659</v>
      </c>
      <c r="AZ66" s="35" t="s">
        <v>3708</v>
      </c>
      <c r="BA66" s="27" t="s">
        <v>3729</v>
      </c>
      <c r="BC66" s="34">
        <f t="shared" si="59"/>
        <v>0</v>
      </c>
      <c r="BD66" s="34">
        <f t="shared" si="60"/>
        <v>0</v>
      </c>
      <c r="BE66" s="34">
        <v>0</v>
      </c>
      <c r="BF66" s="34">
        <f>66</f>
        <v>66</v>
      </c>
      <c r="BH66" s="18">
        <f t="shared" si="61"/>
        <v>0</v>
      </c>
      <c r="BI66" s="18">
        <f t="shared" si="62"/>
        <v>0</v>
      </c>
      <c r="BJ66" s="18">
        <f t="shared" si="63"/>
        <v>0</v>
      </c>
    </row>
    <row r="67" spans="1:62" x14ac:dyDescent="0.2">
      <c r="A67" s="5" t="s">
        <v>53</v>
      </c>
      <c r="B67" s="5" t="s">
        <v>1264</v>
      </c>
      <c r="C67" s="135" t="s">
        <v>2459</v>
      </c>
      <c r="D67" s="136"/>
      <c r="E67" s="136"/>
      <c r="F67" s="136"/>
      <c r="G67" s="136"/>
      <c r="H67" s="5" t="s">
        <v>3612</v>
      </c>
      <c r="I67" s="18">
        <v>1</v>
      </c>
      <c r="J67" s="18">
        <v>0</v>
      </c>
      <c r="K67" s="18">
        <f t="shared" si="44"/>
        <v>0</v>
      </c>
      <c r="L67" s="28" t="s">
        <v>3635</v>
      </c>
      <c r="Z67" s="34">
        <f t="shared" si="45"/>
        <v>0</v>
      </c>
      <c r="AB67" s="34">
        <f t="shared" si="46"/>
        <v>0</v>
      </c>
      <c r="AC67" s="34">
        <f t="shared" si="47"/>
        <v>0</v>
      </c>
      <c r="AD67" s="34">
        <f t="shared" si="48"/>
        <v>0</v>
      </c>
      <c r="AE67" s="34">
        <f t="shared" si="49"/>
        <v>0</v>
      </c>
      <c r="AF67" s="34">
        <f t="shared" si="50"/>
        <v>0</v>
      </c>
      <c r="AG67" s="34">
        <f t="shared" si="51"/>
        <v>0</v>
      </c>
      <c r="AH67" s="34">
        <f t="shared" si="52"/>
        <v>0</v>
      </c>
      <c r="AI67" s="27" t="s">
        <v>3645</v>
      </c>
      <c r="AJ67" s="18">
        <f t="shared" si="53"/>
        <v>0</v>
      </c>
      <c r="AK67" s="18">
        <f t="shared" si="54"/>
        <v>0</v>
      </c>
      <c r="AL67" s="18">
        <f t="shared" si="55"/>
        <v>0</v>
      </c>
      <c r="AN67" s="34">
        <v>21</v>
      </c>
      <c r="AO67" s="34">
        <f>J67*0.63579295154185</f>
        <v>0</v>
      </c>
      <c r="AP67" s="34">
        <f>J67*(1-0.63579295154185)</f>
        <v>0</v>
      </c>
      <c r="AQ67" s="28" t="s">
        <v>7</v>
      </c>
      <c r="AV67" s="34">
        <f t="shared" si="56"/>
        <v>0</v>
      </c>
      <c r="AW67" s="34">
        <f t="shared" si="57"/>
        <v>0</v>
      </c>
      <c r="AX67" s="34">
        <f t="shared" si="58"/>
        <v>0</v>
      </c>
      <c r="AY67" s="35" t="s">
        <v>3659</v>
      </c>
      <c r="AZ67" s="35" t="s">
        <v>3708</v>
      </c>
      <c r="BA67" s="27" t="s">
        <v>3729</v>
      </c>
      <c r="BC67" s="34">
        <f t="shared" si="59"/>
        <v>0</v>
      </c>
      <c r="BD67" s="34">
        <f t="shared" si="60"/>
        <v>0</v>
      </c>
      <c r="BE67" s="34">
        <v>0</v>
      </c>
      <c r="BF67" s="34">
        <f>67</f>
        <v>67</v>
      </c>
      <c r="BH67" s="18">
        <f t="shared" si="61"/>
        <v>0</v>
      </c>
      <c r="BI67" s="18">
        <f t="shared" si="62"/>
        <v>0</v>
      </c>
      <c r="BJ67" s="18">
        <f t="shared" si="63"/>
        <v>0</v>
      </c>
    </row>
    <row r="68" spans="1:62" x14ac:dyDescent="0.2">
      <c r="A68" s="5" t="s">
        <v>54</v>
      </c>
      <c r="B68" s="5" t="s">
        <v>1265</v>
      </c>
      <c r="C68" s="135" t="s">
        <v>2460</v>
      </c>
      <c r="D68" s="136"/>
      <c r="E68" s="136"/>
      <c r="F68" s="136"/>
      <c r="G68" s="136"/>
      <c r="H68" s="5" t="s">
        <v>3612</v>
      </c>
      <c r="I68" s="18">
        <v>1</v>
      </c>
      <c r="J68" s="18">
        <v>0</v>
      </c>
      <c r="K68" s="18">
        <f t="shared" si="44"/>
        <v>0</v>
      </c>
      <c r="L68" s="28" t="s">
        <v>3635</v>
      </c>
      <c r="Z68" s="34">
        <f t="shared" si="45"/>
        <v>0</v>
      </c>
      <c r="AB68" s="34">
        <f t="shared" si="46"/>
        <v>0</v>
      </c>
      <c r="AC68" s="34">
        <f t="shared" si="47"/>
        <v>0</v>
      </c>
      <c r="AD68" s="34">
        <f t="shared" si="48"/>
        <v>0</v>
      </c>
      <c r="AE68" s="34">
        <f t="shared" si="49"/>
        <v>0</v>
      </c>
      <c r="AF68" s="34">
        <f t="shared" si="50"/>
        <v>0</v>
      </c>
      <c r="AG68" s="34">
        <f t="shared" si="51"/>
        <v>0</v>
      </c>
      <c r="AH68" s="34">
        <f t="shared" si="52"/>
        <v>0</v>
      </c>
      <c r="AI68" s="27" t="s">
        <v>3645</v>
      </c>
      <c r="AJ68" s="18">
        <f t="shared" si="53"/>
        <v>0</v>
      </c>
      <c r="AK68" s="18">
        <f t="shared" si="54"/>
        <v>0</v>
      </c>
      <c r="AL68" s="18">
        <f t="shared" si="55"/>
        <v>0</v>
      </c>
      <c r="AN68" s="34">
        <v>21</v>
      </c>
      <c r="AO68" s="34">
        <f>J68*0.709912280701754</f>
        <v>0</v>
      </c>
      <c r="AP68" s="34">
        <f>J68*(1-0.709912280701754)</f>
        <v>0</v>
      </c>
      <c r="AQ68" s="28" t="s">
        <v>7</v>
      </c>
      <c r="AV68" s="34">
        <f t="shared" si="56"/>
        <v>0</v>
      </c>
      <c r="AW68" s="34">
        <f t="shared" si="57"/>
        <v>0</v>
      </c>
      <c r="AX68" s="34">
        <f t="shared" si="58"/>
        <v>0</v>
      </c>
      <c r="AY68" s="35" t="s">
        <v>3659</v>
      </c>
      <c r="AZ68" s="35" t="s">
        <v>3708</v>
      </c>
      <c r="BA68" s="27" t="s">
        <v>3729</v>
      </c>
      <c r="BC68" s="34">
        <f t="shared" si="59"/>
        <v>0</v>
      </c>
      <c r="BD68" s="34">
        <f t="shared" si="60"/>
        <v>0</v>
      </c>
      <c r="BE68" s="34">
        <v>0</v>
      </c>
      <c r="BF68" s="34">
        <f>68</f>
        <v>68</v>
      </c>
      <c r="BH68" s="18">
        <f t="shared" si="61"/>
        <v>0</v>
      </c>
      <c r="BI68" s="18">
        <f t="shared" si="62"/>
        <v>0</v>
      </c>
      <c r="BJ68" s="18">
        <f t="shared" si="63"/>
        <v>0</v>
      </c>
    </row>
    <row r="69" spans="1:62" x14ac:dyDescent="0.2">
      <c r="A69" s="5" t="s">
        <v>55</v>
      </c>
      <c r="B69" s="5" t="s">
        <v>1265</v>
      </c>
      <c r="C69" s="135" t="s">
        <v>2461</v>
      </c>
      <c r="D69" s="136"/>
      <c r="E69" s="136"/>
      <c r="F69" s="136"/>
      <c r="G69" s="136"/>
      <c r="H69" s="5" t="s">
        <v>3612</v>
      </c>
      <c r="I69" s="18">
        <v>2</v>
      </c>
      <c r="J69" s="18">
        <v>0</v>
      </c>
      <c r="K69" s="18">
        <f t="shared" si="44"/>
        <v>0</v>
      </c>
      <c r="L69" s="28" t="s">
        <v>3635</v>
      </c>
      <c r="Z69" s="34">
        <f t="shared" si="45"/>
        <v>0</v>
      </c>
      <c r="AB69" s="34">
        <f t="shared" si="46"/>
        <v>0</v>
      </c>
      <c r="AC69" s="34">
        <f t="shared" si="47"/>
        <v>0</v>
      </c>
      <c r="AD69" s="34">
        <f t="shared" si="48"/>
        <v>0</v>
      </c>
      <c r="AE69" s="34">
        <f t="shared" si="49"/>
        <v>0</v>
      </c>
      <c r="AF69" s="34">
        <f t="shared" si="50"/>
        <v>0</v>
      </c>
      <c r="AG69" s="34">
        <f t="shared" si="51"/>
        <v>0</v>
      </c>
      <c r="AH69" s="34">
        <f t="shared" si="52"/>
        <v>0</v>
      </c>
      <c r="AI69" s="27" t="s">
        <v>3645</v>
      </c>
      <c r="AJ69" s="18">
        <f t="shared" si="53"/>
        <v>0</v>
      </c>
      <c r="AK69" s="18">
        <f t="shared" si="54"/>
        <v>0</v>
      </c>
      <c r="AL69" s="18">
        <f t="shared" si="55"/>
        <v>0</v>
      </c>
      <c r="AN69" s="34">
        <v>21</v>
      </c>
      <c r="AO69" s="34">
        <f>J69*0.709912280701754</f>
        <v>0</v>
      </c>
      <c r="AP69" s="34">
        <f>J69*(1-0.709912280701754)</f>
        <v>0</v>
      </c>
      <c r="AQ69" s="28" t="s">
        <v>7</v>
      </c>
      <c r="AV69" s="34">
        <f t="shared" si="56"/>
        <v>0</v>
      </c>
      <c r="AW69" s="34">
        <f t="shared" si="57"/>
        <v>0</v>
      </c>
      <c r="AX69" s="34">
        <f t="shared" si="58"/>
        <v>0</v>
      </c>
      <c r="AY69" s="35" t="s">
        <v>3659</v>
      </c>
      <c r="AZ69" s="35" t="s">
        <v>3708</v>
      </c>
      <c r="BA69" s="27" t="s">
        <v>3729</v>
      </c>
      <c r="BC69" s="34">
        <f t="shared" si="59"/>
        <v>0</v>
      </c>
      <c r="BD69" s="34">
        <f t="shared" si="60"/>
        <v>0</v>
      </c>
      <c r="BE69" s="34">
        <v>0</v>
      </c>
      <c r="BF69" s="34">
        <f>69</f>
        <v>69</v>
      </c>
      <c r="BH69" s="18">
        <f t="shared" si="61"/>
        <v>0</v>
      </c>
      <c r="BI69" s="18">
        <f t="shared" si="62"/>
        <v>0</v>
      </c>
      <c r="BJ69" s="18">
        <f t="shared" si="63"/>
        <v>0</v>
      </c>
    </row>
    <row r="70" spans="1:62" x14ac:dyDescent="0.2">
      <c r="A70" s="5" t="s">
        <v>56</v>
      </c>
      <c r="B70" s="5" t="s">
        <v>1265</v>
      </c>
      <c r="C70" s="135" t="s">
        <v>2462</v>
      </c>
      <c r="D70" s="136"/>
      <c r="E70" s="136"/>
      <c r="F70" s="136"/>
      <c r="G70" s="136"/>
      <c r="H70" s="5" t="s">
        <v>3612</v>
      </c>
      <c r="I70" s="18">
        <v>1</v>
      </c>
      <c r="J70" s="18">
        <v>0</v>
      </c>
      <c r="K70" s="18">
        <f t="shared" si="44"/>
        <v>0</v>
      </c>
      <c r="L70" s="28" t="s">
        <v>3635</v>
      </c>
      <c r="Z70" s="34">
        <f t="shared" si="45"/>
        <v>0</v>
      </c>
      <c r="AB70" s="34">
        <f t="shared" si="46"/>
        <v>0</v>
      </c>
      <c r="AC70" s="34">
        <f t="shared" si="47"/>
        <v>0</v>
      </c>
      <c r="AD70" s="34">
        <f t="shared" si="48"/>
        <v>0</v>
      </c>
      <c r="AE70" s="34">
        <f t="shared" si="49"/>
        <v>0</v>
      </c>
      <c r="AF70" s="34">
        <f t="shared" si="50"/>
        <v>0</v>
      </c>
      <c r="AG70" s="34">
        <f t="shared" si="51"/>
        <v>0</v>
      </c>
      <c r="AH70" s="34">
        <f t="shared" si="52"/>
        <v>0</v>
      </c>
      <c r="AI70" s="27" t="s">
        <v>3645</v>
      </c>
      <c r="AJ70" s="18">
        <f t="shared" si="53"/>
        <v>0</v>
      </c>
      <c r="AK70" s="18">
        <f t="shared" si="54"/>
        <v>0</v>
      </c>
      <c r="AL70" s="18">
        <f t="shared" si="55"/>
        <v>0</v>
      </c>
      <c r="AN70" s="34">
        <v>21</v>
      </c>
      <c r="AO70" s="34">
        <f>J70*0.709912280701754</f>
        <v>0</v>
      </c>
      <c r="AP70" s="34">
        <f>J70*(1-0.709912280701754)</f>
        <v>0</v>
      </c>
      <c r="AQ70" s="28" t="s">
        <v>7</v>
      </c>
      <c r="AV70" s="34">
        <f t="shared" si="56"/>
        <v>0</v>
      </c>
      <c r="AW70" s="34">
        <f t="shared" si="57"/>
        <v>0</v>
      </c>
      <c r="AX70" s="34">
        <f t="shared" si="58"/>
        <v>0</v>
      </c>
      <c r="AY70" s="35" t="s">
        <v>3659</v>
      </c>
      <c r="AZ70" s="35" t="s">
        <v>3708</v>
      </c>
      <c r="BA70" s="27" t="s">
        <v>3729</v>
      </c>
      <c r="BC70" s="34">
        <f t="shared" si="59"/>
        <v>0</v>
      </c>
      <c r="BD70" s="34">
        <f t="shared" si="60"/>
        <v>0</v>
      </c>
      <c r="BE70" s="34">
        <v>0</v>
      </c>
      <c r="BF70" s="34">
        <f>70</f>
        <v>70</v>
      </c>
      <c r="BH70" s="18">
        <f t="shared" si="61"/>
        <v>0</v>
      </c>
      <c r="BI70" s="18">
        <f t="shared" si="62"/>
        <v>0</v>
      </c>
      <c r="BJ70" s="18">
        <f t="shared" si="63"/>
        <v>0</v>
      </c>
    </row>
    <row r="71" spans="1:62" x14ac:dyDescent="0.2">
      <c r="A71" s="5" t="s">
        <v>57</v>
      </c>
      <c r="B71" s="5" t="s">
        <v>1266</v>
      </c>
      <c r="C71" s="135" t="s">
        <v>2463</v>
      </c>
      <c r="D71" s="136"/>
      <c r="E71" s="136"/>
      <c r="F71" s="136"/>
      <c r="G71" s="136"/>
      <c r="H71" s="5" t="s">
        <v>3612</v>
      </c>
      <c r="I71" s="18">
        <v>1</v>
      </c>
      <c r="J71" s="18">
        <v>0</v>
      </c>
      <c r="K71" s="18">
        <f t="shared" si="44"/>
        <v>0</v>
      </c>
      <c r="L71" s="28" t="s">
        <v>3635</v>
      </c>
      <c r="Z71" s="34">
        <f t="shared" si="45"/>
        <v>0</v>
      </c>
      <c r="AB71" s="34">
        <f t="shared" si="46"/>
        <v>0</v>
      </c>
      <c r="AC71" s="34">
        <f t="shared" si="47"/>
        <v>0</v>
      </c>
      <c r="AD71" s="34">
        <f t="shared" si="48"/>
        <v>0</v>
      </c>
      <c r="AE71" s="34">
        <f t="shared" si="49"/>
        <v>0</v>
      </c>
      <c r="AF71" s="34">
        <f t="shared" si="50"/>
        <v>0</v>
      </c>
      <c r="AG71" s="34">
        <f t="shared" si="51"/>
        <v>0</v>
      </c>
      <c r="AH71" s="34">
        <f t="shared" si="52"/>
        <v>0</v>
      </c>
      <c r="AI71" s="27" t="s">
        <v>3645</v>
      </c>
      <c r="AJ71" s="18">
        <f t="shared" si="53"/>
        <v>0</v>
      </c>
      <c r="AK71" s="18">
        <f t="shared" si="54"/>
        <v>0</v>
      </c>
      <c r="AL71" s="18">
        <f t="shared" si="55"/>
        <v>0</v>
      </c>
      <c r="AN71" s="34">
        <v>21</v>
      </c>
      <c r="AO71" s="34">
        <f>J71*0.770347222222222</f>
        <v>0</v>
      </c>
      <c r="AP71" s="34">
        <f>J71*(1-0.770347222222222)</f>
        <v>0</v>
      </c>
      <c r="AQ71" s="28" t="s">
        <v>7</v>
      </c>
      <c r="AV71" s="34">
        <f t="shared" si="56"/>
        <v>0</v>
      </c>
      <c r="AW71" s="34">
        <f t="shared" si="57"/>
        <v>0</v>
      </c>
      <c r="AX71" s="34">
        <f t="shared" si="58"/>
        <v>0</v>
      </c>
      <c r="AY71" s="35" t="s">
        <v>3659</v>
      </c>
      <c r="AZ71" s="35" t="s">
        <v>3708</v>
      </c>
      <c r="BA71" s="27" t="s">
        <v>3729</v>
      </c>
      <c r="BC71" s="34">
        <f t="shared" si="59"/>
        <v>0</v>
      </c>
      <c r="BD71" s="34">
        <f t="shared" si="60"/>
        <v>0</v>
      </c>
      <c r="BE71" s="34">
        <v>0</v>
      </c>
      <c r="BF71" s="34">
        <f>71</f>
        <v>71</v>
      </c>
      <c r="BH71" s="18">
        <f t="shared" si="61"/>
        <v>0</v>
      </c>
      <c r="BI71" s="18">
        <f t="shared" si="62"/>
        <v>0</v>
      </c>
      <c r="BJ71" s="18">
        <f t="shared" si="63"/>
        <v>0</v>
      </c>
    </row>
    <row r="72" spans="1:62" x14ac:dyDescent="0.2">
      <c r="A72" s="5" t="s">
        <v>58</v>
      </c>
      <c r="B72" s="5" t="s">
        <v>1266</v>
      </c>
      <c r="C72" s="135" t="s">
        <v>2464</v>
      </c>
      <c r="D72" s="136"/>
      <c r="E72" s="136"/>
      <c r="F72" s="136"/>
      <c r="G72" s="136"/>
      <c r="H72" s="5" t="s">
        <v>3612</v>
      </c>
      <c r="I72" s="18">
        <v>1</v>
      </c>
      <c r="J72" s="18">
        <v>0</v>
      </c>
      <c r="K72" s="18">
        <f t="shared" si="44"/>
        <v>0</v>
      </c>
      <c r="L72" s="28" t="s">
        <v>3635</v>
      </c>
      <c r="Z72" s="34">
        <f t="shared" si="45"/>
        <v>0</v>
      </c>
      <c r="AB72" s="34">
        <f t="shared" si="46"/>
        <v>0</v>
      </c>
      <c r="AC72" s="34">
        <f t="shared" si="47"/>
        <v>0</v>
      </c>
      <c r="AD72" s="34">
        <f t="shared" si="48"/>
        <v>0</v>
      </c>
      <c r="AE72" s="34">
        <f t="shared" si="49"/>
        <v>0</v>
      </c>
      <c r="AF72" s="34">
        <f t="shared" si="50"/>
        <v>0</v>
      </c>
      <c r="AG72" s="34">
        <f t="shared" si="51"/>
        <v>0</v>
      </c>
      <c r="AH72" s="34">
        <f t="shared" si="52"/>
        <v>0</v>
      </c>
      <c r="AI72" s="27" t="s">
        <v>3645</v>
      </c>
      <c r="AJ72" s="18">
        <f t="shared" si="53"/>
        <v>0</v>
      </c>
      <c r="AK72" s="18">
        <f t="shared" si="54"/>
        <v>0</v>
      </c>
      <c r="AL72" s="18">
        <f t="shared" si="55"/>
        <v>0</v>
      </c>
      <c r="AN72" s="34">
        <v>21</v>
      </c>
      <c r="AO72" s="34">
        <f>J72*0.770347222222222</f>
        <v>0</v>
      </c>
      <c r="AP72" s="34">
        <f>J72*(1-0.770347222222222)</f>
        <v>0</v>
      </c>
      <c r="AQ72" s="28" t="s">
        <v>7</v>
      </c>
      <c r="AV72" s="34">
        <f t="shared" si="56"/>
        <v>0</v>
      </c>
      <c r="AW72" s="34">
        <f t="shared" si="57"/>
        <v>0</v>
      </c>
      <c r="AX72" s="34">
        <f t="shared" si="58"/>
        <v>0</v>
      </c>
      <c r="AY72" s="35" t="s">
        <v>3659</v>
      </c>
      <c r="AZ72" s="35" t="s">
        <v>3708</v>
      </c>
      <c r="BA72" s="27" t="s">
        <v>3729</v>
      </c>
      <c r="BC72" s="34">
        <f t="shared" si="59"/>
        <v>0</v>
      </c>
      <c r="BD72" s="34">
        <f t="shared" si="60"/>
        <v>0</v>
      </c>
      <c r="BE72" s="34">
        <v>0</v>
      </c>
      <c r="BF72" s="34">
        <f>72</f>
        <v>72</v>
      </c>
      <c r="BH72" s="18">
        <f t="shared" si="61"/>
        <v>0</v>
      </c>
      <c r="BI72" s="18">
        <f t="shared" si="62"/>
        <v>0</v>
      </c>
      <c r="BJ72" s="18">
        <f t="shared" si="63"/>
        <v>0</v>
      </c>
    </row>
    <row r="73" spans="1:62" x14ac:dyDescent="0.2">
      <c r="A73" s="5" t="s">
        <v>59</v>
      </c>
      <c r="B73" s="5" t="s">
        <v>1266</v>
      </c>
      <c r="C73" s="135" t="s">
        <v>2465</v>
      </c>
      <c r="D73" s="136"/>
      <c r="E73" s="136"/>
      <c r="F73" s="136"/>
      <c r="G73" s="136"/>
      <c r="H73" s="5" t="s">
        <v>3612</v>
      </c>
      <c r="I73" s="18">
        <v>2</v>
      </c>
      <c r="J73" s="18">
        <v>0</v>
      </c>
      <c r="K73" s="18">
        <f t="shared" si="44"/>
        <v>0</v>
      </c>
      <c r="L73" s="28" t="s">
        <v>3635</v>
      </c>
      <c r="Z73" s="34">
        <f t="shared" si="45"/>
        <v>0</v>
      </c>
      <c r="AB73" s="34">
        <f t="shared" si="46"/>
        <v>0</v>
      </c>
      <c r="AC73" s="34">
        <f t="shared" si="47"/>
        <v>0</v>
      </c>
      <c r="AD73" s="34">
        <f t="shared" si="48"/>
        <v>0</v>
      </c>
      <c r="AE73" s="34">
        <f t="shared" si="49"/>
        <v>0</v>
      </c>
      <c r="AF73" s="34">
        <f t="shared" si="50"/>
        <v>0</v>
      </c>
      <c r="AG73" s="34">
        <f t="shared" si="51"/>
        <v>0</v>
      </c>
      <c r="AH73" s="34">
        <f t="shared" si="52"/>
        <v>0</v>
      </c>
      <c r="AI73" s="27" t="s">
        <v>3645</v>
      </c>
      <c r="AJ73" s="18">
        <f t="shared" si="53"/>
        <v>0</v>
      </c>
      <c r="AK73" s="18">
        <f t="shared" si="54"/>
        <v>0</v>
      </c>
      <c r="AL73" s="18">
        <f t="shared" si="55"/>
        <v>0</v>
      </c>
      <c r="AN73" s="34">
        <v>21</v>
      </c>
      <c r="AO73" s="34">
        <f>J73*0.770347222222222</f>
        <v>0</v>
      </c>
      <c r="AP73" s="34">
        <f>J73*(1-0.770347222222222)</f>
        <v>0</v>
      </c>
      <c r="AQ73" s="28" t="s">
        <v>7</v>
      </c>
      <c r="AV73" s="34">
        <f t="shared" si="56"/>
        <v>0</v>
      </c>
      <c r="AW73" s="34">
        <f t="shared" si="57"/>
        <v>0</v>
      </c>
      <c r="AX73" s="34">
        <f t="shared" si="58"/>
        <v>0</v>
      </c>
      <c r="AY73" s="35" t="s">
        <v>3659</v>
      </c>
      <c r="AZ73" s="35" t="s">
        <v>3708</v>
      </c>
      <c r="BA73" s="27" t="s">
        <v>3729</v>
      </c>
      <c r="BC73" s="34">
        <f t="shared" si="59"/>
        <v>0</v>
      </c>
      <c r="BD73" s="34">
        <f t="shared" si="60"/>
        <v>0</v>
      </c>
      <c r="BE73" s="34">
        <v>0</v>
      </c>
      <c r="BF73" s="34">
        <f>73</f>
        <v>73</v>
      </c>
      <c r="BH73" s="18">
        <f t="shared" si="61"/>
        <v>0</v>
      </c>
      <c r="BI73" s="18">
        <f t="shared" si="62"/>
        <v>0</v>
      </c>
      <c r="BJ73" s="18">
        <f t="shared" si="63"/>
        <v>0</v>
      </c>
    </row>
    <row r="74" spans="1:62" x14ac:dyDescent="0.2">
      <c r="A74" s="5" t="s">
        <v>60</v>
      </c>
      <c r="B74" s="5" t="s">
        <v>1267</v>
      </c>
      <c r="C74" s="135" t="s">
        <v>2466</v>
      </c>
      <c r="D74" s="136"/>
      <c r="E74" s="136"/>
      <c r="F74" s="136"/>
      <c r="G74" s="136"/>
      <c r="H74" s="5" t="s">
        <v>3615</v>
      </c>
      <c r="I74" s="18">
        <v>34.826000000000001</v>
      </c>
      <c r="J74" s="18">
        <v>0</v>
      </c>
      <c r="K74" s="18">
        <f t="shared" si="44"/>
        <v>0</v>
      </c>
      <c r="L74" s="28" t="s">
        <v>3635</v>
      </c>
      <c r="Z74" s="34">
        <f t="shared" si="45"/>
        <v>0</v>
      </c>
      <c r="AB74" s="34">
        <f t="shared" si="46"/>
        <v>0</v>
      </c>
      <c r="AC74" s="34">
        <f t="shared" si="47"/>
        <v>0</v>
      </c>
      <c r="AD74" s="34">
        <f t="shared" si="48"/>
        <v>0</v>
      </c>
      <c r="AE74" s="34">
        <f t="shared" si="49"/>
        <v>0</v>
      </c>
      <c r="AF74" s="34">
        <f t="shared" si="50"/>
        <v>0</v>
      </c>
      <c r="AG74" s="34">
        <f t="shared" si="51"/>
        <v>0</v>
      </c>
      <c r="AH74" s="34">
        <f t="shared" si="52"/>
        <v>0</v>
      </c>
      <c r="AI74" s="27" t="s">
        <v>3645</v>
      </c>
      <c r="AJ74" s="18">
        <f t="shared" si="53"/>
        <v>0</v>
      </c>
      <c r="AK74" s="18">
        <f t="shared" si="54"/>
        <v>0</v>
      </c>
      <c r="AL74" s="18">
        <f t="shared" si="55"/>
        <v>0</v>
      </c>
      <c r="AN74" s="34">
        <v>21</v>
      </c>
      <c r="AO74" s="34">
        <f>J74*0.0266822453774417</f>
        <v>0</v>
      </c>
      <c r="AP74" s="34">
        <f>J74*(1-0.0266822453774417)</f>
        <v>0</v>
      </c>
      <c r="AQ74" s="28" t="s">
        <v>7</v>
      </c>
      <c r="AV74" s="34">
        <f t="shared" si="56"/>
        <v>0</v>
      </c>
      <c r="AW74" s="34">
        <f t="shared" si="57"/>
        <v>0</v>
      </c>
      <c r="AX74" s="34">
        <f t="shared" si="58"/>
        <v>0</v>
      </c>
      <c r="AY74" s="35" t="s">
        <v>3659</v>
      </c>
      <c r="AZ74" s="35" t="s">
        <v>3708</v>
      </c>
      <c r="BA74" s="27" t="s">
        <v>3729</v>
      </c>
      <c r="BC74" s="34">
        <f t="shared" si="59"/>
        <v>0</v>
      </c>
      <c r="BD74" s="34">
        <f t="shared" si="60"/>
        <v>0</v>
      </c>
      <c r="BE74" s="34">
        <v>0</v>
      </c>
      <c r="BF74" s="34">
        <f>74</f>
        <v>74</v>
      </c>
      <c r="BH74" s="18">
        <f t="shared" si="61"/>
        <v>0</v>
      </c>
      <c r="BI74" s="18">
        <f t="shared" si="62"/>
        <v>0</v>
      </c>
      <c r="BJ74" s="18">
        <f t="shared" si="63"/>
        <v>0</v>
      </c>
    </row>
    <row r="75" spans="1:62" x14ac:dyDescent="0.2">
      <c r="A75" s="5" t="s">
        <v>61</v>
      </c>
      <c r="B75" s="5" t="s">
        <v>1268</v>
      </c>
      <c r="C75" s="135" t="s">
        <v>2467</v>
      </c>
      <c r="D75" s="136"/>
      <c r="E75" s="136"/>
      <c r="F75" s="136"/>
      <c r="G75" s="136"/>
      <c r="H75" s="5" t="s">
        <v>3615</v>
      </c>
      <c r="I75" s="18">
        <v>34.826000000000001</v>
      </c>
      <c r="J75" s="18">
        <v>0</v>
      </c>
      <c r="K75" s="18">
        <f t="shared" si="44"/>
        <v>0</v>
      </c>
      <c r="L75" s="28" t="s">
        <v>3635</v>
      </c>
      <c r="Z75" s="34">
        <f t="shared" si="45"/>
        <v>0</v>
      </c>
      <c r="AB75" s="34">
        <f t="shared" si="46"/>
        <v>0</v>
      </c>
      <c r="AC75" s="34">
        <f t="shared" si="47"/>
        <v>0</v>
      </c>
      <c r="AD75" s="34">
        <f t="shared" si="48"/>
        <v>0</v>
      </c>
      <c r="AE75" s="34">
        <f t="shared" si="49"/>
        <v>0</v>
      </c>
      <c r="AF75" s="34">
        <f t="shared" si="50"/>
        <v>0</v>
      </c>
      <c r="AG75" s="34">
        <f t="shared" si="51"/>
        <v>0</v>
      </c>
      <c r="AH75" s="34">
        <f t="shared" si="52"/>
        <v>0</v>
      </c>
      <c r="AI75" s="27" t="s">
        <v>3645</v>
      </c>
      <c r="AJ75" s="18">
        <f t="shared" si="53"/>
        <v>0</v>
      </c>
      <c r="AK75" s="18">
        <f t="shared" si="54"/>
        <v>0</v>
      </c>
      <c r="AL75" s="18">
        <f t="shared" si="55"/>
        <v>0</v>
      </c>
      <c r="AN75" s="34">
        <v>21</v>
      </c>
      <c r="AO75" s="34">
        <f>J75*0</f>
        <v>0</v>
      </c>
      <c r="AP75" s="34">
        <f>J75*(1-0)</f>
        <v>0</v>
      </c>
      <c r="AQ75" s="28" t="s">
        <v>7</v>
      </c>
      <c r="AV75" s="34">
        <f t="shared" si="56"/>
        <v>0</v>
      </c>
      <c r="AW75" s="34">
        <f t="shared" si="57"/>
        <v>0</v>
      </c>
      <c r="AX75" s="34">
        <f t="shared" si="58"/>
        <v>0</v>
      </c>
      <c r="AY75" s="35" t="s">
        <v>3659</v>
      </c>
      <c r="AZ75" s="35" t="s">
        <v>3708</v>
      </c>
      <c r="BA75" s="27" t="s">
        <v>3729</v>
      </c>
      <c r="BC75" s="34">
        <f t="shared" si="59"/>
        <v>0</v>
      </c>
      <c r="BD75" s="34">
        <f t="shared" si="60"/>
        <v>0</v>
      </c>
      <c r="BE75" s="34">
        <v>0</v>
      </c>
      <c r="BF75" s="34">
        <f>75</f>
        <v>75</v>
      </c>
      <c r="BH75" s="18">
        <f t="shared" si="61"/>
        <v>0</v>
      </c>
      <c r="BI75" s="18">
        <f t="shared" si="62"/>
        <v>0</v>
      </c>
      <c r="BJ75" s="18">
        <f t="shared" si="63"/>
        <v>0</v>
      </c>
    </row>
    <row r="76" spans="1:62" x14ac:dyDescent="0.2">
      <c r="A76" s="5" t="s">
        <v>62</v>
      </c>
      <c r="B76" s="5" t="s">
        <v>1269</v>
      </c>
      <c r="C76" s="135" t="s">
        <v>2468</v>
      </c>
      <c r="D76" s="136"/>
      <c r="E76" s="136"/>
      <c r="F76" s="136"/>
      <c r="G76" s="136"/>
      <c r="H76" s="5" t="s">
        <v>3612</v>
      </c>
      <c r="I76" s="18">
        <v>1</v>
      </c>
      <c r="J76" s="18">
        <v>0</v>
      </c>
      <c r="K76" s="18">
        <f t="shared" si="44"/>
        <v>0</v>
      </c>
      <c r="L76" s="28" t="s">
        <v>3635</v>
      </c>
      <c r="Z76" s="34">
        <f t="shared" si="45"/>
        <v>0</v>
      </c>
      <c r="AB76" s="34">
        <f t="shared" si="46"/>
        <v>0</v>
      </c>
      <c r="AC76" s="34">
        <f t="shared" si="47"/>
        <v>0</v>
      </c>
      <c r="AD76" s="34">
        <f t="shared" si="48"/>
        <v>0</v>
      </c>
      <c r="AE76" s="34">
        <f t="shared" si="49"/>
        <v>0</v>
      </c>
      <c r="AF76" s="34">
        <f t="shared" si="50"/>
        <v>0</v>
      </c>
      <c r="AG76" s="34">
        <f t="shared" si="51"/>
        <v>0</v>
      </c>
      <c r="AH76" s="34">
        <f t="shared" si="52"/>
        <v>0</v>
      </c>
      <c r="AI76" s="27" t="s">
        <v>3645</v>
      </c>
      <c r="AJ76" s="18">
        <f t="shared" si="53"/>
        <v>0</v>
      </c>
      <c r="AK76" s="18">
        <f t="shared" si="54"/>
        <v>0</v>
      </c>
      <c r="AL76" s="18">
        <f t="shared" si="55"/>
        <v>0</v>
      </c>
      <c r="AN76" s="34">
        <v>21</v>
      </c>
      <c r="AO76" s="34">
        <f>J76*0.125412142857143</f>
        <v>0</v>
      </c>
      <c r="AP76" s="34">
        <f>J76*(1-0.125412142857143)</f>
        <v>0</v>
      </c>
      <c r="AQ76" s="28" t="s">
        <v>7</v>
      </c>
      <c r="AV76" s="34">
        <f t="shared" si="56"/>
        <v>0</v>
      </c>
      <c r="AW76" s="34">
        <f t="shared" si="57"/>
        <v>0</v>
      </c>
      <c r="AX76" s="34">
        <f t="shared" si="58"/>
        <v>0</v>
      </c>
      <c r="AY76" s="35" t="s">
        <v>3659</v>
      </c>
      <c r="AZ76" s="35" t="s">
        <v>3708</v>
      </c>
      <c r="BA76" s="27" t="s">
        <v>3729</v>
      </c>
      <c r="BC76" s="34">
        <f t="shared" si="59"/>
        <v>0</v>
      </c>
      <c r="BD76" s="34">
        <f t="shared" si="60"/>
        <v>0</v>
      </c>
      <c r="BE76" s="34">
        <v>0</v>
      </c>
      <c r="BF76" s="34">
        <f>76</f>
        <v>76</v>
      </c>
      <c r="BH76" s="18">
        <f t="shared" si="61"/>
        <v>0</v>
      </c>
      <c r="BI76" s="18">
        <f t="shared" si="62"/>
        <v>0</v>
      </c>
      <c r="BJ76" s="18">
        <f t="shared" si="63"/>
        <v>0</v>
      </c>
    </row>
    <row r="77" spans="1:62" x14ac:dyDescent="0.2">
      <c r="A77" s="5" t="s">
        <v>63</v>
      </c>
      <c r="B77" s="5" t="s">
        <v>1270</v>
      </c>
      <c r="C77" s="135" t="s">
        <v>2469</v>
      </c>
      <c r="D77" s="136"/>
      <c r="E77" s="136"/>
      <c r="F77" s="136"/>
      <c r="G77" s="136"/>
      <c r="H77" s="5" t="s">
        <v>3615</v>
      </c>
      <c r="I77" s="18">
        <v>12.03</v>
      </c>
      <c r="J77" s="18">
        <v>0</v>
      </c>
      <c r="K77" s="18">
        <f t="shared" si="44"/>
        <v>0</v>
      </c>
      <c r="L77" s="28" t="s">
        <v>3635</v>
      </c>
      <c r="Z77" s="34">
        <f t="shared" si="45"/>
        <v>0</v>
      </c>
      <c r="AB77" s="34">
        <f t="shared" si="46"/>
        <v>0</v>
      </c>
      <c r="AC77" s="34">
        <f t="shared" si="47"/>
        <v>0</v>
      </c>
      <c r="AD77" s="34">
        <f t="shared" si="48"/>
        <v>0</v>
      </c>
      <c r="AE77" s="34">
        <f t="shared" si="49"/>
        <v>0</v>
      </c>
      <c r="AF77" s="34">
        <f t="shared" si="50"/>
        <v>0</v>
      </c>
      <c r="AG77" s="34">
        <f t="shared" si="51"/>
        <v>0</v>
      </c>
      <c r="AH77" s="34">
        <f t="shared" si="52"/>
        <v>0</v>
      </c>
      <c r="AI77" s="27" t="s">
        <v>3645</v>
      </c>
      <c r="AJ77" s="18">
        <f t="shared" si="53"/>
        <v>0</v>
      </c>
      <c r="AK77" s="18">
        <f t="shared" si="54"/>
        <v>0</v>
      </c>
      <c r="AL77" s="18">
        <f t="shared" si="55"/>
        <v>0</v>
      </c>
      <c r="AN77" s="34">
        <v>21</v>
      </c>
      <c r="AO77" s="34">
        <f>J77*0.229645569620253</f>
        <v>0</v>
      </c>
      <c r="AP77" s="34">
        <f>J77*(1-0.229645569620253)</f>
        <v>0</v>
      </c>
      <c r="AQ77" s="28" t="s">
        <v>7</v>
      </c>
      <c r="AV77" s="34">
        <f t="shared" si="56"/>
        <v>0</v>
      </c>
      <c r="AW77" s="34">
        <f t="shared" si="57"/>
        <v>0</v>
      </c>
      <c r="AX77" s="34">
        <f t="shared" si="58"/>
        <v>0</v>
      </c>
      <c r="AY77" s="35" t="s">
        <v>3659</v>
      </c>
      <c r="AZ77" s="35" t="s">
        <v>3708</v>
      </c>
      <c r="BA77" s="27" t="s">
        <v>3729</v>
      </c>
      <c r="BC77" s="34">
        <f t="shared" si="59"/>
        <v>0</v>
      </c>
      <c r="BD77" s="34">
        <f t="shared" si="60"/>
        <v>0</v>
      </c>
      <c r="BE77" s="34">
        <v>0</v>
      </c>
      <c r="BF77" s="34">
        <f>77</f>
        <v>77</v>
      </c>
      <c r="BH77" s="18">
        <f t="shared" si="61"/>
        <v>0</v>
      </c>
      <c r="BI77" s="18">
        <f t="shared" si="62"/>
        <v>0</v>
      </c>
      <c r="BJ77" s="18">
        <f t="shared" si="63"/>
        <v>0</v>
      </c>
    </row>
    <row r="78" spans="1:62" x14ac:dyDescent="0.2">
      <c r="A78" s="5" t="s">
        <v>64</v>
      </c>
      <c r="B78" s="5" t="s">
        <v>1271</v>
      </c>
      <c r="C78" s="135" t="s">
        <v>2470</v>
      </c>
      <c r="D78" s="136"/>
      <c r="E78" s="136"/>
      <c r="F78" s="136"/>
      <c r="G78" s="136"/>
      <c r="H78" s="5" t="s">
        <v>3613</v>
      </c>
      <c r="I78" s="18">
        <v>7.266</v>
      </c>
      <c r="J78" s="18">
        <v>0</v>
      </c>
      <c r="K78" s="18">
        <f t="shared" si="44"/>
        <v>0</v>
      </c>
      <c r="L78" s="28" t="s">
        <v>3635</v>
      </c>
      <c r="Z78" s="34">
        <f t="shared" si="45"/>
        <v>0</v>
      </c>
      <c r="AB78" s="34">
        <f t="shared" si="46"/>
        <v>0</v>
      </c>
      <c r="AC78" s="34">
        <f t="shared" si="47"/>
        <v>0</v>
      </c>
      <c r="AD78" s="34">
        <f t="shared" si="48"/>
        <v>0</v>
      </c>
      <c r="AE78" s="34">
        <f t="shared" si="49"/>
        <v>0</v>
      </c>
      <c r="AF78" s="34">
        <f t="shared" si="50"/>
        <v>0</v>
      </c>
      <c r="AG78" s="34">
        <f t="shared" si="51"/>
        <v>0</v>
      </c>
      <c r="AH78" s="34">
        <f t="shared" si="52"/>
        <v>0</v>
      </c>
      <c r="AI78" s="27" t="s">
        <v>3645</v>
      </c>
      <c r="AJ78" s="18">
        <f t="shared" si="53"/>
        <v>0</v>
      </c>
      <c r="AK78" s="18">
        <f t="shared" si="54"/>
        <v>0</v>
      </c>
      <c r="AL78" s="18">
        <f t="shared" si="55"/>
        <v>0</v>
      </c>
      <c r="AN78" s="34">
        <v>21</v>
      </c>
      <c r="AO78" s="34">
        <f>J78*0.897569869299469</f>
        <v>0</v>
      </c>
      <c r="AP78" s="34">
        <f>J78*(1-0.897569869299469)</f>
        <v>0</v>
      </c>
      <c r="AQ78" s="28" t="s">
        <v>7</v>
      </c>
      <c r="AV78" s="34">
        <f t="shared" si="56"/>
        <v>0</v>
      </c>
      <c r="AW78" s="34">
        <f t="shared" si="57"/>
        <v>0</v>
      </c>
      <c r="AX78" s="34">
        <f t="shared" si="58"/>
        <v>0</v>
      </c>
      <c r="AY78" s="35" t="s">
        <v>3659</v>
      </c>
      <c r="AZ78" s="35" t="s">
        <v>3708</v>
      </c>
      <c r="BA78" s="27" t="s">
        <v>3729</v>
      </c>
      <c r="BC78" s="34">
        <f t="shared" si="59"/>
        <v>0</v>
      </c>
      <c r="BD78" s="34">
        <f t="shared" si="60"/>
        <v>0</v>
      </c>
      <c r="BE78" s="34">
        <v>0</v>
      </c>
      <c r="BF78" s="34">
        <f>78</f>
        <v>78</v>
      </c>
      <c r="BH78" s="18">
        <f t="shared" si="61"/>
        <v>0</v>
      </c>
      <c r="BI78" s="18">
        <f t="shared" si="62"/>
        <v>0</v>
      </c>
      <c r="BJ78" s="18">
        <f t="shared" si="63"/>
        <v>0</v>
      </c>
    </row>
    <row r="79" spans="1:62" x14ac:dyDescent="0.2">
      <c r="A79" s="5" t="s">
        <v>65</v>
      </c>
      <c r="B79" s="5" t="s">
        <v>1272</v>
      </c>
      <c r="C79" s="135" t="s">
        <v>2471</v>
      </c>
      <c r="D79" s="136"/>
      <c r="E79" s="136"/>
      <c r="F79" s="136"/>
      <c r="G79" s="136"/>
      <c r="H79" s="5" t="s">
        <v>3613</v>
      </c>
      <c r="I79" s="18">
        <v>3.7871999999999999</v>
      </c>
      <c r="J79" s="18">
        <v>0</v>
      </c>
      <c r="K79" s="18">
        <f t="shared" si="44"/>
        <v>0</v>
      </c>
      <c r="L79" s="28" t="s">
        <v>3635</v>
      </c>
      <c r="Z79" s="34">
        <f t="shared" si="45"/>
        <v>0</v>
      </c>
      <c r="AB79" s="34">
        <f t="shared" si="46"/>
        <v>0</v>
      </c>
      <c r="AC79" s="34">
        <f t="shared" si="47"/>
        <v>0</v>
      </c>
      <c r="AD79" s="34">
        <f t="shared" si="48"/>
        <v>0</v>
      </c>
      <c r="AE79" s="34">
        <f t="shared" si="49"/>
        <v>0</v>
      </c>
      <c r="AF79" s="34">
        <f t="shared" si="50"/>
        <v>0</v>
      </c>
      <c r="AG79" s="34">
        <f t="shared" si="51"/>
        <v>0</v>
      </c>
      <c r="AH79" s="34">
        <f t="shared" si="52"/>
        <v>0</v>
      </c>
      <c r="AI79" s="27" t="s">
        <v>3645</v>
      </c>
      <c r="AJ79" s="18">
        <f t="shared" si="53"/>
        <v>0</v>
      </c>
      <c r="AK79" s="18">
        <f t="shared" si="54"/>
        <v>0</v>
      </c>
      <c r="AL79" s="18">
        <f t="shared" si="55"/>
        <v>0</v>
      </c>
      <c r="AN79" s="34">
        <v>21</v>
      </c>
      <c r="AO79" s="34">
        <f>J79*0.889038781891259</f>
        <v>0</v>
      </c>
      <c r="AP79" s="34">
        <f>J79*(1-0.889038781891259)</f>
        <v>0</v>
      </c>
      <c r="AQ79" s="28" t="s">
        <v>7</v>
      </c>
      <c r="AV79" s="34">
        <f t="shared" si="56"/>
        <v>0</v>
      </c>
      <c r="AW79" s="34">
        <f t="shared" si="57"/>
        <v>0</v>
      </c>
      <c r="AX79" s="34">
        <f t="shared" si="58"/>
        <v>0</v>
      </c>
      <c r="AY79" s="35" t="s">
        <v>3659</v>
      </c>
      <c r="AZ79" s="35" t="s">
        <v>3708</v>
      </c>
      <c r="BA79" s="27" t="s">
        <v>3729</v>
      </c>
      <c r="BC79" s="34">
        <f t="shared" si="59"/>
        <v>0</v>
      </c>
      <c r="BD79" s="34">
        <f t="shared" si="60"/>
        <v>0</v>
      </c>
      <c r="BE79" s="34">
        <v>0</v>
      </c>
      <c r="BF79" s="34">
        <f>79</f>
        <v>79</v>
      </c>
      <c r="BH79" s="18">
        <f t="shared" si="61"/>
        <v>0</v>
      </c>
      <c r="BI79" s="18">
        <f t="shared" si="62"/>
        <v>0</v>
      </c>
      <c r="BJ79" s="18">
        <f t="shared" si="63"/>
        <v>0</v>
      </c>
    </row>
    <row r="80" spans="1:62" x14ac:dyDescent="0.2">
      <c r="A80" s="5" t="s">
        <v>66</v>
      </c>
      <c r="B80" s="5" t="s">
        <v>1273</v>
      </c>
      <c r="C80" s="135" t="s">
        <v>2472</v>
      </c>
      <c r="D80" s="136"/>
      <c r="E80" s="136"/>
      <c r="F80" s="136"/>
      <c r="G80" s="136"/>
      <c r="H80" s="5" t="s">
        <v>3615</v>
      </c>
      <c r="I80" s="18">
        <v>25.128</v>
      </c>
      <c r="J80" s="18">
        <v>0</v>
      </c>
      <c r="K80" s="18">
        <f t="shared" si="44"/>
        <v>0</v>
      </c>
      <c r="L80" s="28" t="s">
        <v>3635</v>
      </c>
      <c r="Z80" s="34">
        <f t="shared" si="45"/>
        <v>0</v>
      </c>
      <c r="AB80" s="34">
        <f t="shared" si="46"/>
        <v>0</v>
      </c>
      <c r="AC80" s="34">
        <f t="shared" si="47"/>
        <v>0</v>
      </c>
      <c r="AD80" s="34">
        <f t="shared" si="48"/>
        <v>0</v>
      </c>
      <c r="AE80" s="34">
        <f t="shared" si="49"/>
        <v>0</v>
      </c>
      <c r="AF80" s="34">
        <f t="shared" si="50"/>
        <v>0</v>
      </c>
      <c r="AG80" s="34">
        <f t="shared" si="51"/>
        <v>0</v>
      </c>
      <c r="AH80" s="34">
        <f t="shared" si="52"/>
        <v>0</v>
      </c>
      <c r="AI80" s="27" t="s">
        <v>3645</v>
      </c>
      <c r="AJ80" s="18">
        <f t="shared" si="53"/>
        <v>0</v>
      </c>
      <c r="AK80" s="18">
        <f t="shared" si="54"/>
        <v>0</v>
      </c>
      <c r="AL80" s="18">
        <f t="shared" si="55"/>
        <v>0</v>
      </c>
      <c r="AN80" s="34">
        <v>21</v>
      </c>
      <c r="AO80" s="34">
        <f>J80*0.328427184466019</f>
        <v>0</v>
      </c>
      <c r="AP80" s="34">
        <f>J80*(1-0.328427184466019)</f>
        <v>0</v>
      </c>
      <c r="AQ80" s="28" t="s">
        <v>7</v>
      </c>
      <c r="AV80" s="34">
        <f t="shared" si="56"/>
        <v>0</v>
      </c>
      <c r="AW80" s="34">
        <f t="shared" si="57"/>
        <v>0</v>
      </c>
      <c r="AX80" s="34">
        <f t="shared" si="58"/>
        <v>0</v>
      </c>
      <c r="AY80" s="35" t="s">
        <v>3659</v>
      </c>
      <c r="AZ80" s="35" t="s">
        <v>3708</v>
      </c>
      <c r="BA80" s="27" t="s">
        <v>3729</v>
      </c>
      <c r="BC80" s="34">
        <f t="shared" si="59"/>
        <v>0</v>
      </c>
      <c r="BD80" s="34">
        <f t="shared" si="60"/>
        <v>0</v>
      </c>
      <c r="BE80" s="34">
        <v>0</v>
      </c>
      <c r="BF80" s="34">
        <f>80</f>
        <v>80</v>
      </c>
      <c r="BH80" s="18">
        <f t="shared" si="61"/>
        <v>0</v>
      </c>
      <c r="BI80" s="18">
        <f t="shared" si="62"/>
        <v>0</v>
      </c>
      <c r="BJ80" s="18">
        <f t="shared" si="63"/>
        <v>0</v>
      </c>
    </row>
    <row r="81" spans="1:62" x14ac:dyDescent="0.2">
      <c r="A81" s="5" t="s">
        <v>67</v>
      </c>
      <c r="B81" s="5" t="s">
        <v>1274</v>
      </c>
      <c r="C81" s="135" t="s">
        <v>2473</v>
      </c>
      <c r="D81" s="136"/>
      <c r="E81" s="136"/>
      <c r="F81" s="136"/>
      <c r="G81" s="136"/>
      <c r="H81" s="5" t="s">
        <v>3615</v>
      </c>
      <c r="I81" s="18">
        <v>25.128</v>
      </c>
      <c r="J81" s="18">
        <v>0</v>
      </c>
      <c r="K81" s="18">
        <f t="shared" si="44"/>
        <v>0</v>
      </c>
      <c r="L81" s="28" t="s">
        <v>3635</v>
      </c>
      <c r="Z81" s="34">
        <f t="shared" si="45"/>
        <v>0</v>
      </c>
      <c r="AB81" s="34">
        <f t="shared" si="46"/>
        <v>0</v>
      </c>
      <c r="AC81" s="34">
        <f t="shared" si="47"/>
        <v>0</v>
      </c>
      <c r="AD81" s="34">
        <f t="shared" si="48"/>
        <v>0</v>
      </c>
      <c r="AE81" s="34">
        <f t="shared" si="49"/>
        <v>0</v>
      </c>
      <c r="AF81" s="34">
        <f t="shared" si="50"/>
        <v>0</v>
      </c>
      <c r="AG81" s="34">
        <f t="shared" si="51"/>
        <v>0</v>
      </c>
      <c r="AH81" s="34">
        <f t="shared" si="52"/>
        <v>0</v>
      </c>
      <c r="AI81" s="27" t="s">
        <v>3645</v>
      </c>
      <c r="AJ81" s="18">
        <f t="shared" si="53"/>
        <v>0</v>
      </c>
      <c r="AK81" s="18">
        <f t="shared" si="54"/>
        <v>0</v>
      </c>
      <c r="AL81" s="18">
        <f t="shared" si="55"/>
        <v>0</v>
      </c>
      <c r="AN81" s="34">
        <v>21</v>
      </c>
      <c r="AO81" s="34">
        <f>J81*0</f>
        <v>0</v>
      </c>
      <c r="AP81" s="34">
        <f>J81*(1-0)</f>
        <v>0</v>
      </c>
      <c r="AQ81" s="28" t="s">
        <v>7</v>
      </c>
      <c r="AV81" s="34">
        <f t="shared" si="56"/>
        <v>0</v>
      </c>
      <c r="AW81" s="34">
        <f t="shared" si="57"/>
        <v>0</v>
      </c>
      <c r="AX81" s="34">
        <f t="shared" si="58"/>
        <v>0</v>
      </c>
      <c r="AY81" s="35" t="s">
        <v>3659</v>
      </c>
      <c r="AZ81" s="35" t="s">
        <v>3708</v>
      </c>
      <c r="BA81" s="27" t="s">
        <v>3729</v>
      </c>
      <c r="BC81" s="34">
        <f t="shared" si="59"/>
        <v>0</v>
      </c>
      <c r="BD81" s="34">
        <f t="shared" si="60"/>
        <v>0</v>
      </c>
      <c r="BE81" s="34">
        <v>0</v>
      </c>
      <c r="BF81" s="34">
        <f>81</f>
        <v>81</v>
      </c>
      <c r="BH81" s="18">
        <f t="shared" si="61"/>
        <v>0</v>
      </c>
      <c r="BI81" s="18">
        <f t="shared" si="62"/>
        <v>0</v>
      </c>
      <c r="BJ81" s="18">
        <f t="shared" si="63"/>
        <v>0</v>
      </c>
    </row>
    <row r="82" spans="1:62" x14ac:dyDescent="0.2">
      <c r="A82" s="5" t="s">
        <v>68</v>
      </c>
      <c r="B82" s="5" t="s">
        <v>1275</v>
      </c>
      <c r="C82" s="135" t="s">
        <v>2474</v>
      </c>
      <c r="D82" s="136"/>
      <c r="E82" s="136"/>
      <c r="F82" s="136"/>
      <c r="G82" s="136"/>
      <c r="H82" s="5" t="s">
        <v>3616</v>
      </c>
      <c r="I82" s="18">
        <v>0.56808000000000003</v>
      </c>
      <c r="J82" s="18">
        <v>0</v>
      </c>
      <c r="K82" s="18">
        <f t="shared" si="44"/>
        <v>0</v>
      </c>
      <c r="L82" s="28" t="s">
        <v>3635</v>
      </c>
      <c r="Z82" s="34">
        <f t="shared" si="45"/>
        <v>0</v>
      </c>
      <c r="AB82" s="34">
        <f t="shared" si="46"/>
        <v>0</v>
      </c>
      <c r="AC82" s="34">
        <f t="shared" si="47"/>
        <v>0</v>
      </c>
      <c r="AD82" s="34">
        <f t="shared" si="48"/>
        <v>0</v>
      </c>
      <c r="AE82" s="34">
        <f t="shared" si="49"/>
        <v>0</v>
      </c>
      <c r="AF82" s="34">
        <f t="shared" si="50"/>
        <v>0</v>
      </c>
      <c r="AG82" s="34">
        <f t="shared" si="51"/>
        <v>0</v>
      </c>
      <c r="AH82" s="34">
        <f t="shared" si="52"/>
        <v>0</v>
      </c>
      <c r="AI82" s="27" t="s">
        <v>3645</v>
      </c>
      <c r="AJ82" s="18">
        <f t="shared" si="53"/>
        <v>0</v>
      </c>
      <c r="AK82" s="18">
        <f t="shared" si="54"/>
        <v>0</v>
      </c>
      <c r="AL82" s="18">
        <f t="shared" si="55"/>
        <v>0</v>
      </c>
      <c r="AN82" s="34">
        <v>21</v>
      </c>
      <c r="AO82" s="34">
        <f>J82*0.671676347265113</f>
        <v>0</v>
      </c>
      <c r="AP82" s="34">
        <f>J82*(1-0.671676347265113)</f>
        <v>0</v>
      </c>
      <c r="AQ82" s="28" t="s">
        <v>7</v>
      </c>
      <c r="AV82" s="34">
        <f t="shared" si="56"/>
        <v>0</v>
      </c>
      <c r="AW82" s="34">
        <f t="shared" si="57"/>
        <v>0</v>
      </c>
      <c r="AX82" s="34">
        <f t="shared" si="58"/>
        <v>0</v>
      </c>
      <c r="AY82" s="35" t="s">
        <v>3659</v>
      </c>
      <c r="AZ82" s="35" t="s">
        <v>3708</v>
      </c>
      <c r="BA82" s="27" t="s">
        <v>3729</v>
      </c>
      <c r="BC82" s="34">
        <f t="shared" si="59"/>
        <v>0</v>
      </c>
      <c r="BD82" s="34">
        <f t="shared" si="60"/>
        <v>0</v>
      </c>
      <c r="BE82" s="34">
        <v>0</v>
      </c>
      <c r="BF82" s="34">
        <f>82</f>
        <v>82</v>
      </c>
      <c r="BH82" s="18">
        <f t="shared" si="61"/>
        <v>0</v>
      </c>
      <c r="BI82" s="18">
        <f t="shared" si="62"/>
        <v>0</v>
      </c>
      <c r="BJ82" s="18">
        <f t="shared" si="63"/>
        <v>0</v>
      </c>
    </row>
    <row r="83" spans="1:62" x14ac:dyDescent="0.2">
      <c r="A83" s="4"/>
      <c r="B83" s="14" t="s">
        <v>9</v>
      </c>
      <c r="C83" s="133" t="s">
        <v>2475</v>
      </c>
      <c r="D83" s="134"/>
      <c r="E83" s="134"/>
      <c r="F83" s="134"/>
      <c r="G83" s="134"/>
      <c r="H83" s="4" t="s">
        <v>6</v>
      </c>
      <c r="I83" s="4" t="s">
        <v>6</v>
      </c>
      <c r="J83" s="4" t="s">
        <v>6</v>
      </c>
      <c r="K83" s="37">
        <f>SUM(K84:K84)</f>
        <v>0</v>
      </c>
      <c r="L83" s="27"/>
      <c r="AI83" s="27" t="s">
        <v>3645</v>
      </c>
      <c r="AS83" s="37">
        <f>SUM(AJ84:AJ84)</f>
        <v>0</v>
      </c>
      <c r="AT83" s="37">
        <f>SUM(AK84:AK84)</f>
        <v>0</v>
      </c>
      <c r="AU83" s="37">
        <f>SUM(AL84:AL84)</f>
        <v>0</v>
      </c>
    </row>
    <row r="84" spans="1:62" x14ac:dyDescent="0.2">
      <c r="A84" s="5" t="s">
        <v>69</v>
      </c>
      <c r="B84" s="5" t="s">
        <v>1276</v>
      </c>
      <c r="C84" s="135" t="s">
        <v>2476</v>
      </c>
      <c r="D84" s="136"/>
      <c r="E84" s="136"/>
      <c r="F84" s="136"/>
      <c r="G84" s="136"/>
      <c r="H84" s="5" t="s">
        <v>3613</v>
      </c>
      <c r="I84" s="18">
        <v>12.409000000000001</v>
      </c>
      <c r="J84" s="18">
        <v>0</v>
      </c>
      <c r="K84" s="18">
        <f>I84*J84</f>
        <v>0</v>
      </c>
      <c r="L84" s="28" t="s">
        <v>3635</v>
      </c>
      <c r="Z84" s="34">
        <f>IF(AQ84="5",BJ84,0)</f>
        <v>0</v>
      </c>
      <c r="AB84" s="34">
        <f>IF(AQ84="1",BH84,0)</f>
        <v>0</v>
      </c>
      <c r="AC84" s="34">
        <f>IF(AQ84="1",BI84,0)</f>
        <v>0</v>
      </c>
      <c r="AD84" s="34">
        <f>IF(AQ84="7",BH84,0)</f>
        <v>0</v>
      </c>
      <c r="AE84" s="34">
        <f>IF(AQ84="7",BI84,0)</f>
        <v>0</v>
      </c>
      <c r="AF84" s="34">
        <f>IF(AQ84="2",BH84,0)</f>
        <v>0</v>
      </c>
      <c r="AG84" s="34">
        <f>IF(AQ84="2",BI84,0)</f>
        <v>0</v>
      </c>
      <c r="AH84" s="34">
        <f>IF(AQ84="0",BJ84,0)</f>
        <v>0</v>
      </c>
      <c r="AI84" s="27" t="s">
        <v>3645</v>
      </c>
      <c r="AJ84" s="18">
        <f>IF(AN84=0,K84,0)</f>
        <v>0</v>
      </c>
      <c r="AK84" s="18">
        <f>IF(AN84=15,K84,0)</f>
        <v>0</v>
      </c>
      <c r="AL84" s="18">
        <f>IF(AN84=21,K84,0)</f>
        <v>0</v>
      </c>
      <c r="AN84" s="34">
        <v>21</v>
      </c>
      <c r="AO84" s="34">
        <f>J84*0.324131612903226</f>
        <v>0</v>
      </c>
      <c r="AP84" s="34">
        <f>J84*(1-0.324131612903226)</f>
        <v>0</v>
      </c>
      <c r="AQ84" s="28" t="s">
        <v>7</v>
      </c>
      <c r="AV84" s="34">
        <f>AW84+AX84</f>
        <v>0</v>
      </c>
      <c r="AW84" s="34">
        <f>I84*AO84</f>
        <v>0</v>
      </c>
      <c r="AX84" s="34">
        <f>I84*AP84</f>
        <v>0</v>
      </c>
      <c r="AY84" s="35" t="s">
        <v>3660</v>
      </c>
      <c r="AZ84" s="35" t="s">
        <v>3709</v>
      </c>
      <c r="BA84" s="27" t="s">
        <v>3729</v>
      </c>
      <c r="BC84" s="34">
        <f>AW84+AX84</f>
        <v>0</v>
      </c>
      <c r="BD84" s="34">
        <f>J84/(100-BE84)*100</f>
        <v>0</v>
      </c>
      <c r="BE84" s="34">
        <v>0</v>
      </c>
      <c r="BF84" s="34">
        <f>84</f>
        <v>84</v>
      </c>
      <c r="BH84" s="18">
        <f>I84*AO84</f>
        <v>0</v>
      </c>
      <c r="BI84" s="18">
        <f>I84*AP84</f>
        <v>0</v>
      </c>
      <c r="BJ84" s="18">
        <f>I84*J84</f>
        <v>0</v>
      </c>
    </row>
    <row r="85" spans="1:62" x14ac:dyDescent="0.2">
      <c r="A85" s="4"/>
      <c r="B85" s="14" t="s">
        <v>37</v>
      </c>
      <c r="C85" s="133" t="s">
        <v>2477</v>
      </c>
      <c r="D85" s="134"/>
      <c r="E85" s="134"/>
      <c r="F85" s="134"/>
      <c r="G85" s="134"/>
      <c r="H85" s="4" t="s">
        <v>6</v>
      </c>
      <c r="I85" s="4" t="s">
        <v>6</v>
      </c>
      <c r="J85" s="4" t="s">
        <v>6</v>
      </c>
      <c r="K85" s="37">
        <f>SUM(K86:K102)</f>
        <v>0</v>
      </c>
      <c r="L85" s="27"/>
      <c r="AI85" s="27" t="s">
        <v>3645</v>
      </c>
      <c r="AS85" s="37">
        <f>SUM(AJ86:AJ102)</f>
        <v>0</v>
      </c>
      <c r="AT85" s="37">
        <f>SUM(AK86:AK102)</f>
        <v>0</v>
      </c>
      <c r="AU85" s="37">
        <f>SUM(AL86:AL102)</f>
        <v>0</v>
      </c>
    </row>
    <row r="86" spans="1:62" x14ac:dyDescent="0.2">
      <c r="A86" s="5" t="s">
        <v>70</v>
      </c>
      <c r="B86" s="5" t="s">
        <v>1277</v>
      </c>
      <c r="C86" s="135" t="s">
        <v>2478</v>
      </c>
      <c r="D86" s="136"/>
      <c r="E86" s="136"/>
      <c r="F86" s="136"/>
      <c r="G86" s="136"/>
      <c r="H86" s="5" t="s">
        <v>3615</v>
      </c>
      <c r="I86" s="18">
        <v>336.38749999999999</v>
      </c>
      <c r="J86" s="18">
        <v>0</v>
      </c>
      <c r="K86" s="18">
        <f t="shared" ref="K86:K102" si="64">I86*J86</f>
        <v>0</v>
      </c>
      <c r="L86" s="28" t="s">
        <v>3635</v>
      </c>
      <c r="Z86" s="34">
        <f t="shared" ref="Z86:Z102" si="65">IF(AQ86="5",BJ86,0)</f>
        <v>0</v>
      </c>
      <c r="AB86" s="34">
        <f t="shared" ref="AB86:AB102" si="66">IF(AQ86="1",BH86,0)</f>
        <v>0</v>
      </c>
      <c r="AC86" s="34">
        <f t="shared" ref="AC86:AC102" si="67">IF(AQ86="1",BI86,0)</f>
        <v>0</v>
      </c>
      <c r="AD86" s="34">
        <f t="shared" ref="AD86:AD102" si="68">IF(AQ86="7",BH86,0)</f>
        <v>0</v>
      </c>
      <c r="AE86" s="34">
        <f t="shared" ref="AE86:AE102" si="69">IF(AQ86="7",BI86,0)</f>
        <v>0</v>
      </c>
      <c r="AF86" s="34">
        <f t="shared" ref="AF86:AF102" si="70">IF(AQ86="2",BH86,0)</f>
        <v>0</v>
      </c>
      <c r="AG86" s="34">
        <f t="shared" ref="AG86:AG102" si="71">IF(AQ86="2",BI86,0)</f>
        <v>0</v>
      </c>
      <c r="AH86" s="34">
        <f t="shared" ref="AH86:AH102" si="72">IF(AQ86="0",BJ86,0)</f>
        <v>0</v>
      </c>
      <c r="AI86" s="27" t="s">
        <v>3645</v>
      </c>
      <c r="AJ86" s="18">
        <f t="shared" ref="AJ86:AJ102" si="73">IF(AN86=0,K86,0)</f>
        <v>0</v>
      </c>
      <c r="AK86" s="18">
        <f t="shared" ref="AK86:AK102" si="74">IF(AN86=15,K86,0)</f>
        <v>0</v>
      </c>
      <c r="AL86" s="18">
        <f t="shared" ref="AL86:AL102" si="75">IF(AN86=21,K86,0)</f>
        <v>0</v>
      </c>
      <c r="AN86" s="34">
        <v>21</v>
      </c>
      <c r="AO86" s="34">
        <f>J86*0.792899590971633</f>
        <v>0</v>
      </c>
      <c r="AP86" s="34">
        <f>J86*(1-0.792899590971633)</f>
        <v>0</v>
      </c>
      <c r="AQ86" s="28" t="s">
        <v>7</v>
      </c>
      <c r="AV86" s="34">
        <f t="shared" ref="AV86:AV102" si="76">AW86+AX86</f>
        <v>0</v>
      </c>
      <c r="AW86" s="34">
        <f t="shared" ref="AW86:AW102" si="77">I86*AO86</f>
        <v>0</v>
      </c>
      <c r="AX86" s="34">
        <f t="shared" ref="AX86:AX102" si="78">I86*AP86</f>
        <v>0</v>
      </c>
      <c r="AY86" s="35" t="s">
        <v>3661</v>
      </c>
      <c r="AZ86" s="35" t="s">
        <v>3709</v>
      </c>
      <c r="BA86" s="27" t="s">
        <v>3729</v>
      </c>
      <c r="BC86" s="34">
        <f t="shared" ref="BC86:BC102" si="79">AW86+AX86</f>
        <v>0</v>
      </c>
      <c r="BD86" s="34">
        <f t="shared" ref="BD86:BD102" si="80">J86/(100-BE86)*100</f>
        <v>0</v>
      </c>
      <c r="BE86" s="34">
        <v>0</v>
      </c>
      <c r="BF86" s="34">
        <f>86</f>
        <v>86</v>
      </c>
      <c r="BH86" s="18">
        <f t="shared" ref="BH86:BH102" si="81">I86*AO86</f>
        <v>0</v>
      </c>
      <c r="BI86" s="18">
        <f t="shared" ref="BI86:BI102" si="82">I86*AP86</f>
        <v>0</v>
      </c>
      <c r="BJ86" s="18">
        <f t="shared" ref="BJ86:BJ102" si="83">I86*J86</f>
        <v>0</v>
      </c>
    </row>
    <row r="87" spans="1:62" x14ac:dyDescent="0.2">
      <c r="A87" s="5" t="s">
        <v>71</v>
      </c>
      <c r="B87" s="5" t="s">
        <v>1278</v>
      </c>
      <c r="C87" s="135" t="s">
        <v>2479</v>
      </c>
      <c r="D87" s="136"/>
      <c r="E87" s="136"/>
      <c r="F87" s="136"/>
      <c r="G87" s="136"/>
      <c r="H87" s="5" t="s">
        <v>3615</v>
      </c>
      <c r="I87" s="18">
        <v>48.2</v>
      </c>
      <c r="J87" s="18">
        <v>0</v>
      </c>
      <c r="K87" s="18">
        <f t="shared" si="64"/>
        <v>0</v>
      </c>
      <c r="L87" s="28" t="s">
        <v>3635</v>
      </c>
      <c r="Z87" s="34">
        <f t="shared" si="65"/>
        <v>0</v>
      </c>
      <c r="AB87" s="34">
        <f t="shared" si="66"/>
        <v>0</v>
      </c>
      <c r="AC87" s="34">
        <f t="shared" si="67"/>
        <v>0</v>
      </c>
      <c r="AD87" s="34">
        <f t="shared" si="68"/>
        <v>0</v>
      </c>
      <c r="AE87" s="34">
        <f t="shared" si="69"/>
        <v>0</v>
      </c>
      <c r="AF87" s="34">
        <f t="shared" si="70"/>
        <v>0</v>
      </c>
      <c r="AG87" s="34">
        <f t="shared" si="71"/>
        <v>0</v>
      </c>
      <c r="AH87" s="34">
        <f t="shared" si="72"/>
        <v>0</v>
      </c>
      <c r="AI87" s="27" t="s">
        <v>3645</v>
      </c>
      <c r="AJ87" s="18">
        <f t="shared" si="73"/>
        <v>0</v>
      </c>
      <c r="AK87" s="18">
        <f t="shared" si="74"/>
        <v>0</v>
      </c>
      <c r="AL87" s="18">
        <f t="shared" si="75"/>
        <v>0</v>
      </c>
      <c r="AN87" s="34">
        <v>21</v>
      </c>
      <c r="AO87" s="34">
        <f>J87*0.787060583395662</f>
        <v>0</v>
      </c>
      <c r="AP87" s="34">
        <f>J87*(1-0.787060583395662)</f>
        <v>0</v>
      </c>
      <c r="AQ87" s="28" t="s">
        <v>7</v>
      </c>
      <c r="AV87" s="34">
        <f t="shared" si="76"/>
        <v>0</v>
      </c>
      <c r="AW87" s="34">
        <f t="shared" si="77"/>
        <v>0</v>
      </c>
      <c r="AX87" s="34">
        <f t="shared" si="78"/>
        <v>0</v>
      </c>
      <c r="AY87" s="35" t="s">
        <v>3661</v>
      </c>
      <c r="AZ87" s="35" t="s">
        <v>3709</v>
      </c>
      <c r="BA87" s="27" t="s">
        <v>3729</v>
      </c>
      <c r="BC87" s="34">
        <f t="shared" si="79"/>
        <v>0</v>
      </c>
      <c r="BD87" s="34">
        <f t="shared" si="80"/>
        <v>0</v>
      </c>
      <c r="BE87" s="34">
        <v>0</v>
      </c>
      <c r="BF87" s="34">
        <f>87</f>
        <v>87</v>
      </c>
      <c r="BH87" s="18">
        <f t="shared" si="81"/>
        <v>0</v>
      </c>
      <c r="BI87" s="18">
        <f t="shared" si="82"/>
        <v>0</v>
      </c>
      <c r="BJ87" s="18">
        <f t="shared" si="83"/>
        <v>0</v>
      </c>
    </row>
    <row r="88" spans="1:62" x14ac:dyDescent="0.2">
      <c r="A88" s="5" t="s">
        <v>72</v>
      </c>
      <c r="B88" s="5" t="s">
        <v>1279</v>
      </c>
      <c r="C88" s="135" t="s">
        <v>2480</v>
      </c>
      <c r="D88" s="136"/>
      <c r="E88" s="136"/>
      <c r="F88" s="136"/>
      <c r="G88" s="136"/>
      <c r="H88" s="5" t="s">
        <v>3613</v>
      </c>
      <c r="I88" s="18">
        <v>6.4236500000000003</v>
      </c>
      <c r="J88" s="18">
        <v>0</v>
      </c>
      <c r="K88" s="18">
        <f t="shared" si="64"/>
        <v>0</v>
      </c>
      <c r="L88" s="28" t="s">
        <v>3635</v>
      </c>
      <c r="Z88" s="34">
        <f t="shared" si="65"/>
        <v>0</v>
      </c>
      <c r="AB88" s="34">
        <f t="shared" si="66"/>
        <v>0</v>
      </c>
      <c r="AC88" s="34">
        <f t="shared" si="67"/>
        <v>0</v>
      </c>
      <c r="AD88" s="34">
        <f t="shared" si="68"/>
        <v>0</v>
      </c>
      <c r="AE88" s="34">
        <f t="shared" si="69"/>
        <v>0</v>
      </c>
      <c r="AF88" s="34">
        <f t="shared" si="70"/>
        <v>0</v>
      </c>
      <c r="AG88" s="34">
        <f t="shared" si="71"/>
        <v>0</v>
      </c>
      <c r="AH88" s="34">
        <f t="shared" si="72"/>
        <v>0</v>
      </c>
      <c r="AI88" s="27" t="s">
        <v>3645</v>
      </c>
      <c r="AJ88" s="18">
        <f t="shared" si="73"/>
        <v>0</v>
      </c>
      <c r="AK88" s="18">
        <f t="shared" si="74"/>
        <v>0</v>
      </c>
      <c r="AL88" s="18">
        <f t="shared" si="75"/>
        <v>0</v>
      </c>
      <c r="AN88" s="34">
        <v>21</v>
      </c>
      <c r="AO88" s="34">
        <f>J88*0.627053559566271</f>
        <v>0</v>
      </c>
      <c r="AP88" s="34">
        <f>J88*(1-0.627053559566271)</f>
        <v>0</v>
      </c>
      <c r="AQ88" s="28" t="s">
        <v>7</v>
      </c>
      <c r="AV88" s="34">
        <f t="shared" si="76"/>
        <v>0</v>
      </c>
      <c r="AW88" s="34">
        <f t="shared" si="77"/>
        <v>0</v>
      </c>
      <c r="AX88" s="34">
        <f t="shared" si="78"/>
        <v>0</v>
      </c>
      <c r="AY88" s="35" t="s">
        <v>3661</v>
      </c>
      <c r="AZ88" s="35" t="s">
        <v>3709</v>
      </c>
      <c r="BA88" s="27" t="s">
        <v>3729</v>
      </c>
      <c r="BC88" s="34">
        <f t="shared" si="79"/>
        <v>0</v>
      </c>
      <c r="BD88" s="34">
        <f t="shared" si="80"/>
        <v>0</v>
      </c>
      <c r="BE88" s="34">
        <v>0</v>
      </c>
      <c r="BF88" s="34">
        <f>88</f>
        <v>88</v>
      </c>
      <c r="BH88" s="18">
        <f t="shared" si="81"/>
        <v>0</v>
      </c>
      <c r="BI88" s="18">
        <f t="shared" si="82"/>
        <v>0</v>
      </c>
      <c r="BJ88" s="18">
        <f t="shared" si="83"/>
        <v>0</v>
      </c>
    </row>
    <row r="89" spans="1:62" x14ac:dyDescent="0.2">
      <c r="A89" s="5" t="s">
        <v>73</v>
      </c>
      <c r="B89" s="5" t="s">
        <v>1280</v>
      </c>
      <c r="C89" s="135" t="s">
        <v>2481</v>
      </c>
      <c r="D89" s="136"/>
      <c r="E89" s="136"/>
      <c r="F89" s="136"/>
      <c r="G89" s="136"/>
      <c r="H89" s="5" t="s">
        <v>3612</v>
      </c>
      <c r="I89" s="18">
        <v>30</v>
      </c>
      <c r="J89" s="18">
        <v>0</v>
      </c>
      <c r="K89" s="18">
        <f t="shared" si="64"/>
        <v>0</v>
      </c>
      <c r="L89" s="28" t="s">
        <v>3635</v>
      </c>
      <c r="Z89" s="34">
        <f t="shared" si="65"/>
        <v>0</v>
      </c>
      <c r="AB89" s="34">
        <f t="shared" si="66"/>
        <v>0</v>
      </c>
      <c r="AC89" s="34">
        <f t="shared" si="67"/>
        <v>0</v>
      </c>
      <c r="AD89" s="34">
        <f t="shared" si="68"/>
        <v>0</v>
      </c>
      <c r="AE89" s="34">
        <f t="shared" si="69"/>
        <v>0</v>
      </c>
      <c r="AF89" s="34">
        <f t="shared" si="70"/>
        <v>0</v>
      </c>
      <c r="AG89" s="34">
        <f t="shared" si="71"/>
        <v>0</v>
      </c>
      <c r="AH89" s="34">
        <f t="shared" si="72"/>
        <v>0</v>
      </c>
      <c r="AI89" s="27" t="s">
        <v>3645</v>
      </c>
      <c r="AJ89" s="18">
        <f t="shared" si="73"/>
        <v>0</v>
      </c>
      <c r="AK89" s="18">
        <f t="shared" si="74"/>
        <v>0</v>
      </c>
      <c r="AL89" s="18">
        <f t="shared" si="75"/>
        <v>0</v>
      </c>
      <c r="AN89" s="34">
        <v>21</v>
      </c>
      <c r="AO89" s="34">
        <f>J89*0.66737847580997</f>
        <v>0</v>
      </c>
      <c r="AP89" s="34">
        <f>J89*(1-0.66737847580997)</f>
        <v>0</v>
      </c>
      <c r="AQ89" s="28" t="s">
        <v>7</v>
      </c>
      <c r="AV89" s="34">
        <f t="shared" si="76"/>
        <v>0</v>
      </c>
      <c r="AW89" s="34">
        <f t="shared" si="77"/>
        <v>0</v>
      </c>
      <c r="AX89" s="34">
        <f t="shared" si="78"/>
        <v>0</v>
      </c>
      <c r="AY89" s="35" t="s">
        <v>3661</v>
      </c>
      <c r="AZ89" s="35" t="s">
        <v>3709</v>
      </c>
      <c r="BA89" s="27" t="s">
        <v>3729</v>
      </c>
      <c r="BC89" s="34">
        <f t="shared" si="79"/>
        <v>0</v>
      </c>
      <c r="BD89" s="34">
        <f t="shared" si="80"/>
        <v>0</v>
      </c>
      <c r="BE89" s="34">
        <v>0</v>
      </c>
      <c r="BF89" s="34">
        <f>89</f>
        <v>89</v>
      </c>
      <c r="BH89" s="18">
        <f t="shared" si="81"/>
        <v>0</v>
      </c>
      <c r="BI89" s="18">
        <f t="shared" si="82"/>
        <v>0</v>
      </c>
      <c r="BJ89" s="18">
        <f t="shared" si="83"/>
        <v>0</v>
      </c>
    </row>
    <row r="90" spans="1:62" x14ac:dyDescent="0.2">
      <c r="A90" s="5" t="s">
        <v>74</v>
      </c>
      <c r="B90" s="5" t="s">
        <v>1281</v>
      </c>
      <c r="C90" s="135" t="s">
        <v>2482</v>
      </c>
      <c r="D90" s="136"/>
      <c r="E90" s="136"/>
      <c r="F90" s="136"/>
      <c r="G90" s="136"/>
      <c r="H90" s="5" t="s">
        <v>3612</v>
      </c>
      <c r="I90" s="18">
        <v>6</v>
      </c>
      <c r="J90" s="18">
        <v>0</v>
      </c>
      <c r="K90" s="18">
        <f t="shared" si="64"/>
        <v>0</v>
      </c>
      <c r="L90" s="28" t="s">
        <v>3635</v>
      </c>
      <c r="Z90" s="34">
        <f t="shared" si="65"/>
        <v>0</v>
      </c>
      <c r="AB90" s="34">
        <f t="shared" si="66"/>
        <v>0</v>
      </c>
      <c r="AC90" s="34">
        <f t="shared" si="67"/>
        <v>0</v>
      </c>
      <c r="AD90" s="34">
        <f t="shared" si="68"/>
        <v>0</v>
      </c>
      <c r="AE90" s="34">
        <f t="shared" si="69"/>
        <v>0</v>
      </c>
      <c r="AF90" s="34">
        <f t="shared" si="70"/>
        <v>0</v>
      </c>
      <c r="AG90" s="34">
        <f t="shared" si="71"/>
        <v>0</v>
      </c>
      <c r="AH90" s="34">
        <f t="shared" si="72"/>
        <v>0</v>
      </c>
      <c r="AI90" s="27" t="s">
        <v>3645</v>
      </c>
      <c r="AJ90" s="18">
        <f t="shared" si="73"/>
        <v>0</v>
      </c>
      <c r="AK90" s="18">
        <f t="shared" si="74"/>
        <v>0</v>
      </c>
      <c r="AL90" s="18">
        <f t="shared" si="75"/>
        <v>0</v>
      </c>
      <c r="AN90" s="34">
        <v>21</v>
      </c>
      <c r="AO90" s="34">
        <f>J90*0.696510440649462</f>
        <v>0</v>
      </c>
      <c r="AP90" s="34">
        <f>J90*(1-0.696510440649462)</f>
        <v>0</v>
      </c>
      <c r="AQ90" s="28" t="s">
        <v>7</v>
      </c>
      <c r="AV90" s="34">
        <f t="shared" si="76"/>
        <v>0</v>
      </c>
      <c r="AW90" s="34">
        <f t="shared" si="77"/>
        <v>0</v>
      </c>
      <c r="AX90" s="34">
        <f t="shared" si="78"/>
        <v>0</v>
      </c>
      <c r="AY90" s="35" t="s">
        <v>3661</v>
      </c>
      <c r="AZ90" s="35" t="s">
        <v>3709</v>
      </c>
      <c r="BA90" s="27" t="s">
        <v>3729</v>
      </c>
      <c r="BC90" s="34">
        <f t="shared" si="79"/>
        <v>0</v>
      </c>
      <c r="BD90" s="34">
        <f t="shared" si="80"/>
        <v>0</v>
      </c>
      <c r="BE90" s="34">
        <v>0</v>
      </c>
      <c r="BF90" s="34">
        <f>90</f>
        <v>90</v>
      </c>
      <c r="BH90" s="18">
        <f t="shared" si="81"/>
        <v>0</v>
      </c>
      <c r="BI90" s="18">
        <f t="shared" si="82"/>
        <v>0</v>
      </c>
      <c r="BJ90" s="18">
        <f t="shared" si="83"/>
        <v>0</v>
      </c>
    </row>
    <row r="91" spans="1:62" x14ac:dyDescent="0.2">
      <c r="A91" s="5" t="s">
        <v>75</v>
      </c>
      <c r="B91" s="5" t="s">
        <v>1282</v>
      </c>
      <c r="C91" s="135" t="s">
        <v>2483</v>
      </c>
      <c r="D91" s="136"/>
      <c r="E91" s="136"/>
      <c r="F91" s="136"/>
      <c r="G91" s="136"/>
      <c r="H91" s="5" t="s">
        <v>3612</v>
      </c>
      <c r="I91" s="18">
        <v>32</v>
      </c>
      <c r="J91" s="18">
        <v>0</v>
      </c>
      <c r="K91" s="18">
        <f t="shared" si="64"/>
        <v>0</v>
      </c>
      <c r="L91" s="28" t="s">
        <v>3635</v>
      </c>
      <c r="Z91" s="34">
        <f t="shared" si="65"/>
        <v>0</v>
      </c>
      <c r="AB91" s="34">
        <f t="shared" si="66"/>
        <v>0</v>
      </c>
      <c r="AC91" s="34">
        <f t="shared" si="67"/>
        <v>0</v>
      </c>
      <c r="AD91" s="34">
        <f t="shared" si="68"/>
        <v>0</v>
      </c>
      <c r="AE91" s="34">
        <f t="shared" si="69"/>
        <v>0</v>
      </c>
      <c r="AF91" s="34">
        <f t="shared" si="70"/>
        <v>0</v>
      </c>
      <c r="AG91" s="34">
        <f t="shared" si="71"/>
        <v>0</v>
      </c>
      <c r="AH91" s="34">
        <f t="shared" si="72"/>
        <v>0</v>
      </c>
      <c r="AI91" s="27" t="s">
        <v>3645</v>
      </c>
      <c r="AJ91" s="18">
        <f t="shared" si="73"/>
        <v>0</v>
      </c>
      <c r="AK91" s="18">
        <f t="shared" si="74"/>
        <v>0</v>
      </c>
      <c r="AL91" s="18">
        <f t="shared" si="75"/>
        <v>0</v>
      </c>
      <c r="AN91" s="34">
        <v>21</v>
      </c>
      <c r="AO91" s="34">
        <f>J91*0.741841794569067</f>
        <v>0</v>
      </c>
      <c r="AP91" s="34">
        <f>J91*(1-0.741841794569067)</f>
        <v>0</v>
      </c>
      <c r="AQ91" s="28" t="s">
        <v>7</v>
      </c>
      <c r="AV91" s="34">
        <f t="shared" si="76"/>
        <v>0</v>
      </c>
      <c r="AW91" s="34">
        <f t="shared" si="77"/>
        <v>0</v>
      </c>
      <c r="AX91" s="34">
        <f t="shared" si="78"/>
        <v>0</v>
      </c>
      <c r="AY91" s="35" t="s">
        <v>3661</v>
      </c>
      <c r="AZ91" s="35" t="s">
        <v>3709</v>
      </c>
      <c r="BA91" s="27" t="s">
        <v>3729</v>
      </c>
      <c r="BC91" s="34">
        <f t="shared" si="79"/>
        <v>0</v>
      </c>
      <c r="BD91" s="34">
        <f t="shared" si="80"/>
        <v>0</v>
      </c>
      <c r="BE91" s="34">
        <v>0</v>
      </c>
      <c r="BF91" s="34">
        <f>91</f>
        <v>91</v>
      </c>
      <c r="BH91" s="18">
        <f t="shared" si="81"/>
        <v>0</v>
      </c>
      <c r="BI91" s="18">
        <f t="shared" si="82"/>
        <v>0</v>
      </c>
      <c r="BJ91" s="18">
        <f t="shared" si="83"/>
        <v>0</v>
      </c>
    </row>
    <row r="92" spans="1:62" x14ac:dyDescent="0.2">
      <c r="A92" s="5" t="s">
        <v>76</v>
      </c>
      <c r="B92" s="5" t="s">
        <v>1283</v>
      </c>
      <c r="C92" s="135" t="s">
        <v>2484</v>
      </c>
      <c r="D92" s="136"/>
      <c r="E92" s="136"/>
      <c r="F92" s="136"/>
      <c r="G92" s="136"/>
      <c r="H92" s="5" t="s">
        <v>3612</v>
      </c>
      <c r="I92" s="18">
        <v>8</v>
      </c>
      <c r="J92" s="18">
        <v>0</v>
      </c>
      <c r="K92" s="18">
        <f t="shared" si="64"/>
        <v>0</v>
      </c>
      <c r="L92" s="28" t="s">
        <v>3635</v>
      </c>
      <c r="Z92" s="34">
        <f t="shared" si="65"/>
        <v>0</v>
      </c>
      <c r="AB92" s="34">
        <f t="shared" si="66"/>
        <v>0</v>
      </c>
      <c r="AC92" s="34">
        <f t="shared" si="67"/>
        <v>0</v>
      </c>
      <c r="AD92" s="34">
        <f t="shared" si="68"/>
        <v>0</v>
      </c>
      <c r="AE92" s="34">
        <f t="shared" si="69"/>
        <v>0</v>
      </c>
      <c r="AF92" s="34">
        <f t="shared" si="70"/>
        <v>0</v>
      </c>
      <c r="AG92" s="34">
        <f t="shared" si="71"/>
        <v>0</v>
      </c>
      <c r="AH92" s="34">
        <f t="shared" si="72"/>
        <v>0</v>
      </c>
      <c r="AI92" s="27" t="s">
        <v>3645</v>
      </c>
      <c r="AJ92" s="18">
        <f t="shared" si="73"/>
        <v>0</v>
      </c>
      <c r="AK92" s="18">
        <f t="shared" si="74"/>
        <v>0</v>
      </c>
      <c r="AL92" s="18">
        <f t="shared" si="75"/>
        <v>0</v>
      </c>
      <c r="AN92" s="34">
        <v>21</v>
      </c>
      <c r="AO92" s="34">
        <f>J92*0.812058346839546</f>
        <v>0</v>
      </c>
      <c r="AP92" s="34">
        <f>J92*(1-0.812058346839546)</f>
        <v>0</v>
      </c>
      <c r="AQ92" s="28" t="s">
        <v>7</v>
      </c>
      <c r="AV92" s="34">
        <f t="shared" si="76"/>
        <v>0</v>
      </c>
      <c r="AW92" s="34">
        <f t="shared" si="77"/>
        <v>0</v>
      </c>
      <c r="AX92" s="34">
        <f t="shared" si="78"/>
        <v>0</v>
      </c>
      <c r="AY92" s="35" t="s">
        <v>3661</v>
      </c>
      <c r="AZ92" s="35" t="s">
        <v>3709</v>
      </c>
      <c r="BA92" s="27" t="s">
        <v>3729</v>
      </c>
      <c r="BC92" s="34">
        <f t="shared" si="79"/>
        <v>0</v>
      </c>
      <c r="BD92" s="34">
        <f t="shared" si="80"/>
        <v>0</v>
      </c>
      <c r="BE92" s="34">
        <v>0</v>
      </c>
      <c r="BF92" s="34">
        <f>92</f>
        <v>92</v>
      </c>
      <c r="BH92" s="18">
        <f t="shared" si="81"/>
        <v>0</v>
      </c>
      <c r="BI92" s="18">
        <f t="shared" si="82"/>
        <v>0</v>
      </c>
      <c r="BJ92" s="18">
        <f t="shared" si="83"/>
        <v>0</v>
      </c>
    </row>
    <row r="93" spans="1:62" x14ac:dyDescent="0.2">
      <c r="A93" s="5" t="s">
        <v>77</v>
      </c>
      <c r="B93" s="5" t="s">
        <v>1283</v>
      </c>
      <c r="C93" s="135" t="s">
        <v>2485</v>
      </c>
      <c r="D93" s="136"/>
      <c r="E93" s="136"/>
      <c r="F93" s="136"/>
      <c r="G93" s="136"/>
      <c r="H93" s="5" t="s">
        <v>3612</v>
      </c>
      <c r="I93" s="18">
        <v>6</v>
      </c>
      <c r="J93" s="18">
        <v>0</v>
      </c>
      <c r="K93" s="18">
        <f t="shared" si="64"/>
        <v>0</v>
      </c>
      <c r="L93" s="28" t="s">
        <v>3635</v>
      </c>
      <c r="Z93" s="34">
        <f t="shared" si="65"/>
        <v>0</v>
      </c>
      <c r="AB93" s="34">
        <f t="shared" si="66"/>
        <v>0</v>
      </c>
      <c r="AC93" s="34">
        <f t="shared" si="67"/>
        <v>0</v>
      </c>
      <c r="AD93" s="34">
        <f t="shared" si="68"/>
        <v>0</v>
      </c>
      <c r="AE93" s="34">
        <f t="shared" si="69"/>
        <v>0</v>
      </c>
      <c r="AF93" s="34">
        <f t="shared" si="70"/>
        <v>0</v>
      </c>
      <c r="AG93" s="34">
        <f t="shared" si="71"/>
        <v>0</v>
      </c>
      <c r="AH93" s="34">
        <f t="shared" si="72"/>
        <v>0</v>
      </c>
      <c r="AI93" s="27" t="s">
        <v>3645</v>
      </c>
      <c r="AJ93" s="18">
        <f t="shared" si="73"/>
        <v>0</v>
      </c>
      <c r="AK93" s="18">
        <f t="shared" si="74"/>
        <v>0</v>
      </c>
      <c r="AL93" s="18">
        <f t="shared" si="75"/>
        <v>0</v>
      </c>
      <c r="AN93" s="34">
        <v>21</v>
      </c>
      <c r="AO93" s="34">
        <f>J93*0.812058346839546</f>
        <v>0</v>
      </c>
      <c r="AP93" s="34">
        <f>J93*(1-0.812058346839546)</f>
        <v>0</v>
      </c>
      <c r="AQ93" s="28" t="s">
        <v>7</v>
      </c>
      <c r="AV93" s="34">
        <f t="shared" si="76"/>
        <v>0</v>
      </c>
      <c r="AW93" s="34">
        <f t="shared" si="77"/>
        <v>0</v>
      </c>
      <c r="AX93" s="34">
        <f t="shared" si="78"/>
        <v>0</v>
      </c>
      <c r="AY93" s="35" t="s">
        <v>3661</v>
      </c>
      <c r="AZ93" s="35" t="s">
        <v>3709</v>
      </c>
      <c r="BA93" s="27" t="s">
        <v>3729</v>
      </c>
      <c r="BC93" s="34">
        <f t="shared" si="79"/>
        <v>0</v>
      </c>
      <c r="BD93" s="34">
        <f t="shared" si="80"/>
        <v>0</v>
      </c>
      <c r="BE93" s="34">
        <v>0</v>
      </c>
      <c r="BF93" s="34">
        <f>93</f>
        <v>93</v>
      </c>
      <c r="BH93" s="18">
        <f t="shared" si="81"/>
        <v>0</v>
      </c>
      <c r="BI93" s="18">
        <f t="shared" si="82"/>
        <v>0</v>
      </c>
      <c r="BJ93" s="18">
        <f t="shared" si="83"/>
        <v>0</v>
      </c>
    </row>
    <row r="94" spans="1:62" x14ac:dyDescent="0.2">
      <c r="A94" s="5" t="s">
        <v>78</v>
      </c>
      <c r="B94" s="5" t="s">
        <v>1284</v>
      </c>
      <c r="C94" s="135" t="s">
        <v>2486</v>
      </c>
      <c r="D94" s="136"/>
      <c r="E94" s="136"/>
      <c r="F94" s="136"/>
      <c r="G94" s="136"/>
      <c r="H94" s="5" t="s">
        <v>3612</v>
      </c>
      <c r="I94" s="18">
        <v>12</v>
      </c>
      <c r="J94" s="18">
        <v>0</v>
      </c>
      <c r="K94" s="18">
        <f t="shared" si="64"/>
        <v>0</v>
      </c>
      <c r="L94" s="28" t="s">
        <v>3635</v>
      </c>
      <c r="Z94" s="34">
        <f t="shared" si="65"/>
        <v>0</v>
      </c>
      <c r="AB94" s="34">
        <f t="shared" si="66"/>
        <v>0</v>
      </c>
      <c r="AC94" s="34">
        <f t="shared" si="67"/>
        <v>0</v>
      </c>
      <c r="AD94" s="34">
        <f t="shared" si="68"/>
        <v>0</v>
      </c>
      <c r="AE94" s="34">
        <f t="shared" si="69"/>
        <v>0</v>
      </c>
      <c r="AF94" s="34">
        <f t="shared" si="70"/>
        <v>0</v>
      </c>
      <c r="AG94" s="34">
        <f t="shared" si="71"/>
        <v>0</v>
      </c>
      <c r="AH94" s="34">
        <f t="shared" si="72"/>
        <v>0</v>
      </c>
      <c r="AI94" s="27" t="s">
        <v>3645</v>
      </c>
      <c r="AJ94" s="18">
        <f t="shared" si="73"/>
        <v>0</v>
      </c>
      <c r="AK94" s="18">
        <f t="shared" si="74"/>
        <v>0</v>
      </c>
      <c r="AL94" s="18">
        <f t="shared" si="75"/>
        <v>0</v>
      </c>
      <c r="AN94" s="34">
        <v>21</v>
      </c>
      <c r="AO94" s="34">
        <f>J94*0.842220135186973</f>
        <v>0</v>
      </c>
      <c r="AP94" s="34">
        <f>J94*(1-0.842220135186973)</f>
        <v>0</v>
      </c>
      <c r="AQ94" s="28" t="s">
        <v>7</v>
      </c>
      <c r="AV94" s="34">
        <f t="shared" si="76"/>
        <v>0</v>
      </c>
      <c r="AW94" s="34">
        <f t="shared" si="77"/>
        <v>0</v>
      </c>
      <c r="AX94" s="34">
        <f t="shared" si="78"/>
        <v>0</v>
      </c>
      <c r="AY94" s="35" t="s">
        <v>3661</v>
      </c>
      <c r="AZ94" s="35" t="s">
        <v>3709</v>
      </c>
      <c r="BA94" s="27" t="s">
        <v>3729</v>
      </c>
      <c r="BC94" s="34">
        <f t="shared" si="79"/>
        <v>0</v>
      </c>
      <c r="BD94" s="34">
        <f t="shared" si="80"/>
        <v>0</v>
      </c>
      <c r="BE94" s="34">
        <v>0</v>
      </c>
      <c r="BF94" s="34">
        <f>94</f>
        <v>94</v>
      </c>
      <c r="BH94" s="18">
        <f t="shared" si="81"/>
        <v>0</v>
      </c>
      <c r="BI94" s="18">
        <f t="shared" si="82"/>
        <v>0</v>
      </c>
      <c r="BJ94" s="18">
        <f t="shared" si="83"/>
        <v>0</v>
      </c>
    </row>
    <row r="95" spans="1:62" x14ac:dyDescent="0.2">
      <c r="A95" s="5" t="s">
        <v>79</v>
      </c>
      <c r="B95" s="5" t="s">
        <v>1284</v>
      </c>
      <c r="C95" s="135" t="s">
        <v>2487</v>
      </c>
      <c r="D95" s="136"/>
      <c r="E95" s="136"/>
      <c r="F95" s="136"/>
      <c r="G95" s="136"/>
      <c r="H95" s="5" t="s">
        <v>3612</v>
      </c>
      <c r="I95" s="18">
        <v>9</v>
      </c>
      <c r="J95" s="18">
        <v>0</v>
      </c>
      <c r="K95" s="18">
        <f t="shared" si="64"/>
        <v>0</v>
      </c>
      <c r="L95" s="28" t="s">
        <v>3635</v>
      </c>
      <c r="Z95" s="34">
        <f t="shared" si="65"/>
        <v>0</v>
      </c>
      <c r="AB95" s="34">
        <f t="shared" si="66"/>
        <v>0</v>
      </c>
      <c r="AC95" s="34">
        <f t="shared" si="67"/>
        <v>0</v>
      </c>
      <c r="AD95" s="34">
        <f t="shared" si="68"/>
        <v>0</v>
      </c>
      <c r="AE95" s="34">
        <f t="shared" si="69"/>
        <v>0</v>
      </c>
      <c r="AF95" s="34">
        <f t="shared" si="70"/>
        <v>0</v>
      </c>
      <c r="AG95" s="34">
        <f t="shared" si="71"/>
        <v>0</v>
      </c>
      <c r="AH95" s="34">
        <f t="shared" si="72"/>
        <v>0</v>
      </c>
      <c r="AI95" s="27" t="s">
        <v>3645</v>
      </c>
      <c r="AJ95" s="18">
        <f t="shared" si="73"/>
        <v>0</v>
      </c>
      <c r="AK95" s="18">
        <f t="shared" si="74"/>
        <v>0</v>
      </c>
      <c r="AL95" s="18">
        <f t="shared" si="75"/>
        <v>0</v>
      </c>
      <c r="AN95" s="34">
        <v>21</v>
      </c>
      <c r="AO95" s="34">
        <f>J95*0.842220135186973</f>
        <v>0</v>
      </c>
      <c r="AP95" s="34">
        <f>J95*(1-0.842220135186973)</f>
        <v>0</v>
      </c>
      <c r="AQ95" s="28" t="s">
        <v>7</v>
      </c>
      <c r="AV95" s="34">
        <f t="shared" si="76"/>
        <v>0</v>
      </c>
      <c r="AW95" s="34">
        <f t="shared" si="77"/>
        <v>0</v>
      </c>
      <c r="AX95" s="34">
        <f t="shared" si="78"/>
        <v>0</v>
      </c>
      <c r="AY95" s="35" t="s">
        <v>3661</v>
      </c>
      <c r="AZ95" s="35" t="s">
        <v>3709</v>
      </c>
      <c r="BA95" s="27" t="s">
        <v>3729</v>
      </c>
      <c r="BC95" s="34">
        <f t="shared" si="79"/>
        <v>0</v>
      </c>
      <c r="BD95" s="34">
        <f t="shared" si="80"/>
        <v>0</v>
      </c>
      <c r="BE95" s="34">
        <v>0</v>
      </c>
      <c r="BF95" s="34">
        <f>95</f>
        <v>95</v>
      </c>
      <c r="BH95" s="18">
        <f t="shared" si="81"/>
        <v>0</v>
      </c>
      <c r="BI95" s="18">
        <f t="shared" si="82"/>
        <v>0</v>
      </c>
      <c r="BJ95" s="18">
        <f t="shared" si="83"/>
        <v>0</v>
      </c>
    </row>
    <row r="96" spans="1:62" x14ac:dyDescent="0.2">
      <c r="A96" s="5" t="s">
        <v>80</v>
      </c>
      <c r="B96" s="5" t="s">
        <v>1285</v>
      </c>
      <c r="C96" s="135" t="s">
        <v>2488</v>
      </c>
      <c r="D96" s="136"/>
      <c r="E96" s="136"/>
      <c r="F96" s="136"/>
      <c r="G96" s="136"/>
      <c r="H96" s="5" t="s">
        <v>3613</v>
      </c>
      <c r="I96" s="18">
        <v>0.91559999999999997</v>
      </c>
      <c r="J96" s="18">
        <v>0</v>
      </c>
      <c r="K96" s="18">
        <f t="shared" si="64"/>
        <v>0</v>
      </c>
      <c r="L96" s="28" t="s">
        <v>3635</v>
      </c>
      <c r="Z96" s="34">
        <f t="shared" si="65"/>
        <v>0</v>
      </c>
      <c r="AB96" s="34">
        <f t="shared" si="66"/>
        <v>0</v>
      </c>
      <c r="AC96" s="34">
        <f t="shared" si="67"/>
        <v>0</v>
      </c>
      <c r="AD96" s="34">
        <f t="shared" si="68"/>
        <v>0</v>
      </c>
      <c r="AE96" s="34">
        <f t="shared" si="69"/>
        <v>0</v>
      </c>
      <c r="AF96" s="34">
        <f t="shared" si="70"/>
        <v>0</v>
      </c>
      <c r="AG96" s="34">
        <f t="shared" si="71"/>
        <v>0</v>
      </c>
      <c r="AH96" s="34">
        <f t="shared" si="72"/>
        <v>0</v>
      </c>
      <c r="AI96" s="27" t="s">
        <v>3645</v>
      </c>
      <c r="AJ96" s="18">
        <f t="shared" si="73"/>
        <v>0</v>
      </c>
      <c r="AK96" s="18">
        <f t="shared" si="74"/>
        <v>0</v>
      </c>
      <c r="AL96" s="18">
        <f t="shared" si="75"/>
        <v>0</v>
      </c>
      <c r="AN96" s="34">
        <v>21</v>
      </c>
      <c r="AO96" s="34">
        <f>J96*0.538290714242341</f>
        <v>0</v>
      </c>
      <c r="AP96" s="34">
        <f>J96*(1-0.538290714242341)</f>
        <v>0</v>
      </c>
      <c r="AQ96" s="28" t="s">
        <v>7</v>
      </c>
      <c r="AV96" s="34">
        <f t="shared" si="76"/>
        <v>0</v>
      </c>
      <c r="AW96" s="34">
        <f t="shared" si="77"/>
        <v>0</v>
      </c>
      <c r="AX96" s="34">
        <f t="shared" si="78"/>
        <v>0</v>
      </c>
      <c r="AY96" s="35" t="s">
        <v>3661</v>
      </c>
      <c r="AZ96" s="35" t="s">
        <v>3709</v>
      </c>
      <c r="BA96" s="27" t="s">
        <v>3729</v>
      </c>
      <c r="BC96" s="34">
        <f t="shared" si="79"/>
        <v>0</v>
      </c>
      <c r="BD96" s="34">
        <f t="shared" si="80"/>
        <v>0</v>
      </c>
      <c r="BE96" s="34">
        <v>0</v>
      </c>
      <c r="BF96" s="34">
        <f>96</f>
        <v>96</v>
      </c>
      <c r="BH96" s="18">
        <f t="shared" si="81"/>
        <v>0</v>
      </c>
      <c r="BI96" s="18">
        <f t="shared" si="82"/>
        <v>0</v>
      </c>
      <c r="BJ96" s="18">
        <f t="shared" si="83"/>
        <v>0</v>
      </c>
    </row>
    <row r="97" spans="1:62" x14ac:dyDescent="0.2">
      <c r="A97" s="5" t="s">
        <v>81</v>
      </c>
      <c r="B97" s="5" t="s">
        <v>1286</v>
      </c>
      <c r="C97" s="135" t="s">
        <v>2489</v>
      </c>
      <c r="D97" s="136"/>
      <c r="E97" s="136"/>
      <c r="F97" s="136"/>
      <c r="G97" s="136"/>
      <c r="H97" s="5" t="s">
        <v>3614</v>
      </c>
      <c r="I97" s="18">
        <v>45</v>
      </c>
      <c r="J97" s="18">
        <v>0</v>
      </c>
      <c r="K97" s="18">
        <f t="shared" si="64"/>
        <v>0</v>
      </c>
      <c r="L97" s="28" t="s">
        <v>3635</v>
      </c>
      <c r="Z97" s="34">
        <f t="shared" si="65"/>
        <v>0</v>
      </c>
      <c r="AB97" s="34">
        <f t="shared" si="66"/>
        <v>0</v>
      </c>
      <c r="AC97" s="34">
        <f t="shared" si="67"/>
        <v>0</v>
      </c>
      <c r="AD97" s="34">
        <f t="shared" si="68"/>
        <v>0</v>
      </c>
      <c r="AE97" s="34">
        <f t="shared" si="69"/>
        <v>0</v>
      </c>
      <c r="AF97" s="34">
        <f t="shared" si="70"/>
        <v>0</v>
      </c>
      <c r="AG97" s="34">
        <f t="shared" si="71"/>
        <v>0</v>
      </c>
      <c r="AH97" s="34">
        <f t="shared" si="72"/>
        <v>0</v>
      </c>
      <c r="AI97" s="27" t="s">
        <v>3645</v>
      </c>
      <c r="AJ97" s="18">
        <f t="shared" si="73"/>
        <v>0</v>
      </c>
      <c r="AK97" s="18">
        <f t="shared" si="74"/>
        <v>0</v>
      </c>
      <c r="AL97" s="18">
        <f t="shared" si="75"/>
        <v>0</v>
      </c>
      <c r="AN97" s="34">
        <v>21</v>
      </c>
      <c r="AO97" s="34">
        <f>J97*0.416516484681438</f>
        <v>0</v>
      </c>
      <c r="AP97" s="34">
        <f>J97*(1-0.416516484681438)</f>
        <v>0</v>
      </c>
      <c r="AQ97" s="28" t="s">
        <v>7</v>
      </c>
      <c r="AV97" s="34">
        <f t="shared" si="76"/>
        <v>0</v>
      </c>
      <c r="AW97" s="34">
        <f t="shared" si="77"/>
        <v>0</v>
      </c>
      <c r="AX97" s="34">
        <f t="shared" si="78"/>
        <v>0</v>
      </c>
      <c r="AY97" s="35" t="s">
        <v>3661</v>
      </c>
      <c r="AZ97" s="35" t="s">
        <v>3709</v>
      </c>
      <c r="BA97" s="27" t="s">
        <v>3729</v>
      </c>
      <c r="BC97" s="34">
        <f t="shared" si="79"/>
        <v>0</v>
      </c>
      <c r="BD97" s="34">
        <f t="shared" si="80"/>
        <v>0</v>
      </c>
      <c r="BE97" s="34">
        <v>0</v>
      </c>
      <c r="BF97" s="34">
        <f>97</f>
        <v>97</v>
      </c>
      <c r="BH97" s="18">
        <f t="shared" si="81"/>
        <v>0</v>
      </c>
      <c r="BI97" s="18">
        <f t="shared" si="82"/>
        <v>0</v>
      </c>
      <c r="BJ97" s="18">
        <f t="shared" si="83"/>
        <v>0</v>
      </c>
    </row>
    <row r="98" spans="1:62" x14ac:dyDescent="0.2">
      <c r="A98" s="5" t="s">
        <v>82</v>
      </c>
      <c r="B98" s="5" t="s">
        <v>1287</v>
      </c>
      <c r="C98" s="135" t="s">
        <v>2490</v>
      </c>
      <c r="D98" s="136"/>
      <c r="E98" s="136"/>
      <c r="F98" s="136"/>
      <c r="G98" s="136"/>
      <c r="H98" s="5" t="s">
        <v>3613</v>
      </c>
      <c r="I98" s="18">
        <v>14.204050000000001</v>
      </c>
      <c r="J98" s="18">
        <v>0</v>
      </c>
      <c r="K98" s="18">
        <f t="shared" si="64"/>
        <v>0</v>
      </c>
      <c r="L98" s="28" t="s">
        <v>3635</v>
      </c>
      <c r="Z98" s="34">
        <f t="shared" si="65"/>
        <v>0</v>
      </c>
      <c r="AB98" s="34">
        <f t="shared" si="66"/>
        <v>0</v>
      </c>
      <c r="AC98" s="34">
        <f t="shared" si="67"/>
        <v>0</v>
      </c>
      <c r="AD98" s="34">
        <f t="shared" si="68"/>
        <v>0</v>
      </c>
      <c r="AE98" s="34">
        <f t="shared" si="69"/>
        <v>0</v>
      </c>
      <c r="AF98" s="34">
        <f t="shared" si="70"/>
        <v>0</v>
      </c>
      <c r="AG98" s="34">
        <f t="shared" si="71"/>
        <v>0</v>
      </c>
      <c r="AH98" s="34">
        <f t="shared" si="72"/>
        <v>0</v>
      </c>
      <c r="AI98" s="27" t="s">
        <v>3645</v>
      </c>
      <c r="AJ98" s="18">
        <f t="shared" si="73"/>
        <v>0</v>
      </c>
      <c r="AK98" s="18">
        <f t="shared" si="74"/>
        <v>0</v>
      </c>
      <c r="AL98" s="18">
        <f t="shared" si="75"/>
        <v>0</v>
      </c>
      <c r="AN98" s="34">
        <v>21</v>
      </c>
      <c r="AO98" s="34">
        <f>J98*0.711955470358125</f>
        <v>0</v>
      </c>
      <c r="AP98" s="34">
        <f>J98*(1-0.711955470358125)</f>
        <v>0</v>
      </c>
      <c r="AQ98" s="28" t="s">
        <v>7</v>
      </c>
      <c r="AV98" s="34">
        <f t="shared" si="76"/>
        <v>0</v>
      </c>
      <c r="AW98" s="34">
        <f t="shared" si="77"/>
        <v>0</v>
      </c>
      <c r="AX98" s="34">
        <f t="shared" si="78"/>
        <v>0</v>
      </c>
      <c r="AY98" s="35" t="s">
        <v>3661</v>
      </c>
      <c r="AZ98" s="35" t="s">
        <v>3709</v>
      </c>
      <c r="BA98" s="27" t="s">
        <v>3729</v>
      </c>
      <c r="BC98" s="34">
        <f t="shared" si="79"/>
        <v>0</v>
      </c>
      <c r="BD98" s="34">
        <f t="shared" si="80"/>
        <v>0</v>
      </c>
      <c r="BE98" s="34">
        <v>0</v>
      </c>
      <c r="BF98" s="34">
        <f>98</f>
        <v>98</v>
      </c>
      <c r="BH98" s="18">
        <f t="shared" si="81"/>
        <v>0</v>
      </c>
      <c r="BI98" s="18">
        <f t="shared" si="82"/>
        <v>0</v>
      </c>
      <c r="BJ98" s="18">
        <f t="shared" si="83"/>
        <v>0</v>
      </c>
    </row>
    <row r="99" spans="1:62" x14ac:dyDescent="0.2">
      <c r="A99" s="5" t="s">
        <v>83</v>
      </c>
      <c r="B99" s="5" t="s">
        <v>1288</v>
      </c>
      <c r="C99" s="135" t="s">
        <v>2491</v>
      </c>
      <c r="D99" s="136"/>
      <c r="E99" s="136"/>
      <c r="F99" s="136"/>
      <c r="G99" s="136"/>
      <c r="H99" s="5" t="s">
        <v>3615</v>
      </c>
      <c r="I99" s="18">
        <v>141.04400000000001</v>
      </c>
      <c r="J99" s="18">
        <v>0</v>
      </c>
      <c r="K99" s="18">
        <f t="shared" si="64"/>
        <v>0</v>
      </c>
      <c r="L99" s="28" t="s">
        <v>3635</v>
      </c>
      <c r="Z99" s="34">
        <f t="shared" si="65"/>
        <v>0</v>
      </c>
      <c r="AB99" s="34">
        <f t="shared" si="66"/>
        <v>0</v>
      </c>
      <c r="AC99" s="34">
        <f t="shared" si="67"/>
        <v>0</v>
      </c>
      <c r="AD99" s="34">
        <f t="shared" si="68"/>
        <v>0</v>
      </c>
      <c r="AE99" s="34">
        <f t="shared" si="69"/>
        <v>0</v>
      </c>
      <c r="AF99" s="34">
        <f t="shared" si="70"/>
        <v>0</v>
      </c>
      <c r="AG99" s="34">
        <f t="shared" si="71"/>
        <v>0</v>
      </c>
      <c r="AH99" s="34">
        <f t="shared" si="72"/>
        <v>0</v>
      </c>
      <c r="AI99" s="27" t="s">
        <v>3645</v>
      </c>
      <c r="AJ99" s="18">
        <f t="shared" si="73"/>
        <v>0</v>
      </c>
      <c r="AK99" s="18">
        <f t="shared" si="74"/>
        <v>0</v>
      </c>
      <c r="AL99" s="18">
        <f t="shared" si="75"/>
        <v>0</v>
      </c>
      <c r="AN99" s="34">
        <v>21</v>
      </c>
      <c r="AO99" s="34">
        <f>J99*0.190741309242682</f>
        <v>0</v>
      </c>
      <c r="AP99" s="34">
        <f>J99*(1-0.190741309242682)</f>
        <v>0</v>
      </c>
      <c r="AQ99" s="28" t="s">
        <v>7</v>
      </c>
      <c r="AV99" s="34">
        <f t="shared" si="76"/>
        <v>0</v>
      </c>
      <c r="AW99" s="34">
        <f t="shared" si="77"/>
        <v>0</v>
      </c>
      <c r="AX99" s="34">
        <f t="shared" si="78"/>
        <v>0</v>
      </c>
      <c r="AY99" s="35" t="s">
        <v>3661</v>
      </c>
      <c r="AZ99" s="35" t="s">
        <v>3709</v>
      </c>
      <c r="BA99" s="27" t="s">
        <v>3729</v>
      </c>
      <c r="BC99" s="34">
        <f t="shared" si="79"/>
        <v>0</v>
      </c>
      <c r="BD99" s="34">
        <f t="shared" si="80"/>
        <v>0</v>
      </c>
      <c r="BE99" s="34">
        <v>0</v>
      </c>
      <c r="BF99" s="34">
        <f>99</f>
        <v>99</v>
      </c>
      <c r="BH99" s="18">
        <f t="shared" si="81"/>
        <v>0</v>
      </c>
      <c r="BI99" s="18">
        <f t="shared" si="82"/>
        <v>0</v>
      </c>
      <c r="BJ99" s="18">
        <f t="shared" si="83"/>
        <v>0</v>
      </c>
    </row>
    <row r="100" spans="1:62" x14ac:dyDescent="0.2">
      <c r="A100" s="5" t="s">
        <v>84</v>
      </c>
      <c r="B100" s="5" t="s">
        <v>1289</v>
      </c>
      <c r="C100" s="135" t="s">
        <v>2492</v>
      </c>
      <c r="D100" s="136"/>
      <c r="E100" s="136"/>
      <c r="F100" s="136"/>
      <c r="G100" s="136"/>
      <c r="H100" s="5" t="s">
        <v>3615</v>
      </c>
      <c r="I100" s="18">
        <v>141.04400000000001</v>
      </c>
      <c r="J100" s="18">
        <v>0</v>
      </c>
      <c r="K100" s="18">
        <f t="shared" si="64"/>
        <v>0</v>
      </c>
      <c r="L100" s="28" t="s">
        <v>3635</v>
      </c>
      <c r="Z100" s="34">
        <f t="shared" si="65"/>
        <v>0</v>
      </c>
      <c r="AB100" s="34">
        <f t="shared" si="66"/>
        <v>0</v>
      </c>
      <c r="AC100" s="34">
        <f t="shared" si="67"/>
        <v>0</v>
      </c>
      <c r="AD100" s="34">
        <f t="shared" si="68"/>
        <v>0</v>
      </c>
      <c r="AE100" s="34">
        <f t="shared" si="69"/>
        <v>0</v>
      </c>
      <c r="AF100" s="34">
        <f t="shared" si="70"/>
        <v>0</v>
      </c>
      <c r="AG100" s="34">
        <f t="shared" si="71"/>
        <v>0</v>
      </c>
      <c r="AH100" s="34">
        <f t="shared" si="72"/>
        <v>0</v>
      </c>
      <c r="AI100" s="27" t="s">
        <v>3645</v>
      </c>
      <c r="AJ100" s="18">
        <f t="shared" si="73"/>
        <v>0</v>
      </c>
      <c r="AK100" s="18">
        <f t="shared" si="74"/>
        <v>0</v>
      </c>
      <c r="AL100" s="18">
        <f t="shared" si="75"/>
        <v>0</v>
      </c>
      <c r="AN100" s="34">
        <v>21</v>
      </c>
      <c r="AO100" s="34">
        <f>J100*0</f>
        <v>0</v>
      </c>
      <c r="AP100" s="34">
        <f>J100*(1-0)</f>
        <v>0</v>
      </c>
      <c r="AQ100" s="28" t="s">
        <v>7</v>
      </c>
      <c r="AV100" s="34">
        <f t="shared" si="76"/>
        <v>0</v>
      </c>
      <c r="AW100" s="34">
        <f t="shared" si="77"/>
        <v>0</v>
      </c>
      <c r="AX100" s="34">
        <f t="shared" si="78"/>
        <v>0</v>
      </c>
      <c r="AY100" s="35" t="s">
        <v>3661</v>
      </c>
      <c r="AZ100" s="35" t="s">
        <v>3709</v>
      </c>
      <c r="BA100" s="27" t="s">
        <v>3729</v>
      </c>
      <c r="BC100" s="34">
        <f t="shared" si="79"/>
        <v>0</v>
      </c>
      <c r="BD100" s="34">
        <f t="shared" si="80"/>
        <v>0</v>
      </c>
      <c r="BE100" s="34">
        <v>0</v>
      </c>
      <c r="BF100" s="34">
        <f>100</f>
        <v>100</v>
      </c>
      <c r="BH100" s="18">
        <f t="shared" si="81"/>
        <v>0</v>
      </c>
      <c r="BI100" s="18">
        <f t="shared" si="82"/>
        <v>0</v>
      </c>
      <c r="BJ100" s="18">
        <f t="shared" si="83"/>
        <v>0</v>
      </c>
    </row>
    <row r="101" spans="1:62" x14ac:dyDescent="0.2">
      <c r="A101" s="5" t="s">
        <v>85</v>
      </c>
      <c r="B101" s="5" t="s">
        <v>1290</v>
      </c>
      <c r="C101" s="135" t="s">
        <v>2493</v>
      </c>
      <c r="D101" s="136"/>
      <c r="E101" s="136"/>
      <c r="F101" s="136"/>
      <c r="G101" s="136"/>
      <c r="H101" s="5" t="s">
        <v>3616</v>
      </c>
      <c r="I101" s="18">
        <v>2.1306099999999999</v>
      </c>
      <c r="J101" s="18">
        <v>0</v>
      </c>
      <c r="K101" s="18">
        <f t="shared" si="64"/>
        <v>0</v>
      </c>
      <c r="L101" s="28" t="s">
        <v>3635</v>
      </c>
      <c r="Z101" s="34">
        <f t="shared" si="65"/>
        <v>0</v>
      </c>
      <c r="AB101" s="34">
        <f t="shared" si="66"/>
        <v>0</v>
      </c>
      <c r="AC101" s="34">
        <f t="shared" si="67"/>
        <v>0</v>
      </c>
      <c r="AD101" s="34">
        <f t="shared" si="68"/>
        <v>0</v>
      </c>
      <c r="AE101" s="34">
        <f t="shared" si="69"/>
        <v>0</v>
      </c>
      <c r="AF101" s="34">
        <f t="shared" si="70"/>
        <v>0</v>
      </c>
      <c r="AG101" s="34">
        <f t="shared" si="71"/>
        <v>0</v>
      </c>
      <c r="AH101" s="34">
        <f t="shared" si="72"/>
        <v>0</v>
      </c>
      <c r="AI101" s="27" t="s">
        <v>3645</v>
      </c>
      <c r="AJ101" s="18">
        <f t="shared" si="73"/>
        <v>0</v>
      </c>
      <c r="AK101" s="18">
        <f t="shared" si="74"/>
        <v>0</v>
      </c>
      <c r="AL101" s="18">
        <f t="shared" si="75"/>
        <v>0</v>
      </c>
      <c r="AN101" s="34">
        <v>21</v>
      </c>
      <c r="AO101" s="34">
        <f>J101*0.697218323721094</f>
        <v>0</v>
      </c>
      <c r="AP101" s="34">
        <f>J101*(1-0.697218323721094)</f>
        <v>0</v>
      </c>
      <c r="AQ101" s="28" t="s">
        <v>7</v>
      </c>
      <c r="AV101" s="34">
        <f t="shared" si="76"/>
        <v>0</v>
      </c>
      <c r="AW101" s="34">
        <f t="shared" si="77"/>
        <v>0</v>
      </c>
      <c r="AX101" s="34">
        <f t="shared" si="78"/>
        <v>0</v>
      </c>
      <c r="AY101" s="35" t="s">
        <v>3661</v>
      </c>
      <c r="AZ101" s="35" t="s">
        <v>3709</v>
      </c>
      <c r="BA101" s="27" t="s">
        <v>3729</v>
      </c>
      <c r="BC101" s="34">
        <f t="shared" si="79"/>
        <v>0</v>
      </c>
      <c r="BD101" s="34">
        <f t="shared" si="80"/>
        <v>0</v>
      </c>
      <c r="BE101" s="34">
        <v>0</v>
      </c>
      <c r="BF101" s="34">
        <f>101</f>
        <v>101</v>
      </c>
      <c r="BH101" s="18">
        <f t="shared" si="81"/>
        <v>0</v>
      </c>
      <c r="BI101" s="18">
        <f t="shared" si="82"/>
        <v>0</v>
      </c>
      <c r="BJ101" s="18">
        <f t="shared" si="83"/>
        <v>0</v>
      </c>
    </row>
    <row r="102" spans="1:62" x14ac:dyDescent="0.2">
      <c r="A102" s="5" t="s">
        <v>86</v>
      </c>
      <c r="B102" s="5" t="s">
        <v>1291</v>
      </c>
      <c r="C102" s="135" t="s">
        <v>2494</v>
      </c>
      <c r="D102" s="136"/>
      <c r="E102" s="136"/>
      <c r="F102" s="136"/>
      <c r="G102" s="136"/>
      <c r="H102" s="5" t="s">
        <v>3616</v>
      </c>
      <c r="I102" s="18">
        <v>0.98250000000000004</v>
      </c>
      <c r="J102" s="18">
        <v>0</v>
      </c>
      <c r="K102" s="18">
        <f t="shared" si="64"/>
        <v>0</v>
      </c>
      <c r="L102" s="28" t="s">
        <v>3635</v>
      </c>
      <c r="Z102" s="34">
        <f t="shared" si="65"/>
        <v>0</v>
      </c>
      <c r="AB102" s="34">
        <f t="shared" si="66"/>
        <v>0</v>
      </c>
      <c r="AC102" s="34">
        <f t="shared" si="67"/>
        <v>0</v>
      </c>
      <c r="AD102" s="34">
        <f t="shared" si="68"/>
        <v>0</v>
      </c>
      <c r="AE102" s="34">
        <f t="shared" si="69"/>
        <v>0</v>
      </c>
      <c r="AF102" s="34">
        <f t="shared" si="70"/>
        <v>0</v>
      </c>
      <c r="AG102" s="34">
        <f t="shared" si="71"/>
        <v>0</v>
      </c>
      <c r="AH102" s="34">
        <f t="shared" si="72"/>
        <v>0</v>
      </c>
      <c r="AI102" s="27" t="s">
        <v>3645</v>
      </c>
      <c r="AJ102" s="18">
        <f t="shared" si="73"/>
        <v>0</v>
      </c>
      <c r="AK102" s="18">
        <f t="shared" si="74"/>
        <v>0</v>
      </c>
      <c r="AL102" s="18">
        <f t="shared" si="75"/>
        <v>0</v>
      </c>
      <c r="AN102" s="34">
        <v>21</v>
      </c>
      <c r="AO102" s="34">
        <f>J102*0.690101955104317</f>
        <v>0</v>
      </c>
      <c r="AP102" s="34">
        <f>J102*(1-0.690101955104317)</f>
        <v>0</v>
      </c>
      <c r="AQ102" s="28" t="s">
        <v>7</v>
      </c>
      <c r="AV102" s="34">
        <f t="shared" si="76"/>
        <v>0</v>
      </c>
      <c r="AW102" s="34">
        <f t="shared" si="77"/>
        <v>0</v>
      </c>
      <c r="AX102" s="34">
        <f t="shared" si="78"/>
        <v>0</v>
      </c>
      <c r="AY102" s="35" t="s">
        <v>3661</v>
      </c>
      <c r="AZ102" s="35" t="s">
        <v>3709</v>
      </c>
      <c r="BA102" s="27" t="s">
        <v>3729</v>
      </c>
      <c r="BC102" s="34">
        <f t="shared" si="79"/>
        <v>0</v>
      </c>
      <c r="BD102" s="34">
        <f t="shared" si="80"/>
        <v>0</v>
      </c>
      <c r="BE102" s="34">
        <v>0</v>
      </c>
      <c r="BF102" s="34">
        <f>102</f>
        <v>102</v>
      </c>
      <c r="BH102" s="18">
        <f t="shared" si="81"/>
        <v>0</v>
      </c>
      <c r="BI102" s="18">
        <f t="shared" si="82"/>
        <v>0</v>
      </c>
      <c r="BJ102" s="18">
        <f t="shared" si="83"/>
        <v>0</v>
      </c>
    </row>
    <row r="103" spans="1:62" x14ac:dyDescent="0.2">
      <c r="A103" s="4"/>
      <c r="B103" s="14" t="s">
        <v>40</v>
      </c>
      <c r="C103" s="133" t="s">
        <v>2495</v>
      </c>
      <c r="D103" s="134"/>
      <c r="E103" s="134"/>
      <c r="F103" s="134"/>
      <c r="G103" s="134"/>
      <c r="H103" s="4" t="s">
        <v>6</v>
      </c>
      <c r="I103" s="4" t="s">
        <v>6</v>
      </c>
      <c r="J103" s="4" t="s">
        <v>6</v>
      </c>
      <c r="K103" s="37">
        <f>SUM(K104:K120)</f>
        <v>0</v>
      </c>
      <c r="L103" s="27"/>
      <c r="AI103" s="27" t="s">
        <v>3645</v>
      </c>
      <c r="AS103" s="37">
        <f>SUM(AJ104:AJ120)</f>
        <v>0</v>
      </c>
      <c r="AT103" s="37">
        <f>SUM(AK104:AK120)</f>
        <v>0</v>
      </c>
      <c r="AU103" s="37">
        <f>SUM(AL104:AL120)</f>
        <v>0</v>
      </c>
    </row>
    <row r="104" spans="1:62" x14ac:dyDescent="0.2">
      <c r="A104" s="5" t="s">
        <v>87</v>
      </c>
      <c r="B104" s="5" t="s">
        <v>1292</v>
      </c>
      <c r="C104" s="135" t="s">
        <v>2496</v>
      </c>
      <c r="D104" s="136"/>
      <c r="E104" s="136"/>
      <c r="F104" s="136"/>
      <c r="G104" s="136"/>
      <c r="H104" s="5" t="s">
        <v>3615</v>
      </c>
      <c r="I104" s="18">
        <v>87.011499999999998</v>
      </c>
      <c r="J104" s="18">
        <v>0</v>
      </c>
      <c r="K104" s="18">
        <f t="shared" ref="K104:K120" si="84">I104*J104</f>
        <v>0</v>
      </c>
      <c r="L104" s="28" t="s">
        <v>3635</v>
      </c>
      <c r="Z104" s="34">
        <f t="shared" ref="Z104:Z120" si="85">IF(AQ104="5",BJ104,0)</f>
        <v>0</v>
      </c>
      <c r="AB104" s="34">
        <f t="shared" ref="AB104:AB120" si="86">IF(AQ104="1",BH104,0)</f>
        <v>0</v>
      </c>
      <c r="AC104" s="34">
        <f t="shared" ref="AC104:AC120" si="87">IF(AQ104="1",BI104,0)</f>
        <v>0</v>
      </c>
      <c r="AD104" s="34">
        <f t="shared" ref="AD104:AD120" si="88">IF(AQ104="7",BH104,0)</f>
        <v>0</v>
      </c>
      <c r="AE104" s="34">
        <f t="shared" ref="AE104:AE120" si="89">IF(AQ104="7",BI104,0)</f>
        <v>0</v>
      </c>
      <c r="AF104" s="34">
        <f t="shared" ref="AF104:AF120" si="90">IF(AQ104="2",BH104,0)</f>
        <v>0</v>
      </c>
      <c r="AG104" s="34">
        <f t="shared" ref="AG104:AG120" si="91">IF(AQ104="2",BI104,0)</f>
        <v>0</v>
      </c>
      <c r="AH104" s="34">
        <f t="shared" ref="AH104:AH120" si="92">IF(AQ104="0",BJ104,0)</f>
        <v>0</v>
      </c>
      <c r="AI104" s="27" t="s">
        <v>3645</v>
      </c>
      <c r="AJ104" s="18">
        <f t="shared" ref="AJ104:AJ120" si="93">IF(AN104=0,K104,0)</f>
        <v>0</v>
      </c>
      <c r="AK104" s="18">
        <f t="shared" ref="AK104:AK120" si="94">IF(AN104=15,K104,0)</f>
        <v>0</v>
      </c>
      <c r="AL104" s="18">
        <f t="shared" ref="AL104:AL120" si="95">IF(AN104=21,K104,0)</f>
        <v>0</v>
      </c>
      <c r="AN104" s="34">
        <v>21</v>
      </c>
      <c r="AO104" s="34">
        <f>J104*0.699263435773624</f>
        <v>0</v>
      </c>
      <c r="AP104" s="34">
        <f>J104*(1-0.699263435773624)</f>
        <v>0</v>
      </c>
      <c r="AQ104" s="28" t="s">
        <v>7</v>
      </c>
      <c r="AV104" s="34">
        <f t="shared" ref="AV104:AV120" si="96">AW104+AX104</f>
        <v>0</v>
      </c>
      <c r="AW104" s="34">
        <f t="shared" ref="AW104:AW120" si="97">I104*AO104</f>
        <v>0</v>
      </c>
      <c r="AX104" s="34">
        <f t="shared" ref="AX104:AX120" si="98">I104*AP104</f>
        <v>0</v>
      </c>
      <c r="AY104" s="35" t="s">
        <v>3662</v>
      </c>
      <c r="AZ104" s="35" t="s">
        <v>3709</v>
      </c>
      <c r="BA104" s="27" t="s">
        <v>3729</v>
      </c>
      <c r="BC104" s="34">
        <f t="shared" ref="BC104:BC120" si="99">AW104+AX104</f>
        <v>0</v>
      </c>
      <c r="BD104" s="34">
        <f t="shared" ref="BD104:BD120" si="100">J104/(100-BE104)*100</f>
        <v>0</v>
      </c>
      <c r="BE104" s="34">
        <v>0</v>
      </c>
      <c r="BF104" s="34">
        <f>104</f>
        <v>104</v>
      </c>
      <c r="BH104" s="18">
        <f t="shared" ref="BH104:BH120" si="101">I104*AO104</f>
        <v>0</v>
      </c>
      <c r="BI104" s="18">
        <f t="shared" ref="BI104:BI120" si="102">I104*AP104</f>
        <v>0</v>
      </c>
      <c r="BJ104" s="18">
        <f t="shared" ref="BJ104:BJ120" si="103">I104*J104</f>
        <v>0</v>
      </c>
    </row>
    <row r="105" spans="1:62" x14ac:dyDescent="0.2">
      <c r="A105" s="5" t="s">
        <v>88</v>
      </c>
      <c r="B105" s="5" t="s">
        <v>1293</v>
      </c>
      <c r="C105" s="135" t="s">
        <v>2497</v>
      </c>
      <c r="D105" s="136"/>
      <c r="E105" s="136"/>
      <c r="F105" s="136"/>
      <c r="G105" s="136"/>
      <c r="H105" s="5" t="s">
        <v>3615</v>
      </c>
      <c r="I105" s="18">
        <v>249.86365000000001</v>
      </c>
      <c r="J105" s="18">
        <v>0</v>
      </c>
      <c r="K105" s="18">
        <f t="shared" si="84"/>
        <v>0</v>
      </c>
      <c r="L105" s="28" t="s">
        <v>3635</v>
      </c>
      <c r="Z105" s="34">
        <f t="shared" si="85"/>
        <v>0</v>
      </c>
      <c r="AB105" s="34">
        <f t="shared" si="86"/>
        <v>0</v>
      </c>
      <c r="AC105" s="34">
        <f t="shared" si="87"/>
        <v>0</v>
      </c>
      <c r="AD105" s="34">
        <f t="shared" si="88"/>
        <v>0</v>
      </c>
      <c r="AE105" s="34">
        <f t="shared" si="89"/>
        <v>0</v>
      </c>
      <c r="AF105" s="34">
        <f t="shared" si="90"/>
        <v>0</v>
      </c>
      <c r="AG105" s="34">
        <f t="shared" si="91"/>
        <v>0</v>
      </c>
      <c r="AH105" s="34">
        <f t="shared" si="92"/>
        <v>0</v>
      </c>
      <c r="AI105" s="27" t="s">
        <v>3645</v>
      </c>
      <c r="AJ105" s="18">
        <f t="shared" si="93"/>
        <v>0</v>
      </c>
      <c r="AK105" s="18">
        <f t="shared" si="94"/>
        <v>0</v>
      </c>
      <c r="AL105" s="18">
        <f t="shared" si="95"/>
        <v>0</v>
      </c>
      <c r="AN105" s="34">
        <v>21</v>
      </c>
      <c r="AO105" s="34">
        <f>J105*0.624278184167299</f>
        <v>0</v>
      </c>
      <c r="AP105" s="34">
        <f>J105*(1-0.624278184167299)</f>
        <v>0</v>
      </c>
      <c r="AQ105" s="28" t="s">
        <v>7</v>
      </c>
      <c r="AV105" s="34">
        <f t="shared" si="96"/>
        <v>0</v>
      </c>
      <c r="AW105" s="34">
        <f t="shared" si="97"/>
        <v>0</v>
      </c>
      <c r="AX105" s="34">
        <f t="shared" si="98"/>
        <v>0</v>
      </c>
      <c r="AY105" s="35" t="s">
        <v>3662</v>
      </c>
      <c r="AZ105" s="35" t="s">
        <v>3709</v>
      </c>
      <c r="BA105" s="27" t="s">
        <v>3729</v>
      </c>
      <c r="BC105" s="34">
        <f t="shared" si="99"/>
        <v>0</v>
      </c>
      <c r="BD105" s="34">
        <f t="shared" si="100"/>
        <v>0</v>
      </c>
      <c r="BE105" s="34">
        <v>0</v>
      </c>
      <c r="BF105" s="34">
        <f>105</f>
        <v>105</v>
      </c>
      <c r="BH105" s="18">
        <f t="shared" si="101"/>
        <v>0</v>
      </c>
      <c r="BI105" s="18">
        <f t="shared" si="102"/>
        <v>0</v>
      </c>
      <c r="BJ105" s="18">
        <f t="shared" si="103"/>
        <v>0</v>
      </c>
    </row>
    <row r="106" spans="1:62" x14ac:dyDescent="0.2">
      <c r="A106" s="5" t="s">
        <v>89</v>
      </c>
      <c r="B106" s="5" t="s">
        <v>1294</v>
      </c>
      <c r="C106" s="135" t="s">
        <v>2498</v>
      </c>
      <c r="D106" s="136"/>
      <c r="E106" s="136"/>
      <c r="F106" s="136"/>
      <c r="G106" s="136"/>
      <c r="H106" s="5" t="s">
        <v>3615</v>
      </c>
      <c r="I106" s="18">
        <v>8.1135000000000002</v>
      </c>
      <c r="J106" s="18">
        <v>0</v>
      </c>
      <c r="K106" s="18">
        <f t="shared" si="84"/>
        <v>0</v>
      </c>
      <c r="L106" s="28" t="s">
        <v>3635</v>
      </c>
      <c r="Z106" s="34">
        <f t="shared" si="85"/>
        <v>0</v>
      </c>
      <c r="AB106" s="34">
        <f t="shared" si="86"/>
        <v>0</v>
      </c>
      <c r="AC106" s="34">
        <f t="shared" si="87"/>
        <v>0</v>
      </c>
      <c r="AD106" s="34">
        <f t="shared" si="88"/>
        <v>0</v>
      </c>
      <c r="AE106" s="34">
        <f t="shared" si="89"/>
        <v>0</v>
      </c>
      <c r="AF106" s="34">
        <f t="shared" si="90"/>
        <v>0</v>
      </c>
      <c r="AG106" s="34">
        <f t="shared" si="91"/>
        <v>0</v>
      </c>
      <c r="AH106" s="34">
        <f t="shared" si="92"/>
        <v>0</v>
      </c>
      <c r="AI106" s="27" t="s">
        <v>3645</v>
      </c>
      <c r="AJ106" s="18">
        <f t="shared" si="93"/>
        <v>0</v>
      </c>
      <c r="AK106" s="18">
        <f t="shared" si="94"/>
        <v>0</v>
      </c>
      <c r="AL106" s="18">
        <f t="shared" si="95"/>
        <v>0</v>
      </c>
      <c r="AN106" s="34">
        <v>21</v>
      </c>
      <c r="AO106" s="34">
        <f>J106*0.683563636363636</f>
        <v>0</v>
      </c>
      <c r="AP106" s="34">
        <f>J106*(1-0.683563636363636)</f>
        <v>0</v>
      </c>
      <c r="AQ106" s="28" t="s">
        <v>7</v>
      </c>
      <c r="AV106" s="34">
        <f t="shared" si="96"/>
        <v>0</v>
      </c>
      <c r="AW106" s="34">
        <f t="shared" si="97"/>
        <v>0</v>
      </c>
      <c r="AX106" s="34">
        <f t="shared" si="98"/>
        <v>0</v>
      </c>
      <c r="AY106" s="35" t="s">
        <v>3662</v>
      </c>
      <c r="AZ106" s="35" t="s">
        <v>3709</v>
      </c>
      <c r="BA106" s="27" t="s">
        <v>3729</v>
      </c>
      <c r="BC106" s="34">
        <f t="shared" si="99"/>
        <v>0</v>
      </c>
      <c r="BD106" s="34">
        <f t="shared" si="100"/>
        <v>0</v>
      </c>
      <c r="BE106" s="34">
        <v>0</v>
      </c>
      <c r="BF106" s="34">
        <f>106</f>
        <v>106</v>
      </c>
      <c r="BH106" s="18">
        <f t="shared" si="101"/>
        <v>0</v>
      </c>
      <c r="BI106" s="18">
        <f t="shared" si="102"/>
        <v>0</v>
      </c>
      <c r="BJ106" s="18">
        <f t="shared" si="103"/>
        <v>0</v>
      </c>
    </row>
    <row r="107" spans="1:62" x14ac:dyDescent="0.2">
      <c r="A107" s="5" t="s">
        <v>90</v>
      </c>
      <c r="B107" s="5" t="s">
        <v>1295</v>
      </c>
      <c r="C107" s="135" t="s">
        <v>2499</v>
      </c>
      <c r="D107" s="136"/>
      <c r="E107" s="136"/>
      <c r="F107" s="136"/>
      <c r="G107" s="136"/>
      <c r="H107" s="5" t="s">
        <v>3614</v>
      </c>
      <c r="I107" s="18">
        <v>4.16</v>
      </c>
      <c r="J107" s="18">
        <v>0</v>
      </c>
      <c r="K107" s="18">
        <f t="shared" si="84"/>
        <v>0</v>
      </c>
      <c r="L107" s="28" t="s">
        <v>3635</v>
      </c>
      <c r="Z107" s="34">
        <f t="shared" si="85"/>
        <v>0</v>
      </c>
      <c r="AB107" s="34">
        <f t="shared" si="86"/>
        <v>0</v>
      </c>
      <c r="AC107" s="34">
        <f t="shared" si="87"/>
        <v>0</v>
      </c>
      <c r="AD107" s="34">
        <f t="shared" si="88"/>
        <v>0</v>
      </c>
      <c r="AE107" s="34">
        <f t="shared" si="89"/>
        <v>0</v>
      </c>
      <c r="AF107" s="34">
        <f t="shared" si="90"/>
        <v>0</v>
      </c>
      <c r="AG107" s="34">
        <f t="shared" si="91"/>
        <v>0</v>
      </c>
      <c r="AH107" s="34">
        <f t="shared" si="92"/>
        <v>0</v>
      </c>
      <c r="AI107" s="27" t="s">
        <v>3645</v>
      </c>
      <c r="AJ107" s="18">
        <f t="shared" si="93"/>
        <v>0</v>
      </c>
      <c r="AK107" s="18">
        <f t="shared" si="94"/>
        <v>0</v>
      </c>
      <c r="AL107" s="18">
        <f t="shared" si="95"/>
        <v>0</v>
      </c>
      <c r="AN107" s="34">
        <v>21</v>
      </c>
      <c r="AO107" s="34">
        <f>J107*0.184572916666667</f>
        <v>0</v>
      </c>
      <c r="AP107" s="34">
        <f>J107*(1-0.184572916666667)</f>
        <v>0</v>
      </c>
      <c r="AQ107" s="28" t="s">
        <v>7</v>
      </c>
      <c r="AV107" s="34">
        <f t="shared" si="96"/>
        <v>0</v>
      </c>
      <c r="AW107" s="34">
        <f t="shared" si="97"/>
        <v>0</v>
      </c>
      <c r="AX107" s="34">
        <f t="shared" si="98"/>
        <v>0</v>
      </c>
      <c r="AY107" s="35" t="s">
        <v>3662</v>
      </c>
      <c r="AZ107" s="35" t="s">
        <v>3709</v>
      </c>
      <c r="BA107" s="27" t="s">
        <v>3729</v>
      </c>
      <c r="BC107" s="34">
        <f t="shared" si="99"/>
        <v>0</v>
      </c>
      <c r="BD107" s="34">
        <f t="shared" si="100"/>
        <v>0</v>
      </c>
      <c r="BE107" s="34">
        <v>0</v>
      </c>
      <c r="BF107" s="34">
        <f>107</f>
        <v>107</v>
      </c>
      <c r="BH107" s="18">
        <f t="shared" si="101"/>
        <v>0</v>
      </c>
      <c r="BI107" s="18">
        <f t="shared" si="102"/>
        <v>0</v>
      </c>
      <c r="BJ107" s="18">
        <f t="shared" si="103"/>
        <v>0</v>
      </c>
    </row>
    <row r="108" spans="1:62" x14ac:dyDescent="0.2">
      <c r="A108" s="5" t="s">
        <v>91</v>
      </c>
      <c r="B108" s="5" t="s">
        <v>1295</v>
      </c>
      <c r="C108" s="135" t="s">
        <v>2500</v>
      </c>
      <c r="D108" s="136"/>
      <c r="E108" s="136"/>
      <c r="F108" s="136"/>
      <c r="G108" s="136"/>
      <c r="H108" s="5" t="s">
        <v>3614</v>
      </c>
      <c r="I108" s="18">
        <v>6</v>
      </c>
      <c r="J108" s="18">
        <v>0</v>
      </c>
      <c r="K108" s="18">
        <f t="shared" si="84"/>
        <v>0</v>
      </c>
      <c r="L108" s="28" t="s">
        <v>3635</v>
      </c>
      <c r="Z108" s="34">
        <f t="shared" si="85"/>
        <v>0</v>
      </c>
      <c r="AB108" s="34">
        <f t="shared" si="86"/>
        <v>0</v>
      </c>
      <c r="AC108" s="34">
        <f t="shared" si="87"/>
        <v>0</v>
      </c>
      <c r="AD108" s="34">
        <f t="shared" si="88"/>
        <v>0</v>
      </c>
      <c r="AE108" s="34">
        <f t="shared" si="89"/>
        <v>0</v>
      </c>
      <c r="AF108" s="34">
        <f t="shared" si="90"/>
        <v>0</v>
      </c>
      <c r="AG108" s="34">
        <f t="shared" si="91"/>
        <v>0</v>
      </c>
      <c r="AH108" s="34">
        <f t="shared" si="92"/>
        <v>0</v>
      </c>
      <c r="AI108" s="27" t="s">
        <v>3645</v>
      </c>
      <c r="AJ108" s="18">
        <f t="shared" si="93"/>
        <v>0</v>
      </c>
      <c r="AK108" s="18">
        <f t="shared" si="94"/>
        <v>0</v>
      </c>
      <c r="AL108" s="18">
        <f t="shared" si="95"/>
        <v>0</v>
      </c>
      <c r="AN108" s="34">
        <v>21</v>
      </c>
      <c r="AO108" s="34">
        <f>J108*0.184572916666667</f>
        <v>0</v>
      </c>
      <c r="AP108" s="34">
        <f>J108*(1-0.184572916666667)</f>
        <v>0</v>
      </c>
      <c r="AQ108" s="28" t="s">
        <v>7</v>
      </c>
      <c r="AV108" s="34">
        <f t="shared" si="96"/>
        <v>0</v>
      </c>
      <c r="AW108" s="34">
        <f t="shared" si="97"/>
        <v>0</v>
      </c>
      <c r="AX108" s="34">
        <f t="shared" si="98"/>
        <v>0</v>
      </c>
      <c r="AY108" s="35" t="s">
        <v>3662</v>
      </c>
      <c r="AZ108" s="35" t="s">
        <v>3709</v>
      </c>
      <c r="BA108" s="27" t="s">
        <v>3729</v>
      </c>
      <c r="BC108" s="34">
        <f t="shared" si="99"/>
        <v>0</v>
      </c>
      <c r="BD108" s="34">
        <f t="shared" si="100"/>
        <v>0</v>
      </c>
      <c r="BE108" s="34">
        <v>0</v>
      </c>
      <c r="BF108" s="34">
        <f>108</f>
        <v>108</v>
      </c>
      <c r="BH108" s="18">
        <f t="shared" si="101"/>
        <v>0</v>
      </c>
      <c r="BI108" s="18">
        <f t="shared" si="102"/>
        <v>0</v>
      </c>
      <c r="BJ108" s="18">
        <f t="shared" si="103"/>
        <v>0</v>
      </c>
    </row>
    <row r="109" spans="1:62" x14ac:dyDescent="0.2">
      <c r="A109" s="5" t="s">
        <v>92</v>
      </c>
      <c r="B109" s="5" t="s">
        <v>1296</v>
      </c>
      <c r="C109" s="135" t="s">
        <v>2501</v>
      </c>
      <c r="D109" s="136"/>
      <c r="E109" s="136"/>
      <c r="F109" s="136"/>
      <c r="G109" s="136"/>
      <c r="H109" s="5" t="s">
        <v>3614</v>
      </c>
      <c r="I109" s="18">
        <v>28.8</v>
      </c>
      <c r="J109" s="18">
        <v>0</v>
      </c>
      <c r="K109" s="18">
        <f t="shared" si="84"/>
        <v>0</v>
      </c>
      <c r="L109" s="28" t="s">
        <v>3635</v>
      </c>
      <c r="Z109" s="34">
        <f t="shared" si="85"/>
        <v>0</v>
      </c>
      <c r="AB109" s="34">
        <f t="shared" si="86"/>
        <v>0</v>
      </c>
      <c r="AC109" s="34">
        <f t="shared" si="87"/>
        <v>0</v>
      </c>
      <c r="AD109" s="34">
        <f t="shared" si="88"/>
        <v>0</v>
      </c>
      <c r="AE109" s="34">
        <f t="shared" si="89"/>
        <v>0</v>
      </c>
      <c r="AF109" s="34">
        <f t="shared" si="90"/>
        <v>0</v>
      </c>
      <c r="AG109" s="34">
        <f t="shared" si="91"/>
        <v>0</v>
      </c>
      <c r="AH109" s="34">
        <f t="shared" si="92"/>
        <v>0</v>
      </c>
      <c r="AI109" s="27" t="s">
        <v>3645</v>
      </c>
      <c r="AJ109" s="18">
        <f t="shared" si="93"/>
        <v>0</v>
      </c>
      <c r="AK109" s="18">
        <f t="shared" si="94"/>
        <v>0</v>
      </c>
      <c r="AL109" s="18">
        <f t="shared" si="95"/>
        <v>0</v>
      </c>
      <c r="AN109" s="34">
        <v>21</v>
      </c>
      <c r="AO109" s="34">
        <f>J109*0.203383162863887</f>
        <v>0</v>
      </c>
      <c r="AP109" s="34">
        <f>J109*(1-0.203383162863887)</f>
        <v>0</v>
      </c>
      <c r="AQ109" s="28" t="s">
        <v>7</v>
      </c>
      <c r="AV109" s="34">
        <f t="shared" si="96"/>
        <v>0</v>
      </c>
      <c r="AW109" s="34">
        <f t="shared" si="97"/>
        <v>0</v>
      </c>
      <c r="AX109" s="34">
        <f t="shared" si="98"/>
        <v>0</v>
      </c>
      <c r="AY109" s="35" t="s">
        <v>3662</v>
      </c>
      <c r="AZ109" s="35" t="s">
        <v>3709</v>
      </c>
      <c r="BA109" s="27" t="s">
        <v>3729</v>
      </c>
      <c r="BC109" s="34">
        <f t="shared" si="99"/>
        <v>0</v>
      </c>
      <c r="BD109" s="34">
        <f t="shared" si="100"/>
        <v>0</v>
      </c>
      <c r="BE109" s="34">
        <v>0</v>
      </c>
      <c r="BF109" s="34">
        <f>109</f>
        <v>109</v>
      </c>
      <c r="BH109" s="18">
        <f t="shared" si="101"/>
        <v>0</v>
      </c>
      <c r="BI109" s="18">
        <f t="shared" si="102"/>
        <v>0</v>
      </c>
      <c r="BJ109" s="18">
        <f t="shared" si="103"/>
        <v>0</v>
      </c>
    </row>
    <row r="110" spans="1:62" x14ac:dyDescent="0.2">
      <c r="A110" s="5" t="s">
        <v>93</v>
      </c>
      <c r="B110" s="5" t="s">
        <v>1297</v>
      </c>
      <c r="C110" s="135" t="s">
        <v>2502</v>
      </c>
      <c r="D110" s="136"/>
      <c r="E110" s="136"/>
      <c r="F110" s="136"/>
      <c r="G110" s="136"/>
      <c r="H110" s="5" t="s">
        <v>3612</v>
      </c>
      <c r="I110" s="18">
        <v>4</v>
      </c>
      <c r="J110" s="18">
        <v>0</v>
      </c>
      <c r="K110" s="18">
        <f t="shared" si="84"/>
        <v>0</v>
      </c>
      <c r="L110" s="28" t="s">
        <v>3635</v>
      </c>
      <c r="Z110" s="34">
        <f t="shared" si="85"/>
        <v>0</v>
      </c>
      <c r="AB110" s="34">
        <f t="shared" si="86"/>
        <v>0</v>
      </c>
      <c r="AC110" s="34">
        <f t="shared" si="87"/>
        <v>0</v>
      </c>
      <c r="AD110" s="34">
        <f t="shared" si="88"/>
        <v>0</v>
      </c>
      <c r="AE110" s="34">
        <f t="shared" si="89"/>
        <v>0</v>
      </c>
      <c r="AF110" s="34">
        <f t="shared" si="90"/>
        <v>0</v>
      </c>
      <c r="AG110" s="34">
        <f t="shared" si="91"/>
        <v>0</v>
      </c>
      <c r="AH110" s="34">
        <f t="shared" si="92"/>
        <v>0</v>
      </c>
      <c r="AI110" s="27" t="s">
        <v>3645</v>
      </c>
      <c r="AJ110" s="18">
        <f t="shared" si="93"/>
        <v>0</v>
      </c>
      <c r="AK110" s="18">
        <f t="shared" si="94"/>
        <v>0</v>
      </c>
      <c r="AL110" s="18">
        <f t="shared" si="95"/>
        <v>0</v>
      </c>
      <c r="AN110" s="34">
        <v>21</v>
      </c>
      <c r="AO110" s="34">
        <f>J110*0.219874623871615</f>
        <v>0</v>
      </c>
      <c r="AP110" s="34">
        <f>J110*(1-0.219874623871615)</f>
        <v>0</v>
      </c>
      <c r="AQ110" s="28" t="s">
        <v>7</v>
      </c>
      <c r="AV110" s="34">
        <f t="shared" si="96"/>
        <v>0</v>
      </c>
      <c r="AW110" s="34">
        <f t="shared" si="97"/>
        <v>0</v>
      </c>
      <c r="AX110" s="34">
        <f t="shared" si="98"/>
        <v>0</v>
      </c>
      <c r="AY110" s="35" t="s">
        <v>3662</v>
      </c>
      <c r="AZ110" s="35" t="s">
        <v>3709</v>
      </c>
      <c r="BA110" s="27" t="s">
        <v>3729</v>
      </c>
      <c r="BC110" s="34">
        <f t="shared" si="99"/>
        <v>0</v>
      </c>
      <c r="BD110" s="34">
        <f t="shared" si="100"/>
        <v>0</v>
      </c>
      <c r="BE110" s="34">
        <v>0</v>
      </c>
      <c r="BF110" s="34">
        <f>110</f>
        <v>110</v>
      </c>
      <c r="BH110" s="18">
        <f t="shared" si="101"/>
        <v>0</v>
      </c>
      <c r="BI110" s="18">
        <f t="shared" si="102"/>
        <v>0</v>
      </c>
      <c r="BJ110" s="18">
        <f t="shared" si="103"/>
        <v>0</v>
      </c>
    </row>
    <row r="111" spans="1:62" x14ac:dyDescent="0.2">
      <c r="A111" s="5" t="s">
        <v>94</v>
      </c>
      <c r="B111" s="5" t="s">
        <v>1297</v>
      </c>
      <c r="C111" s="135" t="s">
        <v>2503</v>
      </c>
      <c r="D111" s="136"/>
      <c r="E111" s="136"/>
      <c r="F111" s="136"/>
      <c r="G111" s="136"/>
      <c r="H111" s="5" t="s">
        <v>3614</v>
      </c>
      <c r="I111" s="18">
        <v>5</v>
      </c>
      <c r="J111" s="18">
        <v>0</v>
      </c>
      <c r="K111" s="18">
        <f t="shared" si="84"/>
        <v>0</v>
      </c>
      <c r="L111" s="28" t="s">
        <v>3635</v>
      </c>
      <c r="Z111" s="34">
        <f t="shared" si="85"/>
        <v>0</v>
      </c>
      <c r="AB111" s="34">
        <f t="shared" si="86"/>
        <v>0</v>
      </c>
      <c r="AC111" s="34">
        <f t="shared" si="87"/>
        <v>0</v>
      </c>
      <c r="AD111" s="34">
        <f t="shared" si="88"/>
        <v>0</v>
      </c>
      <c r="AE111" s="34">
        <f t="shared" si="89"/>
        <v>0</v>
      </c>
      <c r="AF111" s="34">
        <f t="shared" si="90"/>
        <v>0</v>
      </c>
      <c r="AG111" s="34">
        <f t="shared" si="91"/>
        <v>0</v>
      </c>
      <c r="AH111" s="34">
        <f t="shared" si="92"/>
        <v>0</v>
      </c>
      <c r="AI111" s="27" t="s">
        <v>3645</v>
      </c>
      <c r="AJ111" s="18">
        <f t="shared" si="93"/>
        <v>0</v>
      </c>
      <c r="AK111" s="18">
        <f t="shared" si="94"/>
        <v>0</v>
      </c>
      <c r="AL111" s="18">
        <f t="shared" si="95"/>
        <v>0</v>
      </c>
      <c r="AN111" s="34">
        <v>21</v>
      </c>
      <c r="AO111" s="34">
        <f>J111*0.219872340425532</f>
        <v>0</v>
      </c>
      <c r="AP111" s="34">
        <f>J111*(1-0.219872340425532)</f>
        <v>0</v>
      </c>
      <c r="AQ111" s="28" t="s">
        <v>7</v>
      </c>
      <c r="AV111" s="34">
        <f t="shared" si="96"/>
        <v>0</v>
      </c>
      <c r="AW111" s="34">
        <f t="shared" si="97"/>
        <v>0</v>
      </c>
      <c r="AX111" s="34">
        <f t="shared" si="98"/>
        <v>0</v>
      </c>
      <c r="AY111" s="35" t="s">
        <v>3662</v>
      </c>
      <c r="AZ111" s="35" t="s">
        <v>3709</v>
      </c>
      <c r="BA111" s="27" t="s">
        <v>3729</v>
      </c>
      <c r="BC111" s="34">
        <f t="shared" si="99"/>
        <v>0</v>
      </c>
      <c r="BD111" s="34">
        <f t="shared" si="100"/>
        <v>0</v>
      </c>
      <c r="BE111" s="34">
        <v>0</v>
      </c>
      <c r="BF111" s="34">
        <f>111</f>
        <v>111</v>
      </c>
      <c r="BH111" s="18">
        <f t="shared" si="101"/>
        <v>0</v>
      </c>
      <c r="BI111" s="18">
        <f t="shared" si="102"/>
        <v>0</v>
      </c>
      <c r="BJ111" s="18">
        <f t="shared" si="103"/>
        <v>0</v>
      </c>
    </row>
    <row r="112" spans="1:62" x14ac:dyDescent="0.2">
      <c r="A112" s="5" t="s">
        <v>95</v>
      </c>
      <c r="B112" s="5" t="s">
        <v>1298</v>
      </c>
      <c r="C112" s="135" t="s">
        <v>2504</v>
      </c>
      <c r="D112" s="136"/>
      <c r="E112" s="136"/>
      <c r="F112" s="136"/>
      <c r="G112" s="136"/>
      <c r="H112" s="5" t="s">
        <v>3614</v>
      </c>
      <c r="I112" s="18">
        <v>137.48500000000001</v>
      </c>
      <c r="J112" s="18">
        <v>0</v>
      </c>
      <c r="K112" s="18">
        <f t="shared" si="84"/>
        <v>0</v>
      </c>
      <c r="L112" s="28" t="s">
        <v>3635</v>
      </c>
      <c r="Z112" s="34">
        <f t="shared" si="85"/>
        <v>0</v>
      </c>
      <c r="AB112" s="34">
        <f t="shared" si="86"/>
        <v>0</v>
      </c>
      <c r="AC112" s="34">
        <f t="shared" si="87"/>
        <v>0</v>
      </c>
      <c r="AD112" s="34">
        <f t="shared" si="88"/>
        <v>0</v>
      </c>
      <c r="AE112" s="34">
        <f t="shared" si="89"/>
        <v>0</v>
      </c>
      <c r="AF112" s="34">
        <f t="shared" si="90"/>
        <v>0</v>
      </c>
      <c r="AG112" s="34">
        <f t="shared" si="91"/>
        <v>0</v>
      </c>
      <c r="AH112" s="34">
        <f t="shared" si="92"/>
        <v>0</v>
      </c>
      <c r="AI112" s="27" t="s">
        <v>3645</v>
      </c>
      <c r="AJ112" s="18">
        <f t="shared" si="93"/>
        <v>0</v>
      </c>
      <c r="AK112" s="18">
        <f t="shared" si="94"/>
        <v>0</v>
      </c>
      <c r="AL112" s="18">
        <f t="shared" si="95"/>
        <v>0</v>
      </c>
      <c r="AN112" s="34">
        <v>21</v>
      </c>
      <c r="AO112" s="34">
        <f>J112*0.158137207532898</f>
        <v>0</v>
      </c>
      <c r="AP112" s="34">
        <f>J112*(1-0.158137207532898)</f>
        <v>0</v>
      </c>
      <c r="AQ112" s="28" t="s">
        <v>7</v>
      </c>
      <c r="AV112" s="34">
        <f t="shared" si="96"/>
        <v>0</v>
      </c>
      <c r="AW112" s="34">
        <f t="shared" si="97"/>
        <v>0</v>
      </c>
      <c r="AX112" s="34">
        <f t="shared" si="98"/>
        <v>0</v>
      </c>
      <c r="AY112" s="35" t="s">
        <v>3662</v>
      </c>
      <c r="AZ112" s="35" t="s">
        <v>3709</v>
      </c>
      <c r="BA112" s="27" t="s">
        <v>3729</v>
      </c>
      <c r="BC112" s="34">
        <f t="shared" si="99"/>
        <v>0</v>
      </c>
      <c r="BD112" s="34">
        <f t="shared" si="100"/>
        <v>0</v>
      </c>
      <c r="BE112" s="34">
        <v>0</v>
      </c>
      <c r="BF112" s="34">
        <f>112</f>
        <v>112</v>
      </c>
      <c r="BH112" s="18">
        <f t="shared" si="101"/>
        <v>0</v>
      </c>
      <c r="BI112" s="18">
        <f t="shared" si="102"/>
        <v>0</v>
      </c>
      <c r="BJ112" s="18">
        <f t="shared" si="103"/>
        <v>0</v>
      </c>
    </row>
    <row r="113" spans="1:62" x14ac:dyDescent="0.2">
      <c r="A113" s="5" t="s">
        <v>96</v>
      </c>
      <c r="B113" s="5" t="s">
        <v>1299</v>
      </c>
      <c r="C113" s="135" t="s">
        <v>2505</v>
      </c>
      <c r="D113" s="136"/>
      <c r="E113" s="136"/>
      <c r="F113" s="136"/>
      <c r="G113" s="136"/>
      <c r="H113" s="5" t="s">
        <v>3614</v>
      </c>
      <c r="I113" s="18">
        <v>100.08</v>
      </c>
      <c r="J113" s="18">
        <v>0</v>
      </c>
      <c r="K113" s="18">
        <f t="shared" si="84"/>
        <v>0</v>
      </c>
      <c r="L113" s="28" t="s">
        <v>3635</v>
      </c>
      <c r="Z113" s="34">
        <f t="shared" si="85"/>
        <v>0</v>
      </c>
      <c r="AB113" s="34">
        <f t="shared" si="86"/>
        <v>0</v>
      </c>
      <c r="AC113" s="34">
        <f t="shared" si="87"/>
        <v>0</v>
      </c>
      <c r="AD113" s="34">
        <f t="shared" si="88"/>
        <v>0</v>
      </c>
      <c r="AE113" s="34">
        <f t="shared" si="89"/>
        <v>0</v>
      </c>
      <c r="AF113" s="34">
        <f t="shared" si="90"/>
        <v>0</v>
      </c>
      <c r="AG113" s="34">
        <f t="shared" si="91"/>
        <v>0</v>
      </c>
      <c r="AH113" s="34">
        <f t="shared" si="92"/>
        <v>0</v>
      </c>
      <c r="AI113" s="27" t="s">
        <v>3645</v>
      </c>
      <c r="AJ113" s="18">
        <f t="shared" si="93"/>
        <v>0</v>
      </c>
      <c r="AK113" s="18">
        <f t="shared" si="94"/>
        <v>0</v>
      </c>
      <c r="AL113" s="18">
        <f t="shared" si="95"/>
        <v>0</v>
      </c>
      <c r="AN113" s="34">
        <v>21</v>
      </c>
      <c r="AO113" s="34">
        <f>J113*0.208093385214008</f>
        <v>0</v>
      </c>
      <c r="AP113" s="34">
        <f>J113*(1-0.208093385214008)</f>
        <v>0</v>
      </c>
      <c r="AQ113" s="28" t="s">
        <v>7</v>
      </c>
      <c r="AV113" s="34">
        <f t="shared" si="96"/>
        <v>0</v>
      </c>
      <c r="AW113" s="34">
        <f t="shared" si="97"/>
        <v>0</v>
      </c>
      <c r="AX113" s="34">
        <f t="shared" si="98"/>
        <v>0</v>
      </c>
      <c r="AY113" s="35" t="s">
        <v>3662</v>
      </c>
      <c r="AZ113" s="35" t="s">
        <v>3709</v>
      </c>
      <c r="BA113" s="27" t="s">
        <v>3729</v>
      </c>
      <c r="BC113" s="34">
        <f t="shared" si="99"/>
        <v>0</v>
      </c>
      <c r="BD113" s="34">
        <f t="shared" si="100"/>
        <v>0</v>
      </c>
      <c r="BE113" s="34">
        <v>0</v>
      </c>
      <c r="BF113" s="34">
        <f>113</f>
        <v>113</v>
      </c>
      <c r="BH113" s="18">
        <f t="shared" si="101"/>
        <v>0</v>
      </c>
      <c r="BI113" s="18">
        <f t="shared" si="102"/>
        <v>0</v>
      </c>
      <c r="BJ113" s="18">
        <f t="shared" si="103"/>
        <v>0</v>
      </c>
    </row>
    <row r="114" spans="1:62" x14ac:dyDescent="0.2">
      <c r="A114" s="5" t="s">
        <v>97</v>
      </c>
      <c r="B114" s="5" t="s">
        <v>1300</v>
      </c>
      <c r="C114" s="135" t="s">
        <v>2506</v>
      </c>
      <c r="D114" s="136"/>
      <c r="E114" s="136"/>
      <c r="F114" s="136"/>
      <c r="G114" s="136"/>
      <c r="H114" s="5" t="s">
        <v>3614</v>
      </c>
      <c r="I114" s="18">
        <v>107.28</v>
      </c>
      <c r="J114" s="18">
        <v>0</v>
      </c>
      <c r="K114" s="18">
        <f t="shared" si="84"/>
        <v>0</v>
      </c>
      <c r="L114" s="28" t="s">
        <v>3635</v>
      </c>
      <c r="Z114" s="34">
        <f t="shared" si="85"/>
        <v>0</v>
      </c>
      <c r="AB114" s="34">
        <f t="shared" si="86"/>
        <v>0</v>
      </c>
      <c r="AC114" s="34">
        <f t="shared" si="87"/>
        <v>0</v>
      </c>
      <c r="AD114" s="34">
        <f t="shared" si="88"/>
        <v>0</v>
      </c>
      <c r="AE114" s="34">
        <f t="shared" si="89"/>
        <v>0</v>
      </c>
      <c r="AF114" s="34">
        <f t="shared" si="90"/>
        <v>0</v>
      </c>
      <c r="AG114" s="34">
        <f t="shared" si="91"/>
        <v>0</v>
      </c>
      <c r="AH114" s="34">
        <f t="shared" si="92"/>
        <v>0</v>
      </c>
      <c r="AI114" s="27" t="s">
        <v>3645</v>
      </c>
      <c r="AJ114" s="18">
        <f t="shared" si="93"/>
        <v>0</v>
      </c>
      <c r="AK114" s="18">
        <f t="shared" si="94"/>
        <v>0</v>
      </c>
      <c r="AL114" s="18">
        <f t="shared" si="95"/>
        <v>0</v>
      </c>
      <c r="AN114" s="34">
        <v>21</v>
      </c>
      <c r="AO114" s="34">
        <f>J114*0.189561752988048</f>
        <v>0</v>
      </c>
      <c r="AP114" s="34">
        <f>J114*(1-0.189561752988048)</f>
        <v>0</v>
      </c>
      <c r="AQ114" s="28" t="s">
        <v>7</v>
      </c>
      <c r="AV114" s="34">
        <f t="shared" si="96"/>
        <v>0</v>
      </c>
      <c r="AW114" s="34">
        <f t="shared" si="97"/>
        <v>0</v>
      </c>
      <c r="AX114" s="34">
        <f t="shared" si="98"/>
        <v>0</v>
      </c>
      <c r="AY114" s="35" t="s">
        <v>3662</v>
      </c>
      <c r="AZ114" s="35" t="s">
        <v>3709</v>
      </c>
      <c r="BA114" s="27" t="s">
        <v>3729</v>
      </c>
      <c r="BC114" s="34">
        <f t="shared" si="99"/>
        <v>0</v>
      </c>
      <c r="BD114" s="34">
        <f t="shared" si="100"/>
        <v>0</v>
      </c>
      <c r="BE114" s="34">
        <v>0</v>
      </c>
      <c r="BF114" s="34">
        <f>114</f>
        <v>114</v>
      </c>
      <c r="BH114" s="18">
        <f t="shared" si="101"/>
        <v>0</v>
      </c>
      <c r="BI114" s="18">
        <f t="shared" si="102"/>
        <v>0</v>
      </c>
      <c r="BJ114" s="18">
        <f t="shared" si="103"/>
        <v>0</v>
      </c>
    </row>
    <row r="115" spans="1:62" x14ac:dyDescent="0.2">
      <c r="A115" s="5" t="s">
        <v>98</v>
      </c>
      <c r="B115" s="5" t="s">
        <v>1301</v>
      </c>
      <c r="C115" s="135" t="s">
        <v>2507</v>
      </c>
      <c r="D115" s="136"/>
      <c r="E115" s="136"/>
      <c r="F115" s="136"/>
      <c r="G115" s="136"/>
      <c r="H115" s="5" t="s">
        <v>3615</v>
      </c>
      <c r="I115" s="18">
        <v>20.16</v>
      </c>
      <c r="J115" s="18">
        <v>0</v>
      </c>
      <c r="K115" s="18">
        <f t="shared" si="84"/>
        <v>0</v>
      </c>
      <c r="L115" s="28" t="s">
        <v>3635</v>
      </c>
      <c r="Z115" s="34">
        <f t="shared" si="85"/>
        <v>0</v>
      </c>
      <c r="AB115" s="34">
        <f t="shared" si="86"/>
        <v>0</v>
      </c>
      <c r="AC115" s="34">
        <f t="shared" si="87"/>
        <v>0</v>
      </c>
      <c r="AD115" s="34">
        <f t="shared" si="88"/>
        <v>0</v>
      </c>
      <c r="AE115" s="34">
        <f t="shared" si="89"/>
        <v>0</v>
      </c>
      <c r="AF115" s="34">
        <f t="shared" si="90"/>
        <v>0</v>
      </c>
      <c r="AG115" s="34">
        <f t="shared" si="91"/>
        <v>0</v>
      </c>
      <c r="AH115" s="34">
        <f t="shared" si="92"/>
        <v>0</v>
      </c>
      <c r="AI115" s="27" t="s">
        <v>3645</v>
      </c>
      <c r="AJ115" s="18">
        <f t="shared" si="93"/>
        <v>0</v>
      </c>
      <c r="AK115" s="18">
        <f t="shared" si="94"/>
        <v>0</v>
      </c>
      <c r="AL115" s="18">
        <f t="shared" si="95"/>
        <v>0</v>
      </c>
      <c r="AN115" s="34">
        <v>21</v>
      </c>
      <c r="AO115" s="34">
        <f>J115*0.397921454548605</f>
        <v>0</v>
      </c>
      <c r="AP115" s="34">
        <f>J115*(1-0.397921454548605)</f>
        <v>0</v>
      </c>
      <c r="AQ115" s="28" t="s">
        <v>7</v>
      </c>
      <c r="AV115" s="34">
        <f t="shared" si="96"/>
        <v>0</v>
      </c>
      <c r="AW115" s="34">
        <f t="shared" si="97"/>
        <v>0</v>
      </c>
      <c r="AX115" s="34">
        <f t="shared" si="98"/>
        <v>0</v>
      </c>
      <c r="AY115" s="35" t="s">
        <v>3662</v>
      </c>
      <c r="AZ115" s="35" t="s">
        <v>3709</v>
      </c>
      <c r="BA115" s="27" t="s">
        <v>3729</v>
      </c>
      <c r="BC115" s="34">
        <f t="shared" si="99"/>
        <v>0</v>
      </c>
      <c r="BD115" s="34">
        <f t="shared" si="100"/>
        <v>0</v>
      </c>
      <c r="BE115" s="34">
        <v>0</v>
      </c>
      <c r="BF115" s="34">
        <f>115</f>
        <v>115</v>
      </c>
      <c r="BH115" s="18">
        <f t="shared" si="101"/>
        <v>0</v>
      </c>
      <c r="BI115" s="18">
        <f t="shared" si="102"/>
        <v>0</v>
      </c>
      <c r="BJ115" s="18">
        <f t="shared" si="103"/>
        <v>0</v>
      </c>
    </row>
    <row r="116" spans="1:62" x14ac:dyDescent="0.2">
      <c r="A116" s="5" t="s">
        <v>99</v>
      </c>
      <c r="B116" s="5" t="s">
        <v>1302</v>
      </c>
      <c r="C116" s="135" t="s">
        <v>2508</v>
      </c>
      <c r="D116" s="136"/>
      <c r="E116" s="136"/>
      <c r="F116" s="136"/>
      <c r="G116" s="136"/>
      <c r="H116" s="5" t="s">
        <v>3615</v>
      </c>
      <c r="I116" s="18">
        <v>15.634</v>
      </c>
      <c r="J116" s="18">
        <v>0</v>
      </c>
      <c r="K116" s="18">
        <f t="shared" si="84"/>
        <v>0</v>
      </c>
      <c r="L116" s="28" t="s">
        <v>3635</v>
      </c>
      <c r="Z116" s="34">
        <f t="shared" si="85"/>
        <v>0</v>
      </c>
      <c r="AB116" s="34">
        <f t="shared" si="86"/>
        <v>0</v>
      </c>
      <c r="AC116" s="34">
        <f t="shared" si="87"/>
        <v>0</v>
      </c>
      <c r="AD116" s="34">
        <f t="shared" si="88"/>
        <v>0</v>
      </c>
      <c r="AE116" s="34">
        <f t="shared" si="89"/>
        <v>0</v>
      </c>
      <c r="AF116" s="34">
        <f t="shared" si="90"/>
        <v>0</v>
      </c>
      <c r="AG116" s="34">
        <f t="shared" si="91"/>
        <v>0</v>
      </c>
      <c r="AH116" s="34">
        <f t="shared" si="92"/>
        <v>0</v>
      </c>
      <c r="AI116" s="27" t="s">
        <v>3645</v>
      </c>
      <c r="AJ116" s="18">
        <f t="shared" si="93"/>
        <v>0</v>
      </c>
      <c r="AK116" s="18">
        <f t="shared" si="94"/>
        <v>0</v>
      </c>
      <c r="AL116" s="18">
        <f t="shared" si="95"/>
        <v>0</v>
      </c>
      <c r="AN116" s="34">
        <v>21</v>
      </c>
      <c r="AO116" s="34">
        <f>J116*0.54690726850262</f>
        <v>0</v>
      </c>
      <c r="AP116" s="34">
        <f>J116*(1-0.54690726850262)</f>
        <v>0</v>
      </c>
      <c r="AQ116" s="28" t="s">
        <v>7</v>
      </c>
      <c r="AV116" s="34">
        <f t="shared" si="96"/>
        <v>0</v>
      </c>
      <c r="AW116" s="34">
        <f t="shared" si="97"/>
        <v>0</v>
      </c>
      <c r="AX116" s="34">
        <f t="shared" si="98"/>
        <v>0</v>
      </c>
      <c r="AY116" s="35" t="s">
        <v>3662</v>
      </c>
      <c r="AZ116" s="35" t="s">
        <v>3709</v>
      </c>
      <c r="BA116" s="27" t="s">
        <v>3729</v>
      </c>
      <c r="BC116" s="34">
        <f t="shared" si="99"/>
        <v>0</v>
      </c>
      <c r="BD116" s="34">
        <f t="shared" si="100"/>
        <v>0</v>
      </c>
      <c r="BE116" s="34">
        <v>0</v>
      </c>
      <c r="BF116" s="34">
        <f>116</f>
        <v>116</v>
      </c>
      <c r="BH116" s="18">
        <f t="shared" si="101"/>
        <v>0</v>
      </c>
      <c r="BI116" s="18">
        <f t="shared" si="102"/>
        <v>0</v>
      </c>
      <c r="BJ116" s="18">
        <f t="shared" si="103"/>
        <v>0</v>
      </c>
    </row>
    <row r="117" spans="1:62" x14ac:dyDescent="0.2">
      <c r="A117" s="5" t="s">
        <v>100</v>
      </c>
      <c r="B117" s="5" t="s">
        <v>1303</v>
      </c>
      <c r="C117" s="135" t="s">
        <v>2509</v>
      </c>
      <c r="D117" s="136"/>
      <c r="E117" s="136"/>
      <c r="F117" s="136"/>
      <c r="G117" s="136"/>
      <c r="H117" s="5" t="s">
        <v>3615</v>
      </c>
      <c r="I117" s="18">
        <v>28.122</v>
      </c>
      <c r="J117" s="18">
        <v>0</v>
      </c>
      <c r="K117" s="18">
        <f t="shared" si="84"/>
        <v>0</v>
      </c>
      <c r="L117" s="28" t="s">
        <v>3635</v>
      </c>
      <c r="Z117" s="34">
        <f t="shared" si="85"/>
        <v>0</v>
      </c>
      <c r="AB117" s="34">
        <f t="shared" si="86"/>
        <v>0</v>
      </c>
      <c r="AC117" s="34">
        <f t="shared" si="87"/>
        <v>0</v>
      </c>
      <c r="AD117" s="34">
        <f t="shared" si="88"/>
        <v>0</v>
      </c>
      <c r="AE117" s="34">
        <f t="shared" si="89"/>
        <v>0</v>
      </c>
      <c r="AF117" s="34">
        <f t="shared" si="90"/>
        <v>0</v>
      </c>
      <c r="AG117" s="34">
        <f t="shared" si="91"/>
        <v>0</v>
      </c>
      <c r="AH117" s="34">
        <f t="shared" si="92"/>
        <v>0</v>
      </c>
      <c r="AI117" s="27" t="s">
        <v>3645</v>
      </c>
      <c r="AJ117" s="18">
        <f t="shared" si="93"/>
        <v>0</v>
      </c>
      <c r="AK117" s="18">
        <f t="shared" si="94"/>
        <v>0</v>
      </c>
      <c r="AL117" s="18">
        <f t="shared" si="95"/>
        <v>0</v>
      </c>
      <c r="AN117" s="34">
        <v>21</v>
      </c>
      <c r="AO117" s="34">
        <f>J117*0.643999553889306</f>
        <v>0</v>
      </c>
      <c r="AP117" s="34">
        <f>J117*(1-0.643999553889306)</f>
        <v>0</v>
      </c>
      <c r="AQ117" s="28" t="s">
        <v>7</v>
      </c>
      <c r="AV117" s="34">
        <f t="shared" si="96"/>
        <v>0</v>
      </c>
      <c r="AW117" s="34">
        <f t="shared" si="97"/>
        <v>0</v>
      </c>
      <c r="AX117" s="34">
        <f t="shared" si="98"/>
        <v>0</v>
      </c>
      <c r="AY117" s="35" t="s">
        <v>3662</v>
      </c>
      <c r="AZ117" s="35" t="s">
        <v>3709</v>
      </c>
      <c r="BA117" s="27" t="s">
        <v>3729</v>
      </c>
      <c r="BC117" s="34">
        <f t="shared" si="99"/>
        <v>0</v>
      </c>
      <c r="BD117" s="34">
        <f t="shared" si="100"/>
        <v>0</v>
      </c>
      <c r="BE117" s="34">
        <v>0</v>
      </c>
      <c r="BF117" s="34">
        <f>117</f>
        <v>117</v>
      </c>
      <c r="BH117" s="18">
        <f t="shared" si="101"/>
        <v>0</v>
      </c>
      <c r="BI117" s="18">
        <f t="shared" si="102"/>
        <v>0</v>
      </c>
      <c r="BJ117" s="18">
        <f t="shared" si="103"/>
        <v>0</v>
      </c>
    </row>
    <row r="118" spans="1:62" x14ac:dyDescent="0.2">
      <c r="A118" s="5" t="s">
        <v>101</v>
      </c>
      <c r="B118" s="5" t="s">
        <v>1304</v>
      </c>
      <c r="C118" s="135" t="s">
        <v>2510</v>
      </c>
      <c r="D118" s="136"/>
      <c r="E118" s="136"/>
      <c r="F118" s="136"/>
      <c r="G118" s="136"/>
      <c r="H118" s="5" t="s">
        <v>3615</v>
      </c>
      <c r="I118" s="18">
        <v>39.756</v>
      </c>
      <c r="J118" s="18">
        <v>0</v>
      </c>
      <c r="K118" s="18">
        <f t="shared" si="84"/>
        <v>0</v>
      </c>
      <c r="L118" s="28" t="s">
        <v>3635</v>
      </c>
      <c r="Z118" s="34">
        <f t="shared" si="85"/>
        <v>0</v>
      </c>
      <c r="AB118" s="34">
        <f t="shared" si="86"/>
        <v>0</v>
      </c>
      <c r="AC118" s="34">
        <f t="shared" si="87"/>
        <v>0</v>
      </c>
      <c r="AD118" s="34">
        <f t="shared" si="88"/>
        <v>0</v>
      </c>
      <c r="AE118" s="34">
        <f t="shared" si="89"/>
        <v>0</v>
      </c>
      <c r="AF118" s="34">
        <f t="shared" si="90"/>
        <v>0</v>
      </c>
      <c r="AG118" s="34">
        <f t="shared" si="91"/>
        <v>0</v>
      </c>
      <c r="AH118" s="34">
        <f t="shared" si="92"/>
        <v>0</v>
      </c>
      <c r="AI118" s="27" t="s">
        <v>3645</v>
      </c>
      <c r="AJ118" s="18">
        <f t="shared" si="93"/>
        <v>0</v>
      </c>
      <c r="AK118" s="18">
        <f t="shared" si="94"/>
        <v>0</v>
      </c>
      <c r="AL118" s="18">
        <f t="shared" si="95"/>
        <v>0</v>
      </c>
      <c r="AN118" s="34">
        <v>21</v>
      </c>
      <c r="AO118" s="34">
        <f>J118*0.710513611163927</f>
        <v>0</v>
      </c>
      <c r="AP118" s="34">
        <f>J118*(1-0.710513611163927)</f>
        <v>0</v>
      </c>
      <c r="AQ118" s="28" t="s">
        <v>7</v>
      </c>
      <c r="AV118" s="34">
        <f t="shared" si="96"/>
        <v>0</v>
      </c>
      <c r="AW118" s="34">
        <f t="shared" si="97"/>
        <v>0</v>
      </c>
      <c r="AX118" s="34">
        <f t="shared" si="98"/>
        <v>0</v>
      </c>
      <c r="AY118" s="35" t="s">
        <v>3662</v>
      </c>
      <c r="AZ118" s="35" t="s">
        <v>3709</v>
      </c>
      <c r="BA118" s="27" t="s">
        <v>3729</v>
      </c>
      <c r="BC118" s="34">
        <f t="shared" si="99"/>
        <v>0</v>
      </c>
      <c r="BD118" s="34">
        <f t="shared" si="100"/>
        <v>0</v>
      </c>
      <c r="BE118" s="34">
        <v>0</v>
      </c>
      <c r="BF118" s="34">
        <f>118</f>
        <v>118</v>
      </c>
      <c r="BH118" s="18">
        <f t="shared" si="101"/>
        <v>0</v>
      </c>
      <c r="BI118" s="18">
        <f t="shared" si="102"/>
        <v>0</v>
      </c>
      <c r="BJ118" s="18">
        <f t="shared" si="103"/>
        <v>0</v>
      </c>
    </row>
    <row r="119" spans="1:62" x14ac:dyDescent="0.2">
      <c r="A119" s="5" t="s">
        <v>102</v>
      </c>
      <c r="B119" s="5" t="s">
        <v>1305</v>
      </c>
      <c r="C119" s="135" t="s">
        <v>2511</v>
      </c>
      <c r="D119" s="136"/>
      <c r="E119" s="136"/>
      <c r="F119" s="136"/>
      <c r="G119" s="136"/>
      <c r="H119" s="5" t="s">
        <v>3614</v>
      </c>
      <c r="I119" s="18">
        <v>137.48500000000001</v>
      </c>
      <c r="J119" s="18">
        <v>0</v>
      </c>
      <c r="K119" s="18">
        <f t="shared" si="84"/>
        <v>0</v>
      </c>
      <c r="L119" s="28" t="s">
        <v>3635</v>
      </c>
      <c r="Z119" s="34">
        <f t="shared" si="85"/>
        <v>0</v>
      </c>
      <c r="AB119" s="34">
        <f t="shared" si="86"/>
        <v>0</v>
      </c>
      <c r="AC119" s="34">
        <f t="shared" si="87"/>
        <v>0</v>
      </c>
      <c r="AD119" s="34">
        <f t="shared" si="88"/>
        <v>0</v>
      </c>
      <c r="AE119" s="34">
        <f t="shared" si="89"/>
        <v>0</v>
      </c>
      <c r="AF119" s="34">
        <f t="shared" si="90"/>
        <v>0</v>
      </c>
      <c r="AG119" s="34">
        <f t="shared" si="91"/>
        <v>0</v>
      </c>
      <c r="AH119" s="34">
        <f t="shared" si="92"/>
        <v>0</v>
      </c>
      <c r="AI119" s="27" t="s">
        <v>3645</v>
      </c>
      <c r="AJ119" s="18">
        <f t="shared" si="93"/>
        <v>0</v>
      </c>
      <c r="AK119" s="18">
        <f t="shared" si="94"/>
        <v>0</v>
      </c>
      <c r="AL119" s="18">
        <f t="shared" si="95"/>
        <v>0</v>
      </c>
      <c r="AN119" s="34">
        <v>21</v>
      </c>
      <c r="AO119" s="34">
        <f>J119*0.83461524727169</f>
        <v>0</v>
      </c>
      <c r="AP119" s="34">
        <f>J119*(1-0.83461524727169)</f>
        <v>0</v>
      </c>
      <c r="AQ119" s="28" t="s">
        <v>7</v>
      </c>
      <c r="AV119" s="34">
        <f t="shared" si="96"/>
        <v>0</v>
      </c>
      <c r="AW119" s="34">
        <f t="shared" si="97"/>
        <v>0</v>
      </c>
      <c r="AX119" s="34">
        <f t="shared" si="98"/>
        <v>0</v>
      </c>
      <c r="AY119" s="35" t="s">
        <v>3662</v>
      </c>
      <c r="AZ119" s="35" t="s">
        <v>3709</v>
      </c>
      <c r="BA119" s="27" t="s">
        <v>3729</v>
      </c>
      <c r="BC119" s="34">
        <f t="shared" si="99"/>
        <v>0</v>
      </c>
      <c r="BD119" s="34">
        <f t="shared" si="100"/>
        <v>0</v>
      </c>
      <c r="BE119" s="34">
        <v>0</v>
      </c>
      <c r="BF119" s="34">
        <f>119</f>
        <v>119</v>
      </c>
      <c r="BH119" s="18">
        <f t="shared" si="101"/>
        <v>0</v>
      </c>
      <c r="BI119" s="18">
        <f t="shared" si="102"/>
        <v>0</v>
      </c>
      <c r="BJ119" s="18">
        <f t="shared" si="103"/>
        <v>0</v>
      </c>
    </row>
    <row r="120" spans="1:62" x14ac:dyDescent="0.2">
      <c r="A120" s="5" t="s">
        <v>103</v>
      </c>
      <c r="B120" s="5" t="s">
        <v>1306</v>
      </c>
      <c r="C120" s="135" t="s">
        <v>2512</v>
      </c>
      <c r="D120" s="136"/>
      <c r="E120" s="136"/>
      <c r="F120" s="136"/>
      <c r="G120" s="136"/>
      <c r="H120" s="5" t="s">
        <v>3615</v>
      </c>
      <c r="I120" s="18">
        <v>23.24</v>
      </c>
      <c r="J120" s="18">
        <v>0</v>
      </c>
      <c r="K120" s="18">
        <f t="shared" si="84"/>
        <v>0</v>
      </c>
      <c r="L120" s="28" t="s">
        <v>3635</v>
      </c>
      <c r="Z120" s="34">
        <f t="shared" si="85"/>
        <v>0</v>
      </c>
      <c r="AB120" s="34">
        <f t="shared" si="86"/>
        <v>0</v>
      </c>
      <c r="AC120" s="34">
        <f t="shared" si="87"/>
        <v>0</v>
      </c>
      <c r="AD120" s="34">
        <f t="shared" si="88"/>
        <v>0</v>
      </c>
      <c r="AE120" s="34">
        <f t="shared" si="89"/>
        <v>0</v>
      </c>
      <c r="AF120" s="34">
        <f t="shared" si="90"/>
        <v>0</v>
      </c>
      <c r="AG120" s="34">
        <f t="shared" si="91"/>
        <v>0</v>
      </c>
      <c r="AH120" s="34">
        <f t="shared" si="92"/>
        <v>0</v>
      </c>
      <c r="AI120" s="27" t="s">
        <v>3645</v>
      </c>
      <c r="AJ120" s="18">
        <f t="shared" si="93"/>
        <v>0</v>
      </c>
      <c r="AK120" s="18">
        <f t="shared" si="94"/>
        <v>0</v>
      </c>
      <c r="AL120" s="18">
        <f t="shared" si="95"/>
        <v>0</v>
      </c>
      <c r="AN120" s="34">
        <v>21</v>
      </c>
      <c r="AO120" s="34">
        <f>J120*0.428568037974684</f>
        <v>0</v>
      </c>
      <c r="AP120" s="34">
        <f>J120*(1-0.428568037974684)</f>
        <v>0</v>
      </c>
      <c r="AQ120" s="28" t="s">
        <v>7</v>
      </c>
      <c r="AV120" s="34">
        <f t="shared" si="96"/>
        <v>0</v>
      </c>
      <c r="AW120" s="34">
        <f t="shared" si="97"/>
        <v>0</v>
      </c>
      <c r="AX120" s="34">
        <f t="shared" si="98"/>
        <v>0</v>
      </c>
      <c r="AY120" s="35" t="s">
        <v>3662</v>
      </c>
      <c r="AZ120" s="35" t="s">
        <v>3709</v>
      </c>
      <c r="BA120" s="27" t="s">
        <v>3729</v>
      </c>
      <c r="BC120" s="34">
        <f t="shared" si="99"/>
        <v>0</v>
      </c>
      <c r="BD120" s="34">
        <f t="shared" si="100"/>
        <v>0</v>
      </c>
      <c r="BE120" s="34">
        <v>0</v>
      </c>
      <c r="BF120" s="34">
        <f>120</f>
        <v>120</v>
      </c>
      <c r="BH120" s="18">
        <f t="shared" si="101"/>
        <v>0</v>
      </c>
      <c r="BI120" s="18">
        <f t="shared" si="102"/>
        <v>0</v>
      </c>
      <c r="BJ120" s="18">
        <f t="shared" si="103"/>
        <v>0</v>
      </c>
    </row>
    <row r="121" spans="1:62" x14ac:dyDescent="0.2">
      <c r="A121" s="4"/>
      <c r="B121" s="14" t="s">
        <v>47</v>
      </c>
      <c r="C121" s="133" t="s">
        <v>2513</v>
      </c>
      <c r="D121" s="134"/>
      <c r="E121" s="134"/>
      <c r="F121" s="134"/>
      <c r="G121" s="134"/>
      <c r="H121" s="4" t="s">
        <v>6</v>
      </c>
      <c r="I121" s="4" t="s">
        <v>6</v>
      </c>
      <c r="J121" s="4" t="s">
        <v>6</v>
      </c>
      <c r="K121" s="37">
        <f>SUM(K122:K126)</f>
        <v>0</v>
      </c>
      <c r="L121" s="27"/>
      <c r="AI121" s="27" t="s">
        <v>3645</v>
      </c>
      <c r="AS121" s="37">
        <f>SUM(AJ122:AJ126)</f>
        <v>0</v>
      </c>
      <c r="AT121" s="37">
        <f>SUM(AK122:AK126)</f>
        <v>0</v>
      </c>
      <c r="AU121" s="37">
        <f>SUM(AL122:AL126)</f>
        <v>0</v>
      </c>
    </row>
    <row r="122" spans="1:62" x14ac:dyDescent="0.2">
      <c r="A122" s="5" t="s">
        <v>104</v>
      </c>
      <c r="B122" s="5" t="s">
        <v>1307</v>
      </c>
      <c r="C122" s="135" t="s">
        <v>2514</v>
      </c>
      <c r="D122" s="136"/>
      <c r="E122" s="136"/>
      <c r="F122" s="136"/>
      <c r="G122" s="136"/>
      <c r="H122" s="5" t="s">
        <v>3615</v>
      </c>
      <c r="I122" s="18">
        <v>67.77</v>
      </c>
      <c r="J122" s="18">
        <v>0</v>
      </c>
      <c r="K122" s="18">
        <f>I122*J122</f>
        <v>0</v>
      </c>
      <c r="L122" s="28" t="s">
        <v>3635</v>
      </c>
      <c r="Z122" s="34">
        <f>IF(AQ122="5",BJ122,0)</f>
        <v>0</v>
      </c>
      <c r="AB122" s="34">
        <f>IF(AQ122="1",BH122,0)</f>
        <v>0</v>
      </c>
      <c r="AC122" s="34">
        <f>IF(AQ122="1",BI122,0)</f>
        <v>0</v>
      </c>
      <c r="AD122" s="34">
        <f>IF(AQ122="7",BH122,0)</f>
        <v>0</v>
      </c>
      <c r="AE122" s="34">
        <f>IF(AQ122="7",BI122,0)</f>
        <v>0</v>
      </c>
      <c r="AF122" s="34">
        <f>IF(AQ122="2",BH122,0)</f>
        <v>0</v>
      </c>
      <c r="AG122" s="34">
        <f>IF(AQ122="2",BI122,0)</f>
        <v>0</v>
      </c>
      <c r="AH122" s="34">
        <f>IF(AQ122="0",BJ122,0)</f>
        <v>0</v>
      </c>
      <c r="AI122" s="27" t="s">
        <v>3645</v>
      </c>
      <c r="AJ122" s="18">
        <f>IF(AN122=0,K122,0)</f>
        <v>0</v>
      </c>
      <c r="AK122" s="18">
        <f>IF(AN122=15,K122,0)</f>
        <v>0</v>
      </c>
      <c r="AL122" s="18">
        <f>IF(AN122=21,K122,0)</f>
        <v>0</v>
      </c>
      <c r="AN122" s="34">
        <v>21</v>
      </c>
      <c r="AO122" s="34">
        <f>J122*0.3417457368996</f>
        <v>0</v>
      </c>
      <c r="AP122" s="34">
        <f>J122*(1-0.3417457368996)</f>
        <v>0</v>
      </c>
      <c r="AQ122" s="28" t="s">
        <v>7</v>
      </c>
      <c r="AV122" s="34">
        <f>AW122+AX122</f>
        <v>0</v>
      </c>
      <c r="AW122" s="34">
        <f>I122*AO122</f>
        <v>0</v>
      </c>
      <c r="AX122" s="34">
        <f>I122*AP122</f>
        <v>0</v>
      </c>
      <c r="AY122" s="35" t="s">
        <v>3663</v>
      </c>
      <c r="AZ122" s="35" t="s">
        <v>3710</v>
      </c>
      <c r="BA122" s="27" t="s">
        <v>3729</v>
      </c>
      <c r="BC122" s="34">
        <f>AW122+AX122</f>
        <v>0</v>
      </c>
      <c r="BD122" s="34">
        <f>J122/(100-BE122)*100</f>
        <v>0</v>
      </c>
      <c r="BE122" s="34">
        <v>0</v>
      </c>
      <c r="BF122" s="34">
        <f>122</f>
        <v>122</v>
      </c>
      <c r="BH122" s="18">
        <f>I122*AO122</f>
        <v>0</v>
      </c>
      <c r="BI122" s="18">
        <f>I122*AP122</f>
        <v>0</v>
      </c>
      <c r="BJ122" s="18">
        <f>I122*J122</f>
        <v>0</v>
      </c>
    </row>
    <row r="123" spans="1:62" x14ac:dyDescent="0.2">
      <c r="A123" s="5" t="s">
        <v>105</v>
      </c>
      <c r="B123" s="5" t="s">
        <v>1308</v>
      </c>
      <c r="C123" s="135" t="s">
        <v>2515</v>
      </c>
      <c r="D123" s="136"/>
      <c r="E123" s="136"/>
      <c r="F123" s="136"/>
      <c r="G123" s="136"/>
      <c r="H123" s="5" t="s">
        <v>3615</v>
      </c>
      <c r="I123" s="18">
        <v>154.47999999999999</v>
      </c>
      <c r="J123" s="18">
        <v>0</v>
      </c>
      <c r="K123" s="18">
        <f>I123*J123</f>
        <v>0</v>
      </c>
      <c r="L123" s="28" t="s">
        <v>3635</v>
      </c>
      <c r="Z123" s="34">
        <f>IF(AQ123="5",BJ123,0)</f>
        <v>0</v>
      </c>
      <c r="AB123" s="34">
        <f>IF(AQ123="1",BH123,0)</f>
        <v>0</v>
      </c>
      <c r="AC123" s="34">
        <f>IF(AQ123="1",BI123,0)</f>
        <v>0</v>
      </c>
      <c r="AD123" s="34">
        <f>IF(AQ123="7",BH123,0)</f>
        <v>0</v>
      </c>
      <c r="AE123" s="34">
        <f>IF(AQ123="7",BI123,0)</f>
        <v>0</v>
      </c>
      <c r="AF123" s="34">
        <f>IF(AQ123="2",BH123,0)</f>
        <v>0</v>
      </c>
      <c r="AG123" s="34">
        <f>IF(AQ123="2",BI123,0)</f>
        <v>0</v>
      </c>
      <c r="AH123" s="34">
        <f>IF(AQ123="0",BJ123,0)</f>
        <v>0</v>
      </c>
      <c r="AI123" s="27" t="s">
        <v>3645</v>
      </c>
      <c r="AJ123" s="18">
        <f>IF(AN123=0,K123,0)</f>
        <v>0</v>
      </c>
      <c r="AK123" s="18">
        <f>IF(AN123=15,K123,0)</f>
        <v>0</v>
      </c>
      <c r="AL123" s="18">
        <f>IF(AN123=21,K123,0)</f>
        <v>0</v>
      </c>
      <c r="AN123" s="34">
        <v>21</v>
      </c>
      <c r="AO123" s="34">
        <f>J123*0.703860764035315</f>
        <v>0</v>
      </c>
      <c r="AP123" s="34">
        <f>J123*(1-0.703860764035315)</f>
        <v>0</v>
      </c>
      <c r="AQ123" s="28" t="s">
        <v>7</v>
      </c>
      <c r="AV123" s="34">
        <f>AW123+AX123</f>
        <v>0</v>
      </c>
      <c r="AW123" s="34">
        <f>I123*AO123</f>
        <v>0</v>
      </c>
      <c r="AX123" s="34">
        <f>I123*AP123</f>
        <v>0</v>
      </c>
      <c r="AY123" s="35" t="s">
        <v>3663</v>
      </c>
      <c r="AZ123" s="35" t="s">
        <v>3710</v>
      </c>
      <c r="BA123" s="27" t="s">
        <v>3729</v>
      </c>
      <c r="BC123" s="34">
        <f>AW123+AX123</f>
        <v>0</v>
      </c>
      <c r="BD123" s="34">
        <f>J123/(100-BE123)*100</f>
        <v>0</v>
      </c>
      <c r="BE123" s="34">
        <v>0</v>
      </c>
      <c r="BF123" s="34">
        <f>123</f>
        <v>123</v>
      </c>
      <c r="BH123" s="18">
        <f>I123*AO123</f>
        <v>0</v>
      </c>
      <c r="BI123" s="18">
        <f>I123*AP123</f>
        <v>0</v>
      </c>
      <c r="BJ123" s="18">
        <f>I123*J123</f>
        <v>0</v>
      </c>
    </row>
    <row r="124" spans="1:62" x14ac:dyDescent="0.2">
      <c r="A124" s="5" t="s">
        <v>106</v>
      </c>
      <c r="B124" s="5" t="s">
        <v>1309</v>
      </c>
      <c r="C124" s="135" t="s">
        <v>2516</v>
      </c>
      <c r="D124" s="136"/>
      <c r="E124" s="136"/>
      <c r="F124" s="136"/>
      <c r="G124" s="136"/>
      <c r="H124" s="5" t="s">
        <v>3615</v>
      </c>
      <c r="I124" s="18">
        <v>327.0856</v>
      </c>
      <c r="J124" s="18">
        <v>0</v>
      </c>
      <c r="K124" s="18">
        <f>I124*J124</f>
        <v>0</v>
      </c>
      <c r="L124" s="28" t="s">
        <v>3635</v>
      </c>
      <c r="Z124" s="34">
        <f>IF(AQ124="5",BJ124,0)</f>
        <v>0</v>
      </c>
      <c r="AB124" s="34">
        <f>IF(AQ124="1",BH124,0)</f>
        <v>0</v>
      </c>
      <c r="AC124" s="34">
        <f>IF(AQ124="1",BI124,0)</f>
        <v>0</v>
      </c>
      <c r="AD124" s="34">
        <f>IF(AQ124="7",BH124,0)</f>
        <v>0</v>
      </c>
      <c r="AE124" s="34">
        <f>IF(AQ124="7",BI124,0)</f>
        <v>0</v>
      </c>
      <c r="AF124" s="34">
        <f>IF(AQ124="2",BH124,0)</f>
        <v>0</v>
      </c>
      <c r="AG124" s="34">
        <f>IF(AQ124="2",BI124,0)</f>
        <v>0</v>
      </c>
      <c r="AH124" s="34">
        <f>IF(AQ124="0",BJ124,0)</f>
        <v>0</v>
      </c>
      <c r="AI124" s="27" t="s">
        <v>3645</v>
      </c>
      <c r="AJ124" s="18">
        <f>IF(AN124=0,K124,0)</f>
        <v>0</v>
      </c>
      <c r="AK124" s="18">
        <f>IF(AN124=15,K124,0)</f>
        <v>0</v>
      </c>
      <c r="AL124" s="18">
        <f>IF(AN124=21,K124,0)</f>
        <v>0</v>
      </c>
      <c r="AN124" s="34">
        <v>21</v>
      </c>
      <c r="AO124" s="34">
        <f>J124*0.818844763277189</f>
        <v>0</v>
      </c>
      <c r="AP124" s="34">
        <f>J124*(1-0.818844763277189)</f>
        <v>0</v>
      </c>
      <c r="AQ124" s="28" t="s">
        <v>7</v>
      </c>
      <c r="AV124" s="34">
        <f>AW124+AX124</f>
        <v>0</v>
      </c>
      <c r="AW124" s="34">
        <f>I124*AO124</f>
        <v>0</v>
      </c>
      <c r="AX124" s="34">
        <f>I124*AP124</f>
        <v>0</v>
      </c>
      <c r="AY124" s="35" t="s">
        <v>3663</v>
      </c>
      <c r="AZ124" s="35" t="s">
        <v>3710</v>
      </c>
      <c r="BA124" s="27" t="s">
        <v>3729</v>
      </c>
      <c r="BC124" s="34">
        <f>AW124+AX124</f>
        <v>0</v>
      </c>
      <c r="BD124" s="34">
        <f>J124/(100-BE124)*100</f>
        <v>0</v>
      </c>
      <c r="BE124" s="34">
        <v>0</v>
      </c>
      <c r="BF124" s="34">
        <f>124</f>
        <v>124</v>
      </c>
      <c r="BH124" s="18">
        <f>I124*AO124</f>
        <v>0</v>
      </c>
      <c r="BI124" s="18">
        <f>I124*AP124</f>
        <v>0</v>
      </c>
      <c r="BJ124" s="18">
        <f>I124*J124</f>
        <v>0</v>
      </c>
    </row>
    <row r="125" spans="1:62" x14ac:dyDescent="0.2">
      <c r="A125" s="5" t="s">
        <v>107</v>
      </c>
      <c r="B125" s="5" t="s">
        <v>1310</v>
      </c>
      <c r="C125" s="135" t="s">
        <v>2517</v>
      </c>
      <c r="D125" s="136"/>
      <c r="E125" s="136"/>
      <c r="F125" s="136"/>
      <c r="G125" s="136"/>
      <c r="H125" s="5" t="s">
        <v>3615</v>
      </c>
      <c r="I125" s="18">
        <v>8.2750000000000004</v>
      </c>
      <c r="J125" s="18">
        <v>0</v>
      </c>
      <c r="K125" s="18">
        <f>I125*J125</f>
        <v>0</v>
      </c>
      <c r="L125" s="28" t="s">
        <v>3635</v>
      </c>
      <c r="Z125" s="34">
        <f>IF(AQ125="5",BJ125,0)</f>
        <v>0</v>
      </c>
      <c r="AB125" s="34">
        <f>IF(AQ125="1",BH125,0)</f>
        <v>0</v>
      </c>
      <c r="AC125" s="34">
        <f>IF(AQ125="1",BI125,0)</f>
        <v>0</v>
      </c>
      <c r="AD125" s="34">
        <f>IF(AQ125="7",BH125,0)</f>
        <v>0</v>
      </c>
      <c r="AE125" s="34">
        <f>IF(AQ125="7",BI125,0)</f>
        <v>0</v>
      </c>
      <c r="AF125" s="34">
        <f>IF(AQ125="2",BH125,0)</f>
        <v>0</v>
      </c>
      <c r="AG125" s="34">
        <f>IF(AQ125="2",BI125,0)</f>
        <v>0</v>
      </c>
      <c r="AH125" s="34">
        <f>IF(AQ125="0",BJ125,0)</f>
        <v>0</v>
      </c>
      <c r="AI125" s="27" t="s">
        <v>3645</v>
      </c>
      <c r="AJ125" s="18">
        <f>IF(AN125=0,K125,0)</f>
        <v>0</v>
      </c>
      <c r="AK125" s="18">
        <f>IF(AN125=15,K125,0)</f>
        <v>0</v>
      </c>
      <c r="AL125" s="18">
        <f>IF(AN125=21,K125,0)</f>
        <v>0</v>
      </c>
      <c r="AN125" s="34">
        <v>21</v>
      </c>
      <c r="AO125" s="34">
        <f>J125*0.526787531076626</f>
        <v>0</v>
      </c>
      <c r="AP125" s="34">
        <f>J125*(1-0.526787531076626)</f>
        <v>0</v>
      </c>
      <c r="AQ125" s="28" t="s">
        <v>7</v>
      </c>
      <c r="AV125" s="34">
        <f>AW125+AX125</f>
        <v>0</v>
      </c>
      <c r="AW125" s="34">
        <f>I125*AO125</f>
        <v>0</v>
      </c>
      <c r="AX125" s="34">
        <f>I125*AP125</f>
        <v>0</v>
      </c>
      <c r="AY125" s="35" t="s">
        <v>3663</v>
      </c>
      <c r="AZ125" s="35" t="s">
        <v>3710</v>
      </c>
      <c r="BA125" s="27" t="s">
        <v>3729</v>
      </c>
      <c r="BC125" s="34">
        <f>AW125+AX125</f>
        <v>0</v>
      </c>
      <c r="BD125" s="34">
        <f>J125/(100-BE125)*100</f>
        <v>0</v>
      </c>
      <c r="BE125" s="34">
        <v>0</v>
      </c>
      <c r="BF125" s="34">
        <f>125</f>
        <v>125</v>
      </c>
      <c r="BH125" s="18">
        <f>I125*AO125</f>
        <v>0</v>
      </c>
      <c r="BI125" s="18">
        <f>I125*AP125</f>
        <v>0</v>
      </c>
      <c r="BJ125" s="18">
        <f>I125*J125</f>
        <v>0</v>
      </c>
    </row>
    <row r="126" spans="1:62" x14ac:dyDescent="0.2">
      <c r="A126" s="5" t="s">
        <v>108</v>
      </c>
      <c r="B126" s="5" t="s">
        <v>1311</v>
      </c>
      <c r="C126" s="135" t="s">
        <v>2518</v>
      </c>
      <c r="D126" s="136"/>
      <c r="E126" s="136"/>
      <c r="F126" s="136"/>
      <c r="G126" s="136"/>
      <c r="H126" s="5" t="s">
        <v>3615</v>
      </c>
      <c r="I126" s="18">
        <v>188.4</v>
      </c>
      <c r="J126" s="18">
        <v>0</v>
      </c>
      <c r="K126" s="18">
        <f>I126*J126</f>
        <v>0</v>
      </c>
      <c r="L126" s="28" t="s">
        <v>3635</v>
      </c>
      <c r="Z126" s="34">
        <f>IF(AQ126="5",BJ126,0)</f>
        <v>0</v>
      </c>
      <c r="AB126" s="34">
        <f>IF(AQ126="1",BH126,0)</f>
        <v>0</v>
      </c>
      <c r="AC126" s="34">
        <f>IF(AQ126="1",BI126,0)</f>
        <v>0</v>
      </c>
      <c r="AD126" s="34">
        <f>IF(AQ126="7",BH126,0)</f>
        <v>0</v>
      </c>
      <c r="AE126" s="34">
        <f>IF(AQ126="7",BI126,0)</f>
        <v>0</v>
      </c>
      <c r="AF126" s="34">
        <f>IF(AQ126="2",BH126,0)</f>
        <v>0</v>
      </c>
      <c r="AG126" s="34">
        <f>IF(AQ126="2",BI126,0)</f>
        <v>0</v>
      </c>
      <c r="AH126" s="34">
        <f>IF(AQ126="0",BJ126,0)</f>
        <v>0</v>
      </c>
      <c r="AI126" s="27" t="s">
        <v>3645</v>
      </c>
      <c r="AJ126" s="18">
        <f>IF(AN126=0,K126,0)</f>
        <v>0</v>
      </c>
      <c r="AK126" s="18">
        <f>IF(AN126=15,K126,0)</f>
        <v>0</v>
      </c>
      <c r="AL126" s="18">
        <f>IF(AN126=21,K126,0)</f>
        <v>0</v>
      </c>
      <c r="AN126" s="34">
        <v>21</v>
      </c>
      <c r="AO126" s="34">
        <f>J126*0.892581497797357</f>
        <v>0</v>
      </c>
      <c r="AP126" s="34">
        <f>J126*(1-0.892581497797357)</f>
        <v>0</v>
      </c>
      <c r="AQ126" s="28" t="s">
        <v>7</v>
      </c>
      <c r="AV126" s="34">
        <f>AW126+AX126</f>
        <v>0</v>
      </c>
      <c r="AW126" s="34">
        <f>I126*AO126</f>
        <v>0</v>
      </c>
      <c r="AX126" s="34">
        <f>I126*AP126</f>
        <v>0</v>
      </c>
      <c r="AY126" s="35" t="s">
        <v>3663</v>
      </c>
      <c r="AZ126" s="35" t="s">
        <v>3710</v>
      </c>
      <c r="BA126" s="27" t="s">
        <v>3729</v>
      </c>
      <c r="BC126" s="34">
        <f>AW126+AX126</f>
        <v>0</v>
      </c>
      <c r="BD126" s="34">
        <f>J126/(100-BE126)*100</f>
        <v>0</v>
      </c>
      <c r="BE126" s="34">
        <v>0</v>
      </c>
      <c r="BF126" s="34">
        <f>126</f>
        <v>126</v>
      </c>
      <c r="BH126" s="18">
        <f>I126*AO126</f>
        <v>0</v>
      </c>
      <c r="BI126" s="18">
        <f>I126*AP126</f>
        <v>0</v>
      </c>
      <c r="BJ126" s="18">
        <f>I126*J126</f>
        <v>0</v>
      </c>
    </row>
    <row r="127" spans="1:62" x14ac:dyDescent="0.2">
      <c r="A127" s="4"/>
      <c r="B127" s="14" t="s">
        <v>67</v>
      </c>
      <c r="C127" s="133" t="s">
        <v>2519</v>
      </c>
      <c r="D127" s="134"/>
      <c r="E127" s="134"/>
      <c r="F127" s="134"/>
      <c r="G127" s="134"/>
      <c r="H127" s="4" t="s">
        <v>6</v>
      </c>
      <c r="I127" s="4" t="s">
        <v>6</v>
      </c>
      <c r="J127" s="4" t="s">
        <v>6</v>
      </c>
      <c r="K127" s="37">
        <f>SUM(K128:K142)</f>
        <v>0</v>
      </c>
      <c r="L127" s="27"/>
      <c r="AI127" s="27" t="s">
        <v>3645</v>
      </c>
      <c r="AS127" s="37">
        <f>SUM(AJ128:AJ142)</f>
        <v>0</v>
      </c>
      <c r="AT127" s="37">
        <f>SUM(AK128:AK142)</f>
        <v>0</v>
      </c>
      <c r="AU127" s="37">
        <f>SUM(AL128:AL142)</f>
        <v>0</v>
      </c>
    </row>
    <row r="128" spans="1:62" x14ac:dyDescent="0.2">
      <c r="A128" s="5" t="s">
        <v>109</v>
      </c>
      <c r="B128" s="5" t="s">
        <v>1312</v>
      </c>
      <c r="C128" s="135" t="s">
        <v>2520</v>
      </c>
      <c r="D128" s="136"/>
      <c r="E128" s="136"/>
      <c r="F128" s="136"/>
      <c r="G128" s="136"/>
      <c r="H128" s="5" t="s">
        <v>3614</v>
      </c>
      <c r="I128" s="18">
        <v>168.16</v>
      </c>
      <c r="J128" s="18">
        <v>0</v>
      </c>
      <c r="K128" s="18">
        <f t="shared" ref="K128:K142" si="104">I128*J128</f>
        <v>0</v>
      </c>
      <c r="L128" s="28" t="s">
        <v>3635</v>
      </c>
      <c r="Z128" s="34">
        <f t="shared" ref="Z128:Z142" si="105">IF(AQ128="5",BJ128,0)</f>
        <v>0</v>
      </c>
      <c r="AB128" s="34">
        <f t="shared" ref="AB128:AB142" si="106">IF(AQ128="1",BH128,0)</f>
        <v>0</v>
      </c>
      <c r="AC128" s="34">
        <f t="shared" ref="AC128:AC142" si="107">IF(AQ128="1",BI128,0)</f>
        <v>0</v>
      </c>
      <c r="AD128" s="34">
        <f t="shared" ref="AD128:AD142" si="108">IF(AQ128="7",BH128,0)</f>
        <v>0</v>
      </c>
      <c r="AE128" s="34">
        <f t="shared" ref="AE128:AE142" si="109">IF(AQ128="7",BI128,0)</f>
        <v>0</v>
      </c>
      <c r="AF128" s="34">
        <f t="shared" ref="AF128:AF142" si="110">IF(AQ128="2",BH128,0)</f>
        <v>0</v>
      </c>
      <c r="AG128" s="34">
        <f t="shared" ref="AG128:AG142" si="111">IF(AQ128="2",BI128,0)</f>
        <v>0</v>
      </c>
      <c r="AH128" s="34">
        <f t="shared" ref="AH128:AH142" si="112">IF(AQ128="0",BJ128,0)</f>
        <v>0</v>
      </c>
      <c r="AI128" s="27" t="s">
        <v>3645</v>
      </c>
      <c r="AJ128" s="18">
        <f t="shared" ref="AJ128:AJ142" si="113">IF(AN128=0,K128,0)</f>
        <v>0</v>
      </c>
      <c r="AK128" s="18">
        <f t="shared" ref="AK128:AK142" si="114">IF(AN128=15,K128,0)</f>
        <v>0</v>
      </c>
      <c r="AL128" s="18">
        <f t="shared" ref="AL128:AL142" si="115">IF(AN128=21,K128,0)</f>
        <v>0</v>
      </c>
      <c r="AN128" s="34">
        <v>21</v>
      </c>
      <c r="AO128" s="34">
        <f>J128*0.68151026519254</f>
        <v>0</v>
      </c>
      <c r="AP128" s="34">
        <f>J128*(1-0.68151026519254)</f>
        <v>0</v>
      </c>
      <c r="AQ128" s="28" t="s">
        <v>7</v>
      </c>
      <c r="AV128" s="34">
        <f t="shared" ref="AV128:AV142" si="116">AW128+AX128</f>
        <v>0</v>
      </c>
      <c r="AW128" s="34">
        <f t="shared" ref="AW128:AW142" si="117">I128*AO128</f>
        <v>0</v>
      </c>
      <c r="AX128" s="34">
        <f t="shared" ref="AX128:AX142" si="118">I128*AP128</f>
        <v>0</v>
      </c>
      <c r="AY128" s="35" t="s">
        <v>3664</v>
      </c>
      <c r="AZ128" s="35" t="s">
        <v>3711</v>
      </c>
      <c r="BA128" s="27" t="s">
        <v>3729</v>
      </c>
      <c r="BC128" s="34">
        <f t="shared" ref="BC128:BC142" si="119">AW128+AX128</f>
        <v>0</v>
      </c>
      <c r="BD128" s="34">
        <f t="shared" ref="BD128:BD142" si="120">J128/(100-BE128)*100</f>
        <v>0</v>
      </c>
      <c r="BE128" s="34">
        <v>0</v>
      </c>
      <c r="BF128" s="34">
        <f>128</f>
        <v>128</v>
      </c>
      <c r="BH128" s="18">
        <f t="shared" ref="BH128:BH142" si="121">I128*AO128</f>
        <v>0</v>
      </c>
      <c r="BI128" s="18">
        <f t="shared" ref="BI128:BI142" si="122">I128*AP128</f>
        <v>0</v>
      </c>
      <c r="BJ128" s="18">
        <f t="shared" ref="BJ128:BJ142" si="123">I128*J128</f>
        <v>0</v>
      </c>
    </row>
    <row r="129" spans="1:62" x14ac:dyDescent="0.2">
      <c r="A129" s="5" t="s">
        <v>110</v>
      </c>
      <c r="B129" s="5" t="s">
        <v>1313</v>
      </c>
      <c r="C129" s="135" t="s">
        <v>2521</v>
      </c>
      <c r="D129" s="136"/>
      <c r="E129" s="136"/>
      <c r="F129" s="136"/>
      <c r="G129" s="136"/>
      <c r="H129" s="5" t="s">
        <v>3615</v>
      </c>
      <c r="I129" s="18">
        <v>179.81299999999999</v>
      </c>
      <c r="J129" s="18">
        <v>0</v>
      </c>
      <c r="K129" s="18">
        <f t="shared" si="104"/>
        <v>0</v>
      </c>
      <c r="L129" s="28" t="s">
        <v>3635</v>
      </c>
      <c r="Z129" s="34">
        <f t="shared" si="105"/>
        <v>0</v>
      </c>
      <c r="AB129" s="34">
        <f t="shared" si="106"/>
        <v>0</v>
      </c>
      <c r="AC129" s="34">
        <f t="shared" si="107"/>
        <v>0</v>
      </c>
      <c r="AD129" s="34">
        <f t="shared" si="108"/>
        <v>0</v>
      </c>
      <c r="AE129" s="34">
        <f t="shared" si="109"/>
        <v>0</v>
      </c>
      <c r="AF129" s="34">
        <f t="shared" si="110"/>
        <v>0</v>
      </c>
      <c r="AG129" s="34">
        <f t="shared" si="111"/>
        <v>0</v>
      </c>
      <c r="AH129" s="34">
        <f t="shared" si="112"/>
        <v>0</v>
      </c>
      <c r="AI129" s="27" t="s">
        <v>3645</v>
      </c>
      <c r="AJ129" s="18">
        <f t="shared" si="113"/>
        <v>0</v>
      </c>
      <c r="AK129" s="18">
        <f t="shared" si="114"/>
        <v>0</v>
      </c>
      <c r="AL129" s="18">
        <f t="shared" si="115"/>
        <v>0</v>
      </c>
      <c r="AN129" s="34">
        <v>21</v>
      </c>
      <c r="AO129" s="34">
        <f>J129*0.29342115283061</f>
        <v>0</v>
      </c>
      <c r="AP129" s="34">
        <f>J129*(1-0.29342115283061)</f>
        <v>0</v>
      </c>
      <c r="AQ129" s="28" t="s">
        <v>7</v>
      </c>
      <c r="AV129" s="34">
        <f t="shared" si="116"/>
        <v>0</v>
      </c>
      <c r="AW129" s="34">
        <f t="shared" si="117"/>
        <v>0</v>
      </c>
      <c r="AX129" s="34">
        <f t="shared" si="118"/>
        <v>0</v>
      </c>
      <c r="AY129" s="35" t="s">
        <v>3664</v>
      </c>
      <c r="AZ129" s="35" t="s">
        <v>3711</v>
      </c>
      <c r="BA129" s="27" t="s">
        <v>3729</v>
      </c>
      <c r="BC129" s="34">
        <f t="shared" si="119"/>
        <v>0</v>
      </c>
      <c r="BD129" s="34">
        <f t="shared" si="120"/>
        <v>0</v>
      </c>
      <c r="BE129" s="34">
        <v>0</v>
      </c>
      <c r="BF129" s="34">
        <f>129</f>
        <v>129</v>
      </c>
      <c r="BH129" s="18">
        <f t="shared" si="121"/>
        <v>0</v>
      </c>
      <c r="BI129" s="18">
        <f t="shared" si="122"/>
        <v>0</v>
      </c>
      <c r="BJ129" s="18">
        <f t="shared" si="123"/>
        <v>0</v>
      </c>
    </row>
    <row r="130" spans="1:62" x14ac:dyDescent="0.2">
      <c r="A130" s="5" t="s">
        <v>111</v>
      </c>
      <c r="B130" s="5" t="s">
        <v>1314</v>
      </c>
      <c r="C130" s="135" t="s">
        <v>2522</v>
      </c>
      <c r="D130" s="136"/>
      <c r="E130" s="136"/>
      <c r="F130" s="136"/>
      <c r="G130" s="136"/>
      <c r="H130" s="5" t="s">
        <v>3615</v>
      </c>
      <c r="I130" s="18">
        <v>358.42</v>
      </c>
      <c r="J130" s="18">
        <v>0</v>
      </c>
      <c r="K130" s="18">
        <f t="shared" si="104"/>
        <v>0</v>
      </c>
      <c r="L130" s="28" t="s">
        <v>3635</v>
      </c>
      <c r="Z130" s="34">
        <f t="shared" si="105"/>
        <v>0</v>
      </c>
      <c r="AB130" s="34">
        <f t="shared" si="106"/>
        <v>0</v>
      </c>
      <c r="AC130" s="34">
        <f t="shared" si="107"/>
        <v>0</v>
      </c>
      <c r="AD130" s="34">
        <f t="shared" si="108"/>
        <v>0</v>
      </c>
      <c r="AE130" s="34">
        <f t="shared" si="109"/>
        <v>0</v>
      </c>
      <c r="AF130" s="34">
        <f t="shared" si="110"/>
        <v>0</v>
      </c>
      <c r="AG130" s="34">
        <f t="shared" si="111"/>
        <v>0</v>
      </c>
      <c r="AH130" s="34">
        <f t="shared" si="112"/>
        <v>0</v>
      </c>
      <c r="AI130" s="27" t="s">
        <v>3645</v>
      </c>
      <c r="AJ130" s="18">
        <f t="shared" si="113"/>
        <v>0</v>
      </c>
      <c r="AK130" s="18">
        <f t="shared" si="114"/>
        <v>0</v>
      </c>
      <c r="AL130" s="18">
        <f t="shared" si="115"/>
        <v>0</v>
      </c>
      <c r="AN130" s="34">
        <v>21</v>
      </c>
      <c r="AO130" s="34">
        <f>J130*0.228448153940245</f>
        <v>0</v>
      </c>
      <c r="AP130" s="34">
        <f>J130*(1-0.228448153940245)</f>
        <v>0</v>
      </c>
      <c r="AQ130" s="28" t="s">
        <v>7</v>
      </c>
      <c r="AV130" s="34">
        <f t="shared" si="116"/>
        <v>0</v>
      </c>
      <c r="AW130" s="34">
        <f t="shared" si="117"/>
        <v>0</v>
      </c>
      <c r="AX130" s="34">
        <f t="shared" si="118"/>
        <v>0</v>
      </c>
      <c r="AY130" s="35" t="s">
        <v>3664</v>
      </c>
      <c r="AZ130" s="35" t="s">
        <v>3711</v>
      </c>
      <c r="BA130" s="27" t="s">
        <v>3729</v>
      </c>
      <c r="BC130" s="34">
        <f t="shared" si="119"/>
        <v>0</v>
      </c>
      <c r="BD130" s="34">
        <f t="shared" si="120"/>
        <v>0</v>
      </c>
      <c r="BE130" s="34">
        <v>0</v>
      </c>
      <c r="BF130" s="34">
        <f>130</f>
        <v>130</v>
      </c>
      <c r="BH130" s="18">
        <f t="shared" si="121"/>
        <v>0</v>
      </c>
      <c r="BI130" s="18">
        <f t="shared" si="122"/>
        <v>0</v>
      </c>
      <c r="BJ130" s="18">
        <f t="shared" si="123"/>
        <v>0</v>
      </c>
    </row>
    <row r="131" spans="1:62" x14ac:dyDescent="0.2">
      <c r="A131" s="5" t="s">
        <v>112</v>
      </c>
      <c r="B131" s="5" t="s">
        <v>1315</v>
      </c>
      <c r="C131" s="135" t="s">
        <v>2523</v>
      </c>
      <c r="D131" s="136"/>
      <c r="E131" s="136"/>
      <c r="F131" s="136"/>
      <c r="G131" s="136"/>
      <c r="H131" s="5" t="s">
        <v>3615</v>
      </c>
      <c r="I131" s="18">
        <v>217.44</v>
      </c>
      <c r="J131" s="18">
        <v>0</v>
      </c>
      <c r="K131" s="18">
        <f t="shared" si="104"/>
        <v>0</v>
      </c>
      <c r="L131" s="28" t="s">
        <v>3635</v>
      </c>
      <c r="Z131" s="34">
        <f t="shared" si="105"/>
        <v>0</v>
      </c>
      <c r="AB131" s="34">
        <f t="shared" si="106"/>
        <v>0</v>
      </c>
      <c r="AC131" s="34">
        <f t="shared" si="107"/>
        <v>0</v>
      </c>
      <c r="AD131" s="34">
        <f t="shared" si="108"/>
        <v>0</v>
      </c>
      <c r="AE131" s="34">
        <f t="shared" si="109"/>
        <v>0</v>
      </c>
      <c r="AF131" s="34">
        <f t="shared" si="110"/>
        <v>0</v>
      </c>
      <c r="AG131" s="34">
        <f t="shared" si="111"/>
        <v>0</v>
      </c>
      <c r="AH131" s="34">
        <f t="shared" si="112"/>
        <v>0</v>
      </c>
      <c r="AI131" s="27" t="s">
        <v>3645</v>
      </c>
      <c r="AJ131" s="18">
        <f t="shared" si="113"/>
        <v>0</v>
      </c>
      <c r="AK131" s="18">
        <f t="shared" si="114"/>
        <v>0</v>
      </c>
      <c r="AL131" s="18">
        <f t="shared" si="115"/>
        <v>0</v>
      </c>
      <c r="AN131" s="34">
        <v>21</v>
      </c>
      <c r="AO131" s="34">
        <f>J131*0.270592105263158</f>
        <v>0</v>
      </c>
      <c r="AP131" s="34">
        <f>J131*(1-0.270592105263158)</f>
        <v>0</v>
      </c>
      <c r="AQ131" s="28" t="s">
        <v>7</v>
      </c>
      <c r="AV131" s="34">
        <f t="shared" si="116"/>
        <v>0</v>
      </c>
      <c r="AW131" s="34">
        <f t="shared" si="117"/>
        <v>0</v>
      </c>
      <c r="AX131" s="34">
        <f t="shared" si="118"/>
        <v>0</v>
      </c>
      <c r="AY131" s="35" t="s">
        <v>3664</v>
      </c>
      <c r="AZ131" s="35" t="s">
        <v>3711</v>
      </c>
      <c r="BA131" s="27" t="s">
        <v>3729</v>
      </c>
      <c r="BC131" s="34">
        <f t="shared" si="119"/>
        <v>0</v>
      </c>
      <c r="BD131" s="34">
        <f t="shared" si="120"/>
        <v>0</v>
      </c>
      <c r="BE131" s="34">
        <v>0</v>
      </c>
      <c r="BF131" s="34">
        <f>131</f>
        <v>131</v>
      </c>
      <c r="BH131" s="18">
        <f t="shared" si="121"/>
        <v>0</v>
      </c>
      <c r="BI131" s="18">
        <f t="shared" si="122"/>
        <v>0</v>
      </c>
      <c r="BJ131" s="18">
        <f t="shared" si="123"/>
        <v>0</v>
      </c>
    </row>
    <row r="132" spans="1:62" x14ac:dyDescent="0.2">
      <c r="A132" s="5" t="s">
        <v>113</v>
      </c>
      <c r="B132" s="5" t="s">
        <v>1316</v>
      </c>
      <c r="C132" s="135" t="s">
        <v>2524</v>
      </c>
      <c r="D132" s="136"/>
      <c r="E132" s="136"/>
      <c r="F132" s="136"/>
      <c r="G132" s="136"/>
      <c r="H132" s="5" t="s">
        <v>3615</v>
      </c>
      <c r="I132" s="18">
        <v>575.86</v>
      </c>
      <c r="J132" s="18">
        <v>0</v>
      </c>
      <c r="K132" s="18">
        <f t="shared" si="104"/>
        <v>0</v>
      </c>
      <c r="L132" s="28" t="s">
        <v>3635</v>
      </c>
      <c r="Z132" s="34">
        <f t="shared" si="105"/>
        <v>0</v>
      </c>
      <c r="AB132" s="34">
        <f t="shared" si="106"/>
        <v>0</v>
      </c>
      <c r="AC132" s="34">
        <f t="shared" si="107"/>
        <v>0</v>
      </c>
      <c r="AD132" s="34">
        <f t="shared" si="108"/>
        <v>0</v>
      </c>
      <c r="AE132" s="34">
        <f t="shared" si="109"/>
        <v>0</v>
      </c>
      <c r="AF132" s="34">
        <f t="shared" si="110"/>
        <v>0</v>
      </c>
      <c r="AG132" s="34">
        <f t="shared" si="111"/>
        <v>0</v>
      </c>
      <c r="AH132" s="34">
        <f t="shared" si="112"/>
        <v>0</v>
      </c>
      <c r="AI132" s="27" t="s">
        <v>3645</v>
      </c>
      <c r="AJ132" s="18">
        <f t="shared" si="113"/>
        <v>0</v>
      </c>
      <c r="AK132" s="18">
        <f t="shared" si="114"/>
        <v>0</v>
      </c>
      <c r="AL132" s="18">
        <f t="shared" si="115"/>
        <v>0</v>
      </c>
      <c r="AN132" s="34">
        <v>21</v>
      </c>
      <c r="AO132" s="34">
        <f>J132*0.179026249665583</f>
        <v>0</v>
      </c>
      <c r="AP132" s="34">
        <f>J132*(1-0.179026249665583)</f>
        <v>0</v>
      </c>
      <c r="AQ132" s="28" t="s">
        <v>7</v>
      </c>
      <c r="AV132" s="34">
        <f t="shared" si="116"/>
        <v>0</v>
      </c>
      <c r="AW132" s="34">
        <f t="shared" si="117"/>
        <v>0</v>
      </c>
      <c r="AX132" s="34">
        <f t="shared" si="118"/>
        <v>0</v>
      </c>
      <c r="AY132" s="35" t="s">
        <v>3664</v>
      </c>
      <c r="AZ132" s="35" t="s">
        <v>3711</v>
      </c>
      <c r="BA132" s="27" t="s">
        <v>3729</v>
      </c>
      <c r="BC132" s="34">
        <f t="shared" si="119"/>
        <v>0</v>
      </c>
      <c r="BD132" s="34">
        <f t="shared" si="120"/>
        <v>0</v>
      </c>
      <c r="BE132" s="34">
        <v>0</v>
      </c>
      <c r="BF132" s="34">
        <f>132</f>
        <v>132</v>
      </c>
      <c r="BH132" s="18">
        <f t="shared" si="121"/>
        <v>0</v>
      </c>
      <c r="BI132" s="18">
        <f t="shared" si="122"/>
        <v>0</v>
      </c>
      <c r="BJ132" s="18">
        <f t="shared" si="123"/>
        <v>0</v>
      </c>
    </row>
    <row r="133" spans="1:62" x14ac:dyDescent="0.2">
      <c r="A133" s="5" t="s">
        <v>114</v>
      </c>
      <c r="B133" s="5" t="s">
        <v>1317</v>
      </c>
      <c r="C133" s="135" t="s">
        <v>2525</v>
      </c>
      <c r="D133" s="136"/>
      <c r="E133" s="136"/>
      <c r="F133" s="136"/>
      <c r="G133" s="136"/>
      <c r="H133" s="5" t="s">
        <v>3614</v>
      </c>
      <c r="I133" s="18">
        <v>675.53</v>
      </c>
      <c r="J133" s="18">
        <v>0</v>
      </c>
      <c r="K133" s="18">
        <f t="shared" si="104"/>
        <v>0</v>
      </c>
      <c r="L133" s="28" t="s">
        <v>3635</v>
      </c>
      <c r="Z133" s="34">
        <f t="shared" si="105"/>
        <v>0</v>
      </c>
      <c r="AB133" s="34">
        <f t="shared" si="106"/>
        <v>0</v>
      </c>
      <c r="AC133" s="34">
        <f t="shared" si="107"/>
        <v>0</v>
      </c>
      <c r="AD133" s="34">
        <f t="shared" si="108"/>
        <v>0</v>
      </c>
      <c r="AE133" s="34">
        <f t="shared" si="109"/>
        <v>0</v>
      </c>
      <c r="AF133" s="34">
        <f t="shared" si="110"/>
        <v>0</v>
      </c>
      <c r="AG133" s="34">
        <f t="shared" si="111"/>
        <v>0</v>
      </c>
      <c r="AH133" s="34">
        <f t="shared" si="112"/>
        <v>0</v>
      </c>
      <c r="AI133" s="27" t="s">
        <v>3645</v>
      </c>
      <c r="AJ133" s="18">
        <f t="shared" si="113"/>
        <v>0</v>
      </c>
      <c r="AK133" s="18">
        <f t="shared" si="114"/>
        <v>0</v>
      </c>
      <c r="AL133" s="18">
        <f t="shared" si="115"/>
        <v>0</v>
      </c>
      <c r="AN133" s="34">
        <v>21</v>
      </c>
      <c r="AO133" s="34">
        <f>J133*0.0977245422357178</f>
        <v>0</v>
      </c>
      <c r="AP133" s="34">
        <f>J133*(1-0.0977245422357178)</f>
        <v>0</v>
      </c>
      <c r="AQ133" s="28" t="s">
        <v>7</v>
      </c>
      <c r="AV133" s="34">
        <f t="shared" si="116"/>
        <v>0</v>
      </c>
      <c r="AW133" s="34">
        <f t="shared" si="117"/>
        <v>0</v>
      </c>
      <c r="AX133" s="34">
        <f t="shared" si="118"/>
        <v>0</v>
      </c>
      <c r="AY133" s="35" t="s">
        <v>3664</v>
      </c>
      <c r="AZ133" s="35" t="s">
        <v>3711</v>
      </c>
      <c r="BA133" s="27" t="s">
        <v>3729</v>
      </c>
      <c r="BC133" s="34">
        <f t="shared" si="119"/>
        <v>0</v>
      </c>
      <c r="BD133" s="34">
        <f t="shared" si="120"/>
        <v>0</v>
      </c>
      <c r="BE133" s="34">
        <v>0</v>
      </c>
      <c r="BF133" s="34">
        <f>133</f>
        <v>133</v>
      </c>
      <c r="BH133" s="18">
        <f t="shared" si="121"/>
        <v>0</v>
      </c>
      <c r="BI133" s="18">
        <f t="shared" si="122"/>
        <v>0</v>
      </c>
      <c r="BJ133" s="18">
        <f t="shared" si="123"/>
        <v>0</v>
      </c>
    </row>
    <row r="134" spans="1:62" x14ac:dyDescent="0.2">
      <c r="A134" s="5" t="s">
        <v>115</v>
      </c>
      <c r="B134" s="5" t="s">
        <v>1318</v>
      </c>
      <c r="C134" s="135" t="s">
        <v>2526</v>
      </c>
      <c r="D134" s="136"/>
      <c r="E134" s="136"/>
      <c r="F134" s="136"/>
      <c r="G134" s="136"/>
      <c r="H134" s="5" t="s">
        <v>3615</v>
      </c>
      <c r="I134" s="18">
        <v>45</v>
      </c>
      <c r="J134" s="18">
        <v>0</v>
      </c>
      <c r="K134" s="18">
        <f t="shared" si="104"/>
        <v>0</v>
      </c>
      <c r="L134" s="28" t="s">
        <v>3635</v>
      </c>
      <c r="Z134" s="34">
        <f t="shared" si="105"/>
        <v>0</v>
      </c>
      <c r="AB134" s="34">
        <f t="shared" si="106"/>
        <v>0</v>
      </c>
      <c r="AC134" s="34">
        <f t="shared" si="107"/>
        <v>0</v>
      </c>
      <c r="AD134" s="34">
        <f t="shared" si="108"/>
        <v>0</v>
      </c>
      <c r="AE134" s="34">
        <f t="shared" si="109"/>
        <v>0</v>
      </c>
      <c r="AF134" s="34">
        <f t="shared" si="110"/>
        <v>0</v>
      </c>
      <c r="AG134" s="34">
        <f t="shared" si="111"/>
        <v>0</v>
      </c>
      <c r="AH134" s="34">
        <f t="shared" si="112"/>
        <v>0</v>
      </c>
      <c r="AI134" s="27" t="s">
        <v>3645</v>
      </c>
      <c r="AJ134" s="18">
        <f t="shared" si="113"/>
        <v>0</v>
      </c>
      <c r="AK134" s="18">
        <f t="shared" si="114"/>
        <v>0</v>
      </c>
      <c r="AL134" s="18">
        <f t="shared" si="115"/>
        <v>0</v>
      </c>
      <c r="AN134" s="34">
        <v>21</v>
      </c>
      <c r="AO134" s="34">
        <f>J134*0.248415584415584</f>
        <v>0</v>
      </c>
      <c r="AP134" s="34">
        <f>J134*(1-0.248415584415584)</f>
        <v>0</v>
      </c>
      <c r="AQ134" s="28" t="s">
        <v>7</v>
      </c>
      <c r="AV134" s="34">
        <f t="shared" si="116"/>
        <v>0</v>
      </c>
      <c r="AW134" s="34">
        <f t="shared" si="117"/>
        <v>0</v>
      </c>
      <c r="AX134" s="34">
        <f t="shared" si="118"/>
        <v>0</v>
      </c>
      <c r="AY134" s="35" t="s">
        <v>3664</v>
      </c>
      <c r="AZ134" s="35" t="s">
        <v>3711</v>
      </c>
      <c r="BA134" s="27" t="s">
        <v>3729</v>
      </c>
      <c r="BC134" s="34">
        <f t="shared" si="119"/>
        <v>0</v>
      </c>
      <c r="BD134" s="34">
        <f t="shared" si="120"/>
        <v>0</v>
      </c>
      <c r="BE134" s="34">
        <v>0</v>
      </c>
      <c r="BF134" s="34">
        <f>134</f>
        <v>134</v>
      </c>
      <c r="BH134" s="18">
        <f t="shared" si="121"/>
        <v>0</v>
      </c>
      <c r="BI134" s="18">
        <f t="shared" si="122"/>
        <v>0</v>
      </c>
      <c r="BJ134" s="18">
        <f t="shared" si="123"/>
        <v>0</v>
      </c>
    </row>
    <row r="135" spans="1:62" x14ac:dyDescent="0.2">
      <c r="A135" s="5" t="s">
        <v>116</v>
      </c>
      <c r="B135" s="5" t="s">
        <v>1319</v>
      </c>
      <c r="C135" s="135" t="s">
        <v>2527</v>
      </c>
      <c r="D135" s="136"/>
      <c r="E135" s="136"/>
      <c r="F135" s="136"/>
      <c r="G135" s="136"/>
      <c r="H135" s="5" t="s">
        <v>3615</v>
      </c>
      <c r="I135" s="18">
        <v>353.40699999999998</v>
      </c>
      <c r="J135" s="18">
        <v>0</v>
      </c>
      <c r="K135" s="18">
        <f t="shared" si="104"/>
        <v>0</v>
      </c>
      <c r="L135" s="28" t="s">
        <v>3635</v>
      </c>
      <c r="Z135" s="34">
        <f t="shared" si="105"/>
        <v>0</v>
      </c>
      <c r="AB135" s="34">
        <f t="shared" si="106"/>
        <v>0</v>
      </c>
      <c r="AC135" s="34">
        <f t="shared" si="107"/>
        <v>0</v>
      </c>
      <c r="AD135" s="34">
        <f t="shared" si="108"/>
        <v>0</v>
      </c>
      <c r="AE135" s="34">
        <f t="shared" si="109"/>
        <v>0</v>
      </c>
      <c r="AF135" s="34">
        <f t="shared" si="110"/>
        <v>0</v>
      </c>
      <c r="AG135" s="34">
        <f t="shared" si="111"/>
        <v>0</v>
      </c>
      <c r="AH135" s="34">
        <f t="shared" si="112"/>
        <v>0</v>
      </c>
      <c r="AI135" s="27" t="s">
        <v>3645</v>
      </c>
      <c r="AJ135" s="18">
        <f t="shared" si="113"/>
        <v>0</v>
      </c>
      <c r="AK135" s="18">
        <f t="shared" si="114"/>
        <v>0</v>
      </c>
      <c r="AL135" s="18">
        <f t="shared" si="115"/>
        <v>0</v>
      </c>
      <c r="AN135" s="34">
        <v>21</v>
      </c>
      <c r="AO135" s="34">
        <f>J135*0.202269404245379</f>
        <v>0</v>
      </c>
      <c r="AP135" s="34">
        <f>J135*(1-0.202269404245379)</f>
        <v>0</v>
      </c>
      <c r="AQ135" s="28" t="s">
        <v>7</v>
      </c>
      <c r="AV135" s="34">
        <f t="shared" si="116"/>
        <v>0</v>
      </c>
      <c r="AW135" s="34">
        <f t="shared" si="117"/>
        <v>0</v>
      </c>
      <c r="AX135" s="34">
        <f t="shared" si="118"/>
        <v>0</v>
      </c>
      <c r="AY135" s="35" t="s">
        <v>3664</v>
      </c>
      <c r="AZ135" s="35" t="s">
        <v>3711</v>
      </c>
      <c r="BA135" s="27" t="s">
        <v>3729</v>
      </c>
      <c r="BC135" s="34">
        <f t="shared" si="119"/>
        <v>0</v>
      </c>
      <c r="BD135" s="34">
        <f t="shared" si="120"/>
        <v>0</v>
      </c>
      <c r="BE135" s="34">
        <v>0</v>
      </c>
      <c r="BF135" s="34">
        <f>135</f>
        <v>135</v>
      </c>
      <c r="BH135" s="18">
        <f t="shared" si="121"/>
        <v>0</v>
      </c>
      <c r="BI135" s="18">
        <f t="shared" si="122"/>
        <v>0</v>
      </c>
      <c r="BJ135" s="18">
        <f t="shared" si="123"/>
        <v>0</v>
      </c>
    </row>
    <row r="136" spans="1:62" x14ac:dyDescent="0.2">
      <c r="A136" s="5" t="s">
        <v>117</v>
      </c>
      <c r="B136" s="5" t="s">
        <v>1320</v>
      </c>
      <c r="C136" s="135" t="s">
        <v>2528</v>
      </c>
      <c r="D136" s="136"/>
      <c r="E136" s="136"/>
      <c r="F136" s="136"/>
      <c r="G136" s="136"/>
      <c r="H136" s="5" t="s">
        <v>3615</v>
      </c>
      <c r="I136" s="18">
        <v>37.345149999999997</v>
      </c>
      <c r="J136" s="18">
        <v>0</v>
      </c>
      <c r="K136" s="18">
        <f t="shared" si="104"/>
        <v>0</v>
      </c>
      <c r="L136" s="28" t="s">
        <v>3635</v>
      </c>
      <c r="Z136" s="34">
        <f t="shared" si="105"/>
        <v>0</v>
      </c>
      <c r="AB136" s="34">
        <f t="shared" si="106"/>
        <v>0</v>
      </c>
      <c r="AC136" s="34">
        <f t="shared" si="107"/>
        <v>0</v>
      </c>
      <c r="AD136" s="34">
        <f t="shared" si="108"/>
        <v>0</v>
      </c>
      <c r="AE136" s="34">
        <f t="shared" si="109"/>
        <v>0</v>
      </c>
      <c r="AF136" s="34">
        <f t="shared" si="110"/>
        <v>0</v>
      </c>
      <c r="AG136" s="34">
        <f t="shared" si="111"/>
        <v>0</v>
      </c>
      <c r="AH136" s="34">
        <f t="shared" si="112"/>
        <v>0</v>
      </c>
      <c r="AI136" s="27" t="s">
        <v>3645</v>
      </c>
      <c r="AJ136" s="18">
        <f t="shared" si="113"/>
        <v>0</v>
      </c>
      <c r="AK136" s="18">
        <f t="shared" si="114"/>
        <v>0</v>
      </c>
      <c r="AL136" s="18">
        <f t="shared" si="115"/>
        <v>0</v>
      </c>
      <c r="AN136" s="34">
        <v>21</v>
      </c>
      <c r="AO136" s="34">
        <f>J136*0.20226031664373</f>
        <v>0</v>
      </c>
      <c r="AP136" s="34">
        <f>J136*(1-0.20226031664373)</f>
        <v>0</v>
      </c>
      <c r="AQ136" s="28" t="s">
        <v>7</v>
      </c>
      <c r="AV136" s="34">
        <f t="shared" si="116"/>
        <v>0</v>
      </c>
      <c r="AW136" s="34">
        <f t="shared" si="117"/>
        <v>0</v>
      </c>
      <c r="AX136" s="34">
        <f t="shared" si="118"/>
        <v>0</v>
      </c>
      <c r="AY136" s="35" t="s">
        <v>3664</v>
      </c>
      <c r="AZ136" s="35" t="s">
        <v>3711</v>
      </c>
      <c r="BA136" s="27" t="s">
        <v>3729</v>
      </c>
      <c r="BC136" s="34">
        <f t="shared" si="119"/>
        <v>0</v>
      </c>
      <c r="BD136" s="34">
        <f t="shared" si="120"/>
        <v>0</v>
      </c>
      <c r="BE136" s="34">
        <v>0</v>
      </c>
      <c r="BF136" s="34">
        <f>136</f>
        <v>136</v>
      </c>
      <c r="BH136" s="18">
        <f t="shared" si="121"/>
        <v>0</v>
      </c>
      <c r="BI136" s="18">
        <f t="shared" si="122"/>
        <v>0</v>
      </c>
      <c r="BJ136" s="18">
        <f t="shared" si="123"/>
        <v>0</v>
      </c>
    </row>
    <row r="137" spans="1:62" x14ac:dyDescent="0.2">
      <c r="A137" s="5" t="s">
        <v>118</v>
      </c>
      <c r="B137" s="5" t="s">
        <v>1321</v>
      </c>
      <c r="C137" s="135" t="s">
        <v>2529</v>
      </c>
      <c r="D137" s="136"/>
      <c r="E137" s="136"/>
      <c r="F137" s="136"/>
      <c r="G137" s="136"/>
      <c r="H137" s="5" t="s">
        <v>3615</v>
      </c>
      <c r="I137" s="18">
        <v>368.55099999999999</v>
      </c>
      <c r="J137" s="18">
        <v>0</v>
      </c>
      <c r="K137" s="18">
        <f t="shared" si="104"/>
        <v>0</v>
      </c>
      <c r="L137" s="28" t="s">
        <v>3635</v>
      </c>
      <c r="Z137" s="34">
        <f t="shared" si="105"/>
        <v>0</v>
      </c>
      <c r="AB137" s="34">
        <f t="shared" si="106"/>
        <v>0</v>
      </c>
      <c r="AC137" s="34">
        <f t="shared" si="107"/>
        <v>0</v>
      </c>
      <c r="AD137" s="34">
        <f t="shared" si="108"/>
        <v>0</v>
      </c>
      <c r="AE137" s="34">
        <f t="shared" si="109"/>
        <v>0</v>
      </c>
      <c r="AF137" s="34">
        <f t="shared" si="110"/>
        <v>0</v>
      </c>
      <c r="AG137" s="34">
        <f t="shared" si="111"/>
        <v>0</v>
      </c>
      <c r="AH137" s="34">
        <f t="shared" si="112"/>
        <v>0</v>
      </c>
      <c r="AI137" s="27" t="s">
        <v>3645</v>
      </c>
      <c r="AJ137" s="18">
        <f t="shared" si="113"/>
        <v>0</v>
      </c>
      <c r="AK137" s="18">
        <f t="shared" si="114"/>
        <v>0</v>
      </c>
      <c r="AL137" s="18">
        <f t="shared" si="115"/>
        <v>0</v>
      </c>
      <c r="AN137" s="34">
        <v>21</v>
      </c>
      <c r="AO137" s="34">
        <f>J137*0.159433559680525</f>
        <v>0</v>
      </c>
      <c r="AP137" s="34">
        <f>J137*(1-0.159433559680525)</f>
        <v>0</v>
      </c>
      <c r="AQ137" s="28" t="s">
        <v>7</v>
      </c>
      <c r="AV137" s="34">
        <f t="shared" si="116"/>
        <v>0</v>
      </c>
      <c r="AW137" s="34">
        <f t="shared" si="117"/>
        <v>0</v>
      </c>
      <c r="AX137" s="34">
        <f t="shared" si="118"/>
        <v>0</v>
      </c>
      <c r="AY137" s="35" t="s">
        <v>3664</v>
      </c>
      <c r="AZ137" s="35" t="s">
        <v>3711</v>
      </c>
      <c r="BA137" s="27" t="s">
        <v>3729</v>
      </c>
      <c r="BC137" s="34">
        <f t="shared" si="119"/>
        <v>0</v>
      </c>
      <c r="BD137" s="34">
        <f t="shared" si="120"/>
        <v>0</v>
      </c>
      <c r="BE137" s="34">
        <v>0</v>
      </c>
      <c r="BF137" s="34">
        <f>137</f>
        <v>137</v>
      </c>
      <c r="BH137" s="18">
        <f t="shared" si="121"/>
        <v>0</v>
      </c>
      <c r="BI137" s="18">
        <f t="shared" si="122"/>
        <v>0</v>
      </c>
      <c r="BJ137" s="18">
        <f t="shared" si="123"/>
        <v>0</v>
      </c>
    </row>
    <row r="138" spans="1:62" x14ac:dyDescent="0.2">
      <c r="A138" s="5" t="s">
        <v>119</v>
      </c>
      <c r="B138" s="5" t="s">
        <v>1322</v>
      </c>
      <c r="C138" s="135" t="s">
        <v>2530</v>
      </c>
      <c r="D138" s="136"/>
      <c r="E138" s="136"/>
      <c r="F138" s="136"/>
      <c r="G138" s="136"/>
      <c r="H138" s="5" t="s">
        <v>3615</v>
      </c>
      <c r="I138" s="18">
        <v>29.29975</v>
      </c>
      <c r="J138" s="18">
        <v>0</v>
      </c>
      <c r="K138" s="18">
        <f t="shared" si="104"/>
        <v>0</v>
      </c>
      <c r="L138" s="28" t="s">
        <v>3635</v>
      </c>
      <c r="Z138" s="34">
        <f t="shared" si="105"/>
        <v>0</v>
      </c>
      <c r="AB138" s="34">
        <f t="shared" si="106"/>
        <v>0</v>
      </c>
      <c r="AC138" s="34">
        <f t="shared" si="107"/>
        <v>0</v>
      </c>
      <c r="AD138" s="34">
        <f t="shared" si="108"/>
        <v>0</v>
      </c>
      <c r="AE138" s="34">
        <f t="shared" si="109"/>
        <v>0</v>
      </c>
      <c r="AF138" s="34">
        <f t="shared" si="110"/>
        <v>0</v>
      </c>
      <c r="AG138" s="34">
        <f t="shared" si="111"/>
        <v>0</v>
      </c>
      <c r="AH138" s="34">
        <f t="shared" si="112"/>
        <v>0</v>
      </c>
      <c r="AI138" s="27" t="s">
        <v>3645</v>
      </c>
      <c r="AJ138" s="18">
        <f t="shared" si="113"/>
        <v>0</v>
      </c>
      <c r="AK138" s="18">
        <f t="shared" si="114"/>
        <v>0</v>
      </c>
      <c r="AL138" s="18">
        <f t="shared" si="115"/>
        <v>0</v>
      </c>
      <c r="AN138" s="34">
        <v>21</v>
      </c>
      <c r="AO138" s="34">
        <f>J138*0.216102730076362</f>
        <v>0</v>
      </c>
      <c r="AP138" s="34">
        <f>J138*(1-0.216102730076362)</f>
        <v>0</v>
      </c>
      <c r="AQ138" s="28" t="s">
        <v>7</v>
      </c>
      <c r="AV138" s="34">
        <f t="shared" si="116"/>
        <v>0</v>
      </c>
      <c r="AW138" s="34">
        <f t="shared" si="117"/>
        <v>0</v>
      </c>
      <c r="AX138" s="34">
        <f t="shared" si="118"/>
        <v>0</v>
      </c>
      <c r="AY138" s="35" t="s">
        <v>3664</v>
      </c>
      <c r="AZ138" s="35" t="s">
        <v>3711</v>
      </c>
      <c r="BA138" s="27" t="s">
        <v>3729</v>
      </c>
      <c r="BC138" s="34">
        <f t="shared" si="119"/>
        <v>0</v>
      </c>
      <c r="BD138" s="34">
        <f t="shared" si="120"/>
        <v>0</v>
      </c>
      <c r="BE138" s="34">
        <v>0</v>
      </c>
      <c r="BF138" s="34">
        <f>138</f>
        <v>138</v>
      </c>
      <c r="BH138" s="18">
        <f t="shared" si="121"/>
        <v>0</v>
      </c>
      <c r="BI138" s="18">
        <f t="shared" si="122"/>
        <v>0</v>
      </c>
      <c r="BJ138" s="18">
        <f t="shared" si="123"/>
        <v>0</v>
      </c>
    </row>
    <row r="139" spans="1:62" x14ac:dyDescent="0.2">
      <c r="A139" s="5" t="s">
        <v>120</v>
      </c>
      <c r="B139" s="5" t="s">
        <v>1323</v>
      </c>
      <c r="C139" s="135" t="s">
        <v>2531</v>
      </c>
      <c r="D139" s="136"/>
      <c r="E139" s="136"/>
      <c r="F139" s="136"/>
      <c r="G139" s="136"/>
      <c r="H139" s="5" t="s">
        <v>3615</v>
      </c>
      <c r="I139" s="18">
        <v>552.69000000000005</v>
      </c>
      <c r="J139" s="18">
        <v>0</v>
      </c>
      <c r="K139" s="18">
        <f t="shared" si="104"/>
        <v>0</v>
      </c>
      <c r="L139" s="28" t="s">
        <v>3635</v>
      </c>
      <c r="Z139" s="34">
        <f t="shared" si="105"/>
        <v>0</v>
      </c>
      <c r="AB139" s="34">
        <f t="shared" si="106"/>
        <v>0</v>
      </c>
      <c r="AC139" s="34">
        <f t="shared" si="107"/>
        <v>0</v>
      </c>
      <c r="AD139" s="34">
        <f t="shared" si="108"/>
        <v>0</v>
      </c>
      <c r="AE139" s="34">
        <f t="shared" si="109"/>
        <v>0</v>
      </c>
      <c r="AF139" s="34">
        <f t="shared" si="110"/>
        <v>0</v>
      </c>
      <c r="AG139" s="34">
        <f t="shared" si="111"/>
        <v>0</v>
      </c>
      <c r="AH139" s="34">
        <f t="shared" si="112"/>
        <v>0</v>
      </c>
      <c r="AI139" s="27" t="s">
        <v>3645</v>
      </c>
      <c r="AJ139" s="18">
        <f t="shared" si="113"/>
        <v>0</v>
      </c>
      <c r="AK139" s="18">
        <f t="shared" si="114"/>
        <v>0</v>
      </c>
      <c r="AL139" s="18">
        <f t="shared" si="115"/>
        <v>0</v>
      </c>
      <c r="AN139" s="34">
        <v>21</v>
      </c>
      <c r="AO139" s="34">
        <f>J139*0.105149812734082</f>
        <v>0</v>
      </c>
      <c r="AP139" s="34">
        <f>J139*(1-0.105149812734082)</f>
        <v>0</v>
      </c>
      <c r="AQ139" s="28" t="s">
        <v>7</v>
      </c>
      <c r="AV139" s="34">
        <f t="shared" si="116"/>
        <v>0</v>
      </c>
      <c r="AW139" s="34">
        <f t="shared" si="117"/>
        <v>0</v>
      </c>
      <c r="AX139" s="34">
        <f t="shared" si="118"/>
        <v>0</v>
      </c>
      <c r="AY139" s="35" t="s">
        <v>3664</v>
      </c>
      <c r="AZ139" s="35" t="s">
        <v>3711</v>
      </c>
      <c r="BA139" s="27" t="s">
        <v>3729</v>
      </c>
      <c r="BC139" s="34">
        <f t="shared" si="119"/>
        <v>0</v>
      </c>
      <c r="BD139" s="34">
        <f t="shared" si="120"/>
        <v>0</v>
      </c>
      <c r="BE139" s="34">
        <v>0</v>
      </c>
      <c r="BF139" s="34">
        <f>139</f>
        <v>139</v>
      </c>
      <c r="BH139" s="18">
        <f t="shared" si="121"/>
        <v>0</v>
      </c>
      <c r="BI139" s="18">
        <f t="shared" si="122"/>
        <v>0</v>
      </c>
      <c r="BJ139" s="18">
        <f t="shared" si="123"/>
        <v>0</v>
      </c>
    </row>
    <row r="140" spans="1:62" x14ac:dyDescent="0.2">
      <c r="A140" s="5" t="s">
        <v>121</v>
      </c>
      <c r="B140" s="5" t="s">
        <v>1324</v>
      </c>
      <c r="C140" s="135" t="s">
        <v>2532</v>
      </c>
      <c r="D140" s="136"/>
      <c r="E140" s="136"/>
      <c r="F140" s="136"/>
      <c r="G140" s="136"/>
      <c r="H140" s="5" t="s">
        <v>3615</v>
      </c>
      <c r="I140" s="18">
        <v>202.1</v>
      </c>
      <c r="J140" s="18">
        <v>0</v>
      </c>
      <c r="K140" s="18">
        <f t="shared" si="104"/>
        <v>0</v>
      </c>
      <c r="L140" s="28" t="s">
        <v>3635</v>
      </c>
      <c r="Z140" s="34">
        <f t="shared" si="105"/>
        <v>0</v>
      </c>
      <c r="AB140" s="34">
        <f t="shared" si="106"/>
        <v>0</v>
      </c>
      <c r="AC140" s="34">
        <f t="shared" si="107"/>
        <v>0</v>
      </c>
      <c r="AD140" s="34">
        <f t="shared" si="108"/>
        <v>0</v>
      </c>
      <c r="AE140" s="34">
        <f t="shared" si="109"/>
        <v>0</v>
      </c>
      <c r="AF140" s="34">
        <f t="shared" si="110"/>
        <v>0</v>
      </c>
      <c r="AG140" s="34">
        <f t="shared" si="111"/>
        <v>0</v>
      </c>
      <c r="AH140" s="34">
        <f t="shared" si="112"/>
        <v>0</v>
      </c>
      <c r="AI140" s="27" t="s">
        <v>3645</v>
      </c>
      <c r="AJ140" s="18">
        <f t="shared" si="113"/>
        <v>0</v>
      </c>
      <c r="AK140" s="18">
        <f t="shared" si="114"/>
        <v>0</v>
      </c>
      <c r="AL140" s="18">
        <f t="shared" si="115"/>
        <v>0</v>
      </c>
      <c r="AN140" s="34">
        <v>21</v>
      </c>
      <c r="AO140" s="34">
        <f>J140*0.105147058823529</f>
        <v>0</v>
      </c>
      <c r="AP140" s="34">
        <f>J140*(1-0.105147058823529)</f>
        <v>0</v>
      </c>
      <c r="AQ140" s="28" t="s">
        <v>7</v>
      </c>
      <c r="AV140" s="34">
        <f t="shared" si="116"/>
        <v>0</v>
      </c>
      <c r="AW140" s="34">
        <f t="shared" si="117"/>
        <v>0</v>
      </c>
      <c r="AX140" s="34">
        <f t="shared" si="118"/>
        <v>0</v>
      </c>
      <c r="AY140" s="35" t="s">
        <v>3664</v>
      </c>
      <c r="AZ140" s="35" t="s">
        <v>3711</v>
      </c>
      <c r="BA140" s="27" t="s">
        <v>3729</v>
      </c>
      <c r="BC140" s="34">
        <f t="shared" si="119"/>
        <v>0</v>
      </c>
      <c r="BD140" s="34">
        <f t="shared" si="120"/>
        <v>0</v>
      </c>
      <c r="BE140" s="34">
        <v>0</v>
      </c>
      <c r="BF140" s="34">
        <f>140</f>
        <v>140</v>
      </c>
      <c r="BH140" s="18">
        <f t="shared" si="121"/>
        <v>0</v>
      </c>
      <c r="BI140" s="18">
        <f t="shared" si="122"/>
        <v>0</v>
      </c>
      <c r="BJ140" s="18">
        <f t="shared" si="123"/>
        <v>0</v>
      </c>
    </row>
    <row r="141" spans="1:62" x14ac:dyDescent="0.2">
      <c r="A141" s="5" t="s">
        <v>122</v>
      </c>
      <c r="B141" s="5" t="s">
        <v>1325</v>
      </c>
      <c r="C141" s="135" t="s">
        <v>2533</v>
      </c>
      <c r="D141" s="136"/>
      <c r="E141" s="136"/>
      <c r="F141" s="136"/>
      <c r="G141" s="136"/>
      <c r="H141" s="5" t="s">
        <v>3615</v>
      </c>
      <c r="I141" s="18">
        <v>390.75214999999997</v>
      </c>
      <c r="J141" s="18">
        <v>0</v>
      </c>
      <c r="K141" s="18">
        <f t="shared" si="104"/>
        <v>0</v>
      </c>
      <c r="L141" s="28" t="s">
        <v>3635</v>
      </c>
      <c r="Z141" s="34">
        <f t="shared" si="105"/>
        <v>0</v>
      </c>
      <c r="AB141" s="34">
        <f t="shared" si="106"/>
        <v>0</v>
      </c>
      <c r="AC141" s="34">
        <f t="shared" si="107"/>
        <v>0</v>
      </c>
      <c r="AD141" s="34">
        <f t="shared" si="108"/>
        <v>0</v>
      </c>
      <c r="AE141" s="34">
        <f t="shared" si="109"/>
        <v>0</v>
      </c>
      <c r="AF141" s="34">
        <f t="shared" si="110"/>
        <v>0</v>
      </c>
      <c r="AG141" s="34">
        <f t="shared" si="111"/>
        <v>0</v>
      </c>
      <c r="AH141" s="34">
        <f t="shared" si="112"/>
        <v>0</v>
      </c>
      <c r="AI141" s="27" t="s">
        <v>3645</v>
      </c>
      <c r="AJ141" s="18">
        <f t="shared" si="113"/>
        <v>0</v>
      </c>
      <c r="AK141" s="18">
        <f t="shared" si="114"/>
        <v>0</v>
      </c>
      <c r="AL141" s="18">
        <f t="shared" si="115"/>
        <v>0</v>
      </c>
      <c r="AN141" s="34">
        <v>21</v>
      </c>
      <c r="AO141" s="34">
        <f>J141*0.0477631553213918</f>
        <v>0</v>
      </c>
      <c r="AP141" s="34">
        <f>J141*(1-0.0477631553213918)</f>
        <v>0</v>
      </c>
      <c r="AQ141" s="28" t="s">
        <v>7</v>
      </c>
      <c r="AV141" s="34">
        <f t="shared" si="116"/>
        <v>0</v>
      </c>
      <c r="AW141" s="34">
        <f t="shared" si="117"/>
        <v>0</v>
      </c>
      <c r="AX141" s="34">
        <f t="shared" si="118"/>
        <v>0</v>
      </c>
      <c r="AY141" s="35" t="s">
        <v>3664</v>
      </c>
      <c r="AZ141" s="35" t="s">
        <v>3711</v>
      </c>
      <c r="BA141" s="27" t="s">
        <v>3729</v>
      </c>
      <c r="BC141" s="34">
        <f t="shared" si="119"/>
        <v>0</v>
      </c>
      <c r="BD141" s="34">
        <f t="shared" si="120"/>
        <v>0</v>
      </c>
      <c r="BE141" s="34">
        <v>0</v>
      </c>
      <c r="BF141" s="34">
        <f>141</f>
        <v>141</v>
      </c>
      <c r="BH141" s="18">
        <f t="shared" si="121"/>
        <v>0</v>
      </c>
      <c r="BI141" s="18">
        <f t="shared" si="122"/>
        <v>0</v>
      </c>
      <c r="BJ141" s="18">
        <f t="shared" si="123"/>
        <v>0</v>
      </c>
    </row>
    <row r="142" spans="1:62" x14ac:dyDescent="0.2">
      <c r="A142" s="5" t="s">
        <v>123</v>
      </c>
      <c r="B142" s="5" t="s">
        <v>1326</v>
      </c>
      <c r="C142" s="135" t="s">
        <v>2534</v>
      </c>
      <c r="D142" s="136"/>
      <c r="E142" s="136"/>
      <c r="F142" s="136"/>
      <c r="G142" s="136"/>
      <c r="H142" s="5" t="s">
        <v>3615</v>
      </c>
      <c r="I142" s="18">
        <v>202.1</v>
      </c>
      <c r="J142" s="18">
        <v>0</v>
      </c>
      <c r="K142" s="18">
        <f t="shared" si="104"/>
        <v>0</v>
      </c>
      <c r="L142" s="28" t="s">
        <v>3635</v>
      </c>
      <c r="Z142" s="34">
        <f t="shared" si="105"/>
        <v>0</v>
      </c>
      <c r="AB142" s="34">
        <f t="shared" si="106"/>
        <v>0</v>
      </c>
      <c r="AC142" s="34">
        <f t="shared" si="107"/>
        <v>0</v>
      </c>
      <c r="AD142" s="34">
        <f t="shared" si="108"/>
        <v>0</v>
      </c>
      <c r="AE142" s="34">
        <f t="shared" si="109"/>
        <v>0</v>
      </c>
      <c r="AF142" s="34">
        <f t="shared" si="110"/>
        <v>0</v>
      </c>
      <c r="AG142" s="34">
        <f t="shared" si="111"/>
        <v>0</v>
      </c>
      <c r="AH142" s="34">
        <f t="shared" si="112"/>
        <v>0</v>
      </c>
      <c r="AI142" s="27" t="s">
        <v>3645</v>
      </c>
      <c r="AJ142" s="18">
        <f t="shared" si="113"/>
        <v>0</v>
      </c>
      <c r="AK142" s="18">
        <f t="shared" si="114"/>
        <v>0</v>
      </c>
      <c r="AL142" s="18">
        <f t="shared" si="115"/>
        <v>0</v>
      </c>
      <c r="AN142" s="34">
        <v>21</v>
      </c>
      <c r="AO142" s="34">
        <f>J142*0.254140127388535</f>
        <v>0</v>
      </c>
      <c r="AP142" s="34">
        <f>J142*(1-0.254140127388535)</f>
        <v>0</v>
      </c>
      <c r="AQ142" s="28" t="s">
        <v>7</v>
      </c>
      <c r="AV142" s="34">
        <f t="shared" si="116"/>
        <v>0</v>
      </c>
      <c r="AW142" s="34">
        <f t="shared" si="117"/>
        <v>0</v>
      </c>
      <c r="AX142" s="34">
        <f t="shared" si="118"/>
        <v>0</v>
      </c>
      <c r="AY142" s="35" t="s">
        <v>3664</v>
      </c>
      <c r="AZ142" s="35" t="s">
        <v>3711</v>
      </c>
      <c r="BA142" s="27" t="s">
        <v>3729</v>
      </c>
      <c r="BC142" s="34">
        <f t="shared" si="119"/>
        <v>0</v>
      </c>
      <c r="BD142" s="34">
        <f t="shared" si="120"/>
        <v>0</v>
      </c>
      <c r="BE142" s="34">
        <v>0</v>
      </c>
      <c r="BF142" s="34">
        <f>142</f>
        <v>142</v>
      </c>
      <c r="BH142" s="18">
        <f t="shared" si="121"/>
        <v>0</v>
      </c>
      <c r="BI142" s="18">
        <f t="shared" si="122"/>
        <v>0</v>
      </c>
      <c r="BJ142" s="18">
        <f t="shared" si="123"/>
        <v>0</v>
      </c>
    </row>
    <row r="143" spans="1:62" x14ac:dyDescent="0.2">
      <c r="A143" s="4"/>
      <c r="B143" s="14" t="s">
        <v>68</v>
      </c>
      <c r="C143" s="133" t="s">
        <v>2535</v>
      </c>
      <c r="D143" s="134"/>
      <c r="E143" s="134"/>
      <c r="F143" s="134"/>
      <c r="G143" s="134"/>
      <c r="H143" s="4" t="s">
        <v>6</v>
      </c>
      <c r="I143" s="4" t="s">
        <v>6</v>
      </c>
      <c r="J143" s="4" t="s">
        <v>6</v>
      </c>
      <c r="K143" s="37">
        <f>SUM(K144:K153)</f>
        <v>0</v>
      </c>
      <c r="L143" s="27"/>
      <c r="AI143" s="27" t="s">
        <v>3645</v>
      </c>
      <c r="AS143" s="37">
        <f>SUM(AJ144:AJ153)</f>
        <v>0</v>
      </c>
      <c r="AT143" s="37">
        <f>SUM(AK144:AK153)</f>
        <v>0</v>
      </c>
      <c r="AU143" s="37">
        <f>SUM(AL144:AL153)</f>
        <v>0</v>
      </c>
    </row>
    <row r="144" spans="1:62" x14ac:dyDescent="0.2">
      <c r="A144" s="5" t="s">
        <v>124</v>
      </c>
      <c r="B144" s="5" t="s">
        <v>1327</v>
      </c>
      <c r="C144" s="135" t="s">
        <v>2536</v>
      </c>
      <c r="D144" s="136"/>
      <c r="E144" s="136"/>
      <c r="F144" s="136"/>
      <c r="G144" s="136"/>
      <c r="H144" s="5" t="s">
        <v>3615</v>
      </c>
      <c r="I144" s="18">
        <v>46.424999999999997</v>
      </c>
      <c r="J144" s="18">
        <v>0</v>
      </c>
      <c r="K144" s="18">
        <f>I144*J144</f>
        <v>0</v>
      </c>
      <c r="L144" s="28" t="s">
        <v>3635</v>
      </c>
      <c r="Z144" s="34">
        <f>IF(AQ144="5",BJ144,0)</f>
        <v>0</v>
      </c>
      <c r="AB144" s="34">
        <f>IF(AQ144="1",BH144,0)</f>
        <v>0</v>
      </c>
      <c r="AC144" s="34">
        <f>IF(AQ144="1",BI144,0)</f>
        <v>0</v>
      </c>
      <c r="AD144" s="34">
        <f>IF(AQ144="7",BH144,0)</f>
        <v>0</v>
      </c>
      <c r="AE144" s="34">
        <f>IF(AQ144="7",BI144,0)</f>
        <v>0</v>
      </c>
      <c r="AF144" s="34">
        <f>IF(AQ144="2",BH144,0)</f>
        <v>0</v>
      </c>
      <c r="AG144" s="34">
        <f>IF(AQ144="2",BI144,0)</f>
        <v>0</v>
      </c>
      <c r="AH144" s="34">
        <f>IF(AQ144="0",BJ144,0)</f>
        <v>0</v>
      </c>
      <c r="AI144" s="27" t="s">
        <v>3645</v>
      </c>
      <c r="AJ144" s="18">
        <f>IF(AN144=0,K144,0)</f>
        <v>0</v>
      </c>
      <c r="AK144" s="18">
        <f>IF(AN144=15,K144,0)</f>
        <v>0</v>
      </c>
      <c r="AL144" s="18">
        <f>IF(AN144=21,K144,0)</f>
        <v>0</v>
      </c>
      <c r="AN144" s="34">
        <v>21</v>
      </c>
      <c r="AO144" s="34">
        <f>J144*0.671544</f>
        <v>0</v>
      </c>
      <c r="AP144" s="34">
        <f>J144*(1-0.671544)</f>
        <v>0</v>
      </c>
      <c r="AQ144" s="28" t="s">
        <v>7</v>
      </c>
      <c r="AV144" s="34">
        <f>AW144+AX144</f>
        <v>0</v>
      </c>
      <c r="AW144" s="34">
        <f>I144*AO144</f>
        <v>0</v>
      </c>
      <c r="AX144" s="34">
        <f>I144*AP144</f>
        <v>0</v>
      </c>
      <c r="AY144" s="35" t="s">
        <v>3665</v>
      </c>
      <c r="AZ144" s="35" t="s">
        <v>3711</v>
      </c>
      <c r="BA144" s="27" t="s">
        <v>3729</v>
      </c>
      <c r="BC144" s="34">
        <f>AW144+AX144</f>
        <v>0</v>
      </c>
      <c r="BD144" s="34">
        <f>J144/(100-BE144)*100</f>
        <v>0</v>
      </c>
      <c r="BE144" s="34">
        <v>0</v>
      </c>
      <c r="BF144" s="34">
        <f>144</f>
        <v>144</v>
      </c>
      <c r="BH144" s="18">
        <f>I144*AO144</f>
        <v>0</v>
      </c>
      <c r="BI144" s="18">
        <f>I144*AP144</f>
        <v>0</v>
      </c>
      <c r="BJ144" s="18">
        <f>I144*J144</f>
        <v>0</v>
      </c>
    </row>
    <row r="145" spans="1:62" x14ac:dyDescent="0.2">
      <c r="A145" s="5" t="s">
        <v>125</v>
      </c>
      <c r="B145" s="5" t="s">
        <v>1328</v>
      </c>
      <c r="C145" s="135" t="s">
        <v>2537</v>
      </c>
      <c r="D145" s="136"/>
      <c r="E145" s="136"/>
      <c r="F145" s="136"/>
      <c r="G145" s="136"/>
      <c r="H145" s="5" t="s">
        <v>3615</v>
      </c>
      <c r="I145" s="18">
        <v>305.85455000000002</v>
      </c>
      <c r="J145" s="18">
        <v>0</v>
      </c>
      <c r="K145" s="18">
        <f>I145*J145</f>
        <v>0</v>
      </c>
      <c r="L145" s="28" t="s">
        <v>3635</v>
      </c>
      <c r="Z145" s="34">
        <f>IF(AQ145="5",BJ145,0)</f>
        <v>0</v>
      </c>
      <c r="AB145" s="34">
        <f>IF(AQ145="1",BH145,0)</f>
        <v>0</v>
      </c>
      <c r="AC145" s="34">
        <f>IF(AQ145="1",BI145,0)</f>
        <v>0</v>
      </c>
      <c r="AD145" s="34">
        <f>IF(AQ145="7",BH145,0)</f>
        <v>0</v>
      </c>
      <c r="AE145" s="34">
        <f>IF(AQ145="7",BI145,0)</f>
        <v>0</v>
      </c>
      <c r="AF145" s="34">
        <f>IF(AQ145="2",BH145,0)</f>
        <v>0</v>
      </c>
      <c r="AG145" s="34">
        <f>IF(AQ145="2",BI145,0)</f>
        <v>0</v>
      </c>
      <c r="AH145" s="34">
        <f>IF(AQ145="0",BJ145,0)</f>
        <v>0</v>
      </c>
      <c r="AI145" s="27" t="s">
        <v>3645</v>
      </c>
      <c r="AJ145" s="18">
        <f>IF(AN145=0,K145,0)</f>
        <v>0</v>
      </c>
      <c r="AK145" s="18">
        <f>IF(AN145=15,K145,0)</f>
        <v>0</v>
      </c>
      <c r="AL145" s="18">
        <f>IF(AN145=21,K145,0)</f>
        <v>0</v>
      </c>
      <c r="AN145" s="34">
        <v>21</v>
      </c>
      <c r="AO145" s="34">
        <f>J145*0.642366135173079</f>
        <v>0</v>
      </c>
      <c r="AP145" s="34">
        <f>J145*(1-0.642366135173079)</f>
        <v>0</v>
      </c>
      <c r="AQ145" s="28" t="s">
        <v>7</v>
      </c>
      <c r="AV145" s="34">
        <f>AW145+AX145</f>
        <v>0</v>
      </c>
      <c r="AW145" s="34">
        <f>I145*AO145</f>
        <v>0</v>
      </c>
      <c r="AX145" s="34">
        <f>I145*AP145</f>
        <v>0</v>
      </c>
      <c r="AY145" s="35" t="s">
        <v>3665</v>
      </c>
      <c r="AZ145" s="35" t="s">
        <v>3711</v>
      </c>
      <c r="BA145" s="27" t="s">
        <v>3729</v>
      </c>
      <c r="BC145" s="34">
        <f>AW145+AX145</f>
        <v>0</v>
      </c>
      <c r="BD145" s="34">
        <f>J145/(100-BE145)*100</f>
        <v>0</v>
      </c>
      <c r="BE145" s="34">
        <v>0</v>
      </c>
      <c r="BF145" s="34">
        <f>145</f>
        <v>145</v>
      </c>
      <c r="BH145" s="18">
        <f>I145*AO145</f>
        <v>0</v>
      </c>
      <c r="BI145" s="18">
        <f>I145*AP145</f>
        <v>0</v>
      </c>
      <c r="BJ145" s="18">
        <f>I145*J145</f>
        <v>0</v>
      </c>
    </row>
    <row r="146" spans="1:62" x14ac:dyDescent="0.2">
      <c r="C146" s="140" t="s">
        <v>2538</v>
      </c>
      <c r="D146" s="141"/>
      <c r="E146" s="141"/>
      <c r="F146" s="141"/>
      <c r="G146" s="141"/>
    </row>
    <row r="147" spans="1:62" x14ac:dyDescent="0.2">
      <c r="A147" s="5" t="s">
        <v>126</v>
      </c>
      <c r="B147" s="5" t="s">
        <v>1329</v>
      </c>
      <c r="C147" s="135" t="s">
        <v>2539</v>
      </c>
      <c r="D147" s="136"/>
      <c r="E147" s="136"/>
      <c r="F147" s="136"/>
      <c r="G147" s="136"/>
      <c r="H147" s="5" t="s">
        <v>3615</v>
      </c>
      <c r="I147" s="18">
        <v>265.81229999999999</v>
      </c>
      <c r="J147" s="18">
        <v>0</v>
      </c>
      <c r="K147" s="18">
        <f>I147*J147</f>
        <v>0</v>
      </c>
      <c r="L147" s="28" t="s">
        <v>3635</v>
      </c>
      <c r="Z147" s="34">
        <f>IF(AQ147="5",BJ147,0)</f>
        <v>0</v>
      </c>
      <c r="AB147" s="34">
        <f>IF(AQ147="1",BH147,0)</f>
        <v>0</v>
      </c>
      <c r="AC147" s="34">
        <f>IF(AQ147="1",BI147,0)</f>
        <v>0</v>
      </c>
      <c r="AD147" s="34">
        <f>IF(AQ147="7",BH147,0)</f>
        <v>0</v>
      </c>
      <c r="AE147" s="34">
        <f>IF(AQ147="7",BI147,0)</f>
        <v>0</v>
      </c>
      <c r="AF147" s="34">
        <f>IF(AQ147="2",BH147,0)</f>
        <v>0</v>
      </c>
      <c r="AG147" s="34">
        <f>IF(AQ147="2",BI147,0)</f>
        <v>0</v>
      </c>
      <c r="AH147" s="34">
        <f>IF(AQ147="0",BJ147,0)</f>
        <v>0</v>
      </c>
      <c r="AI147" s="27" t="s">
        <v>3645</v>
      </c>
      <c r="AJ147" s="18">
        <f>IF(AN147=0,K147,0)</f>
        <v>0</v>
      </c>
      <c r="AK147" s="18">
        <f>IF(AN147=15,K147,0)</f>
        <v>0</v>
      </c>
      <c r="AL147" s="18">
        <f>IF(AN147=21,K147,0)</f>
        <v>0</v>
      </c>
      <c r="AN147" s="34">
        <v>21</v>
      </c>
      <c r="AO147" s="34">
        <f>J147*0.642368656813701</f>
        <v>0</v>
      </c>
      <c r="AP147" s="34">
        <f>J147*(1-0.642368656813701)</f>
        <v>0</v>
      </c>
      <c r="AQ147" s="28" t="s">
        <v>7</v>
      </c>
      <c r="AV147" s="34">
        <f>AW147+AX147</f>
        <v>0</v>
      </c>
      <c r="AW147" s="34">
        <f>I147*AO147</f>
        <v>0</v>
      </c>
      <c r="AX147" s="34">
        <f>I147*AP147</f>
        <v>0</v>
      </c>
      <c r="AY147" s="35" t="s">
        <v>3665</v>
      </c>
      <c r="AZ147" s="35" t="s">
        <v>3711</v>
      </c>
      <c r="BA147" s="27" t="s">
        <v>3729</v>
      </c>
      <c r="BC147" s="34">
        <f>AW147+AX147</f>
        <v>0</v>
      </c>
      <c r="BD147" s="34">
        <f>J147/(100-BE147)*100</f>
        <v>0</v>
      </c>
      <c r="BE147" s="34">
        <v>0</v>
      </c>
      <c r="BF147" s="34">
        <f>147</f>
        <v>147</v>
      </c>
      <c r="BH147" s="18">
        <f>I147*AO147</f>
        <v>0</v>
      </c>
      <c r="BI147" s="18">
        <f>I147*AP147</f>
        <v>0</v>
      </c>
      <c r="BJ147" s="18">
        <f>I147*J147</f>
        <v>0</v>
      </c>
    </row>
    <row r="148" spans="1:62" x14ac:dyDescent="0.2">
      <c r="C148" s="140" t="s">
        <v>2538</v>
      </c>
      <c r="D148" s="141"/>
      <c r="E148" s="141"/>
      <c r="F148" s="141"/>
      <c r="G148" s="141"/>
    </row>
    <row r="149" spans="1:62" x14ac:dyDescent="0.2">
      <c r="A149" s="5" t="s">
        <v>127</v>
      </c>
      <c r="B149" s="5" t="s">
        <v>1330</v>
      </c>
      <c r="C149" s="135" t="s">
        <v>2540</v>
      </c>
      <c r="D149" s="136"/>
      <c r="E149" s="136"/>
      <c r="F149" s="136"/>
      <c r="G149" s="136"/>
      <c r="H149" s="5" t="s">
        <v>3615</v>
      </c>
      <c r="I149" s="18">
        <v>42.847000000000001</v>
      </c>
      <c r="J149" s="18">
        <v>0</v>
      </c>
      <c r="K149" s="18">
        <f>I149*J149</f>
        <v>0</v>
      </c>
      <c r="L149" s="28" t="s">
        <v>3635</v>
      </c>
      <c r="Z149" s="34">
        <f>IF(AQ149="5",BJ149,0)</f>
        <v>0</v>
      </c>
      <c r="AB149" s="34">
        <f>IF(AQ149="1",BH149,0)</f>
        <v>0</v>
      </c>
      <c r="AC149" s="34">
        <f>IF(AQ149="1",BI149,0)</f>
        <v>0</v>
      </c>
      <c r="AD149" s="34">
        <f>IF(AQ149="7",BH149,0)</f>
        <v>0</v>
      </c>
      <c r="AE149" s="34">
        <f>IF(AQ149="7",BI149,0)</f>
        <v>0</v>
      </c>
      <c r="AF149" s="34">
        <f>IF(AQ149="2",BH149,0)</f>
        <v>0</v>
      </c>
      <c r="AG149" s="34">
        <f>IF(AQ149="2",BI149,0)</f>
        <v>0</v>
      </c>
      <c r="AH149" s="34">
        <f>IF(AQ149="0",BJ149,0)</f>
        <v>0</v>
      </c>
      <c r="AI149" s="27" t="s">
        <v>3645</v>
      </c>
      <c r="AJ149" s="18">
        <f>IF(AN149=0,K149,0)</f>
        <v>0</v>
      </c>
      <c r="AK149" s="18">
        <f>IF(AN149=15,K149,0)</f>
        <v>0</v>
      </c>
      <c r="AL149" s="18">
        <f>IF(AN149=21,K149,0)</f>
        <v>0</v>
      </c>
      <c r="AN149" s="34">
        <v>21</v>
      </c>
      <c r="AO149" s="34">
        <f>J149*0.469858931614743</f>
        <v>0</v>
      </c>
      <c r="AP149" s="34">
        <f>J149*(1-0.469858931614743)</f>
        <v>0</v>
      </c>
      <c r="AQ149" s="28" t="s">
        <v>7</v>
      </c>
      <c r="AV149" s="34">
        <f>AW149+AX149</f>
        <v>0</v>
      </c>
      <c r="AW149" s="34">
        <f>I149*AO149</f>
        <v>0</v>
      </c>
      <c r="AX149" s="34">
        <f>I149*AP149</f>
        <v>0</v>
      </c>
      <c r="AY149" s="35" t="s">
        <v>3665</v>
      </c>
      <c r="AZ149" s="35" t="s">
        <v>3711</v>
      </c>
      <c r="BA149" s="27" t="s">
        <v>3729</v>
      </c>
      <c r="BC149" s="34">
        <f>AW149+AX149</f>
        <v>0</v>
      </c>
      <c r="BD149" s="34">
        <f>J149/(100-BE149)*100</f>
        <v>0</v>
      </c>
      <c r="BE149" s="34">
        <v>0</v>
      </c>
      <c r="BF149" s="34">
        <f>149</f>
        <v>149</v>
      </c>
      <c r="BH149" s="18">
        <f>I149*AO149</f>
        <v>0</v>
      </c>
      <c r="BI149" s="18">
        <f>I149*AP149</f>
        <v>0</v>
      </c>
      <c r="BJ149" s="18">
        <f>I149*J149</f>
        <v>0</v>
      </c>
    </row>
    <row r="150" spans="1:62" x14ac:dyDescent="0.2">
      <c r="C150" s="140" t="s">
        <v>2538</v>
      </c>
      <c r="D150" s="141"/>
      <c r="E150" s="141"/>
      <c r="F150" s="141"/>
      <c r="G150" s="141"/>
    </row>
    <row r="151" spans="1:62" x14ac:dyDescent="0.2">
      <c r="A151" s="5" t="s">
        <v>128</v>
      </c>
      <c r="B151" s="5" t="s">
        <v>1331</v>
      </c>
      <c r="C151" s="135" t="s">
        <v>2541</v>
      </c>
      <c r="D151" s="136"/>
      <c r="E151" s="136"/>
      <c r="F151" s="136"/>
      <c r="G151" s="136"/>
      <c r="H151" s="5" t="s">
        <v>3615</v>
      </c>
      <c r="I151" s="18">
        <v>31.063199999999998</v>
      </c>
      <c r="J151" s="18">
        <v>0</v>
      </c>
      <c r="K151" s="18">
        <f>I151*J151</f>
        <v>0</v>
      </c>
      <c r="L151" s="28" t="s">
        <v>3635</v>
      </c>
      <c r="Z151" s="34">
        <f>IF(AQ151="5",BJ151,0)</f>
        <v>0</v>
      </c>
      <c r="AB151" s="34">
        <f>IF(AQ151="1",BH151,0)</f>
        <v>0</v>
      </c>
      <c r="AC151" s="34">
        <f>IF(AQ151="1",BI151,0)</f>
        <v>0</v>
      </c>
      <c r="AD151" s="34">
        <f>IF(AQ151="7",BH151,0)</f>
        <v>0</v>
      </c>
      <c r="AE151" s="34">
        <f>IF(AQ151="7",BI151,0)</f>
        <v>0</v>
      </c>
      <c r="AF151" s="34">
        <f>IF(AQ151="2",BH151,0)</f>
        <v>0</v>
      </c>
      <c r="AG151" s="34">
        <f>IF(AQ151="2",BI151,0)</f>
        <v>0</v>
      </c>
      <c r="AH151" s="34">
        <f>IF(AQ151="0",BJ151,0)</f>
        <v>0</v>
      </c>
      <c r="AI151" s="27" t="s">
        <v>3645</v>
      </c>
      <c r="AJ151" s="18">
        <f>IF(AN151=0,K151,0)</f>
        <v>0</v>
      </c>
      <c r="AK151" s="18">
        <f>IF(AN151=15,K151,0)</f>
        <v>0</v>
      </c>
      <c r="AL151" s="18">
        <f>IF(AN151=21,K151,0)</f>
        <v>0</v>
      </c>
      <c r="AN151" s="34">
        <v>21</v>
      </c>
      <c r="AO151" s="34">
        <f>J151*0.527949558372383</f>
        <v>0</v>
      </c>
      <c r="AP151" s="34">
        <f>J151*(1-0.527949558372383)</f>
        <v>0</v>
      </c>
      <c r="AQ151" s="28" t="s">
        <v>7</v>
      </c>
      <c r="AV151" s="34">
        <f>AW151+AX151</f>
        <v>0</v>
      </c>
      <c r="AW151" s="34">
        <f>I151*AO151</f>
        <v>0</v>
      </c>
      <c r="AX151" s="34">
        <f>I151*AP151</f>
        <v>0</v>
      </c>
      <c r="AY151" s="35" t="s">
        <v>3665</v>
      </c>
      <c r="AZ151" s="35" t="s">
        <v>3711</v>
      </c>
      <c r="BA151" s="27" t="s">
        <v>3729</v>
      </c>
      <c r="BC151" s="34">
        <f>AW151+AX151</f>
        <v>0</v>
      </c>
      <c r="BD151" s="34">
        <f>J151/(100-BE151)*100</f>
        <v>0</v>
      </c>
      <c r="BE151" s="34">
        <v>0</v>
      </c>
      <c r="BF151" s="34">
        <f>151</f>
        <v>151</v>
      </c>
      <c r="BH151" s="18">
        <f>I151*AO151</f>
        <v>0</v>
      </c>
      <c r="BI151" s="18">
        <f>I151*AP151</f>
        <v>0</v>
      </c>
      <c r="BJ151" s="18">
        <f>I151*J151</f>
        <v>0</v>
      </c>
    </row>
    <row r="152" spans="1:62" x14ac:dyDescent="0.2">
      <c r="C152" s="140" t="s">
        <v>2538</v>
      </c>
      <c r="D152" s="141"/>
      <c r="E152" s="141"/>
      <c r="F152" s="141"/>
      <c r="G152" s="141"/>
    </row>
    <row r="153" spans="1:62" x14ac:dyDescent="0.2">
      <c r="A153" s="5" t="s">
        <v>129</v>
      </c>
      <c r="B153" s="5" t="s">
        <v>1332</v>
      </c>
      <c r="C153" s="135" t="s">
        <v>4192</v>
      </c>
      <c r="D153" s="136"/>
      <c r="E153" s="136"/>
      <c r="F153" s="136"/>
      <c r="G153" s="136"/>
      <c r="H153" s="5" t="s">
        <v>3615</v>
      </c>
      <c r="I153" s="18">
        <v>56.48</v>
      </c>
      <c r="J153" s="18">
        <v>0</v>
      </c>
      <c r="K153" s="18">
        <f>I153*J153</f>
        <v>0</v>
      </c>
      <c r="L153" s="28" t="s">
        <v>3635</v>
      </c>
      <c r="Z153" s="34">
        <f>IF(AQ153="5",BJ153,0)</f>
        <v>0</v>
      </c>
      <c r="AB153" s="34">
        <f>IF(AQ153="1",BH153,0)</f>
        <v>0</v>
      </c>
      <c r="AC153" s="34">
        <f>IF(AQ153="1",BI153,0)</f>
        <v>0</v>
      </c>
      <c r="AD153" s="34">
        <f>IF(AQ153="7",BH153,0)</f>
        <v>0</v>
      </c>
      <c r="AE153" s="34">
        <f>IF(AQ153="7",BI153,0)</f>
        <v>0</v>
      </c>
      <c r="AF153" s="34">
        <f>IF(AQ153="2",BH153,0)</f>
        <v>0</v>
      </c>
      <c r="AG153" s="34">
        <f>IF(AQ153="2",BI153,0)</f>
        <v>0</v>
      </c>
      <c r="AH153" s="34">
        <f>IF(AQ153="0",BJ153,0)</f>
        <v>0</v>
      </c>
      <c r="AI153" s="27" t="s">
        <v>3645</v>
      </c>
      <c r="AJ153" s="18">
        <f>IF(AN153=0,K153,0)</f>
        <v>0</v>
      </c>
      <c r="AK153" s="18">
        <f>IF(AN153=15,K153,0)</f>
        <v>0</v>
      </c>
      <c r="AL153" s="18">
        <f>IF(AN153=21,K153,0)</f>
        <v>0</v>
      </c>
      <c r="AN153" s="34">
        <v>21</v>
      </c>
      <c r="AO153" s="34">
        <f>J153*0.487330827067669</f>
        <v>0</v>
      </c>
      <c r="AP153" s="34">
        <f>J153*(1-0.487330827067669)</f>
        <v>0</v>
      </c>
      <c r="AQ153" s="28" t="s">
        <v>7</v>
      </c>
      <c r="AV153" s="34">
        <f>AW153+AX153</f>
        <v>0</v>
      </c>
      <c r="AW153" s="34">
        <f>I153*AO153</f>
        <v>0</v>
      </c>
      <c r="AX153" s="34">
        <f>I153*AP153</f>
        <v>0</v>
      </c>
      <c r="AY153" s="35" t="s">
        <v>3665</v>
      </c>
      <c r="AZ153" s="35" t="s">
        <v>3711</v>
      </c>
      <c r="BA153" s="27" t="s">
        <v>3729</v>
      </c>
      <c r="BC153" s="34">
        <f>AW153+AX153</f>
        <v>0</v>
      </c>
      <c r="BD153" s="34">
        <f>J153/(100-BE153)*100</f>
        <v>0</v>
      </c>
      <c r="BE153" s="34">
        <v>0</v>
      </c>
      <c r="BF153" s="34">
        <f>153</f>
        <v>153</v>
      </c>
      <c r="BH153" s="18">
        <f>I153*AO153</f>
        <v>0</v>
      </c>
      <c r="BI153" s="18">
        <f>I153*AP153</f>
        <v>0</v>
      </c>
      <c r="BJ153" s="18">
        <f>I153*J153</f>
        <v>0</v>
      </c>
    </row>
    <row r="154" spans="1:62" x14ac:dyDescent="0.2">
      <c r="A154" s="4"/>
      <c r="B154" s="14" t="s">
        <v>69</v>
      </c>
      <c r="C154" s="133" t="s">
        <v>2543</v>
      </c>
      <c r="D154" s="134"/>
      <c r="E154" s="134"/>
      <c r="F154" s="134"/>
      <c r="G154" s="134"/>
      <c r="H154" s="4" t="s">
        <v>6</v>
      </c>
      <c r="I154" s="4" t="s">
        <v>6</v>
      </c>
      <c r="J154" s="4" t="s">
        <v>6</v>
      </c>
      <c r="K154" s="37">
        <f>SUM(K155:K168)</f>
        <v>0</v>
      </c>
      <c r="L154" s="27"/>
      <c r="AI154" s="27" t="s">
        <v>3645</v>
      </c>
      <c r="AS154" s="37">
        <f>SUM(AJ155:AJ168)</f>
        <v>0</v>
      </c>
      <c r="AT154" s="37">
        <f>SUM(AK155:AK168)</f>
        <v>0</v>
      </c>
      <c r="AU154" s="37">
        <f>SUM(AL155:AL168)</f>
        <v>0</v>
      </c>
    </row>
    <row r="155" spans="1:62" x14ac:dyDescent="0.2">
      <c r="A155" s="5" t="s">
        <v>130</v>
      </c>
      <c r="B155" s="5" t="s">
        <v>1333</v>
      </c>
      <c r="C155" s="135" t="s">
        <v>2544</v>
      </c>
      <c r="D155" s="136"/>
      <c r="E155" s="136"/>
      <c r="F155" s="136"/>
      <c r="G155" s="136"/>
      <c r="H155" s="5" t="s">
        <v>3613</v>
      </c>
      <c r="I155" s="18">
        <v>1.08</v>
      </c>
      <c r="J155" s="18">
        <v>0</v>
      </c>
      <c r="K155" s="18">
        <f>I155*J155</f>
        <v>0</v>
      </c>
      <c r="L155" s="28" t="s">
        <v>3635</v>
      </c>
      <c r="Z155" s="34">
        <f>IF(AQ155="5",BJ155,0)</f>
        <v>0</v>
      </c>
      <c r="AB155" s="34">
        <f>IF(AQ155="1",BH155,0)</f>
        <v>0</v>
      </c>
      <c r="AC155" s="34">
        <f>IF(AQ155="1",BI155,0)</f>
        <v>0</v>
      </c>
      <c r="AD155" s="34">
        <f>IF(AQ155="7",BH155,0)</f>
        <v>0</v>
      </c>
      <c r="AE155" s="34">
        <f>IF(AQ155="7",BI155,0)</f>
        <v>0</v>
      </c>
      <c r="AF155" s="34">
        <f>IF(AQ155="2",BH155,0)</f>
        <v>0</v>
      </c>
      <c r="AG155" s="34">
        <f>IF(AQ155="2",BI155,0)</f>
        <v>0</v>
      </c>
      <c r="AH155" s="34">
        <f>IF(AQ155="0",BJ155,0)</f>
        <v>0</v>
      </c>
      <c r="AI155" s="27" t="s">
        <v>3645</v>
      </c>
      <c r="AJ155" s="18">
        <f>IF(AN155=0,K155,0)</f>
        <v>0</v>
      </c>
      <c r="AK155" s="18">
        <f>IF(AN155=15,K155,0)</f>
        <v>0</v>
      </c>
      <c r="AL155" s="18">
        <f>IF(AN155=21,K155,0)</f>
        <v>0</v>
      </c>
      <c r="AN155" s="34">
        <v>21</v>
      </c>
      <c r="AO155" s="34">
        <f>J155*0.697085160209448</f>
        <v>0</v>
      </c>
      <c r="AP155" s="34">
        <f>J155*(1-0.697085160209448)</f>
        <v>0</v>
      </c>
      <c r="AQ155" s="28" t="s">
        <v>7</v>
      </c>
      <c r="AV155" s="34">
        <f>AW155+AX155</f>
        <v>0</v>
      </c>
      <c r="AW155" s="34">
        <f>I155*AO155</f>
        <v>0</v>
      </c>
      <c r="AX155" s="34">
        <f>I155*AP155</f>
        <v>0</v>
      </c>
      <c r="AY155" s="35" t="s">
        <v>3666</v>
      </c>
      <c r="AZ155" s="35" t="s">
        <v>3711</v>
      </c>
      <c r="BA155" s="27" t="s">
        <v>3729</v>
      </c>
      <c r="BC155" s="34">
        <f>AW155+AX155</f>
        <v>0</v>
      </c>
      <c r="BD155" s="34">
        <f>J155/(100-BE155)*100</f>
        <v>0</v>
      </c>
      <c r="BE155" s="34">
        <v>0</v>
      </c>
      <c r="BF155" s="34">
        <f>155</f>
        <v>155</v>
      </c>
      <c r="BH155" s="18">
        <f>I155*AO155</f>
        <v>0</v>
      </c>
      <c r="BI155" s="18">
        <f>I155*AP155</f>
        <v>0</v>
      </c>
      <c r="BJ155" s="18">
        <f>I155*J155</f>
        <v>0</v>
      </c>
    </row>
    <row r="156" spans="1:62" x14ac:dyDescent="0.2">
      <c r="C156" s="140" t="s">
        <v>2545</v>
      </c>
      <c r="D156" s="141"/>
      <c r="E156" s="141"/>
      <c r="F156" s="141"/>
      <c r="G156" s="141"/>
    </row>
    <row r="157" spans="1:62" x14ac:dyDescent="0.2">
      <c r="A157" s="5" t="s">
        <v>131</v>
      </c>
      <c r="B157" s="5" t="s">
        <v>1334</v>
      </c>
      <c r="C157" s="135" t="s">
        <v>2546</v>
      </c>
      <c r="D157" s="136"/>
      <c r="E157" s="136"/>
      <c r="F157" s="136"/>
      <c r="G157" s="136"/>
      <c r="H157" s="5" t="s">
        <v>3613</v>
      </c>
      <c r="I157" s="18">
        <v>1.0029999999999999</v>
      </c>
      <c r="J157" s="18">
        <v>0</v>
      </c>
      <c r="K157" s="18">
        <f t="shared" ref="K157:K168" si="124">I157*J157</f>
        <v>0</v>
      </c>
      <c r="L157" s="28" t="s">
        <v>3635</v>
      </c>
      <c r="Z157" s="34">
        <f t="shared" ref="Z157:Z168" si="125">IF(AQ157="5",BJ157,0)</f>
        <v>0</v>
      </c>
      <c r="AB157" s="34">
        <f t="shared" ref="AB157:AB168" si="126">IF(AQ157="1",BH157,0)</f>
        <v>0</v>
      </c>
      <c r="AC157" s="34">
        <f t="shared" ref="AC157:AC168" si="127">IF(AQ157="1",BI157,0)</f>
        <v>0</v>
      </c>
      <c r="AD157" s="34">
        <f t="shared" ref="AD157:AD168" si="128">IF(AQ157="7",BH157,0)</f>
        <v>0</v>
      </c>
      <c r="AE157" s="34">
        <f t="shared" ref="AE157:AE168" si="129">IF(AQ157="7",BI157,0)</f>
        <v>0</v>
      </c>
      <c r="AF157" s="34">
        <f t="shared" ref="AF157:AF168" si="130">IF(AQ157="2",BH157,0)</f>
        <v>0</v>
      </c>
      <c r="AG157" s="34">
        <f t="shared" ref="AG157:AG168" si="131">IF(AQ157="2",BI157,0)</f>
        <v>0</v>
      </c>
      <c r="AH157" s="34">
        <f t="shared" ref="AH157:AH168" si="132">IF(AQ157="0",BJ157,0)</f>
        <v>0</v>
      </c>
      <c r="AI157" s="27" t="s">
        <v>3645</v>
      </c>
      <c r="AJ157" s="18">
        <f t="shared" ref="AJ157:AJ168" si="133">IF(AN157=0,K157,0)</f>
        <v>0</v>
      </c>
      <c r="AK157" s="18">
        <f t="shared" ref="AK157:AK168" si="134">IF(AN157=15,K157,0)</f>
        <v>0</v>
      </c>
      <c r="AL157" s="18">
        <f t="shared" ref="AL157:AL168" si="135">IF(AN157=21,K157,0)</f>
        <v>0</v>
      </c>
      <c r="AN157" s="34">
        <v>21</v>
      </c>
      <c r="AO157" s="34">
        <f>J157*0.665550230507862</f>
        <v>0</v>
      </c>
      <c r="AP157" s="34">
        <f>J157*(1-0.665550230507862)</f>
        <v>0</v>
      </c>
      <c r="AQ157" s="28" t="s">
        <v>7</v>
      </c>
      <c r="AV157" s="34">
        <f t="shared" ref="AV157:AV168" si="136">AW157+AX157</f>
        <v>0</v>
      </c>
      <c r="AW157" s="34">
        <f t="shared" ref="AW157:AW168" si="137">I157*AO157</f>
        <v>0</v>
      </c>
      <c r="AX157" s="34">
        <f t="shared" ref="AX157:AX168" si="138">I157*AP157</f>
        <v>0</v>
      </c>
      <c r="AY157" s="35" t="s">
        <v>3666</v>
      </c>
      <c r="AZ157" s="35" t="s">
        <v>3711</v>
      </c>
      <c r="BA157" s="27" t="s">
        <v>3729</v>
      </c>
      <c r="BC157" s="34">
        <f t="shared" ref="BC157:BC168" si="139">AW157+AX157</f>
        <v>0</v>
      </c>
      <c r="BD157" s="34">
        <f t="shared" ref="BD157:BD168" si="140">J157/(100-BE157)*100</f>
        <v>0</v>
      </c>
      <c r="BE157" s="34">
        <v>0</v>
      </c>
      <c r="BF157" s="34">
        <f>157</f>
        <v>157</v>
      </c>
      <c r="BH157" s="18">
        <f t="shared" ref="BH157:BH168" si="141">I157*AO157</f>
        <v>0</v>
      </c>
      <c r="BI157" s="18">
        <f t="shared" ref="BI157:BI168" si="142">I157*AP157</f>
        <v>0</v>
      </c>
      <c r="BJ157" s="18">
        <f t="shared" ref="BJ157:BJ168" si="143">I157*J157</f>
        <v>0</v>
      </c>
    </row>
    <row r="158" spans="1:62" x14ac:dyDescent="0.2">
      <c r="A158" s="5" t="s">
        <v>132</v>
      </c>
      <c r="B158" s="5" t="s">
        <v>1333</v>
      </c>
      <c r="C158" s="135" t="s">
        <v>2547</v>
      </c>
      <c r="D158" s="136"/>
      <c r="E158" s="136"/>
      <c r="F158" s="136"/>
      <c r="G158" s="136"/>
      <c r="H158" s="5" t="s">
        <v>3613</v>
      </c>
      <c r="I158" s="18">
        <v>9.0280000000000005</v>
      </c>
      <c r="J158" s="18">
        <v>0</v>
      </c>
      <c r="K158" s="18">
        <f t="shared" si="124"/>
        <v>0</v>
      </c>
      <c r="L158" s="28" t="s">
        <v>3635</v>
      </c>
      <c r="Z158" s="34">
        <f t="shared" si="125"/>
        <v>0</v>
      </c>
      <c r="AB158" s="34">
        <f t="shared" si="126"/>
        <v>0</v>
      </c>
      <c r="AC158" s="34">
        <f t="shared" si="127"/>
        <v>0</v>
      </c>
      <c r="AD158" s="34">
        <f t="shared" si="128"/>
        <v>0</v>
      </c>
      <c r="AE158" s="34">
        <f t="shared" si="129"/>
        <v>0</v>
      </c>
      <c r="AF158" s="34">
        <f t="shared" si="130"/>
        <v>0</v>
      </c>
      <c r="AG158" s="34">
        <f t="shared" si="131"/>
        <v>0</v>
      </c>
      <c r="AH158" s="34">
        <f t="shared" si="132"/>
        <v>0</v>
      </c>
      <c r="AI158" s="27" t="s">
        <v>3645</v>
      </c>
      <c r="AJ158" s="18">
        <f t="shared" si="133"/>
        <v>0</v>
      </c>
      <c r="AK158" s="18">
        <f t="shared" si="134"/>
        <v>0</v>
      </c>
      <c r="AL158" s="18">
        <f t="shared" si="135"/>
        <v>0</v>
      </c>
      <c r="AN158" s="34">
        <v>21</v>
      </c>
      <c r="AO158" s="34">
        <f>J158*0.697085309904164</f>
        <v>0</v>
      </c>
      <c r="AP158" s="34">
        <f>J158*(1-0.697085309904164)</f>
        <v>0</v>
      </c>
      <c r="AQ158" s="28" t="s">
        <v>7</v>
      </c>
      <c r="AV158" s="34">
        <f t="shared" si="136"/>
        <v>0</v>
      </c>
      <c r="AW158" s="34">
        <f t="shared" si="137"/>
        <v>0</v>
      </c>
      <c r="AX158" s="34">
        <f t="shared" si="138"/>
        <v>0</v>
      </c>
      <c r="AY158" s="35" t="s">
        <v>3666</v>
      </c>
      <c r="AZ158" s="35" t="s">
        <v>3711</v>
      </c>
      <c r="BA158" s="27" t="s">
        <v>3729</v>
      </c>
      <c r="BC158" s="34">
        <f t="shared" si="139"/>
        <v>0</v>
      </c>
      <c r="BD158" s="34">
        <f t="shared" si="140"/>
        <v>0</v>
      </c>
      <c r="BE158" s="34">
        <v>0</v>
      </c>
      <c r="BF158" s="34">
        <f>158</f>
        <v>158</v>
      </c>
      <c r="BH158" s="18">
        <f t="shared" si="141"/>
        <v>0</v>
      </c>
      <c r="BI158" s="18">
        <f t="shared" si="142"/>
        <v>0</v>
      </c>
      <c r="BJ158" s="18">
        <f t="shared" si="143"/>
        <v>0</v>
      </c>
    </row>
    <row r="159" spans="1:62" x14ac:dyDescent="0.2">
      <c r="A159" s="5" t="s">
        <v>133</v>
      </c>
      <c r="B159" s="5" t="s">
        <v>1335</v>
      </c>
      <c r="C159" s="135" t="s">
        <v>2548</v>
      </c>
      <c r="D159" s="136"/>
      <c r="E159" s="136"/>
      <c r="F159" s="136"/>
      <c r="G159" s="136"/>
      <c r="H159" s="5" t="s">
        <v>3615</v>
      </c>
      <c r="I159" s="18">
        <v>243.22</v>
      </c>
      <c r="J159" s="18">
        <v>0</v>
      </c>
      <c r="K159" s="18">
        <f t="shared" si="124"/>
        <v>0</v>
      </c>
      <c r="L159" s="28" t="s">
        <v>3635</v>
      </c>
      <c r="Z159" s="34">
        <f t="shared" si="125"/>
        <v>0</v>
      </c>
      <c r="AB159" s="34">
        <f t="shared" si="126"/>
        <v>0</v>
      </c>
      <c r="AC159" s="34">
        <f t="shared" si="127"/>
        <v>0</v>
      </c>
      <c r="AD159" s="34">
        <f t="shared" si="128"/>
        <v>0</v>
      </c>
      <c r="AE159" s="34">
        <f t="shared" si="129"/>
        <v>0</v>
      </c>
      <c r="AF159" s="34">
        <f t="shared" si="130"/>
        <v>0</v>
      </c>
      <c r="AG159" s="34">
        <f t="shared" si="131"/>
        <v>0</v>
      </c>
      <c r="AH159" s="34">
        <f t="shared" si="132"/>
        <v>0</v>
      </c>
      <c r="AI159" s="27" t="s">
        <v>3645</v>
      </c>
      <c r="AJ159" s="18">
        <f t="shared" si="133"/>
        <v>0</v>
      </c>
      <c r="AK159" s="18">
        <f t="shared" si="134"/>
        <v>0</v>
      </c>
      <c r="AL159" s="18">
        <f t="shared" si="135"/>
        <v>0</v>
      </c>
      <c r="AN159" s="34">
        <v>21</v>
      </c>
      <c r="AO159" s="34">
        <f>J159*0.353473439589347</f>
        <v>0</v>
      </c>
      <c r="AP159" s="34">
        <f>J159*(1-0.353473439589347)</f>
        <v>0</v>
      </c>
      <c r="AQ159" s="28" t="s">
        <v>7</v>
      </c>
      <c r="AV159" s="34">
        <f t="shared" si="136"/>
        <v>0</v>
      </c>
      <c r="AW159" s="34">
        <f t="shared" si="137"/>
        <v>0</v>
      </c>
      <c r="AX159" s="34">
        <f t="shared" si="138"/>
        <v>0</v>
      </c>
      <c r="AY159" s="35" t="s">
        <v>3666</v>
      </c>
      <c r="AZ159" s="35" t="s">
        <v>3711</v>
      </c>
      <c r="BA159" s="27" t="s">
        <v>3729</v>
      </c>
      <c r="BC159" s="34">
        <f t="shared" si="139"/>
        <v>0</v>
      </c>
      <c r="BD159" s="34">
        <f t="shared" si="140"/>
        <v>0</v>
      </c>
      <c r="BE159" s="34">
        <v>0</v>
      </c>
      <c r="BF159" s="34">
        <f>159</f>
        <v>159</v>
      </c>
      <c r="BH159" s="18">
        <f t="shared" si="141"/>
        <v>0</v>
      </c>
      <c r="BI159" s="18">
        <f t="shared" si="142"/>
        <v>0</v>
      </c>
      <c r="BJ159" s="18">
        <f t="shared" si="143"/>
        <v>0</v>
      </c>
    </row>
    <row r="160" spans="1:62" x14ac:dyDescent="0.2">
      <c r="A160" s="5" t="s">
        <v>134</v>
      </c>
      <c r="B160" s="5" t="s">
        <v>1336</v>
      </c>
      <c r="C160" s="135" t="s">
        <v>2549</v>
      </c>
      <c r="D160" s="136"/>
      <c r="E160" s="136"/>
      <c r="F160" s="136"/>
      <c r="G160" s="136"/>
      <c r="H160" s="5" t="s">
        <v>3615</v>
      </c>
      <c r="I160" s="18">
        <v>11.8</v>
      </c>
      <c r="J160" s="18">
        <v>0</v>
      </c>
      <c r="K160" s="18">
        <f t="shared" si="124"/>
        <v>0</v>
      </c>
      <c r="L160" s="28" t="s">
        <v>3635</v>
      </c>
      <c r="Z160" s="34">
        <f t="shared" si="125"/>
        <v>0</v>
      </c>
      <c r="AB160" s="34">
        <f t="shared" si="126"/>
        <v>0</v>
      </c>
      <c r="AC160" s="34">
        <f t="shared" si="127"/>
        <v>0</v>
      </c>
      <c r="AD160" s="34">
        <f t="shared" si="128"/>
        <v>0</v>
      </c>
      <c r="AE160" s="34">
        <f t="shared" si="129"/>
        <v>0</v>
      </c>
      <c r="AF160" s="34">
        <f t="shared" si="130"/>
        <v>0</v>
      </c>
      <c r="AG160" s="34">
        <f t="shared" si="131"/>
        <v>0</v>
      </c>
      <c r="AH160" s="34">
        <f t="shared" si="132"/>
        <v>0</v>
      </c>
      <c r="AI160" s="27" t="s">
        <v>3645</v>
      </c>
      <c r="AJ160" s="18">
        <f t="shared" si="133"/>
        <v>0</v>
      </c>
      <c r="AK160" s="18">
        <f t="shared" si="134"/>
        <v>0</v>
      </c>
      <c r="AL160" s="18">
        <f t="shared" si="135"/>
        <v>0</v>
      </c>
      <c r="AN160" s="34">
        <v>21</v>
      </c>
      <c r="AO160" s="34">
        <f>J160*0.411439539347409</f>
        <v>0</v>
      </c>
      <c r="AP160" s="34">
        <f>J160*(1-0.411439539347409)</f>
        <v>0</v>
      </c>
      <c r="AQ160" s="28" t="s">
        <v>7</v>
      </c>
      <c r="AV160" s="34">
        <f t="shared" si="136"/>
        <v>0</v>
      </c>
      <c r="AW160" s="34">
        <f t="shared" si="137"/>
        <v>0</v>
      </c>
      <c r="AX160" s="34">
        <f t="shared" si="138"/>
        <v>0</v>
      </c>
      <c r="AY160" s="35" t="s">
        <v>3666</v>
      </c>
      <c r="AZ160" s="35" t="s">
        <v>3711</v>
      </c>
      <c r="BA160" s="27" t="s">
        <v>3729</v>
      </c>
      <c r="BC160" s="34">
        <f t="shared" si="139"/>
        <v>0</v>
      </c>
      <c r="BD160" s="34">
        <f t="shared" si="140"/>
        <v>0</v>
      </c>
      <c r="BE160" s="34">
        <v>0</v>
      </c>
      <c r="BF160" s="34">
        <f>160</f>
        <v>160</v>
      </c>
      <c r="BH160" s="18">
        <f t="shared" si="141"/>
        <v>0</v>
      </c>
      <c r="BI160" s="18">
        <f t="shared" si="142"/>
        <v>0</v>
      </c>
      <c r="BJ160" s="18">
        <f t="shared" si="143"/>
        <v>0</v>
      </c>
    </row>
    <row r="161" spans="1:62" x14ac:dyDescent="0.2">
      <c r="A161" s="5" t="s">
        <v>135</v>
      </c>
      <c r="B161" s="5" t="s">
        <v>1337</v>
      </c>
      <c r="C161" s="135" t="s">
        <v>2550</v>
      </c>
      <c r="D161" s="136"/>
      <c r="E161" s="136"/>
      <c r="F161" s="136"/>
      <c r="G161" s="136"/>
      <c r="H161" s="5" t="s">
        <v>3615</v>
      </c>
      <c r="I161" s="18">
        <v>116.6</v>
      </c>
      <c r="J161" s="18">
        <v>0</v>
      </c>
      <c r="K161" s="18">
        <f t="shared" si="124"/>
        <v>0</v>
      </c>
      <c r="L161" s="28" t="s">
        <v>3635</v>
      </c>
      <c r="Z161" s="34">
        <f t="shared" si="125"/>
        <v>0</v>
      </c>
      <c r="AB161" s="34">
        <f t="shared" si="126"/>
        <v>0</v>
      </c>
      <c r="AC161" s="34">
        <f t="shared" si="127"/>
        <v>0</v>
      </c>
      <c r="AD161" s="34">
        <f t="shared" si="128"/>
        <v>0</v>
      </c>
      <c r="AE161" s="34">
        <f t="shared" si="129"/>
        <v>0</v>
      </c>
      <c r="AF161" s="34">
        <f t="shared" si="130"/>
        <v>0</v>
      </c>
      <c r="AG161" s="34">
        <f t="shared" si="131"/>
        <v>0</v>
      </c>
      <c r="AH161" s="34">
        <f t="shared" si="132"/>
        <v>0</v>
      </c>
      <c r="AI161" s="27" t="s">
        <v>3645</v>
      </c>
      <c r="AJ161" s="18">
        <f t="shared" si="133"/>
        <v>0</v>
      </c>
      <c r="AK161" s="18">
        <f t="shared" si="134"/>
        <v>0</v>
      </c>
      <c r="AL161" s="18">
        <f t="shared" si="135"/>
        <v>0</v>
      </c>
      <c r="AN161" s="34">
        <v>21</v>
      </c>
      <c r="AO161" s="34">
        <f>J161*0.459648506151142</f>
        <v>0</v>
      </c>
      <c r="AP161" s="34">
        <f>J161*(1-0.459648506151142)</f>
        <v>0</v>
      </c>
      <c r="AQ161" s="28" t="s">
        <v>7</v>
      </c>
      <c r="AV161" s="34">
        <f t="shared" si="136"/>
        <v>0</v>
      </c>
      <c r="AW161" s="34">
        <f t="shared" si="137"/>
        <v>0</v>
      </c>
      <c r="AX161" s="34">
        <f t="shared" si="138"/>
        <v>0</v>
      </c>
      <c r="AY161" s="35" t="s">
        <v>3666</v>
      </c>
      <c r="AZ161" s="35" t="s">
        <v>3711</v>
      </c>
      <c r="BA161" s="27" t="s">
        <v>3729</v>
      </c>
      <c r="BC161" s="34">
        <f t="shared" si="139"/>
        <v>0</v>
      </c>
      <c r="BD161" s="34">
        <f t="shared" si="140"/>
        <v>0</v>
      </c>
      <c r="BE161" s="34">
        <v>0</v>
      </c>
      <c r="BF161" s="34">
        <f>161</f>
        <v>161</v>
      </c>
      <c r="BH161" s="18">
        <f t="shared" si="141"/>
        <v>0</v>
      </c>
      <c r="BI161" s="18">
        <f t="shared" si="142"/>
        <v>0</v>
      </c>
      <c r="BJ161" s="18">
        <f t="shared" si="143"/>
        <v>0</v>
      </c>
    </row>
    <row r="162" spans="1:62" x14ac:dyDescent="0.2">
      <c r="A162" s="5" t="s">
        <v>136</v>
      </c>
      <c r="B162" s="5" t="s">
        <v>1338</v>
      </c>
      <c r="C162" s="135" t="s">
        <v>2551</v>
      </c>
      <c r="D162" s="136"/>
      <c r="E162" s="136"/>
      <c r="F162" s="136"/>
      <c r="G162" s="136"/>
      <c r="H162" s="5" t="s">
        <v>3615</v>
      </c>
      <c r="I162" s="18">
        <v>116.6</v>
      </c>
      <c r="J162" s="18">
        <v>0</v>
      </c>
      <c r="K162" s="18">
        <f t="shared" si="124"/>
        <v>0</v>
      </c>
      <c r="L162" s="28" t="s">
        <v>3635</v>
      </c>
      <c r="Z162" s="34">
        <f t="shared" si="125"/>
        <v>0</v>
      </c>
      <c r="AB162" s="34">
        <f t="shared" si="126"/>
        <v>0</v>
      </c>
      <c r="AC162" s="34">
        <f t="shared" si="127"/>
        <v>0</v>
      </c>
      <c r="AD162" s="34">
        <f t="shared" si="128"/>
        <v>0</v>
      </c>
      <c r="AE162" s="34">
        <f t="shared" si="129"/>
        <v>0</v>
      </c>
      <c r="AF162" s="34">
        <f t="shared" si="130"/>
        <v>0</v>
      </c>
      <c r="AG162" s="34">
        <f t="shared" si="131"/>
        <v>0</v>
      </c>
      <c r="AH162" s="34">
        <f t="shared" si="132"/>
        <v>0</v>
      </c>
      <c r="AI162" s="27" t="s">
        <v>3645</v>
      </c>
      <c r="AJ162" s="18">
        <f t="shared" si="133"/>
        <v>0</v>
      </c>
      <c r="AK162" s="18">
        <f t="shared" si="134"/>
        <v>0</v>
      </c>
      <c r="AL162" s="18">
        <f t="shared" si="135"/>
        <v>0</v>
      </c>
      <c r="AN162" s="34">
        <v>21</v>
      </c>
      <c r="AO162" s="34">
        <f>J162*0.660353591160221</f>
        <v>0</v>
      </c>
      <c r="AP162" s="34">
        <f>J162*(1-0.660353591160221)</f>
        <v>0</v>
      </c>
      <c r="AQ162" s="28" t="s">
        <v>7</v>
      </c>
      <c r="AV162" s="34">
        <f t="shared" si="136"/>
        <v>0</v>
      </c>
      <c r="AW162" s="34">
        <f t="shared" si="137"/>
        <v>0</v>
      </c>
      <c r="AX162" s="34">
        <f t="shared" si="138"/>
        <v>0</v>
      </c>
      <c r="AY162" s="35" t="s">
        <v>3666</v>
      </c>
      <c r="AZ162" s="35" t="s">
        <v>3711</v>
      </c>
      <c r="BA162" s="27" t="s">
        <v>3729</v>
      </c>
      <c r="BC162" s="34">
        <f t="shared" si="139"/>
        <v>0</v>
      </c>
      <c r="BD162" s="34">
        <f t="shared" si="140"/>
        <v>0</v>
      </c>
      <c r="BE162" s="34">
        <v>0</v>
      </c>
      <c r="BF162" s="34">
        <f>162</f>
        <v>162</v>
      </c>
      <c r="BH162" s="18">
        <f t="shared" si="141"/>
        <v>0</v>
      </c>
      <c r="BI162" s="18">
        <f t="shared" si="142"/>
        <v>0</v>
      </c>
      <c r="BJ162" s="18">
        <f t="shared" si="143"/>
        <v>0</v>
      </c>
    </row>
    <row r="163" spans="1:62" x14ac:dyDescent="0.2">
      <c r="A163" s="5" t="s">
        <v>137</v>
      </c>
      <c r="B163" s="5" t="s">
        <v>1339</v>
      </c>
      <c r="C163" s="135" t="s">
        <v>2552</v>
      </c>
      <c r="D163" s="136"/>
      <c r="E163" s="136"/>
      <c r="F163" s="136"/>
      <c r="G163" s="136"/>
      <c r="H163" s="5" t="s">
        <v>3615</v>
      </c>
      <c r="I163" s="18">
        <v>89.78</v>
      </c>
      <c r="J163" s="18">
        <v>0</v>
      </c>
      <c r="K163" s="18">
        <f t="shared" si="124"/>
        <v>0</v>
      </c>
      <c r="L163" s="28" t="s">
        <v>3635</v>
      </c>
      <c r="Z163" s="34">
        <f t="shared" si="125"/>
        <v>0</v>
      </c>
      <c r="AB163" s="34">
        <f t="shared" si="126"/>
        <v>0</v>
      </c>
      <c r="AC163" s="34">
        <f t="shared" si="127"/>
        <v>0</v>
      </c>
      <c r="AD163" s="34">
        <f t="shared" si="128"/>
        <v>0</v>
      </c>
      <c r="AE163" s="34">
        <f t="shared" si="129"/>
        <v>0</v>
      </c>
      <c r="AF163" s="34">
        <f t="shared" si="130"/>
        <v>0</v>
      </c>
      <c r="AG163" s="34">
        <f t="shared" si="131"/>
        <v>0</v>
      </c>
      <c r="AH163" s="34">
        <f t="shared" si="132"/>
        <v>0</v>
      </c>
      <c r="AI163" s="27" t="s">
        <v>3645</v>
      </c>
      <c r="AJ163" s="18">
        <f t="shared" si="133"/>
        <v>0</v>
      </c>
      <c r="AK163" s="18">
        <f t="shared" si="134"/>
        <v>0</v>
      </c>
      <c r="AL163" s="18">
        <f t="shared" si="135"/>
        <v>0</v>
      </c>
      <c r="AN163" s="34">
        <v>21</v>
      </c>
      <c r="AO163" s="34">
        <f>J163*0.738887744593203</f>
        <v>0</v>
      </c>
      <c r="AP163" s="34">
        <f>J163*(1-0.738887744593203)</f>
        <v>0</v>
      </c>
      <c r="AQ163" s="28" t="s">
        <v>7</v>
      </c>
      <c r="AV163" s="34">
        <f t="shared" si="136"/>
        <v>0</v>
      </c>
      <c r="AW163" s="34">
        <f t="shared" si="137"/>
        <v>0</v>
      </c>
      <c r="AX163" s="34">
        <f t="shared" si="138"/>
        <v>0</v>
      </c>
      <c r="AY163" s="35" t="s">
        <v>3666</v>
      </c>
      <c r="AZ163" s="35" t="s">
        <v>3711</v>
      </c>
      <c r="BA163" s="27" t="s">
        <v>3729</v>
      </c>
      <c r="BC163" s="34">
        <f t="shared" si="139"/>
        <v>0</v>
      </c>
      <c r="BD163" s="34">
        <f t="shared" si="140"/>
        <v>0</v>
      </c>
      <c r="BE163" s="34">
        <v>0</v>
      </c>
      <c r="BF163" s="34">
        <f>163</f>
        <v>163</v>
      </c>
      <c r="BH163" s="18">
        <f t="shared" si="141"/>
        <v>0</v>
      </c>
      <c r="BI163" s="18">
        <f t="shared" si="142"/>
        <v>0</v>
      </c>
      <c r="BJ163" s="18">
        <f t="shared" si="143"/>
        <v>0</v>
      </c>
    </row>
    <row r="164" spans="1:62" x14ac:dyDescent="0.2">
      <c r="A164" s="5" t="s">
        <v>138</v>
      </c>
      <c r="B164" s="5" t="s">
        <v>1340</v>
      </c>
      <c r="C164" s="135" t="s">
        <v>2553</v>
      </c>
      <c r="D164" s="136"/>
      <c r="E164" s="136"/>
      <c r="F164" s="136"/>
      <c r="G164" s="136"/>
      <c r="H164" s="5" t="s">
        <v>3615</v>
      </c>
      <c r="I164" s="18">
        <v>129.94</v>
      </c>
      <c r="J164" s="18">
        <v>0</v>
      </c>
      <c r="K164" s="18">
        <f t="shared" si="124"/>
        <v>0</v>
      </c>
      <c r="L164" s="28" t="s">
        <v>3635</v>
      </c>
      <c r="Z164" s="34">
        <f t="shared" si="125"/>
        <v>0</v>
      </c>
      <c r="AB164" s="34">
        <f t="shared" si="126"/>
        <v>0</v>
      </c>
      <c r="AC164" s="34">
        <f t="shared" si="127"/>
        <v>0</v>
      </c>
      <c r="AD164" s="34">
        <f t="shared" si="128"/>
        <v>0</v>
      </c>
      <c r="AE164" s="34">
        <f t="shared" si="129"/>
        <v>0</v>
      </c>
      <c r="AF164" s="34">
        <f t="shared" si="130"/>
        <v>0</v>
      </c>
      <c r="AG164" s="34">
        <f t="shared" si="131"/>
        <v>0</v>
      </c>
      <c r="AH164" s="34">
        <f t="shared" si="132"/>
        <v>0</v>
      </c>
      <c r="AI164" s="27" t="s">
        <v>3645</v>
      </c>
      <c r="AJ164" s="18">
        <f t="shared" si="133"/>
        <v>0</v>
      </c>
      <c r="AK164" s="18">
        <f t="shared" si="134"/>
        <v>0</v>
      </c>
      <c r="AL164" s="18">
        <f t="shared" si="135"/>
        <v>0</v>
      </c>
      <c r="AN164" s="34">
        <v>21</v>
      </c>
      <c r="AO164" s="34">
        <f>J164*0.753109907349956</f>
        <v>0</v>
      </c>
      <c r="AP164" s="34">
        <f>J164*(1-0.753109907349956)</f>
        <v>0</v>
      </c>
      <c r="AQ164" s="28" t="s">
        <v>7</v>
      </c>
      <c r="AV164" s="34">
        <f t="shared" si="136"/>
        <v>0</v>
      </c>
      <c r="AW164" s="34">
        <f t="shared" si="137"/>
        <v>0</v>
      </c>
      <c r="AX164" s="34">
        <f t="shared" si="138"/>
        <v>0</v>
      </c>
      <c r="AY164" s="35" t="s">
        <v>3666</v>
      </c>
      <c r="AZ164" s="35" t="s">
        <v>3711</v>
      </c>
      <c r="BA164" s="27" t="s">
        <v>3729</v>
      </c>
      <c r="BC164" s="34">
        <f t="shared" si="139"/>
        <v>0</v>
      </c>
      <c r="BD164" s="34">
        <f t="shared" si="140"/>
        <v>0</v>
      </c>
      <c r="BE164" s="34">
        <v>0</v>
      </c>
      <c r="BF164" s="34">
        <f>164</f>
        <v>164</v>
      </c>
      <c r="BH164" s="18">
        <f t="shared" si="141"/>
        <v>0</v>
      </c>
      <c r="BI164" s="18">
        <f t="shared" si="142"/>
        <v>0</v>
      </c>
      <c r="BJ164" s="18">
        <f t="shared" si="143"/>
        <v>0</v>
      </c>
    </row>
    <row r="165" spans="1:62" x14ac:dyDescent="0.2">
      <c r="A165" s="5" t="s">
        <v>139</v>
      </c>
      <c r="B165" s="5" t="s">
        <v>1341</v>
      </c>
      <c r="C165" s="135" t="s">
        <v>2554</v>
      </c>
      <c r="D165" s="136"/>
      <c r="E165" s="136"/>
      <c r="F165" s="136"/>
      <c r="G165" s="136"/>
      <c r="H165" s="5" t="s">
        <v>3615</v>
      </c>
      <c r="I165" s="18">
        <v>47.57</v>
      </c>
      <c r="J165" s="18">
        <v>0</v>
      </c>
      <c r="K165" s="18">
        <f t="shared" si="124"/>
        <v>0</v>
      </c>
      <c r="L165" s="28" t="s">
        <v>3635</v>
      </c>
      <c r="Z165" s="34">
        <f t="shared" si="125"/>
        <v>0</v>
      </c>
      <c r="AB165" s="34">
        <f t="shared" si="126"/>
        <v>0</v>
      </c>
      <c r="AC165" s="34">
        <f t="shared" si="127"/>
        <v>0</v>
      </c>
      <c r="AD165" s="34">
        <f t="shared" si="128"/>
        <v>0</v>
      </c>
      <c r="AE165" s="34">
        <f t="shared" si="129"/>
        <v>0</v>
      </c>
      <c r="AF165" s="34">
        <f t="shared" si="130"/>
        <v>0</v>
      </c>
      <c r="AG165" s="34">
        <f t="shared" si="131"/>
        <v>0</v>
      </c>
      <c r="AH165" s="34">
        <f t="shared" si="132"/>
        <v>0</v>
      </c>
      <c r="AI165" s="27" t="s">
        <v>3645</v>
      </c>
      <c r="AJ165" s="18">
        <f t="shared" si="133"/>
        <v>0</v>
      </c>
      <c r="AK165" s="18">
        <f t="shared" si="134"/>
        <v>0</v>
      </c>
      <c r="AL165" s="18">
        <f t="shared" si="135"/>
        <v>0</v>
      </c>
      <c r="AN165" s="34">
        <v>21</v>
      </c>
      <c r="AO165" s="34">
        <f>J165*0.753133277374904</f>
        <v>0</v>
      </c>
      <c r="AP165" s="34">
        <f>J165*(1-0.753133277374904)</f>
        <v>0</v>
      </c>
      <c r="AQ165" s="28" t="s">
        <v>7</v>
      </c>
      <c r="AV165" s="34">
        <f t="shared" si="136"/>
        <v>0</v>
      </c>
      <c r="AW165" s="34">
        <f t="shared" si="137"/>
        <v>0</v>
      </c>
      <c r="AX165" s="34">
        <f t="shared" si="138"/>
        <v>0</v>
      </c>
      <c r="AY165" s="35" t="s">
        <v>3666</v>
      </c>
      <c r="AZ165" s="35" t="s">
        <v>3711</v>
      </c>
      <c r="BA165" s="27" t="s">
        <v>3729</v>
      </c>
      <c r="BC165" s="34">
        <f t="shared" si="139"/>
        <v>0</v>
      </c>
      <c r="BD165" s="34">
        <f t="shared" si="140"/>
        <v>0</v>
      </c>
      <c r="BE165" s="34">
        <v>0</v>
      </c>
      <c r="BF165" s="34">
        <f>165</f>
        <v>165</v>
      </c>
      <c r="BH165" s="18">
        <f t="shared" si="141"/>
        <v>0</v>
      </c>
      <c r="BI165" s="18">
        <f t="shared" si="142"/>
        <v>0</v>
      </c>
      <c r="BJ165" s="18">
        <f t="shared" si="143"/>
        <v>0</v>
      </c>
    </row>
    <row r="166" spans="1:62" x14ac:dyDescent="0.2">
      <c r="A166" s="5" t="s">
        <v>140</v>
      </c>
      <c r="B166" s="5" t="s">
        <v>1342</v>
      </c>
      <c r="C166" s="135" t="s">
        <v>2555</v>
      </c>
      <c r="D166" s="136"/>
      <c r="E166" s="136"/>
      <c r="F166" s="136"/>
      <c r="G166" s="136"/>
      <c r="H166" s="5" t="s">
        <v>3615</v>
      </c>
      <c r="I166" s="18">
        <v>41.56</v>
      </c>
      <c r="J166" s="18">
        <v>0</v>
      </c>
      <c r="K166" s="18">
        <f t="shared" si="124"/>
        <v>0</v>
      </c>
      <c r="L166" s="28" t="s">
        <v>3635</v>
      </c>
      <c r="Z166" s="34">
        <f t="shared" si="125"/>
        <v>0</v>
      </c>
      <c r="AB166" s="34">
        <f t="shared" si="126"/>
        <v>0</v>
      </c>
      <c r="AC166" s="34">
        <f t="shared" si="127"/>
        <v>0</v>
      </c>
      <c r="AD166" s="34">
        <f t="shared" si="128"/>
        <v>0</v>
      </c>
      <c r="AE166" s="34">
        <f t="shared" si="129"/>
        <v>0</v>
      </c>
      <c r="AF166" s="34">
        <f t="shared" si="130"/>
        <v>0</v>
      </c>
      <c r="AG166" s="34">
        <f t="shared" si="131"/>
        <v>0</v>
      </c>
      <c r="AH166" s="34">
        <f t="shared" si="132"/>
        <v>0</v>
      </c>
      <c r="AI166" s="27" t="s">
        <v>3645</v>
      </c>
      <c r="AJ166" s="18">
        <f t="shared" si="133"/>
        <v>0</v>
      </c>
      <c r="AK166" s="18">
        <f t="shared" si="134"/>
        <v>0</v>
      </c>
      <c r="AL166" s="18">
        <f t="shared" si="135"/>
        <v>0</v>
      </c>
      <c r="AN166" s="34">
        <v>21</v>
      </c>
      <c r="AO166" s="34">
        <f>J166*0.753131283496982</f>
        <v>0</v>
      </c>
      <c r="AP166" s="34">
        <f>J166*(1-0.753131283496982)</f>
        <v>0</v>
      </c>
      <c r="AQ166" s="28" t="s">
        <v>7</v>
      </c>
      <c r="AV166" s="34">
        <f t="shared" si="136"/>
        <v>0</v>
      </c>
      <c r="AW166" s="34">
        <f t="shared" si="137"/>
        <v>0</v>
      </c>
      <c r="AX166" s="34">
        <f t="shared" si="138"/>
        <v>0</v>
      </c>
      <c r="AY166" s="35" t="s">
        <v>3666</v>
      </c>
      <c r="AZ166" s="35" t="s">
        <v>3711</v>
      </c>
      <c r="BA166" s="27" t="s">
        <v>3729</v>
      </c>
      <c r="BC166" s="34">
        <f t="shared" si="139"/>
        <v>0</v>
      </c>
      <c r="BD166" s="34">
        <f t="shared" si="140"/>
        <v>0</v>
      </c>
      <c r="BE166" s="34">
        <v>0</v>
      </c>
      <c r="BF166" s="34">
        <f>166</f>
        <v>166</v>
      </c>
      <c r="BH166" s="18">
        <f t="shared" si="141"/>
        <v>0</v>
      </c>
      <c r="BI166" s="18">
        <f t="shared" si="142"/>
        <v>0</v>
      </c>
      <c r="BJ166" s="18">
        <f t="shared" si="143"/>
        <v>0</v>
      </c>
    </row>
    <row r="167" spans="1:62" x14ac:dyDescent="0.2">
      <c r="A167" s="5" t="s">
        <v>141</v>
      </c>
      <c r="B167" s="5" t="s">
        <v>1343</v>
      </c>
      <c r="C167" s="135" t="s">
        <v>2556</v>
      </c>
      <c r="D167" s="136"/>
      <c r="E167" s="136"/>
      <c r="F167" s="136"/>
      <c r="G167" s="136"/>
      <c r="H167" s="5" t="s">
        <v>3615</v>
      </c>
      <c r="I167" s="18">
        <v>243.22</v>
      </c>
      <c r="J167" s="18">
        <v>0</v>
      </c>
      <c r="K167" s="18">
        <f t="shared" si="124"/>
        <v>0</v>
      </c>
      <c r="L167" s="28" t="s">
        <v>3635</v>
      </c>
      <c r="Z167" s="34">
        <f t="shared" si="125"/>
        <v>0</v>
      </c>
      <c r="AB167" s="34">
        <f t="shared" si="126"/>
        <v>0</v>
      </c>
      <c r="AC167" s="34">
        <f t="shared" si="127"/>
        <v>0</v>
      </c>
      <c r="AD167" s="34">
        <f t="shared" si="128"/>
        <v>0</v>
      </c>
      <c r="AE167" s="34">
        <f t="shared" si="129"/>
        <v>0</v>
      </c>
      <c r="AF167" s="34">
        <f t="shared" si="130"/>
        <v>0</v>
      </c>
      <c r="AG167" s="34">
        <f t="shared" si="131"/>
        <v>0</v>
      </c>
      <c r="AH167" s="34">
        <f t="shared" si="132"/>
        <v>0</v>
      </c>
      <c r="AI167" s="27" t="s">
        <v>3645</v>
      </c>
      <c r="AJ167" s="18">
        <f t="shared" si="133"/>
        <v>0</v>
      </c>
      <c r="AK167" s="18">
        <f t="shared" si="134"/>
        <v>0</v>
      </c>
      <c r="AL167" s="18">
        <f t="shared" si="135"/>
        <v>0</v>
      </c>
      <c r="AN167" s="34">
        <v>21</v>
      </c>
      <c r="AO167" s="34">
        <f>J167*0.765462713387242</f>
        <v>0</v>
      </c>
      <c r="AP167" s="34">
        <f>J167*(1-0.765462713387242)</f>
        <v>0</v>
      </c>
      <c r="AQ167" s="28" t="s">
        <v>7</v>
      </c>
      <c r="AV167" s="34">
        <f t="shared" si="136"/>
        <v>0</v>
      </c>
      <c r="AW167" s="34">
        <f t="shared" si="137"/>
        <v>0</v>
      </c>
      <c r="AX167" s="34">
        <f t="shared" si="138"/>
        <v>0</v>
      </c>
      <c r="AY167" s="35" t="s">
        <v>3666</v>
      </c>
      <c r="AZ167" s="35" t="s">
        <v>3711</v>
      </c>
      <c r="BA167" s="27" t="s">
        <v>3729</v>
      </c>
      <c r="BC167" s="34">
        <f t="shared" si="139"/>
        <v>0</v>
      </c>
      <c r="BD167" s="34">
        <f t="shared" si="140"/>
        <v>0</v>
      </c>
      <c r="BE167" s="34">
        <v>0</v>
      </c>
      <c r="BF167" s="34">
        <f>167</f>
        <v>167</v>
      </c>
      <c r="BH167" s="18">
        <f t="shared" si="141"/>
        <v>0</v>
      </c>
      <c r="BI167" s="18">
        <f t="shared" si="142"/>
        <v>0</v>
      </c>
      <c r="BJ167" s="18">
        <f t="shared" si="143"/>
        <v>0</v>
      </c>
    </row>
    <row r="168" spans="1:62" x14ac:dyDescent="0.2">
      <c r="A168" s="5" t="s">
        <v>142</v>
      </c>
      <c r="B168" s="5" t="s">
        <v>1344</v>
      </c>
      <c r="C168" s="135" t="s">
        <v>2557</v>
      </c>
      <c r="D168" s="136"/>
      <c r="E168" s="136"/>
      <c r="F168" s="136"/>
      <c r="G168" s="136"/>
      <c r="H168" s="5" t="s">
        <v>3615</v>
      </c>
      <c r="I168" s="18">
        <v>75.156000000000006</v>
      </c>
      <c r="J168" s="18">
        <v>0</v>
      </c>
      <c r="K168" s="18">
        <f t="shared" si="124"/>
        <v>0</v>
      </c>
      <c r="L168" s="28" t="s">
        <v>3635</v>
      </c>
      <c r="Z168" s="34">
        <f t="shared" si="125"/>
        <v>0</v>
      </c>
      <c r="AB168" s="34">
        <f t="shared" si="126"/>
        <v>0</v>
      </c>
      <c r="AC168" s="34">
        <f t="shared" si="127"/>
        <v>0</v>
      </c>
      <c r="AD168" s="34">
        <f t="shared" si="128"/>
        <v>0</v>
      </c>
      <c r="AE168" s="34">
        <f t="shared" si="129"/>
        <v>0</v>
      </c>
      <c r="AF168" s="34">
        <f t="shared" si="130"/>
        <v>0</v>
      </c>
      <c r="AG168" s="34">
        <f t="shared" si="131"/>
        <v>0</v>
      </c>
      <c r="AH168" s="34">
        <f t="shared" si="132"/>
        <v>0</v>
      </c>
      <c r="AI168" s="27" t="s">
        <v>3645</v>
      </c>
      <c r="AJ168" s="18">
        <f t="shared" si="133"/>
        <v>0</v>
      </c>
      <c r="AK168" s="18">
        <f t="shared" si="134"/>
        <v>0</v>
      </c>
      <c r="AL168" s="18">
        <f t="shared" si="135"/>
        <v>0</v>
      </c>
      <c r="AN168" s="34">
        <v>21</v>
      </c>
      <c r="AO168" s="34">
        <f>J168*0.607588641947608</f>
        <v>0</v>
      </c>
      <c r="AP168" s="34">
        <f>J168*(1-0.607588641947608)</f>
        <v>0</v>
      </c>
      <c r="AQ168" s="28" t="s">
        <v>7</v>
      </c>
      <c r="AV168" s="34">
        <f t="shared" si="136"/>
        <v>0</v>
      </c>
      <c r="AW168" s="34">
        <f t="shared" si="137"/>
        <v>0</v>
      </c>
      <c r="AX168" s="34">
        <f t="shared" si="138"/>
        <v>0</v>
      </c>
      <c r="AY168" s="35" t="s">
        <v>3666</v>
      </c>
      <c r="AZ168" s="35" t="s">
        <v>3711</v>
      </c>
      <c r="BA168" s="27" t="s">
        <v>3729</v>
      </c>
      <c r="BC168" s="34">
        <f t="shared" si="139"/>
        <v>0</v>
      </c>
      <c r="BD168" s="34">
        <f t="shared" si="140"/>
        <v>0</v>
      </c>
      <c r="BE168" s="34">
        <v>0</v>
      </c>
      <c r="BF168" s="34">
        <f>168</f>
        <v>168</v>
      </c>
      <c r="BH168" s="18">
        <f t="shared" si="141"/>
        <v>0</v>
      </c>
      <c r="BI168" s="18">
        <f t="shared" si="142"/>
        <v>0</v>
      </c>
      <c r="BJ168" s="18">
        <f t="shared" si="143"/>
        <v>0</v>
      </c>
    </row>
    <row r="169" spans="1:62" x14ac:dyDescent="0.2">
      <c r="A169" s="4"/>
      <c r="B169" s="14" t="s">
        <v>96</v>
      </c>
      <c r="C169" s="133" t="s">
        <v>2558</v>
      </c>
      <c r="D169" s="134"/>
      <c r="E169" s="134"/>
      <c r="F169" s="134"/>
      <c r="G169" s="134"/>
      <c r="H169" s="4" t="s">
        <v>6</v>
      </c>
      <c r="I169" s="4" t="s">
        <v>6</v>
      </c>
      <c r="J169" s="4" t="s">
        <v>6</v>
      </c>
      <c r="K169" s="37">
        <f>SUM(K170:K170)</f>
        <v>0</v>
      </c>
      <c r="L169" s="27"/>
      <c r="AI169" s="27" t="s">
        <v>3645</v>
      </c>
      <c r="AS169" s="37">
        <f>SUM(AJ170:AJ170)</f>
        <v>0</v>
      </c>
      <c r="AT169" s="37">
        <f>SUM(AK170:AK170)</f>
        <v>0</v>
      </c>
      <c r="AU169" s="37">
        <f>SUM(AL170:AL170)</f>
        <v>0</v>
      </c>
    </row>
    <row r="170" spans="1:62" x14ac:dyDescent="0.2">
      <c r="A170" s="5" t="s">
        <v>143</v>
      </c>
      <c r="B170" s="5" t="s">
        <v>1345</v>
      </c>
      <c r="C170" s="135" t="s">
        <v>2559</v>
      </c>
      <c r="D170" s="136"/>
      <c r="E170" s="136"/>
      <c r="F170" s="136"/>
      <c r="G170" s="136"/>
      <c r="H170" s="5" t="s">
        <v>3617</v>
      </c>
      <c r="I170" s="18">
        <v>320</v>
      </c>
      <c r="J170" s="18">
        <v>0</v>
      </c>
      <c r="K170" s="18">
        <f>I170*J170</f>
        <v>0</v>
      </c>
      <c r="L170" s="28" t="s">
        <v>3635</v>
      </c>
      <c r="Z170" s="34">
        <f>IF(AQ170="5",BJ170,0)</f>
        <v>0</v>
      </c>
      <c r="AB170" s="34">
        <f>IF(AQ170="1",BH170,0)</f>
        <v>0</v>
      </c>
      <c r="AC170" s="34">
        <f>IF(AQ170="1",BI170,0)</f>
        <v>0</v>
      </c>
      <c r="AD170" s="34">
        <f>IF(AQ170="7",BH170,0)</f>
        <v>0</v>
      </c>
      <c r="AE170" s="34">
        <f>IF(AQ170="7",BI170,0)</f>
        <v>0</v>
      </c>
      <c r="AF170" s="34">
        <f>IF(AQ170="2",BH170,0)</f>
        <v>0</v>
      </c>
      <c r="AG170" s="34">
        <f>IF(AQ170="2",BI170,0)</f>
        <v>0</v>
      </c>
      <c r="AH170" s="34">
        <f>IF(AQ170="0",BJ170,0)</f>
        <v>0</v>
      </c>
      <c r="AI170" s="27" t="s">
        <v>3645</v>
      </c>
      <c r="AJ170" s="18">
        <f>IF(AN170=0,K170,0)</f>
        <v>0</v>
      </c>
      <c r="AK170" s="18">
        <f>IF(AN170=15,K170,0)</f>
        <v>0</v>
      </c>
      <c r="AL170" s="18">
        <f>IF(AN170=21,K170,0)</f>
        <v>0</v>
      </c>
      <c r="AN170" s="34">
        <v>21</v>
      </c>
      <c r="AO170" s="34">
        <f>J170*0</f>
        <v>0</v>
      </c>
      <c r="AP170" s="34">
        <f>J170*(1-0)</f>
        <v>0</v>
      </c>
      <c r="AQ170" s="28" t="s">
        <v>7</v>
      </c>
      <c r="AV170" s="34">
        <f>AW170+AX170</f>
        <v>0</v>
      </c>
      <c r="AW170" s="34">
        <f>I170*AO170</f>
        <v>0</v>
      </c>
      <c r="AX170" s="34">
        <f>I170*AP170</f>
        <v>0</v>
      </c>
      <c r="AY170" s="35" t="s">
        <v>3667</v>
      </c>
      <c r="AZ170" s="35" t="s">
        <v>3712</v>
      </c>
      <c r="BA170" s="27" t="s">
        <v>3729</v>
      </c>
      <c r="BC170" s="34">
        <f>AW170+AX170</f>
        <v>0</v>
      </c>
      <c r="BD170" s="34">
        <f>J170/(100-BE170)*100</f>
        <v>0</v>
      </c>
      <c r="BE170" s="34">
        <v>0</v>
      </c>
      <c r="BF170" s="34">
        <f>170</f>
        <v>170</v>
      </c>
      <c r="BH170" s="18">
        <f>I170*AO170</f>
        <v>0</v>
      </c>
      <c r="BI170" s="18">
        <f>I170*AP170</f>
        <v>0</v>
      </c>
      <c r="BJ170" s="18">
        <f>I170*J170</f>
        <v>0</v>
      </c>
    </row>
    <row r="171" spans="1:62" x14ac:dyDescent="0.2">
      <c r="A171" s="4"/>
      <c r="B171" s="14" t="s">
        <v>100</v>
      </c>
      <c r="C171" s="133" t="s">
        <v>2560</v>
      </c>
      <c r="D171" s="134"/>
      <c r="E171" s="134"/>
      <c r="F171" s="134"/>
      <c r="G171" s="134"/>
      <c r="H171" s="4" t="s">
        <v>6</v>
      </c>
      <c r="I171" s="4" t="s">
        <v>6</v>
      </c>
      <c r="J171" s="4" t="s">
        <v>6</v>
      </c>
      <c r="K171" s="37">
        <f>SUM(K172:K181)</f>
        <v>0</v>
      </c>
      <c r="L171" s="27"/>
      <c r="AI171" s="27" t="s">
        <v>3645</v>
      </c>
      <c r="AS171" s="37">
        <f>SUM(AJ172:AJ181)</f>
        <v>0</v>
      </c>
      <c r="AT171" s="37">
        <f>SUM(AK172:AK181)</f>
        <v>0</v>
      </c>
      <c r="AU171" s="37">
        <f>SUM(AL172:AL181)</f>
        <v>0</v>
      </c>
    </row>
    <row r="172" spans="1:62" x14ac:dyDescent="0.2">
      <c r="A172" s="5" t="s">
        <v>144</v>
      </c>
      <c r="B172" s="5" t="s">
        <v>1346</v>
      </c>
      <c r="C172" s="135" t="s">
        <v>2561</v>
      </c>
      <c r="D172" s="136"/>
      <c r="E172" s="136"/>
      <c r="F172" s="136"/>
      <c r="G172" s="136"/>
      <c r="H172" s="5" t="s">
        <v>3615</v>
      </c>
      <c r="I172" s="18">
        <v>942.04304999999999</v>
      </c>
      <c r="J172" s="18">
        <v>0</v>
      </c>
      <c r="K172" s="18">
        <f t="shared" ref="K172:K181" si="144">I172*J172</f>
        <v>0</v>
      </c>
      <c r="L172" s="28" t="s">
        <v>3635</v>
      </c>
      <c r="Z172" s="34">
        <f t="shared" ref="Z172:Z181" si="145">IF(AQ172="5",BJ172,0)</f>
        <v>0</v>
      </c>
      <c r="AB172" s="34">
        <f t="shared" ref="AB172:AB181" si="146">IF(AQ172="1",BH172,0)</f>
        <v>0</v>
      </c>
      <c r="AC172" s="34">
        <f t="shared" ref="AC172:AC181" si="147">IF(AQ172="1",BI172,0)</f>
        <v>0</v>
      </c>
      <c r="AD172" s="34">
        <f t="shared" ref="AD172:AD181" si="148">IF(AQ172="7",BH172,0)</f>
        <v>0</v>
      </c>
      <c r="AE172" s="34">
        <f t="shared" ref="AE172:AE181" si="149">IF(AQ172="7",BI172,0)</f>
        <v>0</v>
      </c>
      <c r="AF172" s="34">
        <f t="shared" ref="AF172:AF181" si="150">IF(AQ172="2",BH172,0)</f>
        <v>0</v>
      </c>
      <c r="AG172" s="34">
        <f t="shared" ref="AG172:AG181" si="151">IF(AQ172="2",BI172,0)</f>
        <v>0</v>
      </c>
      <c r="AH172" s="34">
        <f t="shared" ref="AH172:AH181" si="152">IF(AQ172="0",BJ172,0)</f>
        <v>0</v>
      </c>
      <c r="AI172" s="27" t="s">
        <v>3645</v>
      </c>
      <c r="AJ172" s="18">
        <f t="shared" ref="AJ172:AJ181" si="153">IF(AN172=0,K172,0)</f>
        <v>0</v>
      </c>
      <c r="AK172" s="18">
        <f t="shared" ref="AK172:AK181" si="154">IF(AN172=15,K172,0)</f>
        <v>0</v>
      </c>
      <c r="AL172" s="18">
        <f t="shared" ref="AL172:AL181" si="155">IF(AN172=21,K172,0)</f>
        <v>0</v>
      </c>
      <c r="AN172" s="34">
        <v>21</v>
      </c>
      <c r="AO172" s="34">
        <f>J172*0.000325203238420558</f>
        <v>0</v>
      </c>
      <c r="AP172" s="34">
        <f>J172*(1-0.000325203238420558)</f>
        <v>0</v>
      </c>
      <c r="AQ172" s="28" t="s">
        <v>7</v>
      </c>
      <c r="AV172" s="34">
        <f t="shared" ref="AV172:AV181" si="156">AW172+AX172</f>
        <v>0</v>
      </c>
      <c r="AW172" s="34">
        <f t="shared" ref="AW172:AW181" si="157">I172*AO172</f>
        <v>0</v>
      </c>
      <c r="AX172" s="34">
        <f t="shared" ref="AX172:AX181" si="158">I172*AP172</f>
        <v>0</v>
      </c>
      <c r="AY172" s="35" t="s">
        <v>3668</v>
      </c>
      <c r="AZ172" s="35" t="s">
        <v>3712</v>
      </c>
      <c r="BA172" s="27" t="s">
        <v>3729</v>
      </c>
      <c r="BC172" s="34">
        <f t="shared" ref="BC172:BC181" si="159">AW172+AX172</f>
        <v>0</v>
      </c>
      <c r="BD172" s="34">
        <f t="shared" ref="BD172:BD181" si="160">J172/(100-BE172)*100</f>
        <v>0</v>
      </c>
      <c r="BE172" s="34">
        <v>0</v>
      </c>
      <c r="BF172" s="34">
        <f>172</f>
        <v>172</v>
      </c>
      <c r="BH172" s="18">
        <f t="shared" ref="BH172:BH181" si="161">I172*AO172</f>
        <v>0</v>
      </c>
      <c r="BI172" s="18">
        <f t="shared" ref="BI172:BI181" si="162">I172*AP172</f>
        <v>0</v>
      </c>
      <c r="BJ172" s="18">
        <f t="shared" ref="BJ172:BJ181" si="163">I172*J172</f>
        <v>0</v>
      </c>
    </row>
    <row r="173" spans="1:62" x14ac:dyDescent="0.2">
      <c r="A173" s="5" t="s">
        <v>145</v>
      </c>
      <c r="B173" s="5" t="s">
        <v>1347</v>
      </c>
      <c r="C173" s="135" t="s">
        <v>2562</v>
      </c>
      <c r="D173" s="136"/>
      <c r="E173" s="136"/>
      <c r="F173" s="136"/>
      <c r="G173" s="136"/>
      <c r="H173" s="5" t="s">
        <v>3615</v>
      </c>
      <c r="I173" s="18">
        <v>2826.1291500000002</v>
      </c>
      <c r="J173" s="18">
        <v>0</v>
      </c>
      <c r="K173" s="18">
        <f t="shared" si="144"/>
        <v>0</v>
      </c>
      <c r="L173" s="28" t="s">
        <v>3635</v>
      </c>
      <c r="Z173" s="34">
        <f t="shared" si="145"/>
        <v>0</v>
      </c>
      <c r="AB173" s="34">
        <f t="shared" si="146"/>
        <v>0</v>
      </c>
      <c r="AC173" s="34">
        <f t="shared" si="147"/>
        <v>0</v>
      </c>
      <c r="AD173" s="34">
        <f t="shared" si="148"/>
        <v>0</v>
      </c>
      <c r="AE173" s="34">
        <f t="shared" si="149"/>
        <v>0</v>
      </c>
      <c r="AF173" s="34">
        <f t="shared" si="150"/>
        <v>0</v>
      </c>
      <c r="AG173" s="34">
        <f t="shared" si="151"/>
        <v>0</v>
      </c>
      <c r="AH173" s="34">
        <f t="shared" si="152"/>
        <v>0</v>
      </c>
      <c r="AI173" s="27" t="s">
        <v>3645</v>
      </c>
      <c r="AJ173" s="18">
        <f t="shared" si="153"/>
        <v>0</v>
      </c>
      <c r="AK173" s="18">
        <f t="shared" si="154"/>
        <v>0</v>
      </c>
      <c r="AL173" s="18">
        <f t="shared" si="155"/>
        <v>0</v>
      </c>
      <c r="AN173" s="34">
        <v>21</v>
      </c>
      <c r="AO173" s="34">
        <f>J173*0.912408743924333</f>
        <v>0</v>
      </c>
      <c r="AP173" s="34">
        <f>J173*(1-0.912408743924333)</f>
        <v>0</v>
      </c>
      <c r="AQ173" s="28" t="s">
        <v>7</v>
      </c>
      <c r="AV173" s="34">
        <f t="shared" si="156"/>
        <v>0</v>
      </c>
      <c r="AW173" s="34">
        <f t="shared" si="157"/>
        <v>0</v>
      </c>
      <c r="AX173" s="34">
        <f t="shared" si="158"/>
        <v>0</v>
      </c>
      <c r="AY173" s="35" t="s">
        <v>3668</v>
      </c>
      <c r="AZ173" s="35" t="s">
        <v>3712</v>
      </c>
      <c r="BA173" s="27" t="s">
        <v>3729</v>
      </c>
      <c r="BC173" s="34">
        <f t="shared" si="159"/>
        <v>0</v>
      </c>
      <c r="BD173" s="34">
        <f t="shared" si="160"/>
        <v>0</v>
      </c>
      <c r="BE173" s="34">
        <v>0</v>
      </c>
      <c r="BF173" s="34">
        <f>173</f>
        <v>173</v>
      </c>
      <c r="BH173" s="18">
        <f t="shared" si="161"/>
        <v>0</v>
      </c>
      <c r="BI173" s="18">
        <f t="shared" si="162"/>
        <v>0</v>
      </c>
      <c r="BJ173" s="18">
        <f t="shared" si="163"/>
        <v>0</v>
      </c>
    </row>
    <row r="174" spans="1:62" x14ac:dyDescent="0.2">
      <c r="A174" s="5" t="s">
        <v>146</v>
      </c>
      <c r="B174" s="5" t="s">
        <v>1348</v>
      </c>
      <c r="C174" s="135" t="s">
        <v>2563</v>
      </c>
      <c r="D174" s="136"/>
      <c r="E174" s="136"/>
      <c r="F174" s="136"/>
      <c r="G174" s="136"/>
      <c r="H174" s="5" t="s">
        <v>3615</v>
      </c>
      <c r="I174" s="18">
        <v>942.04304999999999</v>
      </c>
      <c r="J174" s="18">
        <v>0</v>
      </c>
      <c r="K174" s="18">
        <f t="shared" si="144"/>
        <v>0</v>
      </c>
      <c r="L174" s="28" t="s">
        <v>3635</v>
      </c>
      <c r="Z174" s="34">
        <f t="shared" si="145"/>
        <v>0</v>
      </c>
      <c r="AB174" s="34">
        <f t="shared" si="146"/>
        <v>0</v>
      </c>
      <c r="AC174" s="34">
        <f t="shared" si="147"/>
        <v>0</v>
      </c>
      <c r="AD174" s="34">
        <f t="shared" si="148"/>
        <v>0</v>
      </c>
      <c r="AE174" s="34">
        <f t="shared" si="149"/>
        <v>0</v>
      </c>
      <c r="AF174" s="34">
        <f t="shared" si="150"/>
        <v>0</v>
      </c>
      <c r="AG174" s="34">
        <f t="shared" si="151"/>
        <v>0</v>
      </c>
      <c r="AH174" s="34">
        <f t="shared" si="152"/>
        <v>0</v>
      </c>
      <c r="AI174" s="27" t="s">
        <v>3645</v>
      </c>
      <c r="AJ174" s="18">
        <f t="shared" si="153"/>
        <v>0</v>
      </c>
      <c r="AK174" s="18">
        <f t="shared" si="154"/>
        <v>0</v>
      </c>
      <c r="AL174" s="18">
        <f t="shared" si="155"/>
        <v>0</v>
      </c>
      <c r="AN174" s="34">
        <v>21</v>
      </c>
      <c r="AO174" s="34">
        <f>J174*0</f>
        <v>0</v>
      </c>
      <c r="AP174" s="34">
        <f>J174*(1-0)</f>
        <v>0</v>
      </c>
      <c r="AQ174" s="28" t="s">
        <v>7</v>
      </c>
      <c r="AV174" s="34">
        <f t="shared" si="156"/>
        <v>0</v>
      </c>
      <c r="AW174" s="34">
        <f t="shared" si="157"/>
        <v>0</v>
      </c>
      <c r="AX174" s="34">
        <f t="shared" si="158"/>
        <v>0</v>
      </c>
      <c r="AY174" s="35" t="s">
        <v>3668</v>
      </c>
      <c r="AZ174" s="35" t="s">
        <v>3712</v>
      </c>
      <c r="BA174" s="27" t="s">
        <v>3729</v>
      </c>
      <c r="BC174" s="34">
        <f t="shared" si="159"/>
        <v>0</v>
      </c>
      <c r="BD174" s="34">
        <f t="shared" si="160"/>
        <v>0</v>
      </c>
      <c r="BE174" s="34">
        <v>0</v>
      </c>
      <c r="BF174" s="34">
        <f>174</f>
        <v>174</v>
      </c>
      <c r="BH174" s="18">
        <f t="shared" si="161"/>
        <v>0</v>
      </c>
      <c r="BI174" s="18">
        <f t="shared" si="162"/>
        <v>0</v>
      </c>
      <c r="BJ174" s="18">
        <f t="shared" si="163"/>
        <v>0</v>
      </c>
    </row>
    <row r="175" spans="1:62" x14ac:dyDescent="0.2">
      <c r="A175" s="5" t="s">
        <v>147</v>
      </c>
      <c r="B175" s="5" t="s">
        <v>1349</v>
      </c>
      <c r="C175" s="135" t="s">
        <v>2564</v>
      </c>
      <c r="D175" s="136"/>
      <c r="E175" s="136"/>
      <c r="F175" s="136"/>
      <c r="G175" s="136"/>
      <c r="H175" s="5" t="s">
        <v>3615</v>
      </c>
      <c r="I175" s="18">
        <v>228.81</v>
      </c>
      <c r="J175" s="18">
        <v>0</v>
      </c>
      <c r="K175" s="18">
        <f t="shared" si="144"/>
        <v>0</v>
      </c>
      <c r="L175" s="28" t="s">
        <v>3635</v>
      </c>
      <c r="Z175" s="34">
        <f t="shared" si="145"/>
        <v>0</v>
      </c>
      <c r="AB175" s="34">
        <f t="shared" si="146"/>
        <v>0</v>
      </c>
      <c r="AC175" s="34">
        <f t="shared" si="147"/>
        <v>0</v>
      </c>
      <c r="AD175" s="34">
        <f t="shared" si="148"/>
        <v>0</v>
      </c>
      <c r="AE175" s="34">
        <f t="shared" si="149"/>
        <v>0</v>
      </c>
      <c r="AF175" s="34">
        <f t="shared" si="150"/>
        <v>0</v>
      </c>
      <c r="AG175" s="34">
        <f t="shared" si="151"/>
        <v>0</v>
      </c>
      <c r="AH175" s="34">
        <f t="shared" si="152"/>
        <v>0</v>
      </c>
      <c r="AI175" s="27" t="s">
        <v>3645</v>
      </c>
      <c r="AJ175" s="18">
        <f t="shared" si="153"/>
        <v>0</v>
      </c>
      <c r="AK175" s="18">
        <f t="shared" si="154"/>
        <v>0</v>
      </c>
      <c r="AL175" s="18">
        <f t="shared" si="155"/>
        <v>0</v>
      </c>
      <c r="AN175" s="34">
        <v>21</v>
      </c>
      <c r="AO175" s="34">
        <f>J175*0.337601671215888</f>
        <v>0</v>
      </c>
      <c r="AP175" s="34">
        <f>J175*(1-0.337601671215888)</f>
        <v>0</v>
      </c>
      <c r="AQ175" s="28" t="s">
        <v>7</v>
      </c>
      <c r="AV175" s="34">
        <f t="shared" si="156"/>
        <v>0</v>
      </c>
      <c r="AW175" s="34">
        <f t="shared" si="157"/>
        <v>0</v>
      </c>
      <c r="AX175" s="34">
        <f t="shared" si="158"/>
        <v>0</v>
      </c>
      <c r="AY175" s="35" t="s">
        <v>3668</v>
      </c>
      <c r="AZ175" s="35" t="s">
        <v>3712</v>
      </c>
      <c r="BA175" s="27" t="s">
        <v>3729</v>
      </c>
      <c r="BC175" s="34">
        <f t="shared" si="159"/>
        <v>0</v>
      </c>
      <c r="BD175" s="34">
        <f t="shared" si="160"/>
        <v>0</v>
      </c>
      <c r="BE175" s="34">
        <v>0</v>
      </c>
      <c r="BF175" s="34">
        <f>175</f>
        <v>175</v>
      </c>
      <c r="BH175" s="18">
        <f t="shared" si="161"/>
        <v>0</v>
      </c>
      <c r="BI175" s="18">
        <f t="shared" si="162"/>
        <v>0</v>
      </c>
      <c r="BJ175" s="18">
        <f t="shared" si="163"/>
        <v>0</v>
      </c>
    </row>
    <row r="176" spans="1:62" x14ac:dyDescent="0.2">
      <c r="A176" s="5" t="s">
        <v>148</v>
      </c>
      <c r="B176" s="5" t="s">
        <v>1350</v>
      </c>
      <c r="C176" s="135" t="s">
        <v>2565</v>
      </c>
      <c r="D176" s="136"/>
      <c r="E176" s="136"/>
      <c r="F176" s="136"/>
      <c r="G176" s="136"/>
      <c r="H176" s="5" t="s">
        <v>3615</v>
      </c>
      <c r="I176" s="18">
        <v>449.54</v>
      </c>
      <c r="J176" s="18">
        <v>0</v>
      </c>
      <c r="K176" s="18">
        <f t="shared" si="144"/>
        <v>0</v>
      </c>
      <c r="L176" s="28" t="s">
        <v>3635</v>
      </c>
      <c r="Z176" s="34">
        <f t="shared" si="145"/>
        <v>0</v>
      </c>
      <c r="AB176" s="34">
        <f t="shared" si="146"/>
        <v>0</v>
      </c>
      <c r="AC176" s="34">
        <f t="shared" si="147"/>
        <v>0</v>
      </c>
      <c r="AD176" s="34">
        <f t="shared" si="148"/>
        <v>0</v>
      </c>
      <c r="AE176" s="34">
        <f t="shared" si="149"/>
        <v>0</v>
      </c>
      <c r="AF176" s="34">
        <f t="shared" si="150"/>
        <v>0</v>
      </c>
      <c r="AG176" s="34">
        <f t="shared" si="151"/>
        <v>0</v>
      </c>
      <c r="AH176" s="34">
        <f t="shared" si="152"/>
        <v>0</v>
      </c>
      <c r="AI176" s="27" t="s">
        <v>3645</v>
      </c>
      <c r="AJ176" s="18">
        <f t="shared" si="153"/>
        <v>0</v>
      </c>
      <c r="AK176" s="18">
        <f t="shared" si="154"/>
        <v>0</v>
      </c>
      <c r="AL176" s="18">
        <f t="shared" si="155"/>
        <v>0</v>
      </c>
      <c r="AN176" s="34">
        <v>21</v>
      </c>
      <c r="AO176" s="34">
        <f>J176*0.355789473684211</f>
        <v>0</v>
      </c>
      <c r="AP176" s="34">
        <f>J176*(1-0.355789473684211)</f>
        <v>0</v>
      </c>
      <c r="AQ176" s="28" t="s">
        <v>7</v>
      </c>
      <c r="AV176" s="34">
        <f t="shared" si="156"/>
        <v>0</v>
      </c>
      <c r="AW176" s="34">
        <f t="shared" si="157"/>
        <v>0</v>
      </c>
      <c r="AX176" s="34">
        <f t="shared" si="158"/>
        <v>0</v>
      </c>
      <c r="AY176" s="35" t="s">
        <v>3668</v>
      </c>
      <c r="AZ176" s="35" t="s">
        <v>3712</v>
      </c>
      <c r="BA176" s="27" t="s">
        <v>3729</v>
      </c>
      <c r="BC176" s="34">
        <f t="shared" si="159"/>
        <v>0</v>
      </c>
      <c r="BD176" s="34">
        <f t="shared" si="160"/>
        <v>0</v>
      </c>
      <c r="BE176" s="34">
        <v>0</v>
      </c>
      <c r="BF176" s="34">
        <f>176</f>
        <v>176</v>
      </c>
      <c r="BH176" s="18">
        <f t="shared" si="161"/>
        <v>0</v>
      </c>
      <c r="BI176" s="18">
        <f t="shared" si="162"/>
        <v>0</v>
      </c>
      <c r="BJ176" s="18">
        <f t="shared" si="163"/>
        <v>0</v>
      </c>
    </row>
    <row r="177" spans="1:62" x14ac:dyDescent="0.2">
      <c r="A177" s="5" t="s">
        <v>149</v>
      </c>
      <c r="B177" s="5" t="s">
        <v>1351</v>
      </c>
      <c r="C177" s="135" t="s">
        <v>2566</v>
      </c>
      <c r="D177" s="136"/>
      <c r="E177" s="136"/>
      <c r="F177" s="136"/>
      <c r="G177" s="136"/>
      <c r="H177" s="5" t="s">
        <v>3615</v>
      </c>
      <c r="I177" s="18">
        <v>11.8</v>
      </c>
      <c r="J177" s="18">
        <v>0</v>
      </c>
      <c r="K177" s="18">
        <f t="shared" si="144"/>
        <v>0</v>
      </c>
      <c r="L177" s="28" t="s">
        <v>3635</v>
      </c>
      <c r="Z177" s="34">
        <f t="shared" si="145"/>
        <v>0</v>
      </c>
      <c r="AB177" s="34">
        <f t="shared" si="146"/>
        <v>0</v>
      </c>
      <c r="AC177" s="34">
        <f t="shared" si="147"/>
        <v>0</v>
      </c>
      <c r="AD177" s="34">
        <f t="shared" si="148"/>
        <v>0</v>
      </c>
      <c r="AE177" s="34">
        <f t="shared" si="149"/>
        <v>0</v>
      </c>
      <c r="AF177" s="34">
        <f t="shared" si="150"/>
        <v>0</v>
      </c>
      <c r="AG177" s="34">
        <f t="shared" si="151"/>
        <v>0</v>
      </c>
      <c r="AH177" s="34">
        <f t="shared" si="152"/>
        <v>0</v>
      </c>
      <c r="AI177" s="27" t="s">
        <v>3645</v>
      </c>
      <c r="AJ177" s="18">
        <f t="shared" si="153"/>
        <v>0</v>
      </c>
      <c r="AK177" s="18">
        <f t="shared" si="154"/>
        <v>0</v>
      </c>
      <c r="AL177" s="18">
        <f t="shared" si="155"/>
        <v>0</v>
      </c>
      <c r="AN177" s="34">
        <v>21</v>
      </c>
      <c r="AO177" s="34">
        <f>J177*0.216119402985075</f>
        <v>0</v>
      </c>
      <c r="AP177" s="34">
        <f>J177*(1-0.216119402985075)</f>
        <v>0</v>
      </c>
      <c r="AQ177" s="28" t="s">
        <v>7</v>
      </c>
      <c r="AV177" s="34">
        <f t="shared" si="156"/>
        <v>0</v>
      </c>
      <c r="AW177" s="34">
        <f t="shared" si="157"/>
        <v>0</v>
      </c>
      <c r="AX177" s="34">
        <f t="shared" si="158"/>
        <v>0</v>
      </c>
      <c r="AY177" s="35" t="s">
        <v>3668</v>
      </c>
      <c r="AZ177" s="35" t="s">
        <v>3712</v>
      </c>
      <c r="BA177" s="27" t="s">
        <v>3729</v>
      </c>
      <c r="BC177" s="34">
        <f t="shared" si="159"/>
        <v>0</v>
      </c>
      <c r="BD177" s="34">
        <f t="shared" si="160"/>
        <v>0</v>
      </c>
      <c r="BE177" s="34">
        <v>0</v>
      </c>
      <c r="BF177" s="34">
        <f>177</f>
        <v>177</v>
      </c>
      <c r="BH177" s="18">
        <f t="shared" si="161"/>
        <v>0</v>
      </c>
      <c r="BI177" s="18">
        <f t="shared" si="162"/>
        <v>0</v>
      </c>
      <c r="BJ177" s="18">
        <f t="shared" si="163"/>
        <v>0</v>
      </c>
    </row>
    <row r="178" spans="1:62" x14ac:dyDescent="0.2">
      <c r="A178" s="5" t="s">
        <v>150</v>
      </c>
      <c r="B178" s="5" t="s">
        <v>1352</v>
      </c>
      <c r="C178" s="135" t="s">
        <v>2567</v>
      </c>
      <c r="D178" s="136"/>
      <c r="E178" s="136"/>
      <c r="F178" s="136"/>
      <c r="G178" s="136"/>
      <c r="H178" s="5" t="s">
        <v>3615</v>
      </c>
      <c r="I178" s="18">
        <v>942.04304999999999</v>
      </c>
      <c r="J178" s="18">
        <v>0</v>
      </c>
      <c r="K178" s="18">
        <f t="shared" si="144"/>
        <v>0</v>
      </c>
      <c r="L178" s="28" t="s">
        <v>3635</v>
      </c>
      <c r="Z178" s="34">
        <f t="shared" si="145"/>
        <v>0</v>
      </c>
      <c r="AB178" s="34">
        <f t="shared" si="146"/>
        <v>0</v>
      </c>
      <c r="AC178" s="34">
        <f t="shared" si="147"/>
        <v>0</v>
      </c>
      <c r="AD178" s="34">
        <f t="shared" si="148"/>
        <v>0</v>
      </c>
      <c r="AE178" s="34">
        <f t="shared" si="149"/>
        <v>0</v>
      </c>
      <c r="AF178" s="34">
        <f t="shared" si="150"/>
        <v>0</v>
      </c>
      <c r="AG178" s="34">
        <f t="shared" si="151"/>
        <v>0</v>
      </c>
      <c r="AH178" s="34">
        <f t="shared" si="152"/>
        <v>0</v>
      </c>
      <c r="AI178" s="27" t="s">
        <v>3645</v>
      </c>
      <c r="AJ178" s="18">
        <f t="shared" si="153"/>
        <v>0</v>
      </c>
      <c r="AK178" s="18">
        <f t="shared" si="154"/>
        <v>0</v>
      </c>
      <c r="AL178" s="18">
        <f t="shared" si="155"/>
        <v>0</v>
      </c>
      <c r="AN178" s="34">
        <v>21</v>
      </c>
      <c r="AO178" s="34">
        <f>J178*0</f>
        <v>0</v>
      </c>
      <c r="AP178" s="34">
        <f>J178*(1-0)</f>
        <v>0</v>
      </c>
      <c r="AQ178" s="28" t="s">
        <v>7</v>
      </c>
      <c r="AV178" s="34">
        <f t="shared" si="156"/>
        <v>0</v>
      </c>
      <c r="AW178" s="34">
        <f t="shared" si="157"/>
        <v>0</v>
      </c>
      <c r="AX178" s="34">
        <f t="shared" si="158"/>
        <v>0</v>
      </c>
      <c r="AY178" s="35" t="s">
        <v>3668</v>
      </c>
      <c r="AZ178" s="35" t="s">
        <v>3712</v>
      </c>
      <c r="BA178" s="27" t="s">
        <v>3729</v>
      </c>
      <c r="BC178" s="34">
        <f t="shared" si="159"/>
        <v>0</v>
      </c>
      <c r="BD178" s="34">
        <f t="shared" si="160"/>
        <v>0</v>
      </c>
      <c r="BE178" s="34">
        <v>0</v>
      </c>
      <c r="BF178" s="34">
        <f>178</f>
        <v>178</v>
      </c>
      <c r="BH178" s="18">
        <f t="shared" si="161"/>
        <v>0</v>
      </c>
      <c r="BI178" s="18">
        <f t="shared" si="162"/>
        <v>0</v>
      </c>
      <c r="BJ178" s="18">
        <f t="shared" si="163"/>
        <v>0</v>
      </c>
    </row>
    <row r="179" spans="1:62" x14ac:dyDescent="0.2">
      <c r="A179" s="5" t="s">
        <v>151</v>
      </c>
      <c r="B179" s="5" t="s">
        <v>1353</v>
      </c>
      <c r="C179" s="135" t="s">
        <v>2568</v>
      </c>
      <c r="D179" s="136"/>
      <c r="E179" s="136"/>
      <c r="F179" s="136"/>
      <c r="G179" s="136"/>
      <c r="H179" s="5" t="s">
        <v>3615</v>
      </c>
      <c r="I179" s="18">
        <v>2826.1291500000002</v>
      </c>
      <c r="J179" s="18">
        <v>0</v>
      </c>
      <c r="K179" s="18">
        <f t="shared" si="144"/>
        <v>0</v>
      </c>
      <c r="L179" s="28" t="s">
        <v>3635</v>
      </c>
      <c r="Z179" s="34">
        <f t="shared" si="145"/>
        <v>0</v>
      </c>
      <c r="AB179" s="34">
        <f t="shared" si="146"/>
        <v>0</v>
      </c>
      <c r="AC179" s="34">
        <f t="shared" si="147"/>
        <v>0</v>
      </c>
      <c r="AD179" s="34">
        <f t="shared" si="148"/>
        <v>0</v>
      </c>
      <c r="AE179" s="34">
        <f t="shared" si="149"/>
        <v>0</v>
      </c>
      <c r="AF179" s="34">
        <f t="shared" si="150"/>
        <v>0</v>
      </c>
      <c r="AG179" s="34">
        <f t="shared" si="151"/>
        <v>0</v>
      </c>
      <c r="AH179" s="34">
        <f t="shared" si="152"/>
        <v>0</v>
      </c>
      <c r="AI179" s="27" t="s">
        <v>3645</v>
      </c>
      <c r="AJ179" s="18">
        <f t="shared" si="153"/>
        <v>0</v>
      </c>
      <c r="AK179" s="18">
        <f t="shared" si="154"/>
        <v>0</v>
      </c>
      <c r="AL179" s="18">
        <f t="shared" si="155"/>
        <v>0</v>
      </c>
      <c r="AN179" s="34">
        <v>21</v>
      </c>
      <c r="AO179" s="34">
        <f>J179*0.999999947149248</f>
        <v>0</v>
      </c>
      <c r="AP179" s="34">
        <f>J179*(1-0.999999947149248)</f>
        <v>0</v>
      </c>
      <c r="AQ179" s="28" t="s">
        <v>7</v>
      </c>
      <c r="AV179" s="34">
        <f t="shared" si="156"/>
        <v>0</v>
      </c>
      <c r="AW179" s="34">
        <f t="shared" si="157"/>
        <v>0</v>
      </c>
      <c r="AX179" s="34">
        <f t="shared" si="158"/>
        <v>0</v>
      </c>
      <c r="AY179" s="35" t="s">
        <v>3668</v>
      </c>
      <c r="AZ179" s="35" t="s">
        <v>3712</v>
      </c>
      <c r="BA179" s="27" t="s">
        <v>3729</v>
      </c>
      <c r="BC179" s="34">
        <f t="shared" si="159"/>
        <v>0</v>
      </c>
      <c r="BD179" s="34">
        <f t="shared" si="160"/>
        <v>0</v>
      </c>
      <c r="BE179" s="34">
        <v>0</v>
      </c>
      <c r="BF179" s="34">
        <f>179</f>
        <v>179</v>
      </c>
      <c r="BH179" s="18">
        <f t="shared" si="161"/>
        <v>0</v>
      </c>
      <c r="BI179" s="18">
        <f t="shared" si="162"/>
        <v>0</v>
      </c>
      <c r="BJ179" s="18">
        <f t="shared" si="163"/>
        <v>0</v>
      </c>
    </row>
    <row r="180" spans="1:62" x14ac:dyDescent="0.2">
      <c r="A180" s="5" t="s">
        <v>152</v>
      </c>
      <c r="B180" s="5" t="s">
        <v>1354</v>
      </c>
      <c r="C180" s="135" t="s">
        <v>2569</v>
      </c>
      <c r="D180" s="136"/>
      <c r="E180" s="136"/>
      <c r="F180" s="136"/>
      <c r="G180" s="136"/>
      <c r="H180" s="5" t="s">
        <v>3615</v>
      </c>
      <c r="I180" s="18">
        <v>942.04304999999999</v>
      </c>
      <c r="J180" s="18">
        <v>0</v>
      </c>
      <c r="K180" s="18">
        <f t="shared" si="144"/>
        <v>0</v>
      </c>
      <c r="L180" s="28" t="s">
        <v>3635</v>
      </c>
      <c r="Z180" s="34">
        <f t="shared" si="145"/>
        <v>0</v>
      </c>
      <c r="AB180" s="34">
        <f t="shared" si="146"/>
        <v>0</v>
      </c>
      <c r="AC180" s="34">
        <f t="shared" si="147"/>
        <v>0</v>
      </c>
      <c r="AD180" s="34">
        <f t="shared" si="148"/>
        <v>0</v>
      </c>
      <c r="AE180" s="34">
        <f t="shared" si="149"/>
        <v>0</v>
      </c>
      <c r="AF180" s="34">
        <f t="shared" si="150"/>
        <v>0</v>
      </c>
      <c r="AG180" s="34">
        <f t="shared" si="151"/>
        <v>0</v>
      </c>
      <c r="AH180" s="34">
        <f t="shared" si="152"/>
        <v>0</v>
      </c>
      <c r="AI180" s="27" t="s">
        <v>3645</v>
      </c>
      <c r="AJ180" s="18">
        <f t="shared" si="153"/>
        <v>0</v>
      </c>
      <c r="AK180" s="18">
        <f t="shared" si="154"/>
        <v>0</v>
      </c>
      <c r="AL180" s="18">
        <f t="shared" si="155"/>
        <v>0</v>
      </c>
      <c r="AN180" s="34">
        <v>21</v>
      </c>
      <c r="AO180" s="34">
        <f>J180*0</f>
        <v>0</v>
      </c>
      <c r="AP180" s="34">
        <f>J180*(1-0)</f>
        <v>0</v>
      </c>
      <c r="AQ180" s="28" t="s">
        <v>7</v>
      </c>
      <c r="AV180" s="34">
        <f t="shared" si="156"/>
        <v>0</v>
      </c>
      <c r="AW180" s="34">
        <f t="shared" si="157"/>
        <v>0</v>
      </c>
      <c r="AX180" s="34">
        <f t="shared" si="158"/>
        <v>0</v>
      </c>
      <c r="AY180" s="35" t="s">
        <v>3668</v>
      </c>
      <c r="AZ180" s="35" t="s">
        <v>3712</v>
      </c>
      <c r="BA180" s="27" t="s">
        <v>3729</v>
      </c>
      <c r="BC180" s="34">
        <f t="shared" si="159"/>
        <v>0</v>
      </c>
      <c r="BD180" s="34">
        <f t="shared" si="160"/>
        <v>0</v>
      </c>
      <c r="BE180" s="34">
        <v>0</v>
      </c>
      <c r="BF180" s="34">
        <f>180</f>
        <v>180</v>
      </c>
      <c r="BH180" s="18">
        <f t="shared" si="161"/>
        <v>0</v>
      </c>
      <c r="BI180" s="18">
        <f t="shared" si="162"/>
        <v>0</v>
      </c>
      <c r="BJ180" s="18">
        <f t="shared" si="163"/>
        <v>0</v>
      </c>
    </row>
    <row r="181" spans="1:62" x14ac:dyDescent="0.2">
      <c r="A181" s="5" t="s">
        <v>153</v>
      </c>
      <c r="B181" s="5" t="s">
        <v>1355</v>
      </c>
      <c r="C181" s="135" t="s">
        <v>2570</v>
      </c>
      <c r="D181" s="136"/>
      <c r="E181" s="136"/>
      <c r="F181" s="136"/>
      <c r="G181" s="136"/>
      <c r="H181" s="5" t="s">
        <v>3617</v>
      </c>
      <c r="I181" s="18">
        <v>32</v>
      </c>
      <c r="J181" s="18">
        <v>0</v>
      </c>
      <c r="K181" s="18">
        <f t="shared" si="144"/>
        <v>0</v>
      </c>
      <c r="L181" s="28" t="s">
        <v>3635</v>
      </c>
      <c r="Z181" s="34">
        <f t="shared" si="145"/>
        <v>0</v>
      </c>
      <c r="AB181" s="34">
        <f t="shared" si="146"/>
        <v>0</v>
      </c>
      <c r="AC181" s="34">
        <f t="shared" si="147"/>
        <v>0</v>
      </c>
      <c r="AD181" s="34">
        <f t="shared" si="148"/>
        <v>0</v>
      </c>
      <c r="AE181" s="34">
        <f t="shared" si="149"/>
        <v>0</v>
      </c>
      <c r="AF181" s="34">
        <f t="shared" si="150"/>
        <v>0</v>
      </c>
      <c r="AG181" s="34">
        <f t="shared" si="151"/>
        <v>0</v>
      </c>
      <c r="AH181" s="34">
        <f t="shared" si="152"/>
        <v>0</v>
      </c>
      <c r="AI181" s="27" t="s">
        <v>3645</v>
      </c>
      <c r="AJ181" s="18">
        <f t="shared" si="153"/>
        <v>0</v>
      </c>
      <c r="AK181" s="18">
        <f t="shared" si="154"/>
        <v>0</v>
      </c>
      <c r="AL181" s="18">
        <f t="shared" si="155"/>
        <v>0</v>
      </c>
      <c r="AN181" s="34">
        <v>21</v>
      </c>
      <c r="AO181" s="34">
        <f>J181*0</f>
        <v>0</v>
      </c>
      <c r="AP181" s="34">
        <f>J181*(1-0)</f>
        <v>0</v>
      </c>
      <c r="AQ181" s="28" t="s">
        <v>7</v>
      </c>
      <c r="AV181" s="34">
        <f t="shared" si="156"/>
        <v>0</v>
      </c>
      <c r="AW181" s="34">
        <f t="shared" si="157"/>
        <v>0</v>
      </c>
      <c r="AX181" s="34">
        <f t="shared" si="158"/>
        <v>0</v>
      </c>
      <c r="AY181" s="35" t="s">
        <v>3668</v>
      </c>
      <c r="AZ181" s="35" t="s">
        <v>3712</v>
      </c>
      <c r="BA181" s="27" t="s">
        <v>3729</v>
      </c>
      <c r="BC181" s="34">
        <f t="shared" si="159"/>
        <v>0</v>
      </c>
      <c r="BD181" s="34">
        <f t="shared" si="160"/>
        <v>0</v>
      </c>
      <c r="BE181" s="34">
        <v>0</v>
      </c>
      <c r="BF181" s="34">
        <f>181</f>
        <v>181</v>
      </c>
      <c r="BH181" s="18">
        <f t="shared" si="161"/>
        <v>0</v>
      </c>
      <c r="BI181" s="18">
        <f t="shared" si="162"/>
        <v>0</v>
      </c>
      <c r="BJ181" s="18">
        <f t="shared" si="163"/>
        <v>0</v>
      </c>
    </row>
    <row r="182" spans="1:62" x14ac:dyDescent="0.2">
      <c r="A182" s="4"/>
      <c r="B182" s="14" t="s">
        <v>101</v>
      </c>
      <c r="C182" s="133" t="s">
        <v>2571</v>
      </c>
      <c r="D182" s="134"/>
      <c r="E182" s="134"/>
      <c r="F182" s="134"/>
      <c r="G182" s="134"/>
      <c r="H182" s="4" t="s">
        <v>6</v>
      </c>
      <c r="I182" s="4" t="s">
        <v>6</v>
      </c>
      <c r="J182" s="4" t="s">
        <v>6</v>
      </c>
      <c r="K182" s="37">
        <f>SUM(K183:K185)</f>
        <v>0</v>
      </c>
      <c r="L182" s="27"/>
      <c r="AI182" s="27" t="s">
        <v>3645</v>
      </c>
      <c r="AS182" s="37">
        <f>SUM(AJ183:AJ185)</f>
        <v>0</v>
      </c>
      <c r="AT182" s="37">
        <f>SUM(AK183:AK185)</f>
        <v>0</v>
      </c>
      <c r="AU182" s="37">
        <f>SUM(AL183:AL185)</f>
        <v>0</v>
      </c>
    </row>
    <row r="183" spans="1:62" x14ac:dyDescent="0.2">
      <c r="A183" s="5" t="s">
        <v>154</v>
      </c>
      <c r="B183" s="5" t="s">
        <v>1356</v>
      </c>
      <c r="C183" s="135" t="s">
        <v>2572</v>
      </c>
      <c r="D183" s="136"/>
      <c r="E183" s="136"/>
      <c r="F183" s="136"/>
      <c r="G183" s="136"/>
      <c r="H183" s="5" t="s">
        <v>3615</v>
      </c>
      <c r="I183" s="18">
        <v>160.23699999999999</v>
      </c>
      <c r="J183" s="18">
        <v>0</v>
      </c>
      <c r="K183" s="18">
        <f>I183*J183</f>
        <v>0</v>
      </c>
      <c r="L183" s="28" t="s">
        <v>3635</v>
      </c>
      <c r="Z183" s="34">
        <f>IF(AQ183="5",BJ183,0)</f>
        <v>0</v>
      </c>
      <c r="AB183" s="34">
        <f>IF(AQ183="1",BH183,0)</f>
        <v>0</v>
      </c>
      <c r="AC183" s="34">
        <f>IF(AQ183="1",BI183,0)</f>
        <v>0</v>
      </c>
      <c r="AD183" s="34">
        <f>IF(AQ183="7",BH183,0)</f>
        <v>0</v>
      </c>
      <c r="AE183" s="34">
        <f>IF(AQ183="7",BI183,0)</f>
        <v>0</v>
      </c>
      <c r="AF183" s="34">
        <f>IF(AQ183="2",BH183,0)</f>
        <v>0</v>
      </c>
      <c r="AG183" s="34">
        <f>IF(AQ183="2",BI183,0)</f>
        <v>0</v>
      </c>
      <c r="AH183" s="34">
        <f>IF(AQ183="0",BJ183,0)</f>
        <v>0</v>
      </c>
      <c r="AI183" s="27" t="s">
        <v>3645</v>
      </c>
      <c r="AJ183" s="18">
        <f>IF(AN183=0,K183,0)</f>
        <v>0</v>
      </c>
      <c r="AK183" s="18">
        <f>IF(AN183=15,K183,0)</f>
        <v>0</v>
      </c>
      <c r="AL183" s="18">
        <f>IF(AN183=21,K183,0)</f>
        <v>0</v>
      </c>
      <c r="AN183" s="34">
        <v>21</v>
      </c>
      <c r="AO183" s="34">
        <f>J183*0.0195918442204847</f>
        <v>0</v>
      </c>
      <c r="AP183" s="34">
        <f>J183*(1-0.0195918442204847)</f>
        <v>0</v>
      </c>
      <c r="AQ183" s="28" t="s">
        <v>7</v>
      </c>
      <c r="AV183" s="34">
        <f>AW183+AX183</f>
        <v>0</v>
      </c>
      <c r="AW183" s="34">
        <f>I183*AO183</f>
        <v>0</v>
      </c>
      <c r="AX183" s="34">
        <f>I183*AP183</f>
        <v>0</v>
      </c>
      <c r="AY183" s="35" t="s">
        <v>3669</v>
      </c>
      <c r="AZ183" s="35" t="s">
        <v>3712</v>
      </c>
      <c r="BA183" s="27" t="s">
        <v>3729</v>
      </c>
      <c r="BC183" s="34">
        <f>AW183+AX183</f>
        <v>0</v>
      </c>
      <c r="BD183" s="34">
        <f>J183/(100-BE183)*100</f>
        <v>0</v>
      </c>
      <c r="BE183" s="34">
        <v>0</v>
      </c>
      <c r="BF183" s="34">
        <f>183</f>
        <v>183</v>
      </c>
      <c r="BH183" s="18">
        <f>I183*AO183</f>
        <v>0</v>
      </c>
      <c r="BI183" s="18">
        <f>I183*AP183</f>
        <v>0</v>
      </c>
      <c r="BJ183" s="18">
        <f>I183*J183</f>
        <v>0</v>
      </c>
    </row>
    <row r="184" spans="1:62" x14ac:dyDescent="0.2">
      <c r="A184" s="5" t="s">
        <v>155</v>
      </c>
      <c r="B184" s="5" t="s">
        <v>1357</v>
      </c>
      <c r="C184" s="135" t="s">
        <v>2573</v>
      </c>
      <c r="D184" s="136"/>
      <c r="E184" s="136"/>
      <c r="F184" s="136"/>
      <c r="G184" s="136"/>
      <c r="H184" s="5" t="s">
        <v>3615</v>
      </c>
      <c r="I184" s="18">
        <v>688.21</v>
      </c>
      <c r="J184" s="18">
        <v>0</v>
      </c>
      <c r="K184" s="18">
        <f>I184*J184</f>
        <v>0</v>
      </c>
      <c r="L184" s="28" t="s">
        <v>3635</v>
      </c>
      <c r="Z184" s="34">
        <f>IF(AQ184="5",BJ184,0)</f>
        <v>0</v>
      </c>
      <c r="AB184" s="34">
        <f>IF(AQ184="1",BH184,0)</f>
        <v>0</v>
      </c>
      <c r="AC184" s="34">
        <f>IF(AQ184="1",BI184,0)</f>
        <v>0</v>
      </c>
      <c r="AD184" s="34">
        <f>IF(AQ184="7",BH184,0)</f>
        <v>0</v>
      </c>
      <c r="AE184" s="34">
        <f>IF(AQ184="7",BI184,0)</f>
        <v>0</v>
      </c>
      <c r="AF184" s="34">
        <f>IF(AQ184="2",BH184,0)</f>
        <v>0</v>
      </c>
      <c r="AG184" s="34">
        <f>IF(AQ184="2",BI184,0)</f>
        <v>0</v>
      </c>
      <c r="AH184" s="34">
        <f>IF(AQ184="0",BJ184,0)</f>
        <v>0</v>
      </c>
      <c r="AI184" s="27" t="s">
        <v>3645</v>
      </c>
      <c r="AJ184" s="18">
        <f>IF(AN184=0,K184,0)</f>
        <v>0</v>
      </c>
      <c r="AK184" s="18">
        <f>IF(AN184=15,K184,0)</f>
        <v>0</v>
      </c>
      <c r="AL184" s="18">
        <f>IF(AN184=21,K184,0)</f>
        <v>0</v>
      </c>
      <c r="AN184" s="34">
        <v>21</v>
      </c>
      <c r="AO184" s="34">
        <f>J184*0.0123809516021611</f>
        <v>0</v>
      </c>
      <c r="AP184" s="34">
        <f>J184*(1-0.0123809516021611)</f>
        <v>0</v>
      </c>
      <c r="AQ184" s="28" t="s">
        <v>7</v>
      </c>
      <c r="AV184" s="34">
        <f>AW184+AX184</f>
        <v>0</v>
      </c>
      <c r="AW184" s="34">
        <f>I184*AO184</f>
        <v>0</v>
      </c>
      <c r="AX184" s="34">
        <f>I184*AP184</f>
        <v>0</v>
      </c>
      <c r="AY184" s="35" t="s">
        <v>3669</v>
      </c>
      <c r="AZ184" s="35" t="s">
        <v>3712</v>
      </c>
      <c r="BA184" s="27" t="s">
        <v>3729</v>
      </c>
      <c r="BC184" s="34">
        <f>AW184+AX184</f>
        <v>0</v>
      </c>
      <c r="BD184" s="34">
        <f>J184/(100-BE184)*100</f>
        <v>0</v>
      </c>
      <c r="BE184" s="34">
        <v>0</v>
      </c>
      <c r="BF184" s="34">
        <f>184</f>
        <v>184</v>
      </c>
      <c r="BH184" s="18">
        <f>I184*AO184</f>
        <v>0</v>
      </c>
      <c r="BI184" s="18">
        <f>I184*AP184</f>
        <v>0</v>
      </c>
      <c r="BJ184" s="18">
        <f>I184*J184</f>
        <v>0</v>
      </c>
    </row>
    <row r="185" spans="1:62" x14ac:dyDescent="0.2">
      <c r="A185" s="5" t="s">
        <v>156</v>
      </c>
      <c r="B185" s="5" t="s">
        <v>1358</v>
      </c>
      <c r="C185" s="135" t="s">
        <v>2574</v>
      </c>
      <c r="D185" s="136"/>
      <c r="E185" s="136"/>
      <c r="F185" s="136"/>
      <c r="G185" s="136"/>
      <c r="H185" s="5" t="s">
        <v>3612</v>
      </c>
      <c r="I185" s="18">
        <v>120</v>
      </c>
      <c r="J185" s="18">
        <v>0</v>
      </c>
      <c r="K185" s="18">
        <f>I185*J185</f>
        <v>0</v>
      </c>
      <c r="L185" s="28" t="s">
        <v>3635</v>
      </c>
      <c r="Z185" s="34">
        <f>IF(AQ185="5",BJ185,0)</f>
        <v>0</v>
      </c>
      <c r="AB185" s="34">
        <f>IF(AQ185="1",BH185,0)</f>
        <v>0</v>
      </c>
      <c r="AC185" s="34">
        <f>IF(AQ185="1",BI185,0)</f>
        <v>0</v>
      </c>
      <c r="AD185" s="34">
        <f>IF(AQ185="7",BH185,0)</f>
        <v>0</v>
      </c>
      <c r="AE185" s="34">
        <f>IF(AQ185="7",BI185,0)</f>
        <v>0</v>
      </c>
      <c r="AF185" s="34">
        <f>IF(AQ185="2",BH185,0)</f>
        <v>0</v>
      </c>
      <c r="AG185" s="34">
        <f>IF(AQ185="2",BI185,0)</f>
        <v>0</v>
      </c>
      <c r="AH185" s="34">
        <f>IF(AQ185="0",BJ185,0)</f>
        <v>0</v>
      </c>
      <c r="AI185" s="27" t="s">
        <v>3645</v>
      </c>
      <c r="AJ185" s="18">
        <f>IF(AN185=0,K185,0)</f>
        <v>0</v>
      </c>
      <c r="AK185" s="18">
        <f>IF(AN185=15,K185,0)</f>
        <v>0</v>
      </c>
      <c r="AL185" s="18">
        <f>IF(AN185=21,K185,0)</f>
        <v>0</v>
      </c>
      <c r="AN185" s="34">
        <v>21</v>
      </c>
      <c r="AO185" s="34">
        <f>J185*0.433558052434457</f>
        <v>0</v>
      </c>
      <c r="AP185" s="34">
        <f>J185*(1-0.433558052434457)</f>
        <v>0</v>
      </c>
      <c r="AQ185" s="28" t="s">
        <v>7</v>
      </c>
      <c r="AV185" s="34">
        <f>AW185+AX185</f>
        <v>0</v>
      </c>
      <c r="AW185" s="34">
        <f>I185*AO185</f>
        <v>0</v>
      </c>
      <c r="AX185" s="34">
        <f>I185*AP185</f>
        <v>0</v>
      </c>
      <c r="AY185" s="35" t="s">
        <v>3669</v>
      </c>
      <c r="AZ185" s="35" t="s">
        <v>3712</v>
      </c>
      <c r="BA185" s="27" t="s">
        <v>3729</v>
      </c>
      <c r="BC185" s="34">
        <f>AW185+AX185</f>
        <v>0</v>
      </c>
      <c r="BD185" s="34">
        <f>J185/(100-BE185)*100</f>
        <v>0</v>
      </c>
      <c r="BE185" s="34">
        <v>0</v>
      </c>
      <c r="BF185" s="34">
        <f>185</f>
        <v>185</v>
      </c>
      <c r="BH185" s="18">
        <f>I185*AO185</f>
        <v>0</v>
      </c>
      <c r="BI185" s="18">
        <f>I185*AP185</f>
        <v>0</v>
      </c>
      <c r="BJ185" s="18">
        <f>I185*J185</f>
        <v>0</v>
      </c>
    </row>
    <row r="186" spans="1:62" x14ac:dyDescent="0.2">
      <c r="A186" s="4"/>
      <c r="B186" s="14" t="s">
        <v>102</v>
      </c>
      <c r="C186" s="133" t="s">
        <v>2575</v>
      </c>
      <c r="D186" s="134"/>
      <c r="E186" s="134"/>
      <c r="F186" s="134"/>
      <c r="G186" s="134"/>
      <c r="H186" s="4" t="s">
        <v>6</v>
      </c>
      <c r="I186" s="4" t="s">
        <v>6</v>
      </c>
      <c r="J186" s="4" t="s">
        <v>6</v>
      </c>
      <c r="K186" s="37">
        <f>SUM(K187:K224)</f>
        <v>0</v>
      </c>
      <c r="L186" s="27"/>
      <c r="AI186" s="27" t="s">
        <v>3645</v>
      </c>
      <c r="AS186" s="37">
        <f>SUM(AJ187:AJ224)</f>
        <v>0</v>
      </c>
      <c r="AT186" s="37">
        <f>SUM(AK187:AK224)</f>
        <v>0</v>
      </c>
      <c r="AU186" s="37">
        <f>SUM(AL187:AL224)</f>
        <v>0</v>
      </c>
    </row>
    <row r="187" spans="1:62" x14ac:dyDescent="0.2">
      <c r="A187" s="5" t="s">
        <v>157</v>
      </c>
      <c r="B187" s="5" t="s">
        <v>1359</v>
      </c>
      <c r="C187" s="135" t="s">
        <v>2576</v>
      </c>
      <c r="D187" s="136"/>
      <c r="E187" s="136"/>
      <c r="F187" s="136"/>
      <c r="G187" s="136"/>
      <c r="H187" s="5" t="s">
        <v>3615</v>
      </c>
      <c r="I187" s="18">
        <v>126.99509999999999</v>
      </c>
      <c r="J187" s="18">
        <v>0</v>
      </c>
      <c r="K187" s="18">
        <f t="shared" ref="K187:K224" si="164">I187*J187</f>
        <v>0</v>
      </c>
      <c r="L187" s="28" t="s">
        <v>3635</v>
      </c>
      <c r="Z187" s="34">
        <f t="shared" ref="Z187:Z224" si="165">IF(AQ187="5",BJ187,0)</f>
        <v>0</v>
      </c>
      <c r="AB187" s="34">
        <f t="shared" ref="AB187:AB224" si="166">IF(AQ187="1",BH187,0)</f>
        <v>0</v>
      </c>
      <c r="AC187" s="34">
        <f t="shared" ref="AC187:AC224" si="167">IF(AQ187="1",BI187,0)</f>
        <v>0</v>
      </c>
      <c r="AD187" s="34">
        <f t="shared" ref="AD187:AD224" si="168">IF(AQ187="7",BH187,0)</f>
        <v>0</v>
      </c>
      <c r="AE187" s="34">
        <f t="shared" ref="AE187:AE224" si="169">IF(AQ187="7",BI187,0)</f>
        <v>0</v>
      </c>
      <c r="AF187" s="34">
        <f t="shared" ref="AF187:AF224" si="170">IF(AQ187="2",BH187,0)</f>
        <v>0</v>
      </c>
      <c r="AG187" s="34">
        <f t="shared" ref="AG187:AG224" si="171">IF(AQ187="2",BI187,0)</f>
        <v>0</v>
      </c>
      <c r="AH187" s="34">
        <f t="shared" ref="AH187:AH224" si="172">IF(AQ187="0",BJ187,0)</f>
        <v>0</v>
      </c>
      <c r="AI187" s="27" t="s">
        <v>3645</v>
      </c>
      <c r="AJ187" s="18">
        <f t="shared" ref="AJ187:AJ224" si="173">IF(AN187=0,K187,0)</f>
        <v>0</v>
      </c>
      <c r="AK187" s="18">
        <f t="shared" ref="AK187:AK224" si="174">IF(AN187=15,K187,0)</f>
        <v>0</v>
      </c>
      <c r="AL187" s="18">
        <f t="shared" ref="AL187:AL224" si="175">IF(AN187=21,K187,0)</f>
        <v>0</v>
      </c>
      <c r="AN187" s="34">
        <v>21</v>
      </c>
      <c r="AO187" s="34">
        <f>J187*0.133670880302374</f>
        <v>0</v>
      </c>
      <c r="AP187" s="34">
        <f>J187*(1-0.133670880302374)</f>
        <v>0</v>
      </c>
      <c r="AQ187" s="28" t="s">
        <v>7</v>
      </c>
      <c r="AV187" s="34">
        <f t="shared" ref="AV187:AV224" si="176">AW187+AX187</f>
        <v>0</v>
      </c>
      <c r="AW187" s="34">
        <f t="shared" ref="AW187:AW224" si="177">I187*AO187</f>
        <v>0</v>
      </c>
      <c r="AX187" s="34">
        <f t="shared" ref="AX187:AX224" si="178">I187*AP187</f>
        <v>0</v>
      </c>
      <c r="AY187" s="35" t="s">
        <v>3670</v>
      </c>
      <c r="AZ187" s="35" t="s">
        <v>3712</v>
      </c>
      <c r="BA187" s="27" t="s">
        <v>3729</v>
      </c>
      <c r="BC187" s="34">
        <f t="shared" ref="BC187:BC224" si="179">AW187+AX187</f>
        <v>0</v>
      </c>
      <c r="BD187" s="34">
        <f t="shared" ref="BD187:BD224" si="180">J187/(100-BE187)*100</f>
        <v>0</v>
      </c>
      <c r="BE187" s="34">
        <v>0</v>
      </c>
      <c r="BF187" s="34">
        <f>187</f>
        <v>187</v>
      </c>
      <c r="BH187" s="18">
        <f t="shared" ref="BH187:BH224" si="181">I187*AO187</f>
        <v>0</v>
      </c>
      <c r="BI187" s="18">
        <f t="shared" ref="BI187:BI224" si="182">I187*AP187</f>
        <v>0</v>
      </c>
      <c r="BJ187" s="18">
        <f t="shared" ref="BJ187:BJ224" si="183">I187*J187</f>
        <v>0</v>
      </c>
    </row>
    <row r="188" spans="1:62" x14ac:dyDescent="0.2">
      <c r="A188" s="5" t="s">
        <v>158</v>
      </c>
      <c r="B188" s="5" t="s">
        <v>1360</v>
      </c>
      <c r="C188" s="135" t="s">
        <v>2577</v>
      </c>
      <c r="D188" s="136"/>
      <c r="E188" s="136"/>
      <c r="F188" s="136"/>
      <c r="G188" s="136"/>
      <c r="H188" s="5" t="s">
        <v>3615</v>
      </c>
      <c r="I188" s="18">
        <v>2.9784999999999999</v>
      </c>
      <c r="J188" s="18">
        <v>0</v>
      </c>
      <c r="K188" s="18">
        <f t="shared" si="164"/>
        <v>0</v>
      </c>
      <c r="L188" s="28" t="s">
        <v>3635</v>
      </c>
      <c r="Z188" s="34">
        <f t="shared" si="165"/>
        <v>0</v>
      </c>
      <c r="AB188" s="34">
        <f t="shared" si="166"/>
        <v>0</v>
      </c>
      <c r="AC188" s="34">
        <f t="shared" si="167"/>
        <v>0</v>
      </c>
      <c r="AD188" s="34">
        <f t="shared" si="168"/>
        <v>0</v>
      </c>
      <c r="AE188" s="34">
        <f t="shared" si="169"/>
        <v>0</v>
      </c>
      <c r="AF188" s="34">
        <f t="shared" si="170"/>
        <v>0</v>
      </c>
      <c r="AG188" s="34">
        <f t="shared" si="171"/>
        <v>0</v>
      </c>
      <c r="AH188" s="34">
        <f t="shared" si="172"/>
        <v>0</v>
      </c>
      <c r="AI188" s="27" t="s">
        <v>3645</v>
      </c>
      <c r="AJ188" s="18">
        <f t="shared" si="173"/>
        <v>0</v>
      </c>
      <c r="AK188" s="18">
        <f t="shared" si="174"/>
        <v>0</v>
      </c>
      <c r="AL188" s="18">
        <f t="shared" si="175"/>
        <v>0</v>
      </c>
      <c r="AN188" s="34">
        <v>21</v>
      </c>
      <c r="AO188" s="34">
        <f>J188*0.0999283428682246</f>
        <v>0</v>
      </c>
      <c r="AP188" s="34">
        <f>J188*(1-0.0999283428682246)</f>
        <v>0</v>
      </c>
      <c r="AQ188" s="28" t="s">
        <v>7</v>
      </c>
      <c r="AV188" s="34">
        <f t="shared" si="176"/>
        <v>0</v>
      </c>
      <c r="AW188" s="34">
        <f t="shared" si="177"/>
        <v>0</v>
      </c>
      <c r="AX188" s="34">
        <f t="shared" si="178"/>
        <v>0</v>
      </c>
      <c r="AY188" s="35" t="s">
        <v>3670</v>
      </c>
      <c r="AZ188" s="35" t="s">
        <v>3712</v>
      </c>
      <c r="BA188" s="27" t="s">
        <v>3729</v>
      </c>
      <c r="BC188" s="34">
        <f t="shared" si="179"/>
        <v>0</v>
      </c>
      <c r="BD188" s="34">
        <f t="shared" si="180"/>
        <v>0</v>
      </c>
      <c r="BE188" s="34">
        <v>0</v>
      </c>
      <c r="BF188" s="34">
        <f>188</f>
        <v>188</v>
      </c>
      <c r="BH188" s="18">
        <f t="shared" si="181"/>
        <v>0</v>
      </c>
      <c r="BI188" s="18">
        <f t="shared" si="182"/>
        <v>0</v>
      </c>
      <c r="BJ188" s="18">
        <f t="shared" si="183"/>
        <v>0</v>
      </c>
    </row>
    <row r="189" spans="1:62" x14ac:dyDescent="0.2">
      <c r="A189" s="5" t="s">
        <v>159</v>
      </c>
      <c r="B189" s="5" t="s">
        <v>1361</v>
      </c>
      <c r="C189" s="135" t="s">
        <v>2578</v>
      </c>
      <c r="D189" s="136"/>
      <c r="E189" s="136"/>
      <c r="F189" s="136"/>
      <c r="G189" s="136"/>
      <c r="H189" s="5" t="s">
        <v>3615</v>
      </c>
      <c r="I189" s="18">
        <v>35.560499999999998</v>
      </c>
      <c r="J189" s="18">
        <v>0</v>
      </c>
      <c r="K189" s="18">
        <f t="shared" si="164"/>
        <v>0</v>
      </c>
      <c r="L189" s="28" t="s">
        <v>3635</v>
      </c>
      <c r="Z189" s="34">
        <f t="shared" si="165"/>
        <v>0</v>
      </c>
      <c r="AB189" s="34">
        <f t="shared" si="166"/>
        <v>0</v>
      </c>
      <c r="AC189" s="34">
        <f t="shared" si="167"/>
        <v>0</v>
      </c>
      <c r="AD189" s="34">
        <f t="shared" si="168"/>
        <v>0</v>
      </c>
      <c r="AE189" s="34">
        <f t="shared" si="169"/>
        <v>0</v>
      </c>
      <c r="AF189" s="34">
        <f t="shared" si="170"/>
        <v>0</v>
      </c>
      <c r="AG189" s="34">
        <f t="shared" si="171"/>
        <v>0</v>
      </c>
      <c r="AH189" s="34">
        <f t="shared" si="172"/>
        <v>0</v>
      </c>
      <c r="AI189" s="27" t="s">
        <v>3645</v>
      </c>
      <c r="AJ189" s="18">
        <f t="shared" si="173"/>
        <v>0</v>
      </c>
      <c r="AK189" s="18">
        <f t="shared" si="174"/>
        <v>0</v>
      </c>
      <c r="AL189" s="18">
        <f t="shared" si="175"/>
        <v>0</v>
      </c>
      <c r="AN189" s="34">
        <v>21</v>
      </c>
      <c r="AO189" s="34">
        <f>J189*0.099936895219238</f>
        <v>0</v>
      </c>
      <c r="AP189" s="34">
        <f>J189*(1-0.099936895219238)</f>
        <v>0</v>
      </c>
      <c r="AQ189" s="28" t="s">
        <v>7</v>
      </c>
      <c r="AV189" s="34">
        <f t="shared" si="176"/>
        <v>0</v>
      </c>
      <c r="AW189" s="34">
        <f t="shared" si="177"/>
        <v>0</v>
      </c>
      <c r="AX189" s="34">
        <f t="shared" si="178"/>
        <v>0</v>
      </c>
      <c r="AY189" s="35" t="s">
        <v>3670</v>
      </c>
      <c r="AZ189" s="35" t="s">
        <v>3712</v>
      </c>
      <c r="BA189" s="27" t="s">
        <v>3729</v>
      </c>
      <c r="BC189" s="34">
        <f t="shared" si="179"/>
        <v>0</v>
      </c>
      <c r="BD189" s="34">
        <f t="shared" si="180"/>
        <v>0</v>
      </c>
      <c r="BE189" s="34">
        <v>0</v>
      </c>
      <c r="BF189" s="34">
        <f>189</f>
        <v>189</v>
      </c>
      <c r="BH189" s="18">
        <f t="shared" si="181"/>
        <v>0</v>
      </c>
      <c r="BI189" s="18">
        <f t="shared" si="182"/>
        <v>0</v>
      </c>
      <c r="BJ189" s="18">
        <f t="shared" si="183"/>
        <v>0</v>
      </c>
    </row>
    <row r="190" spans="1:62" x14ac:dyDescent="0.2">
      <c r="A190" s="5" t="s">
        <v>160</v>
      </c>
      <c r="B190" s="5" t="s">
        <v>1362</v>
      </c>
      <c r="C190" s="135" t="s">
        <v>2579</v>
      </c>
      <c r="D190" s="136"/>
      <c r="E190" s="136"/>
      <c r="F190" s="136"/>
      <c r="G190" s="136"/>
      <c r="H190" s="5" t="s">
        <v>3613</v>
      </c>
      <c r="I190" s="18">
        <v>9.2415900000000004</v>
      </c>
      <c r="J190" s="18">
        <v>0</v>
      </c>
      <c r="K190" s="18">
        <f t="shared" si="164"/>
        <v>0</v>
      </c>
      <c r="L190" s="28" t="s">
        <v>3635</v>
      </c>
      <c r="Z190" s="34">
        <f t="shared" si="165"/>
        <v>0</v>
      </c>
      <c r="AB190" s="34">
        <f t="shared" si="166"/>
        <v>0</v>
      </c>
      <c r="AC190" s="34">
        <f t="shared" si="167"/>
        <v>0</v>
      </c>
      <c r="AD190" s="34">
        <f t="shared" si="168"/>
        <v>0</v>
      </c>
      <c r="AE190" s="34">
        <f t="shared" si="169"/>
        <v>0</v>
      </c>
      <c r="AF190" s="34">
        <f t="shared" si="170"/>
        <v>0</v>
      </c>
      <c r="AG190" s="34">
        <f t="shared" si="171"/>
        <v>0</v>
      </c>
      <c r="AH190" s="34">
        <f t="shared" si="172"/>
        <v>0</v>
      </c>
      <c r="AI190" s="27" t="s">
        <v>3645</v>
      </c>
      <c r="AJ190" s="18">
        <f t="shared" si="173"/>
        <v>0</v>
      </c>
      <c r="AK190" s="18">
        <f t="shared" si="174"/>
        <v>0</v>
      </c>
      <c r="AL190" s="18">
        <f t="shared" si="175"/>
        <v>0</v>
      </c>
      <c r="AN190" s="34">
        <v>21</v>
      </c>
      <c r="AO190" s="34">
        <f>J190*0.0386895660451907</f>
        <v>0</v>
      </c>
      <c r="AP190" s="34">
        <f>J190*(1-0.0386895660451907)</f>
        <v>0</v>
      </c>
      <c r="AQ190" s="28" t="s">
        <v>7</v>
      </c>
      <c r="AV190" s="34">
        <f t="shared" si="176"/>
        <v>0</v>
      </c>
      <c r="AW190" s="34">
        <f t="shared" si="177"/>
        <v>0</v>
      </c>
      <c r="AX190" s="34">
        <f t="shared" si="178"/>
        <v>0</v>
      </c>
      <c r="AY190" s="35" t="s">
        <v>3670</v>
      </c>
      <c r="AZ190" s="35" t="s">
        <v>3712</v>
      </c>
      <c r="BA190" s="27" t="s">
        <v>3729</v>
      </c>
      <c r="BC190" s="34">
        <f t="shared" si="179"/>
        <v>0</v>
      </c>
      <c r="BD190" s="34">
        <f t="shared" si="180"/>
        <v>0</v>
      </c>
      <c r="BE190" s="34">
        <v>0</v>
      </c>
      <c r="BF190" s="34">
        <f>190</f>
        <v>190</v>
      </c>
      <c r="BH190" s="18">
        <f t="shared" si="181"/>
        <v>0</v>
      </c>
      <c r="BI190" s="18">
        <f t="shared" si="182"/>
        <v>0</v>
      </c>
      <c r="BJ190" s="18">
        <f t="shared" si="183"/>
        <v>0</v>
      </c>
    </row>
    <row r="191" spans="1:62" x14ac:dyDescent="0.2">
      <c r="A191" s="5" t="s">
        <v>161</v>
      </c>
      <c r="B191" s="5" t="s">
        <v>1363</v>
      </c>
      <c r="C191" s="135" t="s">
        <v>2580</v>
      </c>
      <c r="D191" s="136"/>
      <c r="E191" s="136"/>
      <c r="F191" s="136"/>
      <c r="G191" s="136"/>
      <c r="H191" s="5" t="s">
        <v>3613</v>
      </c>
      <c r="I191" s="18">
        <v>1.00499</v>
      </c>
      <c r="J191" s="18">
        <v>0</v>
      </c>
      <c r="K191" s="18">
        <f t="shared" si="164"/>
        <v>0</v>
      </c>
      <c r="L191" s="28" t="s">
        <v>3635</v>
      </c>
      <c r="Z191" s="34">
        <f t="shared" si="165"/>
        <v>0</v>
      </c>
      <c r="AB191" s="34">
        <f t="shared" si="166"/>
        <v>0</v>
      </c>
      <c r="AC191" s="34">
        <f t="shared" si="167"/>
        <v>0</v>
      </c>
      <c r="AD191" s="34">
        <f t="shared" si="168"/>
        <v>0</v>
      </c>
      <c r="AE191" s="34">
        <f t="shared" si="169"/>
        <v>0</v>
      </c>
      <c r="AF191" s="34">
        <f t="shared" si="170"/>
        <v>0</v>
      </c>
      <c r="AG191" s="34">
        <f t="shared" si="171"/>
        <v>0</v>
      </c>
      <c r="AH191" s="34">
        <f t="shared" si="172"/>
        <v>0</v>
      </c>
      <c r="AI191" s="27" t="s">
        <v>3645</v>
      </c>
      <c r="AJ191" s="18">
        <f t="shared" si="173"/>
        <v>0</v>
      </c>
      <c r="AK191" s="18">
        <f t="shared" si="174"/>
        <v>0</v>
      </c>
      <c r="AL191" s="18">
        <f t="shared" si="175"/>
        <v>0</v>
      </c>
      <c r="AN191" s="34">
        <v>21</v>
      </c>
      <c r="AO191" s="34">
        <f>J191*0.0080811158460797</f>
        <v>0</v>
      </c>
      <c r="AP191" s="34">
        <f>J191*(1-0.0080811158460797)</f>
        <v>0</v>
      </c>
      <c r="AQ191" s="28" t="s">
        <v>7</v>
      </c>
      <c r="AV191" s="34">
        <f t="shared" si="176"/>
        <v>0</v>
      </c>
      <c r="AW191" s="34">
        <f t="shared" si="177"/>
        <v>0</v>
      </c>
      <c r="AX191" s="34">
        <f t="shared" si="178"/>
        <v>0</v>
      </c>
      <c r="AY191" s="35" t="s">
        <v>3670</v>
      </c>
      <c r="AZ191" s="35" t="s">
        <v>3712</v>
      </c>
      <c r="BA191" s="27" t="s">
        <v>3729</v>
      </c>
      <c r="BC191" s="34">
        <f t="shared" si="179"/>
        <v>0</v>
      </c>
      <c r="BD191" s="34">
        <f t="shared" si="180"/>
        <v>0</v>
      </c>
      <c r="BE191" s="34">
        <v>0</v>
      </c>
      <c r="BF191" s="34">
        <f>191</f>
        <v>191</v>
      </c>
      <c r="BH191" s="18">
        <f t="shared" si="181"/>
        <v>0</v>
      </c>
      <c r="BI191" s="18">
        <f t="shared" si="182"/>
        <v>0</v>
      </c>
      <c r="BJ191" s="18">
        <f t="shared" si="183"/>
        <v>0</v>
      </c>
    </row>
    <row r="192" spans="1:62" x14ac:dyDescent="0.2">
      <c r="A192" s="5" t="s">
        <v>162</v>
      </c>
      <c r="B192" s="5" t="s">
        <v>1363</v>
      </c>
      <c r="C192" s="135" t="s">
        <v>2581</v>
      </c>
      <c r="D192" s="136"/>
      <c r="E192" s="136"/>
      <c r="F192" s="136"/>
      <c r="G192" s="136"/>
      <c r="H192" s="5" t="s">
        <v>3613</v>
      </c>
      <c r="I192" s="18">
        <v>7.06379</v>
      </c>
      <c r="J192" s="18">
        <v>0</v>
      </c>
      <c r="K192" s="18">
        <f t="shared" si="164"/>
        <v>0</v>
      </c>
      <c r="L192" s="28" t="s">
        <v>3635</v>
      </c>
      <c r="Z192" s="34">
        <f t="shared" si="165"/>
        <v>0</v>
      </c>
      <c r="AB192" s="34">
        <f t="shared" si="166"/>
        <v>0</v>
      </c>
      <c r="AC192" s="34">
        <f t="shared" si="167"/>
        <v>0</v>
      </c>
      <c r="AD192" s="34">
        <f t="shared" si="168"/>
        <v>0</v>
      </c>
      <c r="AE192" s="34">
        <f t="shared" si="169"/>
        <v>0</v>
      </c>
      <c r="AF192" s="34">
        <f t="shared" si="170"/>
        <v>0</v>
      </c>
      <c r="AG192" s="34">
        <f t="shared" si="171"/>
        <v>0</v>
      </c>
      <c r="AH192" s="34">
        <f t="shared" si="172"/>
        <v>0</v>
      </c>
      <c r="AI192" s="27" t="s">
        <v>3645</v>
      </c>
      <c r="AJ192" s="18">
        <f t="shared" si="173"/>
        <v>0</v>
      </c>
      <c r="AK192" s="18">
        <f t="shared" si="174"/>
        <v>0</v>
      </c>
      <c r="AL192" s="18">
        <f t="shared" si="175"/>
        <v>0</v>
      </c>
      <c r="AN192" s="34">
        <v>21</v>
      </c>
      <c r="AO192" s="34">
        <f>J192*0.00808111341934531</f>
        <v>0</v>
      </c>
      <c r="AP192" s="34">
        <f>J192*(1-0.00808111341934531)</f>
        <v>0</v>
      </c>
      <c r="AQ192" s="28" t="s">
        <v>7</v>
      </c>
      <c r="AV192" s="34">
        <f t="shared" si="176"/>
        <v>0</v>
      </c>
      <c r="AW192" s="34">
        <f t="shared" si="177"/>
        <v>0</v>
      </c>
      <c r="AX192" s="34">
        <f t="shared" si="178"/>
        <v>0</v>
      </c>
      <c r="AY192" s="35" t="s">
        <v>3670</v>
      </c>
      <c r="AZ192" s="35" t="s">
        <v>3712</v>
      </c>
      <c r="BA192" s="27" t="s">
        <v>3729</v>
      </c>
      <c r="BC192" s="34">
        <f t="shared" si="179"/>
        <v>0</v>
      </c>
      <c r="BD192" s="34">
        <f t="shared" si="180"/>
        <v>0</v>
      </c>
      <c r="BE192" s="34">
        <v>0</v>
      </c>
      <c r="BF192" s="34">
        <f>192</f>
        <v>192</v>
      </c>
      <c r="BH192" s="18">
        <f t="shared" si="181"/>
        <v>0</v>
      </c>
      <c r="BI192" s="18">
        <f t="shared" si="182"/>
        <v>0</v>
      </c>
      <c r="BJ192" s="18">
        <f t="shared" si="183"/>
        <v>0</v>
      </c>
    </row>
    <row r="193" spans="1:62" x14ac:dyDescent="0.2">
      <c r="A193" s="5" t="s">
        <v>163</v>
      </c>
      <c r="B193" s="5" t="s">
        <v>1364</v>
      </c>
      <c r="C193" s="135" t="s">
        <v>2582</v>
      </c>
      <c r="D193" s="136"/>
      <c r="E193" s="136"/>
      <c r="F193" s="136"/>
      <c r="G193" s="136"/>
      <c r="H193" s="5" t="s">
        <v>3615</v>
      </c>
      <c r="I193" s="18">
        <v>16.000599999999999</v>
      </c>
      <c r="J193" s="18">
        <v>0</v>
      </c>
      <c r="K193" s="18">
        <f t="shared" si="164"/>
        <v>0</v>
      </c>
      <c r="L193" s="28" t="s">
        <v>3635</v>
      </c>
      <c r="Z193" s="34">
        <f t="shared" si="165"/>
        <v>0</v>
      </c>
      <c r="AB193" s="34">
        <f t="shared" si="166"/>
        <v>0</v>
      </c>
      <c r="AC193" s="34">
        <f t="shared" si="167"/>
        <v>0</v>
      </c>
      <c r="AD193" s="34">
        <f t="shared" si="168"/>
        <v>0</v>
      </c>
      <c r="AE193" s="34">
        <f t="shared" si="169"/>
        <v>0</v>
      </c>
      <c r="AF193" s="34">
        <f t="shared" si="170"/>
        <v>0</v>
      </c>
      <c r="AG193" s="34">
        <f t="shared" si="171"/>
        <v>0</v>
      </c>
      <c r="AH193" s="34">
        <f t="shared" si="172"/>
        <v>0</v>
      </c>
      <c r="AI193" s="27" t="s">
        <v>3645</v>
      </c>
      <c r="AJ193" s="18">
        <f t="shared" si="173"/>
        <v>0</v>
      </c>
      <c r="AK193" s="18">
        <f t="shared" si="174"/>
        <v>0</v>
      </c>
      <c r="AL193" s="18">
        <f t="shared" si="175"/>
        <v>0</v>
      </c>
      <c r="AN193" s="34">
        <v>21</v>
      </c>
      <c r="AO193" s="34">
        <f>J193*0.067982828971015</f>
        <v>0</v>
      </c>
      <c r="AP193" s="34">
        <f>J193*(1-0.067982828971015)</f>
        <v>0</v>
      </c>
      <c r="AQ193" s="28" t="s">
        <v>7</v>
      </c>
      <c r="AV193" s="34">
        <f t="shared" si="176"/>
        <v>0</v>
      </c>
      <c r="AW193" s="34">
        <f t="shared" si="177"/>
        <v>0</v>
      </c>
      <c r="AX193" s="34">
        <f t="shared" si="178"/>
        <v>0</v>
      </c>
      <c r="AY193" s="35" t="s">
        <v>3670</v>
      </c>
      <c r="AZ193" s="35" t="s">
        <v>3712</v>
      </c>
      <c r="BA193" s="27" t="s">
        <v>3729</v>
      </c>
      <c r="BC193" s="34">
        <f t="shared" si="179"/>
        <v>0</v>
      </c>
      <c r="BD193" s="34">
        <f t="shared" si="180"/>
        <v>0</v>
      </c>
      <c r="BE193" s="34">
        <v>0</v>
      </c>
      <c r="BF193" s="34">
        <f>193</f>
        <v>193</v>
      </c>
      <c r="BH193" s="18">
        <f t="shared" si="181"/>
        <v>0</v>
      </c>
      <c r="BI193" s="18">
        <f t="shared" si="182"/>
        <v>0</v>
      </c>
      <c r="BJ193" s="18">
        <f t="shared" si="183"/>
        <v>0</v>
      </c>
    </row>
    <row r="194" spans="1:62" x14ac:dyDescent="0.2">
      <c r="A194" s="5" t="s">
        <v>164</v>
      </c>
      <c r="B194" s="5" t="s">
        <v>1362</v>
      </c>
      <c r="C194" s="135" t="s">
        <v>2583</v>
      </c>
      <c r="D194" s="136"/>
      <c r="E194" s="136"/>
      <c r="F194" s="136"/>
      <c r="G194" s="136"/>
      <c r="H194" s="5" t="s">
        <v>3613</v>
      </c>
      <c r="I194" s="18">
        <v>5.0645600000000002</v>
      </c>
      <c r="J194" s="18">
        <v>0</v>
      </c>
      <c r="K194" s="18">
        <f t="shared" si="164"/>
        <v>0</v>
      </c>
      <c r="L194" s="28" t="s">
        <v>3635</v>
      </c>
      <c r="Z194" s="34">
        <f t="shared" si="165"/>
        <v>0</v>
      </c>
      <c r="AB194" s="34">
        <f t="shared" si="166"/>
        <v>0</v>
      </c>
      <c r="AC194" s="34">
        <f t="shared" si="167"/>
        <v>0</v>
      </c>
      <c r="AD194" s="34">
        <f t="shared" si="168"/>
        <v>0</v>
      </c>
      <c r="AE194" s="34">
        <f t="shared" si="169"/>
        <v>0</v>
      </c>
      <c r="AF194" s="34">
        <f t="shared" si="170"/>
        <v>0</v>
      </c>
      <c r="AG194" s="34">
        <f t="shared" si="171"/>
        <v>0</v>
      </c>
      <c r="AH194" s="34">
        <f t="shared" si="172"/>
        <v>0</v>
      </c>
      <c r="AI194" s="27" t="s">
        <v>3645</v>
      </c>
      <c r="AJ194" s="18">
        <f t="shared" si="173"/>
        <v>0</v>
      </c>
      <c r="AK194" s="18">
        <f t="shared" si="174"/>
        <v>0</v>
      </c>
      <c r="AL194" s="18">
        <f t="shared" si="175"/>
        <v>0</v>
      </c>
      <c r="AN194" s="34">
        <v>21</v>
      </c>
      <c r="AO194" s="34">
        <f>J194*0.0386896078618548</f>
        <v>0</v>
      </c>
      <c r="AP194" s="34">
        <f>J194*(1-0.0386896078618548)</f>
        <v>0</v>
      </c>
      <c r="AQ194" s="28" t="s">
        <v>7</v>
      </c>
      <c r="AV194" s="34">
        <f t="shared" si="176"/>
        <v>0</v>
      </c>
      <c r="AW194" s="34">
        <f t="shared" si="177"/>
        <v>0</v>
      </c>
      <c r="AX194" s="34">
        <f t="shared" si="178"/>
        <v>0</v>
      </c>
      <c r="AY194" s="35" t="s">
        <v>3670</v>
      </c>
      <c r="AZ194" s="35" t="s">
        <v>3712</v>
      </c>
      <c r="BA194" s="27" t="s">
        <v>3729</v>
      </c>
      <c r="BC194" s="34">
        <f t="shared" si="179"/>
        <v>0</v>
      </c>
      <c r="BD194" s="34">
        <f t="shared" si="180"/>
        <v>0</v>
      </c>
      <c r="BE194" s="34">
        <v>0</v>
      </c>
      <c r="BF194" s="34">
        <f>194</f>
        <v>194</v>
      </c>
      <c r="BH194" s="18">
        <f t="shared" si="181"/>
        <v>0</v>
      </c>
      <c r="BI194" s="18">
        <f t="shared" si="182"/>
        <v>0</v>
      </c>
      <c r="BJ194" s="18">
        <f t="shared" si="183"/>
        <v>0</v>
      </c>
    </row>
    <row r="195" spans="1:62" x14ac:dyDescent="0.2">
      <c r="A195" s="5" t="s">
        <v>165</v>
      </c>
      <c r="B195" s="5" t="s">
        <v>1365</v>
      </c>
      <c r="C195" s="135" t="s">
        <v>2584</v>
      </c>
      <c r="D195" s="136"/>
      <c r="E195" s="136"/>
      <c r="F195" s="136"/>
      <c r="G195" s="136"/>
      <c r="H195" s="5" t="s">
        <v>3614</v>
      </c>
      <c r="I195" s="18">
        <v>1.2</v>
      </c>
      <c r="J195" s="18">
        <v>0</v>
      </c>
      <c r="K195" s="18">
        <f t="shared" si="164"/>
        <v>0</v>
      </c>
      <c r="L195" s="28" t="s">
        <v>3635</v>
      </c>
      <c r="Z195" s="34">
        <f t="shared" si="165"/>
        <v>0</v>
      </c>
      <c r="AB195" s="34">
        <f t="shared" si="166"/>
        <v>0</v>
      </c>
      <c r="AC195" s="34">
        <f t="shared" si="167"/>
        <v>0</v>
      </c>
      <c r="AD195" s="34">
        <f t="shared" si="168"/>
        <v>0</v>
      </c>
      <c r="AE195" s="34">
        <f t="shared" si="169"/>
        <v>0</v>
      </c>
      <c r="AF195" s="34">
        <f t="shared" si="170"/>
        <v>0</v>
      </c>
      <c r="AG195" s="34">
        <f t="shared" si="171"/>
        <v>0</v>
      </c>
      <c r="AH195" s="34">
        <f t="shared" si="172"/>
        <v>0</v>
      </c>
      <c r="AI195" s="27" t="s">
        <v>3645</v>
      </c>
      <c r="AJ195" s="18">
        <f t="shared" si="173"/>
        <v>0</v>
      </c>
      <c r="AK195" s="18">
        <f t="shared" si="174"/>
        <v>0</v>
      </c>
      <c r="AL195" s="18">
        <f t="shared" si="175"/>
        <v>0</v>
      </c>
      <c r="AN195" s="34">
        <v>21</v>
      </c>
      <c r="AO195" s="34">
        <f>J195*0</f>
        <v>0</v>
      </c>
      <c r="AP195" s="34">
        <f>J195*(1-0)</f>
        <v>0</v>
      </c>
      <c r="AQ195" s="28" t="s">
        <v>7</v>
      </c>
      <c r="AV195" s="34">
        <f t="shared" si="176"/>
        <v>0</v>
      </c>
      <c r="AW195" s="34">
        <f t="shared" si="177"/>
        <v>0</v>
      </c>
      <c r="AX195" s="34">
        <f t="shared" si="178"/>
        <v>0</v>
      </c>
      <c r="AY195" s="35" t="s">
        <v>3670</v>
      </c>
      <c r="AZ195" s="35" t="s">
        <v>3712</v>
      </c>
      <c r="BA195" s="27" t="s">
        <v>3729</v>
      </c>
      <c r="BC195" s="34">
        <f t="shared" si="179"/>
        <v>0</v>
      </c>
      <c r="BD195" s="34">
        <f t="shared" si="180"/>
        <v>0</v>
      </c>
      <c r="BE195" s="34">
        <v>0</v>
      </c>
      <c r="BF195" s="34">
        <f>195</f>
        <v>195</v>
      </c>
      <c r="BH195" s="18">
        <f t="shared" si="181"/>
        <v>0</v>
      </c>
      <c r="BI195" s="18">
        <f t="shared" si="182"/>
        <v>0</v>
      </c>
      <c r="BJ195" s="18">
        <f t="shared" si="183"/>
        <v>0</v>
      </c>
    </row>
    <row r="196" spans="1:62" x14ac:dyDescent="0.2">
      <c r="A196" s="5" t="s">
        <v>166</v>
      </c>
      <c r="B196" s="5" t="s">
        <v>1366</v>
      </c>
      <c r="C196" s="135" t="s">
        <v>2585</v>
      </c>
      <c r="D196" s="136"/>
      <c r="E196" s="136"/>
      <c r="F196" s="136"/>
      <c r="G196" s="136"/>
      <c r="H196" s="5" t="s">
        <v>3613</v>
      </c>
      <c r="I196" s="18">
        <v>26.95</v>
      </c>
      <c r="J196" s="18">
        <v>0</v>
      </c>
      <c r="K196" s="18">
        <f t="shared" si="164"/>
        <v>0</v>
      </c>
      <c r="L196" s="28" t="s">
        <v>3635</v>
      </c>
      <c r="Z196" s="34">
        <f t="shared" si="165"/>
        <v>0</v>
      </c>
      <c r="AB196" s="34">
        <f t="shared" si="166"/>
        <v>0</v>
      </c>
      <c r="AC196" s="34">
        <f t="shared" si="167"/>
        <v>0</v>
      </c>
      <c r="AD196" s="34">
        <f t="shared" si="168"/>
        <v>0</v>
      </c>
      <c r="AE196" s="34">
        <f t="shared" si="169"/>
        <v>0</v>
      </c>
      <c r="AF196" s="34">
        <f t="shared" si="170"/>
        <v>0</v>
      </c>
      <c r="AG196" s="34">
        <f t="shared" si="171"/>
        <v>0</v>
      </c>
      <c r="AH196" s="34">
        <f t="shared" si="172"/>
        <v>0</v>
      </c>
      <c r="AI196" s="27" t="s">
        <v>3645</v>
      </c>
      <c r="AJ196" s="18">
        <f t="shared" si="173"/>
        <v>0</v>
      </c>
      <c r="AK196" s="18">
        <f t="shared" si="174"/>
        <v>0</v>
      </c>
      <c r="AL196" s="18">
        <f t="shared" si="175"/>
        <v>0</v>
      </c>
      <c r="AN196" s="34">
        <v>21</v>
      </c>
      <c r="AO196" s="34">
        <f>J196*0.0451981589671482</f>
        <v>0</v>
      </c>
      <c r="AP196" s="34">
        <f>J196*(1-0.0451981589671482)</f>
        <v>0</v>
      </c>
      <c r="AQ196" s="28" t="s">
        <v>7</v>
      </c>
      <c r="AV196" s="34">
        <f t="shared" si="176"/>
        <v>0</v>
      </c>
      <c r="AW196" s="34">
        <f t="shared" si="177"/>
        <v>0</v>
      </c>
      <c r="AX196" s="34">
        <f t="shared" si="178"/>
        <v>0</v>
      </c>
      <c r="AY196" s="35" t="s">
        <v>3670</v>
      </c>
      <c r="AZ196" s="35" t="s">
        <v>3712</v>
      </c>
      <c r="BA196" s="27" t="s">
        <v>3729</v>
      </c>
      <c r="BC196" s="34">
        <f t="shared" si="179"/>
        <v>0</v>
      </c>
      <c r="BD196" s="34">
        <f t="shared" si="180"/>
        <v>0</v>
      </c>
      <c r="BE196" s="34">
        <v>0</v>
      </c>
      <c r="BF196" s="34">
        <f>196</f>
        <v>196</v>
      </c>
      <c r="BH196" s="18">
        <f t="shared" si="181"/>
        <v>0</v>
      </c>
      <c r="BI196" s="18">
        <f t="shared" si="182"/>
        <v>0</v>
      </c>
      <c r="BJ196" s="18">
        <f t="shared" si="183"/>
        <v>0</v>
      </c>
    </row>
    <row r="197" spans="1:62" x14ac:dyDescent="0.2">
      <c r="A197" s="5" t="s">
        <v>167</v>
      </c>
      <c r="B197" s="5" t="s">
        <v>1367</v>
      </c>
      <c r="C197" s="135" t="s">
        <v>2586</v>
      </c>
      <c r="D197" s="136"/>
      <c r="E197" s="136"/>
      <c r="F197" s="136"/>
      <c r="G197" s="136"/>
      <c r="H197" s="5" t="s">
        <v>3613</v>
      </c>
      <c r="I197" s="18">
        <v>12.734859999999999</v>
      </c>
      <c r="J197" s="18">
        <v>0</v>
      </c>
      <c r="K197" s="18">
        <f t="shared" si="164"/>
        <v>0</v>
      </c>
      <c r="L197" s="28" t="s">
        <v>3635</v>
      </c>
      <c r="Z197" s="34">
        <f t="shared" si="165"/>
        <v>0</v>
      </c>
      <c r="AB197" s="34">
        <f t="shared" si="166"/>
        <v>0</v>
      </c>
      <c r="AC197" s="34">
        <f t="shared" si="167"/>
        <v>0</v>
      </c>
      <c r="AD197" s="34">
        <f t="shared" si="168"/>
        <v>0</v>
      </c>
      <c r="AE197" s="34">
        <f t="shared" si="169"/>
        <v>0</v>
      </c>
      <c r="AF197" s="34">
        <f t="shared" si="170"/>
        <v>0</v>
      </c>
      <c r="AG197" s="34">
        <f t="shared" si="171"/>
        <v>0</v>
      </c>
      <c r="AH197" s="34">
        <f t="shared" si="172"/>
        <v>0</v>
      </c>
      <c r="AI197" s="27" t="s">
        <v>3645</v>
      </c>
      <c r="AJ197" s="18">
        <f t="shared" si="173"/>
        <v>0</v>
      </c>
      <c r="AK197" s="18">
        <f t="shared" si="174"/>
        <v>0</v>
      </c>
      <c r="AL197" s="18">
        <f t="shared" si="175"/>
        <v>0</v>
      </c>
      <c r="AN197" s="34">
        <v>21</v>
      </c>
      <c r="AO197" s="34">
        <f t="shared" ref="AO197:AO205" si="184">J197*0</f>
        <v>0</v>
      </c>
      <c r="AP197" s="34">
        <f t="shared" ref="AP197:AP205" si="185">J197*(1-0)</f>
        <v>0</v>
      </c>
      <c r="AQ197" s="28" t="s">
        <v>7</v>
      </c>
      <c r="AV197" s="34">
        <f t="shared" si="176"/>
        <v>0</v>
      </c>
      <c r="AW197" s="34">
        <f t="shared" si="177"/>
        <v>0</v>
      </c>
      <c r="AX197" s="34">
        <f t="shared" si="178"/>
        <v>0</v>
      </c>
      <c r="AY197" s="35" t="s">
        <v>3670</v>
      </c>
      <c r="AZ197" s="35" t="s">
        <v>3712</v>
      </c>
      <c r="BA197" s="27" t="s">
        <v>3729</v>
      </c>
      <c r="BC197" s="34">
        <f t="shared" si="179"/>
        <v>0</v>
      </c>
      <c r="BD197" s="34">
        <f t="shared" si="180"/>
        <v>0</v>
      </c>
      <c r="BE197" s="34">
        <v>0</v>
      </c>
      <c r="BF197" s="34">
        <f>197</f>
        <v>197</v>
      </c>
      <c r="BH197" s="18">
        <f t="shared" si="181"/>
        <v>0</v>
      </c>
      <c r="BI197" s="18">
        <f t="shared" si="182"/>
        <v>0</v>
      </c>
      <c r="BJ197" s="18">
        <f t="shared" si="183"/>
        <v>0</v>
      </c>
    </row>
    <row r="198" spans="1:62" x14ac:dyDescent="0.2">
      <c r="A198" s="5" t="s">
        <v>168</v>
      </c>
      <c r="B198" s="5" t="s">
        <v>1368</v>
      </c>
      <c r="C198" s="135" t="s">
        <v>2587</v>
      </c>
      <c r="D198" s="136"/>
      <c r="E198" s="136"/>
      <c r="F198" s="136"/>
      <c r="G198" s="136"/>
      <c r="H198" s="5" t="s">
        <v>3613</v>
      </c>
      <c r="I198" s="18">
        <v>8.3125</v>
      </c>
      <c r="J198" s="18">
        <v>0</v>
      </c>
      <c r="K198" s="18">
        <f t="shared" si="164"/>
        <v>0</v>
      </c>
      <c r="L198" s="28" t="s">
        <v>3635</v>
      </c>
      <c r="Z198" s="34">
        <f t="shared" si="165"/>
        <v>0</v>
      </c>
      <c r="AB198" s="34">
        <f t="shared" si="166"/>
        <v>0</v>
      </c>
      <c r="AC198" s="34">
        <f t="shared" si="167"/>
        <v>0</v>
      </c>
      <c r="AD198" s="34">
        <f t="shared" si="168"/>
        <v>0</v>
      </c>
      <c r="AE198" s="34">
        <f t="shared" si="169"/>
        <v>0</v>
      </c>
      <c r="AF198" s="34">
        <f t="shared" si="170"/>
        <v>0</v>
      </c>
      <c r="AG198" s="34">
        <f t="shared" si="171"/>
        <v>0</v>
      </c>
      <c r="AH198" s="34">
        <f t="shared" si="172"/>
        <v>0</v>
      </c>
      <c r="AI198" s="27" t="s">
        <v>3645</v>
      </c>
      <c r="AJ198" s="18">
        <f t="shared" si="173"/>
        <v>0</v>
      </c>
      <c r="AK198" s="18">
        <f t="shared" si="174"/>
        <v>0</v>
      </c>
      <c r="AL198" s="18">
        <f t="shared" si="175"/>
        <v>0</v>
      </c>
      <c r="AN198" s="34">
        <v>21</v>
      </c>
      <c r="AO198" s="34">
        <f t="shared" si="184"/>
        <v>0</v>
      </c>
      <c r="AP198" s="34">
        <f t="shared" si="185"/>
        <v>0</v>
      </c>
      <c r="AQ198" s="28" t="s">
        <v>7</v>
      </c>
      <c r="AV198" s="34">
        <f t="shared" si="176"/>
        <v>0</v>
      </c>
      <c r="AW198" s="34">
        <f t="shared" si="177"/>
        <v>0</v>
      </c>
      <c r="AX198" s="34">
        <f t="shared" si="178"/>
        <v>0</v>
      </c>
      <c r="AY198" s="35" t="s">
        <v>3670</v>
      </c>
      <c r="AZ198" s="35" t="s">
        <v>3712</v>
      </c>
      <c r="BA198" s="27" t="s">
        <v>3729</v>
      </c>
      <c r="BC198" s="34">
        <f t="shared" si="179"/>
        <v>0</v>
      </c>
      <c r="BD198" s="34">
        <f t="shared" si="180"/>
        <v>0</v>
      </c>
      <c r="BE198" s="34">
        <v>0</v>
      </c>
      <c r="BF198" s="34">
        <f>198</f>
        <v>198</v>
      </c>
      <c r="BH198" s="18">
        <f t="shared" si="181"/>
        <v>0</v>
      </c>
      <c r="BI198" s="18">
        <f t="shared" si="182"/>
        <v>0</v>
      </c>
      <c r="BJ198" s="18">
        <f t="shared" si="183"/>
        <v>0</v>
      </c>
    </row>
    <row r="199" spans="1:62" x14ac:dyDescent="0.2">
      <c r="A199" s="5" t="s">
        <v>169</v>
      </c>
      <c r="B199" s="5" t="s">
        <v>1369</v>
      </c>
      <c r="C199" s="135" t="s">
        <v>2588</v>
      </c>
      <c r="D199" s="136"/>
      <c r="E199" s="136"/>
      <c r="F199" s="136"/>
      <c r="G199" s="136"/>
      <c r="H199" s="5" t="s">
        <v>3613</v>
      </c>
      <c r="I199" s="18">
        <v>6.3782300000000003</v>
      </c>
      <c r="J199" s="18">
        <v>0</v>
      </c>
      <c r="K199" s="18">
        <f t="shared" si="164"/>
        <v>0</v>
      </c>
      <c r="L199" s="28" t="s">
        <v>3635</v>
      </c>
      <c r="Z199" s="34">
        <f t="shared" si="165"/>
        <v>0</v>
      </c>
      <c r="AB199" s="34">
        <f t="shared" si="166"/>
        <v>0</v>
      </c>
      <c r="AC199" s="34">
        <f t="shared" si="167"/>
        <v>0</v>
      </c>
      <c r="AD199" s="34">
        <f t="shared" si="168"/>
        <v>0</v>
      </c>
      <c r="AE199" s="34">
        <f t="shared" si="169"/>
        <v>0</v>
      </c>
      <c r="AF199" s="34">
        <f t="shared" si="170"/>
        <v>0</v>
      </c>
      <c r="AG199" s="34">
        <f t="shared" si="171"/>
        <v>0</v>
      </c>
      <c r="AH199" s="34">
        <f t="shared" si="172"/>
        <v>0</v>
      </c>
      <c r="AI199" s="27" t="s">
        <v>3645</v>
      </c>
      <c r="AJ199" s="18">
        <f t="shared" si="173"/>
        <v>0</v>
      </c>
      <c r="AK199" s="18">
        <f t="shared" si="174"/>
        <v>0</v>
      </c>
      <c r="AL199" s="18">
        <f t="shared" si="175"/>
        <v>0</v>
      </c>
      <c r="AN199" s="34">
        <v>21</v>
      </c>
      <c r="AO199" s="34">
        <f t="shared" si="184"/>
        <v>0</v>
      </c>
      <c r="AP199" s="34">
        <f t="shared" si="185"/>
        <v>0</v>
      </c>
      <c r="AQ199" s="28" t="s">
        <v>7</v>
      </c>
      <c r="AV199" s="34">
        <f t="shared" si="176"/>
        <v>0</v>
      </c>
      <c r="AW199" s="34">
        <f t="shared" si="177"/>
        <v>0</v>
      </c>
      <c r="AX199" s="34">
        <f t="shared" si="178"/>
        <v>0</v>
      </c>
      <c r="AY199" s="35" t="s">
        <v>3670</v>
      </c>
      <c r="AZ199" s="35" t="s">
        <v>3712</v>
      </c>
      <c r="BA199" s="27" t="s">
        <v>3729</v>
      </c>
      <c r="BC199" s="34">
        <f t="shared" si="179"/>
        <v>0</v>
      </c>
      <c r="BD199" s="34">
        <f t="shared" si="180"/>
        <v>0</v>
      </c>
      <c r="BE199" s="34">
        <v>0</v>
      </c>
      <c r="BF199" s="34">
        <f>199</f>
        <v>199</v>
      </c>
      <c r="BH199" s="18">
        <f t="shared" si="181"/>
        <v>0</v>
      </c>
      <c r="BI199" s="18">
        <f t="shared" si="182"/>
        <v>0</v>
      </c>
      <c r="BJ199" s="18">
        <f t="shared" si="183"/>
        <v>0</v>
      </c>
    </row>
    <row r="200" spans="1:62" x14ac:dyDescent="0.2">
      <c r="A200" s="5" t="s">
        <v>170</v>
      </c>
      <c r="B200" s="5" t="s">
        <v>1370</v>
      </c>
      <c r="C200" s="135" t="s">
        <v>2589</v>
      </c>
      <c r="D200" s="136"/>
      <c r="E200" s="136"/>
      <c r="F200" s="136"/>
      <c r="G200" s="136"/>
      <c r="H200" s="5" t="s">
        <v>3615</v>
      </c>
      <c r="I200" s="18">
        <v>98.88</v>
      </c>
      <c r="J200" s="18">
        <v>0</v>
      </c>
      <c r="K200" s="18">
        <f t="shared" si="164"/>
        <v>0</v>
      </c>
      <c r="L200" s="28" t="s">
        <v>3635</v>
      </c>
      <c r="Z200" s="34">
        <f t="shared" si="165"/>
        <v>0</v>
      </c>
      <c r="AB200" s="34">
        <f t="shared" si="166"/>
        <v>0</v>
      </c>
      <c r="AC200" s="34">
        <f t="shared" si="167"/>
        <v>0</v>
      </c>
      <c r="AD200" s="34">
        <f t="shared" si="168"/>
        <v>0</v>
      </c>
      <c r="AE200" s="34">
        <f t="shared" si="169"/>
        <v>0</v>
      </c>
      <c r="AF200" s="34">
        <f t="shared" si="170"/>
        <v>0</v>
      </c>
      <c r="AG200" s="34">
        <f t="shared" si="171"/>
        <v>0</v>
      </c>
      <c r="AH200" s="34">
        <f t="shared" si="172"/>
        <v>0</v>
      </c>
      <c r="AI200" s="27" t="s">
        <v>3645</v>
      </c>
      <c r="AJ200" s="18">
        <f t="shared" si="173"/>
        <v>0</v>
      </c>
      <c r="AK200" s="18">
        <f t="shared" si="174"/>
        <v>0</v>
      </c>
      <c r="AL200" s="18">
        <f t="shared" si="175"/>
        <v>0</v>
      </c>
      <c r="AN200" s="34">
        <v>21</v>
      </c>
      <c r="AO200" s="34">
        <f t="shared" si="184"/>
        <v>0</v>
      </c>
      <c r="AP200" s="34">
        <f t="shared" si="185"/>
        <v>0</v>
      </c>
      <c r="AQ200" s="28" t="s">
        <v>7</v>
      </c>
      <c r="AV200" s="34">
        <f t="shared" si="176"/>
        <v>0</v>
      </c>
      <c r="AW200" s="34">
        <f t="shared" si="177"/>
        <v>0</v>
      </c>
      <c r="AX200" s="34">
        <f t="shared" si="178"/>
        <v>0</v>
      </c>
      <c r="AY200" s="35" t="s">
        <v>3670</v>
      </c>
      <c r="AZ200" s="35" t="s">
        <v>3712</v>
      </c>
      <c r="BA200" s="27" t="s">
        <v>3729</v>
      </c>
      <c r="BC200" s="34">
        <f t="shared" si="179"/>
        <v>0</v>
      </c>
      <c r="BD200" s="34">
        <f t="shared" si="180"/>
        <v>0</v>
      </c>
      <c r="BE200" s="34">
        <v>0</v>
      </c>
      <c r="BF200" s="34">
        <f>200</f>
        <v>200</v>
      </c>
      <c r="BH200" s="18">
        <f t="shared" si="181"/>
        <v>0</v>
      </c>
      <c r="BI200" s="18">
        <f t="shared" si="182"/>
        <v>0</v>
      </c>
      <c r="BJ200" s="18">
        <f t="shared" si="183"/>
        <v>0</v>
      </c>
    </row>
    <row r="201" spans="1:62" x14ac:dyDescent="0.2">
      <c r="A201" s="5" t="s">
        <v>171</v>
      </c>
      <c r="B201" s="5" t="s">
        <v>1371</v>
      </c>
      <c r="C201" s="135" t="s">
        <v>2590</v>
      </c>
      <c r="D201" s="136"/>
      <c r="E201" s="136"/>
      <c r="F201" s="136"/>
      <c r="G201" s="136"/>
      <c r="H201" s="5" t="s">
        <v>3613</v>
      </c>
      <c r="I201" s="18">
        <v>7.8515600000000001</v>
      </c>
      <c r="J201" s="18">
        <v>0</v>
      </c>
      <c r="K201" s="18">
        <f t="shared" si="164"/>
        <v>0</v>
      </c>
      <c r="L201" s="28" t="s">
        <v>3635</v>
      </c>
      <c r="Z201" s="34">
        <f t="shared" si="165"/>
        <v>0</v>
      </c>
      <c r="AB201" s="34">
        <f t="shared" si="166"/>
        <v>0</v>
      </c>
      <c r="AC201" s="34">
        <f t="shared" si="167"/>
        <v>0</v>
      </c>
      <c r="AD201" s="34">
        <f t="shared" si="168"/>
        <v>0</v>
      </c>
      <c r="AE201" s="34">
        <f t="shared" si="169"/>
        <v>0</v>
      </c>
      <c r="AF201" s="34">
        <f t="shared" si="170"/>
        <v>0</v>
      </c>
      <c r="AG201" s="34">
        <f t="shared" si="171"/>
        <v>0</v>
      </c>
      <c r="AH201" s="34">
        <f t="shared" si="172"/>
        <v>0</v>
      </c>
      <c r="AI201" s="27" t="s">
        <v>3645</v>
      </c>
      <c r="AJ201" s="18">
        <f t="shared" si="173"/>
        <v>0</v>
      </c>
      <c r="AK201" s="18">
        <f t="shared" si="174"/>
        <v>0</v>
      </c>
      <c r="AL201" s="18">
        <f t="shared" si="175"/>
        <v>0</v>
      </c>
      <c r="AN201" s="34">
        <v>21</v>
      </c>
      <c r="AO201" s="34">
        <f t="shared" si="184"/>
        <v>0</v>
      </c>
      <c r="AP201" s="34">
        <f t="shared" si="185"/>
        <v>0</v>
      </c>
      <c r="AQ201" s="28" t="s">
        <v>7</v>
      </c>
      <c r="AV201" s="34">
        <f t="shared" si="176"/>
        <v>0</v>
      </c>
      <c r="AW201" s="34">
        <f t="shared" si="177"/>
        <v>0</v>
      </c>
      <c r="AX201" s="34">
        <f t="shared" si="178"/>
        <v>0</v>
      </c>
      <c r="AY201" s="35" t="s">
        <v>3670</v>
      </c>
      <c r="AZ201" s="35" t="s">
        <v>3712</v>
      </c>
      <c r="BA201" s="27" t="s">
        <v>3729</v>
      </c>
      <c r="BC201" s="34">
        <f t="shared" si="179"/>
        <v>0</v>
      </c>
      <c r="BD201" s="34">
        <f t="shared" si="180"/>
        <v>0</v>
      </c>
      <c r="BE201" s="34">
        <v>0</v>
      </c>
      <c r="BF201" s="34">
        <f>201</f>
        <v>201</v>
      </c>
      <c r="BH201" s="18">
        <f t="shared" si="181"/>
        <v>0</v>
      </c>
      <c r="BI201" s="18">
        <f t="shared" si="182"/>
        <v>0</v>
      </c>
      <c r="BJ201" s="18">
        <f t="shared" si="183"/>
        <v>0</v>
      </c>
    </row>
    <row r="202" spans="1:62" x14ac:dyDescent="0.2">
      <c r="A202" s="5" t="s">
        <v>172</v>
      </c>
      <c r="B202" s="5" t="s">
        <v>1372</v>
      </c>
      <c r="C202" s="135" t="s">
        <v>2591</v>
      </c>
      <c r="D202" s="136"/>
      <c r="E202" s="136"/>
      <c r="F202" s="136"/>
      <c r="G202" s="136"/>
      <c r="H202" s="5" t="s">
        <v>3615</v>
      </c>
      <c r="I202" s="18">
        <v>89.761330000000001</v>
      </c>
      <c r="J202" s="18">
        <v>0</v>
      </c>
      <c r="K202" s="18">
        <f t="shared" si="164"/>
        <v>0</v>
      </c>
      <c r="L202" s="28" t="s">
        <v>3635</v>
      </c>
      <c r="Z202" s="34">
        <f t="shared" si="165"/>
        <v>0</v>
      </c>
      <c r="AB202" s="34">
        <f t="shared" si="166"/>
        <v>0</v>
      </c>
      <c r="AC202" s="34">
        <f t="shared" si="167"/>
        <v>0</v>
      </c>
      <c r="AD202" s="34">
        <f t="shared" si="168"/>
        <v>0</v>
      </c>
      <c r="AE202" s="34">
        <f t="shared" si="169"/>
        <v>0</v>
      </c>
      <c r="AF202" s="34">
        <f t="shared" si="170"/>
        <v>0</v>
      </c>
      <c r="AG202" s="34">
        <f t="shared" si="171"/>
        <v>0</v>
      </c>
      <c r="AH202" s="34">
        <f t="shared" si="172"/>
        <v>0</v>
      </c>
      <c r="AI202" s="27" t="s">
        <v>3645</v>
      </c>
      <c r="AJ202" s="18">
        <f t="shared" si="173"/>
        <v>0</v>
      </c>
      <c r="AK202" s="18">
        <f t="shared" si="174"/>
        <v>0</v>
      </c>
      <c r="AL202" s="18">
        <f t="shared" si="175"/>
        <v>0</v>
      </c>
      <c r="AN202" s="34">
        <v>21</v>
      </c>
      <c r="AO202" s="34">
        <f t="shared" si="184"/>
        <v>0</v>
      </c>
      <c r="AP202" s="34">
        <f t="shared" si="185"/>
        <v>0</v>
      </c>
      <c r="AQ202" s="28" t="s">
        <v>7</v>
      </c>
      <c r="AV202" s="34">
        <f t="shared" si="176"/>
        <v>0</v>
      </c>
      <c r="AW202" s="34">
        <f t="shared" si="177"/>
        <v>0</v>
      </c>
      <c r="AX202" s="34">
        <f t="shared" si="178"/>
        <v>0</v>
      </c>
      <c r="AY202" s="35" t="s">
        <v>3670</v>
      </c>
      <c r="AZ202" s="35" t="s">
        <v>3712</v>
      </c>
      <c r="BA202" s="27" t="s">
        <v>3729</v>
      </c>
      <c r="BC202" s="34">
        <f t="shared" si="179"/>
        <v>0</v>
      </c>
      <c r="BD202" s="34">
        <f t="shared" si="180"/>
        <v>0</v>
      </c>
      <c r="BE202" s="34">
        <v>0</v>
      </c>
      <c r="BF202" s="34">
        <f>202</f>
        <v>202</v>
      </c>
      <c r="BH202" s="18">
        <f t="shared" si="181"/>
        <v>0</v>
      </c>
      <c r="BI202" s="18">
        <f t="shared" si="182"/>
        <v>0</v>
      </c>
      <c r="BJ202" s="18">
        <f t="shared" si="183"/>
        <v>0</v>
      </c>
    </row>
    <row r="203" spans="1:62" x14ac:dyDescent="0.2">
      <c r="A203" s="5" t="s">
        <v>173</v>
      </c>
      <c r="B203" s="5" t="s">
        <v>1373</v>
      </c>
      <c r="C203" s="135" t="s">
        <v>2592</v>
      </c>
      <c r="D203" s="136"/>
      <c r="E203" s="136"/>
      <c r="F203" s="136"/>
      <c r="G203" s="136"/>
      <c r="H203" s="5" t="s">
        <v>3615</v>
      </c>
      <c r="I203" s="18">
        <v>75.037999999999997</v>
      </c>
      <c r="J203" s="18">
        <v>0</v>
      </c>
      <c r="K203" s="18">
        <f t="shared" si="164"/>
        <v>0</v>
      </c>
      <c r="L203" s="28" t="s">
        <v>3635</v>
      </c>
      <c r="Z203" s="34">
        <f t="shared" si="165"/>
        <v>0</v>
      </c>
      <c r="AB203" s="34">
        <f t="shared" si="166"/>
        <v>0</v>
      </c>
      <c r="AC203" s="34">
        <f t="shared" si="167"/>
        <v>0</v>
      </c>
      <c r="AD203" s="34">
        <f t="shared" si="168"/>
        <v>0</v>
      </c>
      <c r="AE203" s="34">
        <f t="shared" si="169"/>
        <v>0</v>
      </c>
      <c r="AF203" s="34">
        <f t="shared" si="170"/>
        <v>0</v>
      </c>
      <c r="AG203" s="34">
        <f t="shared" si="171"/>
        <v>0</v>
      </c>
      <c r="AH203" s="34">
        <f t="shared" si="172"/>
        <v>0</v>
      </c>
      <c r="AI203" s="27" t="s">
        <v>3645</v>
      </c>
      <c r="AJ203" s="18">
        <f t="shared" si="173"/>
        <v>0</v>
      </c>
      <c r="AK203" s="18">
        <f t="shared" si="174"/>
        <v>0</v>
      </c>
      <c r="AL203" s="18">
        <f t="shared" si="175"/>
        <v>0</v>
      </c>
      <c r="AN203" s="34">
        <v>21</v>
      </c>
      <c r="AO203" s="34">
        <f t="shared" si="184"/>
        <v>0</v>
      </c>
      <c r="AP203" s="34">
        <f t="shared" si="185"/>
        <v>0</v>
      </c>
      <c r="AQ203" s="28" t="s">
        <v>7</v>
      </c>
      <c r="AV203" s="34">
        <f t="shared" si="176"/>
        <v>0</v>
      </c>
      <c r="AW203" s="34">
        <f t="shared" si="177"/>
        <v>0</v>
      </c>
      <c r="AX203" s="34">
        <f t="shared" si="178"/>
        <v>0</v>
      </c>
      <c r="AY203" s="35" t="s">
        <v>3670</v>
      </c>
      <c r="AZ203" s="35" t="s">
        <v>3712</v>
      </c>
      <c r="BA203" s="27" t="s">
        <v>3729</v>
      </c>
      <c r="BC203" s="34">
        <f t="shared" si="179"/>
        <v>0</v>
      </c>
      <c r="BD203" s="34">
        <f t="shared" si="180"/>
        <v>0</v>
      </c>
      <c r="BE203" s="34">
        <v>0</v>
      </c>
      <c r="BF203" s="34">
        <f>203</f>
        <v>203</v>
      </c>
      <c r="BH203" s="18">
        <f t="shared" si="181"/>
        <v>0</v>
      </c>
      <c r="BI203" s="18">
        <f t="shared" si="182"/>
        <v>0</v>
      </c>
      <c r="BJ203" s="18">
        <f t="shared" si="183"/>
        <v>0</v>
      </c>
    </row>
    <row r="204" spans="1:62" x14ac:dyDescent="0.2">
      <c r="A204" s="5" t="s">
        <v>174</v>
      </c>
      <c r="B204" s="5" t="s">
        <v>1374</v>
      </c>
      <c r="C204" s="135" t="s">
        <v>2593</v>
      </c>
      <c r="D204" s="136"/>
      <c r="E204" s="136"/>
      <c r="F204" s="136"/>
      <c r="G204" s="136"/>
      <c r="H204" s="5" t="s">
        <v>3613</v>
      </c>
      <c r="I204" s="18">
        <v>3.1063499999999999</v>
      </c>
      <c r="J204" s="18">
        <v>0</v>
      </c>
      <c r="K204" s="18">
        <f t="shared" si="164"/>
        <v>0</v>
      </c>
      <c r="L204" s="28" t="s">
        <v>3635</v>
      </c>
      <c r="Z204" s="34">
        <f t="shared" si="165"/>
        <v>0</v>
      </c>
      <c r="AB204" s="34">
        <f t="shared" si="166"/>
        <v>0</v>
      </c>
      <c r="AC204" s="34">
        <f t="shared" si="167"/>
        <v>0</v>
      </c>
      <c r="AD204" s="34">
        <f t="shared" si="168"/>
        <v>0</v>
      </c>
      <c r="AE204" s="34">
        <f t="shared" si="169"/>
        <v>0</v>
      </c>
      <c r="AF204" s="34">
        <f t="shared" si="170"/>
        <v>0</v>
      </c>
      <c r="AG204" s="34">
        <f t="shared" si="171"/>
        <v>0</v>
      </c>
      <c r="AH204" s="34">
        <f t="shared" si="172"/>
        <v>0</v>
      </c>
      <c r="AI204" s="27" t="s">
        <v>3645</v>
      </c>
      <c r="AJ204" s="18">
        <f t="shared" si="173"/>
        <v>0</v>
      </c>
      <c r="AK204" s="18">
        <f t="shared" si="174"/>
        <v>0</v>
      </c>
      <c r="AL204" s="18">
        <f t="shared" si="175"/>
        <v>0</v>
      </c>
      <c r="AN204" s="34">
        <v>21</v>
      </c>
      <c r="AO204" s="34">
        <f t="shared" si="184"/>
        <v>0</v>
      </c>
      <c r="AP204" s="34">
        <f t="shared" si="185"/>
        <v>0</v>
      </c>
      <c r="AQ204" s="28" t="s">
        <v>7</v>
      </c>
      <c r="AV204" s="34">
        <f t="shared" si="176"/>
        <v>0</v>
      </c>
      <c r="AW204" s="34">
        <f t="shared" si="177"/>
        <v>0</v>
      </c>
      <c r="AX204" s="34">
        <f t="shared" si="178"/>
        <v>0</v>
      </c>
      <c r="AY204" s="35" t="s">
        <v>3670</v>
      </c>
      <c r="AZ204" s="35" t="s">
        <v>3712</v>
      </c>
      <c r="BA204" s="27" t="s">
        <v>3729</v>
      </c>
      <c r="BC204" s="34">
        <f t="shared" si="179"/>
        <v>0</v>
      </c>
      <c r="BD204" s="34">
        <f t="shared" si="180"/>
        <v>0</v>
      </c>
      <c r="BE204" s="34">
        <v>0</v>
      </c>
      <c r="BF204" s="34">
        <f>204</f>
        <v>204</v>
      </c>
      <c r="BH204" s="18">
        <f t="shared" si="181"/>
        <v>0</v>
      </c>
      <c r="BI204" s="18">
        <f t="shared" si="182"/>
        <v>0</v>
      </c>
      <c r="BJ204" s="18">
        <f t="shared" si="183"/>
        <v>0</v>
      </c>
    </row>
    <row r="205" spans="1:62" x14ac:dyDescent="0.2">
      <c r="A205" s="5" t="s">
        <v>175</v>
      </c>
      <c r="B205" s="5" t="s">
        <v>1375</v>
      </c>
      <c r="C205" s="135" t="s">
        <v>2594</v>
      </c>
      <c r="D205" s="136"/>
      <c r="E205" s="136"/>
      <c r="F205" s="136"/>
      <c r="G205" s="136"/>
      <c r="H205" s="5" t="s">
        <v>3614</v>
      </c>
      <c r="I205" s="18">
        <v>7.7</v>
      </c>
      <c r="J205" s="18">
        <v>0</v>
      </c>
      <c r="K205" s="18">
        <f t="shared" si="164"/>
        <v>0</v>
      </c>
      <c r="L205" s="28" t="s">
        <v>3635</v>
      </c>
      <c r="Z205" s="34">
        <f t="shared" si="165"/>
        <v>0</v>
      </c>
      <c r="AB205" s="34">
        <f t="shared" si="166"/>
        <v>0</v>
      </c>
      <c r="AC205" s="34">
        <f t="shared" si="167"/>
        <v>0</v>
      </c>
      <c r="AD205" s="34">
        <f t="shared" si="168"/>
        <v>0</v>
      </c>
      <c r="AE205" s="34">
        <f t="shared" si="169"/>
        <v>0</v>
      </c>
      <c r="AF205" s="34">
        <f t="shared" si="170"/>
        <v>0</v>
      </c>
      <c r="AG205" s="34">
        <f t="shared" si="171"/>
        <v>0</v>
      </c>
      <c r="AH205" s="34">
        <f t="shared" si="172"/>
        <v>0</v>
      </c>
      <c r="AI205" s="27" t="s">
        <v>3645</v>
      </c>
      <c r="AJ205" s="18">
        <f t="shared" si="173"/>
        <v>0</v>
      </c>
      <c r="AK205" s="18">
        <f t="shared" si="174"/>
        <v>0</v>
      </c>
      <c r="AL205" s="18">
        <f t="shared" si="175"/>
        <v>0</v>
      </c>
      <c r="AN205" s="34">
        <v>21</v>
      </c>
      <c r="AO205" s="34">
        <f t="shared" si="184"/>
        <v>0</v>
      </c>
      <c r="AP205" s="34">
        <f t="shared" si="185"/>
        <v>0</v>
      </c>
      <c r="AQ205" s="28" t="s">
        <v>7</v>
      </c>
      <c r="AV205" s="34">
        <f t="shared" si="176"/>
        <v>0</v>
      </c>
      <c r="AW205" s="34">
        <f t="shared" si="177"/>
        <v>0</v>
      </c>
      <c r="AX205" s="34">
        <f t="shared" si="178"/>
        <v>0</v>
      </c>
      <c r="AY205" s="35" t="s">
        <v>3670</v>
      </c>
      <c r="AZ205" s="35" t="s">
        <v>3712</v>
      </c>
      <c r="BA205" s="27" t="s">
        <v>3729</v>
      </c>
      <c r="BC205" s="34">
        <f t="shared" si="179"/>
        <v>0</v>
      </c>
      <c r="BD205" s="34">
        <f t="shared" si="180"/>
        <v>0</v>
      </c>
      <c r="BE205" s="34">
        <v>0</v>
      </c>
      <c r="BF205" s="34">
        <f>205</f>
        <v>205</v>
      </c>
      <c r="BH205" s="18">
        <f t="shared" si="181"/>
        <v>0</v>
      </c>
      <c r="BI205" s="18">
        <f t="shared" si="182"/>
        <v>0</v>
      </c>
      <c r="BJ205" s="18">
        <f t="shared" si="183"/>
        <v>0</v>
      </c>
    </row>
    <row r="206" spans="1:62" x14ac:dyDescent="0.2">
      <c r="A206" s="5" t="s">
        <v>176</v>
      </c>
      <c r="B206" s="5" t="s">
        <v>1376</v>
      </c>
      <c r="C206" s="135" t="s">
        <v>2595</v>
      </c>
      <c r="D206" s="136"/>
      <c r="E206" s="136"/>
      <c r="F206" s="136"/>
      <c r="G206" s="136"/>
      <c r="H206" s="5" t="s">
        <v>3618</v>
      </c>
      <c r="I206" s="18">
        <v>1</v>
      </c>
      <c r="J206" s="18">
        <v>0</v>
      </c>
      <c r="K206" s="18">
        <f t="shared" si="164"/>
        <v>0</v>
      </c>
      <c r="L206" s="28" t="s">
        <v>3635</v>
      </c>
      <c r="Z206" s="34">
        <f t="shared" si="165"/>
        <v>0</v>
      </c>
      <c r="AB206" s="34">
        <f t="shared" si="166"/>
        <v>0</v>
      </c>
      <c r="AC206" s="34">
        <f t="shared" si="167"/>
        <v>0</v>
      </c>
      <c r="AD206" s="34">
        <f t="shared" si="168"/>
        <v>0</v>
      </c>
      <c r="AE206" s="34">
        <f t="shared" si="169"/>
        <v>0</v>
      </c>
      <c r="AF206" s="34">
        <f t="shared" si="170"/>
        <v>0</v>
      </c>
      <c r="AG206" s="34">
        <f t="shared" si="171"/>
        <v>0</v>
      </c>
      <c r="AH206" s="34">
        <f t="shared" si="172"/>
        <v>0</v>
      </c>
      <c r="AI206" s="27" t="s">
        <v>3645</v>
      </c>
      <c r="AJ206" s="18">
        <f t="shared" si="173"/>
        <v>0</v>
      </c>
      <c r="AK206" s="18">
        <f t="shared" si="174"/>
        <v>0</v>
      </c>
      <c r="AL206" s="18">
        <f t="shared" si="175"/>
        <v>0</v>
      </c>
      <c r="AN206" s="34">
        <v>21</v>
      </c>
      <c r="AO206" s="34">
        <f>J206*0.117430666666667</f>
        <v>0</v>
      </c>
      <c r="AP206" s="34">
        <f>J206*(1-0.117430666666667)</f>
        <v>0</v>
      </c>
      <c r="AQ206" s="28" t="s">
        <v>7</v>
      </c>
      <c r="AV206" s="34">
        <f t="shared" si="176"/>
        <v>0</v>
      </c>
      <c r="AW206" s="34">
        <f t="shared" si="177"/>
        <v>0</v>
      </c>
      <c r="AX206" s="34">
        <f t="shared" si="178"/>
        <v>0</v>
      </c>
      <c r="AY206" s="35" t="s">
        <v>3670</v>
      </c>
      <c r="AZ206" s="35" t="s">
        <v>3712</v>
      </c>
      <c r="BA206" s="27" t="s">
        <v>3729</v>
      </c>
      <c r="BC206" s="34">
        <f t="shared" si="179"/>
        <v>0</v>
      </c>
      <c r="BD206" s="34">
        <f t="shared" si="180"/>
        <v>0</v>
      </c>
      <c r="BE206" s="34">
        <v>0</v>
      </c>
      <c r="BF206" s="34">
        <f>206</f>
        <v>206</v>
      </c>
      <c r="BH206" s="18">
        <f t="shared" si="181"/>
        <v>0</v>
      </c>
      <c r="BI206" s="18">
        <f t="shared" si="182"/>
        <v>0</v>
      </c>
      <c r="BJ206" s="18">
        <f t="shared" si="183"/>
        <v>0</v>
      </c>
    </row>
    <row r="207" spans="1:62" x14ac:dyDescent="0.2">
      <c r="A207" s="5" t="s">
        <v>177</v>
      </c>
      <c r="B207" s="5" t="s">
        <v>1377</v>
      </c>
      <c r="C207" s="135" t="s">
        <v>2596</v>
      </c>
      <c r="D207" s="136"/>
      <c r="E207" s="136"/>
      <c r="F207" s="136"/>
      <c r="G207" s="136"/>
      <c r="H207" s="5" t="s">
        <v>3618</v>
      </c>
      <c r="I207" s="18">
        <v>1</v>
      </c>
      <c r="J207" s="18">
        <v>0</v>
      </c>
      <c r="K207" s="18">
        <f t="shared" si="164"/>
        <v>0</v>
      </c>
      <c r="L207" s="28" t="s">
        <v>3635</v>
      </c>
      <c r="Z207" s="34">
        <f t="shared" si="165"/>
        <v>0</v>
      </c>
      <c r="AB207" s="34">
        <f t="shared" si="166"/>
        <v>0</v>
      </c>
      <c r="AC207" s="34">
        <f t="shared" si="167"/>
        <v>0</v>
      </c>
      <c r="AD207" s="34">
        <f t="shared" si="168"/>
        <v>0</v>
      </c>
      <c r="AE207" s="34">
        <f t="shared" si="169"/>
        <v>0</v>
      </c>
      <c r="AF207" s="34">
        <f t="shared" si="170"/>
        <v>0</v>
      </c>
      <c r="AG207" s="34">
        <f t="shared" si="171"/>
        <v>0</v>
      </c>
      <c r="AH207" s="34">
        <f t="shared" si="172"/>
        <v>0</v>
      </c>
      <c r="AI207" s="27" t="s">
        <v>3645</v>
      </c>
      <c r="AJ207" s="18">
        <f t="shared" si="173"/>
        <v>0</v>
      </c>
      <c r="AK207" s="18">
        <f t="shared" si="174"/>
        <v>0</v>
      </c>
      <c r="AL207" s="18">
        <f t="shared" si="175"/>
        <v>0</v>
      </c>
      <c r="AN207" s="34">
        <v>21</v>
      </c>
      <c r="AO207" s="34">
        <f>J207*0.117430666666667</f>
        <v>0</v>
      </c>
      <c r="AP207" s="34">
        <f>J207*(1-0.117430666666667)</f>
        <v>0</v>
      </c>
      <c r="AQ207" s="28" t="s">
        <v>7</v>
      </c>
      <c r="AV207" s="34">
        <f t="shared" si="176"/>
        <v>0</v>
      </c>
      <c r="AW207" s="34">
        <f t="shared" si="177"/>
        <v>0</v>
      </c>
      <c r="AX207" s="34">
        <f t="shared" si="178"/>
        <v>0</v>
      </c>
      <c r="AY207" s="35" t="s">
        <v>3670</v>
      </c>
      <c r="AZ207" s="35" t="s">
        <v>3712</v>
      </c>
      <c r="BA207" s="27" t="s">
        <v>3729</v>
      </c>
      <c r="BC207" s="34">
        <f t="shared" si="179"/>
        <v>0</v>
      </c>
      <c r="BD207" s="34">
        <f t="shared" si="180"/>
        <v>0</v>
      </c>
      <c r="BE207" s="34">
        <v>0</v>
      </c>
      <c r="BF207" s="34">
        <f>207</f>
        <v>207</v>
      </c>
      <c r="BH207" s="18">
        <f t="shared" si="181"/>
        <v>0</v>
      </c>
      <c r="BI207" s="18">
        <f t="shared" si="182"/>
        <v>0</v>
      </c>
      <c r="BJ207" s="18">
        <f t="shared" si="183"/>
        <v>0</v>
      </c>
    </row>
    <row r="208" spans="1:62" x14ac:dyDescent="0.2">
      <c r="A208" s="5" t="s">
        <v>178</v>
      </c>
      <c r="B208" s="5" t="s">
        <v>1378</v>
      </c>
      <c r="C208" s="135" t="s">
        <v>2597</v>
      </c>
      <c r="D208" s="136"/>
      <c r="E208" s="136"/>
      <c r="F208" s="136"/>
      <c r="G208" s="136"/>
      <c r="H208" s="5" t="s">
        <v>3615</v>
      </c>
      <c r="I208" s="18">
        <v>9.4550000000000001</v>
      </c>
      <c r="J208" s="18">
        <v>0</v>
      </c>
      <c r="K208" s="18">
        <f t="shared" si="164"/>
        <v>0</v>
      </c>
      <c r="L208" s="28" t="s">
        <v>3635</v>
      </c>
      <c r="Z208" s="34">
        <f t="shared" si="165"/>
        <v>0</v>
      </c>
      <c r="AB208" s="34">
        <f t="shared" si="166"/>
        <v>0</v>
      </c>
      <c r="AC208" s="34">
        <f t="shared" si="167"/>
        <v>0</v>
      </c>
      <c r="AD208" s="34">
        <f t="shared" si="168"/>
        <v>0</v>
      </c>
      <c r="AE208" s="34">
        <f t="shared" si="169"/>
        <v>0</v>
      </c>
      <c r="AF208" s="34">
        <f t="shared" si="170"/>
        <v>0</v>
      </c>
      <c r="AG208" s="34">
        <f t="shared" si="171"/>
        <v>0</v>
      </c>
      <c r="AH208" s="34">
        <f t="shared" si="172"/>
        <v>0</v>
      </c>
      <c r="AI208" s="27" t="s">
        <v>3645</v>
      </c>
      <c r="AJ208" s="18">
        <f t="shared" si="173"/>
        <v>0</v>
      </c>
      <c r="AK208" s="18">
        <f t="shared" si="174"/>
        <v>0</v>
      </c>
      <c r="AL208" s="18">
        <f t="shared" si="175"/>
        <v>0</v>
      </c>
      <c r="AN208" s="34">
        <v>21</v>
      </c>
      <c r="AO208" s="34">
        <f>J208*0</f>
        <v>0</v>
      </c>
      <c r="AP208" s="34">
        <f>J208*(1-0)</f>
        <v>0</v>
      </c>
      <c r="AQ208" s="28" t="s">
        <v>7</v>
      </c>
      <c r="AV208" s="34">
        <f t="shared" si="176"/>
        <v>0</v>
      </c>
      <c r="AW208" s="34">
        <f t="shared" si="177"/>
        <v>0</v>
      </c>
      <c r="AX208" s="34">
        <f t="shared" si="178"/>
        <v>0</v>
      </c>
      <c r="AY208" s="35" t="s">
        <v>3670</v>
      </c>
      <c r="AZ208" s="35" t="s">
        <v>3712</v>
      </c>
      <c r="BA208" s="27" t="s">
        <v>3729</v>
      </c>
      <c r="BC208" s="34">
        <f t="shared" si="179"/>
        <v>0</v>
      </c>
      <c r="BD208" s="34">
        <f t="shared" si="180"/>
        <v>0</v>
      </c>
      <c r="BE208" s="34">
        <v>0</v>
      </c>
      <c r="BF208" s="34">
        <f>208</f>
        <v>208</v>
      </c>
      <c r="BH208" s="18">
        <f t="shared" si="181"/>
        <v>0</v>
      </c>
      <c r="BI208" s="18">
        <f t="shared" si="182"/>
        <v>0</v>
      </c>
      <c r="BJ208" s="18">
        <f t="shared" si="183"/>
        <v>0</v>
      </c>
    </row>
    <row r="209" spans="1:62" x14ac:dyDescent="0.2">
      <c r="A209" s="5" t="s">
        <v>179</v>
      </c>
      <c r="B209" s="5" t="s">
        <v>1379</v>
      </c>
      <c r="C209" s="135" t="s">
        <v>2598</v>
      </c>
      <c r="D209" s="136"/>
      <c r="E209" s="136"/>
      <c r="F209" s="136"/>
      <c r="G209" s="136"/>
      <c r="H209" s="5" t="s">
        <v>3615</v>
      </c>
      <c r="I209" s="18">
        <v>11.141249999999999</v>
      </c>
      <c r="J209" s="18">
        <v>0</v>
      </c>
      <c r="K209" s="18">
        <f t="shared" si="164"/>
        <v>0</v>
      </c>
      <c r="L209" s="28" t="s">
        <v>3635</v>
      </c>
      <c r="Z209" s="34">
        <f t="shared" si="165"/>
        <v>0</v>
      </c>
      <c r="AB209" s="34">
        <f t="shared" si="166"/>
        <v>0</v>
      </c>
      <c r="AC209" s="34">
        <f t="shared" si="167"/>
        <v>0</v>
      </c>
      <c r="AD209" s="34">
        <f t="shared" si="168"/>
        <v>0</v>
      </c>
      <c r="AE209" s="34">
        <f t="shared" si="169"/>
        <v>0</v>
      </c>
      <c r="AF209" s="34">
        <f t="shared" si="170"/>
        <v>0</v>
      </c>
      <c r="AG209" s="34">
        <f t="shared" si="171"/>
        <v>0</v>
      </c>
      <c r="AH209" s="34">
        <f t="shared" si="172"/>
        <v>0</v>
      </c>
      <c r="AI209" s="27" t="s">
        <v>3645</v>
      </c>
      <c r="AJ209" s="18">
        <f t="shared" si="173"/>
        <v>0</v>
      </c>
      <c r="AK209" s="18">
        <f t="shared" si="174"/>
        <v>0</v>
      </c>
      <c r="AL209" s="18">
        <f t="shared" si="175"/>
        <v>0</v>
      </c>
      <c r="AN209" s="34">
        <v>21</v>
      </c>
      <c r="AO209" s="34">
        <f>J209*0.0158134920634921</f>
        <v>0</v>
      </c>
      <c r="AP209" s="34">
        <f>J209*(1-0.0158134920634921)</f>
        <v>0</v>
      </c>
      <c r="AQ209" s="28" t="s">
        <v>7</v>
      </c>
      <c r="AV209" s="34">
        <f t="shared" si="176"/>
        <v>0</v>
      </c>
      <c r="AW209" s="34">
        <f t="shared" si="177"/>
        <v>0</v>
      </c>
      <c r="AX209" s="34">
        <f t="shared" si="178"/>
        <v>0</v>
      </c>
      <c r="AY209" s="35" t="s">
        <v>3670</v>
      </c>
      <c r="AZ209" s="35" t="s">
        <v>3712</v>
      </c>
      <c r="BA209" s="27" t="s">
        <v>3729</v>
      </c>
      <c r="BC209" s="34">
        <f t="shared" si="179"/>
        <v>0</v>
      </c>
      <c r="BD209" s="34">
        <f t="shared" si="180"/>
        <v>0</v>
      </c>
      <c r="BE209" s="34">
        <v>0</v>
      </c>
      <c r="BF209" s="34">
        <f>209</f>
        <v>209</v>
      </c>
      <c r="BH209" s="18">
        <f t="shared" si="181"/>
        <v>0</v>
      </c>
      <c r="BI209" s="18">
        <f t="shared" si="182"/>
        <v>0</v>
      </c>
      <c r="BJ209" s="18">
        <f t="shared" si="183"/>
        <v>0</v>
      </c>
    </row>
    <row r="210" spans="1:62" x14ac:dyDescent="0.2">
      <c r="A210" s="5" t="s">
        <v>180</v>
      </c>
      <c r="B210" s="5" t="s">
        <v>1380</v>
      </c>
      <c r="C210" s="135" t="s">
        <v>2599</v>
      </c>
      <c r="D210" s="136"/>
      <c r="E210" s="136"/>
      <c r="F210" s="136"/>
      <c r="G210" s="136"/>
      <c r="H210" s="5" t="s">
        <v>3615</v>
      </c>
      <c r="I210" s="18">
        <v>18</v>
      </c>
      <c r="J210" s="18">
        <v>0</v>
      </c>
      <c r="K210" s="18">
        <f t="shared" si="164"/>
        <v>0</v>
      </c>
      <c r="L210" s="28" t="s">
        <v>3635</v>
      </c>
      <c r="Z210" s="34">
        <f t="shared" si="165"/>
        <v>0</v>
      </c>
      <c r="AB210" s="34">
        <f t="shared" si="166"/>
        <v>0</v>
      </c>
      <c r="AC210" s="34">
        <f t="shared" si="167"/>
        <v>0</v>
      </c>
      <c r="AD210" s="34">
        <f t="shared" si="168"/>
        <v>0</v>
      </c>
      <c r="AE210" s="34">
        <f t="shared" si="169"/>
        <v>0</v>
      </c>
      <c r="AF210" s="34">
        <f t="shared" si="170"/>
        <v>0</v>
      </c>
      <c r="AG210" s="34">
        <f t="shared" si="171"/>
        <v>0</v>
      </c>
      <c r="AH210" s="34">
        <f t="shared" si="172"/>
        <v>0</v>
      </c>
      <c r="AI210" s="27" t="s">
        <v>3645</v>
      </c>
      <c r="AJ210" s="18">
        <f t="shared" si="173"/>
        <v>0</v>
      </c>
      <c r="AK210" s="18">
        <f t="shared" si="174"/>
        <v>0</v>
      </c>
      <c r="AL210" s="18">
        <f t="shared" si="175"/>
        <v>0</v>
      </c>
      <c r="AN210" s="34">
        <v>21</v>
      </c>
      <c r="AO210" s="34">
        <f>J210*0.00113636363636364</f>
        <v>0</v>
      </c>
      <c r="AP210" s="34">
        <f>J210*(1-0.00113636363636364)</f>
        <v>0</v>
      </c>
      <c r="AQ210" s="28" t="s">
        <v>7</v>
      </c>
      <c r="AV210" s="34">
        <f t="shared" si="176"/>
        <v>0</v>
      </c>
      <c r="AW210" s="34">
        <f t="shared" si="177"/>
        <v>0</v>
      </c>
      <c r="AX210" s="34">
        <f t="shared" si="178"/>
        <v>0</v>
      </c>
      <c r="AY210" s="35" t="s">
        <v>3670</v>
      </c>
      <c r="AZ210" s="35" t="s">
        <v>3712</v>
      </c>
      <c r="BA210" s="27" t="s">
        <v>3729</v>
      </c>
      <c r="BC210" s="34">
        <f t="shared" si="179"/>
        <v>0</v>
      </c>
      <c r="BD210" s="34">
        <f t="shared" si="180"/>
        <v>0</v>
      </c>
      <c r="BE210" s="34">
        <v>0</v>
      </c>
      <c r="BF210" s="34">
        <f>210</f>
        <v>210</v>
      </c>
      <c r="BH210" s="18">
        <f t="shared" si="181"/>
        <v>0</v>
      </c>
      <c r="BI210" s="18">
        <f t="shared" si="182"/>
        <v>0</v>
      </c>
      <c r="BJ210" s="18">
        <f t="shared" si="183"/>
        <v>0</v>
      </c>
    </row>
    <row r="211" spans="1:62" x14ac:dyDescent="0.2">
      <c r="A211" s="5" t="s">
        <v>181</v>
      </c>
      <c r="B211" s="5" t="s">
        <v>1381</v>
      </c>
      <c r="C211" s="135" t="s">
        <v>2600</v>
      </c>
      <c r="D211" s="136"/>
      <c r="E211" s="136"/>
      <c r="F211" s="136"/>
      <c r="G211" s="136"/>
      <c r="H211" s="5" t="s">
        <v>3615</v>
      </c>
      <c r="I211" s="18">
        <v>25.2927</v>
      </c>
      <c r="J211" s="18">
        <v>0</v>
      </c>
      <c r="K211" s="18">
        <f t="shared" si="164"/>
        <v>0</v>
      </c>
      <c r="L211" s="28" t="s">
        <v>3635</v>
      </c>
      <c r="Z211" s="34">
        <f t="shared" si="165"/>
        <v>0</v>
      </c>
      <c r="AB211" s="34">
        <f t="shared" si="166"/>
        <v>0</v>
      </c>
      <c r="AC211" s="34">
        <f t="shared" si="167"/>
        <v>0</v>
      </c>
      <c r="AD211" s="34">
        <f t="shared" si="168"/>
        <v>0</v>
      </c>
      <c r="AE211" s="34">
        <f t="shared" si="169"/>
        <v>0</v>
      </c>
      <c r="AF211" s="34">
        <f t="shared" si="170"/>
        <v>0</v>
      </c>
      <c r="AG211" s="34">
        <f t="shared" si="171"/>
        <v>0</v>
      </c>
      <c r="AH211" s="34">
        <f t="shared" si="172"/>
        <v>0</v>
      </c>
      <c r="AI211" s="27" t="s">
        <v>3645</v>
      </c>
      <c r="AJ211" s="18">
        <f t="shared" si="173"/>
        <v>0</v>
      </c>
      <c r="AK211" s="18">
        <f t="shared" si="174"/>
        <v>0</v>
      </c>
      <c r="AL211" s="18">
        <f t="shared" si="175"/>
        <v>0</v>
      </c>
      <c r="AN211" s="34">
        <v>21</v>
      </c>
      <c r="AO211" s="34">
        <f>J211*0.0107393158764091</f>
        <v>0</v>
      </c>
      <c r="AP211" s="34">
        <f>J211*(1-0.0107393158764091)</f>
        <v>0</v>
      </c>
      <c r="AQ211" s="28" t="s">
        <v>7</v>
      </c>
      <c r="AV211" s="34">
        <f t="shared" si="176"/>
        <v>0</v>
      </c>
      <c r="AW211" s="34">
        <f t="shared" si="177"/>
        <v>0</v>
      </c>
      <c r="AX211" s="34">
        <f t="shared" si="178"/>
        <v>0</v>
      </c>
      <c r="AY211" s="35" t="s">
        <v>3670</v>
      </c>
      <c r="AZ211" s="35" t="s">
        <v>3712</v>
      </c>
      <c r="BA211" s="27" t="s">
        <v>3729</v>
      </c>
      <c r="BC211" s="34">
        <f t="shared" si="179"/>
        <v>0</v>
      </c>
      <c r="BD211" s="34">
        <f t="shared" si="180"/>
        <v>0</v>
      </c>
      <c r="BE211" s="34">
        <v>0</v>
      </c>
      <c r="BF211" s="34">
        <f>211</f>
        <v>211</v>
      </c>
      <c r="BH211" s="18">
        <f t="shared" si="181"/>
        <v>0</v>
      </c>
      <c r="BI211" s="18">
        <f t="shared" si="182"/>
        <v>0</v>
      </c>
      <c r="BJ211" s="18">
        <f t="shared" si="183"/>
        <v>0</v>
      </c>
    </row>
    <row r="212" spans="1:62" x14ac:dyDescent="0.2">
      <c r="A212" s="5" t="s">
        <v>182</v>
      </c>
      <c r="B212" s="5" t="s">
        <v>1381</v>
      </c>
      <c r="C212" s="135" t="s">
        <v>2601</v>
      </c>
      <c r="D212" s="136"/>
      <c r="E212" s="136"/>
      <c r="F212" s="136"/>
      <c r="G212" s="136"/>
      <c r="H212" s="5" t="s">
        <v>3615</v>
      </c>
      <c r="I212" s="18">
        <v>15.388999999999999</v>
      </c>
      <c r="J212" s="18">
        <v>0</v>
      </c>
      <c r="K212" s="18">
        <f t="shared" si="164"/>
        <v>0</v>
      </c>
      <c r="L212" s="28" t="s">
        <v>3635</v>
      </c>
      <c r="Z212" s="34">
        <f t="shared" si="165"/>
        <v>0</v>
      </c>
      <c r="AB212" s="34">
        <f t="shared" si="166"/>
        <v>0</v>
      </c>
      <c r="AC212" s="34">
        <f t="shared" si="167"/>
        <v>0</v>
      </c>
      <c r="AD212" s="34">
        <f t="shared" si="168"/>
        <v>0</v>
      </c>
      <c r="AE212" s="34">
        <f t="shared" si="169"/>
        <v>0</v>
      </c>
      <c r="AF212" s="34">
        <f t="shared" si="170"/>
        <v>0</v>
      </c>
      <c r="AG212" s="34">
        <f t="shared" si="171"/>
        <v>0</v>
      </c>
      <c r="AH212" s="34">
        <f t="shared" si="172"/>
        <v>0</v>
      </c>
      <c r="AI212" s="27" t="s">
        <v>3645</v>
      </c>
      <c r="AJ212" s="18">
        <f t="shared" si="173"/>
        <v>0</v>
      </c>
      <c r="AK212" s="18">
        <f t="shared" si="174"/>
        <v>0</v>
      </c>
      <c r="AL212" s="18">
        <f t="shared" si="175"/>
        <v>0</v>
      </c>
      <c r="AN212" s="34">
        <v>21</v>
      </c>
      <c r="AO212" s="34">
        <f>J212*0.0107393162393162</f>
        <v>0</v>
      </c>
      <c r="AP212" s="34">
        <f>J212*(1-0.0107393162393162)</f>
        <v>0</v>
      </c>
      <c r="AQ212" s="28" t="s">
        <v>7</v>
      </c>
      <c r="AV212" s="34">
        <f t="shared" si="176"/>
        <v>0</v>
      </c>
      <c r="AW212" s="34">
        <f t="shared" si="177"/>
        <v>0</v>
      </c>
      <c r="AX212" s="34">
        <f t="shared" si="178"/>
        <v>0</v>
      </c>
      <c r="AY212" s="35" t="s">
        <v>3670</v>
      </c>
      <c r="AZ212" s="35" t="s">
        <v>3712</v>
      </c>
      <c r="BA212" s="27" t="s">
        <v>3729</v>
      </c>
      <c r="BC212" s="34">
        <f t="shared" si="179"/>
        <v>0</v>
      </c>
      <c r="BD212" s="34">
        <f t="shared" si="180"/>
        <v>0</v>
      </c>
      <c r="BE212" s="34">
        <v>0</v>
      </c>
      <c r="BF212" s="34">
        <f>212</f>
        <v>212</v>
      </c>
      <c r="BH212" s="18">
        <f t="shared" si="181"/>
        <v>0</v>
      </c>
      <c r="BI212" s="18">
        <f t="shared" si="182"/>
        <v>0</v>
      </c>
      <c r="BJ212" s="18">
        <f t="shared" si="183"/>
        <v>0</v>
      </c>
    </row>
    <row r="213" spans="1:62" x14ac:dyDescent="0.2">
      <c r="A213" s="5" t="s">
        <v>183</v>
      </c>
      <c r="B213" s="5" t="s">
        <v>1382</v>
      </c>
      <c r="C213" s="135" t="s">
        <v>2602</v>
      </c>
      <c r="D213" s="136"/>
      <c r="E213" s="136"/>
      <c r="F213" s="136"/>
      <c r="G213" s="136"/>
      <c r="H213" s="5" t="s">
        <v>3612</v>
      </c>
      <c r="I213" s="18">
        <v>17</v>
      </c>
      <c r="J213" s="18">
        <v>0</v>
      </c>
      <c r="K213" s="18">
        <f t="shared" si="164"/>
        <v>0</v>
      </c>
      <c r="L213" s="28" t="s">
        <v>3635</v>
      </c>
      <c r="Z213" s="34">
        <f t="shared" si="165"/>
        <v>0</v>
      </c>
      <c r="AB213" s="34">
        <f t="shared" si="166"/>
        <v>0</v>
      </c>
      <c r="AC213" s="34">
        <f t="shared" si="167"/>
        <v>0</v>
      </c>
      <c r="AD213" s="34">
        <f t="shared" si="168"/>
        <v>0</v>
      </c>
      <c r="AE213" s="34">
        <f t="shared" si="169"/>
        <v>0</v>
      </c>
      <c r="AF213" s="34">
        <f t="shared" si="170"/>
        <v>0</v>
      </c>
      <c r="AG213" s="34">
        <f t="shared" si="171"/>
        <v>0</v>
      </c>
      <c r="AH213" s="34">
        <f t="shared" si="172"/>
        <v>0</v>
      </c>
      <c r="AI213" s="27" t="s">
        <v>3645</v>
      </c>
      <c r="AJ213" s="18">
        <f t="shared" si="173"/>
        <v>0</v>
      </c>
      <c r="AK213" s="18">
        <f t="shared" si="174"/>
        <v>0</v>
      </c>
      <c r="AL213" s="18">
        <f t="shared" si="175"/>
        <v>0</v>
      </c>
      <c r="AN213" s="34">
        <v>21</v>
      </c>
      <c r="AO213" s="34">
        <f>J213*0</f>
        <v>0</v>
      </c>
      <c r="AP213" s="34">
        <f>J213*(1-0)</f>
        <v>0</v>
      </c>
      <c r="AQ213" s="28" t="s">
        <v>7</v>
      </c>
      <c r="AV213" s="34">
        <f t="shared" si="176"/>
        <v>0</v>
      </c>
      <c r="AW213" s="34">
        <f t="shared" si="177"/>
        <v>0</v>
      </c>
      <c r="AX213" s="34">
        <f t="shared" si="178"/>
        <v>0</v>
      </c>
      <c r="AY213" s="35" t="s">
        <v>3670</v>
      </c>
      <c r="AZ213" s="35" t="s">
        <v>3712</v>
      </c>
      <c r="BA213" s="27" t="s">
        <v>3729</v>
      </c>
      <c r="BC213" s="34">
        <f t="shared" si="179"/>
        <v>0</v>
      </c>
      <c r="BD213" s="34">
        <f t="shared" si="180"/>
        <v>0</v>
      </c>
      <c r="BE213" s="34">
        <v>0</v>
      </c>
      <c r="BF213" s="34">
        <f>213</f>
        <v>213</v>
      </c>
      <c r="BH213" s="18">
        <f t="shared" si="181"/>
        <v>0</v>
      </c>
      <c r="BI213" s="18">
        <f t="shared" si="182"/>
        <v>0</v>
      </c>
      <c r="BJ213" s="18">
        <f t="shared" si="183"/>
        <v>0</v>
      </c>
    </row>
    <row r="214" spans="1:62" x14ac:dyDescent="0.2">
      <c r="A214" s="5" t="s">
        <v>184</v>
      </c>
      <c r="B214" s="5" t="s">
        <v>1383</v>
      </c>
      <c r="C214" s="135" t="s">
        <v>2603</v>
      </c>
      <c r="D214" s="136"/>
      <c r="E214" s="136"/>
      <c r="F214" s="136"/>
      <c r="G214" s="136"/>
      <c r="H214" s="5" t="s">
        <v>3612</v>
      </c>
      <c r="I214" s="18">
        <v>19</v>
      </c>
      <c r="J214" s="18">
        <v>0</v>
      </c>
      <c r="K214" s="18">
        <f t="shared" si="164"/>
        <v>0</v>
      </c>
      <c r="L214" s="28" t="s">
        <v>3635</v>
      </c>
      <c r="Z214" s="34">
        <f t="shared" si="165"/>
        <v>0</v>
      </c>
      <c r="AB214" s="34">
        <f t="shared" si="166"/>
        <v>0</v>
      </c>
      <c r="AC214" s="34">
        <f t="shared" si="167"/>
        <v>0</v>
      </c>
      <c r="AD214" s="34">
        <f t="shared" si="168"/>
        <v>0</v>
      </c>
      <c r="AE214" s="34">
        <f t="shared" si="169"/>
        <v>0</v>
      </c>
      <c r="AF214" s="34">
        <f t="shared" si="170"/>
        <v>0</v>
      </c>
      <c r="AG214" s="34">
        <f t="shared" si="171"/>
        <v>0</v>
      </c>
      <c r="AH214" s="34">
        <f t="shared" si="172"/>
        <v>0</v>
      </c>
      <c r="AI214" s="27" t="s">
        <v>3645</v>
      </c>
      <c r="AJ214" s="18">
        <f t="shared" si="173"/>
        <v>0</v>
      </c>
      <c r="AK214" s="18">
        <f t="shared" si="174"/>
        <v>0</v>
      </c>
      <c r="AL214" s="18">
        <f t="shared" si="175"/>
        <v>0</v>
      </c>
      <c r="AN214" s="34">
        <v>21</v>
      </c>
      <c r="AO214" s="34">
        <f>J214*0</f>
        <v>0</v>
      </c>
      <c r="AP214" s="34">
        <f>J214*(1-0)</f>
        <v>0</v>
      </c>
      <c r="AQ214" s="28" t="s">
        <v>7</v>
      </c>
      <c r="AV214" s="34">
        <f t="shared" si="176"/>
        <v>0</v>
      </c>
      <c r="AW214" s="34">
        <f t="shared" si="177"/>
        <v>0</v>
      </c>
      <c r="AX214" s="34">
        <f t="shared" si="178"/>
        <v>0</v>
      </c>
      <c r="AY214" s="35" t="s">
        <v>3670</v>
      </c>
      <c r="AZ214" s="35" t="s">
        <v>3712</v>
      </c>
      <c r="BA214" s="27" t="s">
        <v>3729</v>
      </c>
      <c r="BC214" s="34">
        <f t="shared" si="179"/>
        <v>0</v>
      </c>
      <c r="BD214" s="34">
        <f t="shared" si="180"/>
        <v>0</v>
      </c>
      <c r="BE214" s="34">
        <v>0</v>
      </c>
      <c r="BF214" s="34">
        <f>214</f>
        <v>214</v>
      </c>
      <c r="BH214" s="18">
        <f t="shared" si="181"/>
        <v>0</v>
      </c>
      <c r="BI214" s="18">
        <f t="shared" si="182"/>
        <v>0</v>
      </c>
      <c r="BJ214" s="18">
        <f t="shared" si="183"/>
        <v>0</v>
      </c>
    </row>
    <row r="215" spans="1:62" x14ac:dyDescent="0.2">
      <c r="A215" s="5" t="s">
        <v>185</v>
      </c>
      <c r="B215" s="5" t="s">
        <v>1384</v>
      </c>
      <c r="C215" s="135" t="s">
        <v>2604</v>
      </c>
      <c r="D215" s="136"/>
      <c r="E215" s="136"/>
      <c r="F215" s="136"/>
      <c r="G215" s="136"/>
      <c r="H215" s="5" t="s">
        <v>3612</v>
      </c>
      <c r="I215" s="18">
        <v>3</v>
      </c>
      <c r="J215" s="18">
        <v>0</v>
      </c>
      <c r="K215" s="18">
        <f t="shared" si="164"/>
        <v>0</v>
      </c>
      <c r="L215" s="28" t="s">
        <v>3635</v>
      </c>
      <c r="Z215" s="34">
        <f t="shared" si="165"/>
        <v>0</v>
      </c>
      <c r="AB215" s="34">
        <f t="shared" si="166"/>
        <v>0</v>
      </c>
      <c r="AC215" s="34">
        <f t="shared" si="167"/>
        <v>0</v>
      </c>
      <c r="AD215" s="34">
        <f t="shared" si="168"/>
        <v>0</v>
      </c>
      <c r="AE215" s="34">
        <f t="shared" si="169"/>
        <v>0</v>
      </c>
      <c r="AF215" s="34">
        <f t="shared" si="170"/>
        <v>0</v>
      </c>
      <c r="AG215" s="34">
        <f t="shared" si="171"/>
        <v>0</v>
      </c>
      <c r="AH215" s="34">
        <f t="shared" si="172"/>
        <v>0</v>
      </c>
      <c r="AI215" s="27" t="s">
        <v>3645</v>
      </c>
      <c r="AJ215" s="18">
        <f t="shared" si="173"/>
        <v>0</v>
      </c>
      <c r="AK215" s="18">
        <f t="shared" si="174"/>
        <v>0</v>
      </c>
      <c r="AL215" s="18">
        <f t="shared" si="175"/>
        <v>0</v>
      </c>
      <c r="AN215" s="34">
        <v>21</v>
      </c>
      <c r="AO215" s="34">
        <f>J215*0</f>
        <v>0</v>
      </c>
      <c r="AP215" s="34">
        <f>J215*(1-0)</f>
        <v>0</v>
      </c>
      <c r="AQ215" s="28" t="s">
        <v>7</v>
      </c>
      <c r="AV215" s="34">
        <f t="shared" si="176"/>
        <v>0</v>
      </c>
      <c r="AW215" s="34">
        <f t="shared" si="177"/>
        <v>0</v>
      </c>
      <c r="AX215" s="34">
        <f t="shared" si="178"/>
        <v>0</v>
      </c>
      <c r="AY215" s="35" t="s">
        <v>3670</v>
      </c>
      <c r="AZ215" s="35" t="s">
        <v>3712</v>
      </c>
      <c r="BA215" s="27" t="s">
        <v>3729</v>
      </c>
      <c r="BC215" s="34">
        <f t="shared" si="179"/>
        <v>0</v>
      </c>
      <c r="BD215" s="34">
        <f t="shared" si="180"/>
        <v>0</v>
      </c>
      <c r="BE215" s="34">
        <v>0</v>
      </c>
      <c r="BF215" s="34">
        <f>215</f>
        <v>215</v>
      </c>
      <c r="BH215" s="18">
        <f t="shared" si="181"/>
        <v>0</v>
      </c>
      <c r="BI215" s="18">
        <f t="shared" si="182"/>
        <v>0</v>
      </c>
      <c r="BJ215" s="18">
        <f t="shared" si="183"/>
        <v>0</v>
      </c>
    </row>
    <row r="216" spans="1:62" x14ac:dyDescent="0.2">
      <c r="A216" s="5" t="s">
        <v>186</v>
      </c>
      <c r="B216" s="5" t="s">
        <v>1385</v>
      </c>
      <c r="C216" s="135" t="s">
        <v>2605</v>
      </c>
      <c r="D216" s="136"/>
      <c r="E216" s="136"/>
      <c r="F216" s="136"/>
      <c r="G216" s="136"/>
      <c r="H216" s="5" t="s">
        <v>3615</v>
      </c>
      <c r="I216" s="18">
        <v>3.39</v>
      </c>
      <c r="J216" s="18">
        <v>0</v>
      </c>
      <c r="K216" s="18">
        <f t="shared" si="164"/>
        <v>0</v>
      </c>
      <c r="L216" s="28" t="s">
        <v>3635</v>
      </c>
      <c r="Z216" s="34">
        <f t="shared" si="165"/>
        <v>0</v>
      </c>
      <c r="AB216" s="34">
        <f t="shared" si="166"/>
        <v>0</v>
      </c>
      <c r="AC216" s="34">
        <f t="shared" si="167"/>
        <v>0</v>
      </c>
      <c r="AD216" s="34">
        <f t="shared" si="168"/>
        <v>0</v>
      </c>
      <c r="AE216" s="34">
        <f t="shared" si="169"/>
        <v>0</v>
      </c>
      <c r="AF216" s="34">
        <f t="shared" si="170"/>
        <v>0</v>
      </c>
      <c r="AG216" s="34">
        <f t="shared" si="171"/>
        <v>0</v>
      </c>
      <c r="AH216" s="34">
        <f t="shared" si="172"/>
        <v>0</v>
      </c>
      <c r="AI216" s="27" t="s">
        <v>3645</v>
      </c>
      <c r="AJ216" s="18">
        <f t="shared" si="173"/>
        <v>0</v>
      </c>
      <c r="AK216" s="18">
        <f t="shared" si="174"/>
        <v>0</v>
      </c>
      <c r="AL216" s="18">
        <f t="shared" si="175"/>
        <v>0</v>
      </c>
      <c r="AN216" s="34">
        <v>21</v>
      </c>
      <c r="AO216" s="34">
        <f>J216*0.12968896575985</f>
        <v>0</v>
      </c>
      <c r="AP216" s="34">
        <f>J216*(1-0.12968896575985)</f>
        <v>0</v>
      </c>
      <c r="AQ216" s="28" t="s">
        <v>7</v>
      </c>
      <c r="AV216" s="34">
        <f t="shared" si="176"/>
        <v>0</v>
      </c>
      <c r="AW216" s="34">
        <f t="shared" si="177"/>
        <v>0</v>
      </c>
      <c r="AX216" s="34">
        <f t="shared" si="178"/>
        <v>0</v>
      </c>
      <c r="AY216" s="35" t="s">
        <v>3670</v>
      </c>
      <c r="AZ216" s="35" t="s">
        <v>3712</v>
      </c>
      <c r="BA216" s="27" t="s">
        <v>3729</v>
      </c>
      <c r="BC216" s="34">
        <f t="shared" si="179"/>
        <v>0</v>
      </c>
      <c r="BD216" s="34">
        <f t="shared" si="180"/>
        <v>0</v>
      </c>
      <c r="BE216" s="34">
        <v>0</v>
      </c>
      <c r="BF216" s="34">
        <f>216</f>
        <v>216</v>
      </c>
      <c r="BH216" s="18">
        <f t="shared" si="181"/>
        <v>0</v>
      </c>
      <c r="BI216" s="18">
        <f t="shared" si="182"/>
        <v>0</v>
      </c>
      <c r="BJ216" s="18">
        <f t="shared" si="183"/>
        <v>0</v>
      </c>
    </row>
    <row r="217" spans="1:62" x14ac:dyDescent="0.2">
      <c r="A217" s="5" t="s">
        <v>187</v>
      </c>
      <c r="B217" s="5" t="s">
        <v>1386</v>
      </c>
      <c r="C217" s="135" t="s">
        <v>2606</v>
      </c>
      <c r="D217" s="136"/>
      <c r="E217" s="136"/>
      <c r="F217" s="136"/>
      <c r="G217" s="136"/>
      <c r="H217" s="5" t="s">
        <v>3615</v>
      </c>
      <c r="I217" s="18">
        <v>3.61605</v>
      </c>
      <c r="J217" s="18">
        <v>0</v>
      </c>
      <c r="K217" s="18">
        <f t="shared" si="164"/>
        <v>0</v>
      </c>
      <c r="L217" s="28" t="s">
        <v>3635</v>
      </c>
      <c r="Z217" s="34">
        <f t="shared" si="165"/>
        <v>0</v>
      </c>
      <c r="AB217" s="34">
        <f t="shared" si="166"/>
        <v>0</v>
      </c>
      <c r="AC217" s="34">
        <f t="shared" si="167"/>
        <v>0</v>
      </c>
      <c r="AD217" s="34">
        <f t="shared" si="168"/>
        <v>0</v>
      </c>
      <c r="AE217" s="34">
        <f t="shared" si="169"/>
        <v>0</v>
      </c>
      <c r="AF217" s="34">
        <f t="shared" si="170"/>
        <v>0</v>
      </c>
      <c r="AG217" s="34">
        <f t="shared" si="171"/>
        <v>0</v>
      </c>
      <c r="AH217" s="34">
        <f t="shared" si="172"/>
        <v>0</v>
      </c>
      <c r="AI217" s="27" t="s">
        <v>3645</v>
      </c>
      <c r="AJ217" s="18">
        <f t="shared" si="173"/>
        <v>0</v>
      </c>
      <c r="AK217" s="18">
        <f t="shared" si="174"/>
        <v>0</v>
      </c>
      <c r="AL217" s="18">
        <f t="shared" si="175"/>
        <v>0</v>
      </c>
      <c r="AN217" s="34">
        <v>21</v>
      </c>
      <c r="AO217" s="34">
        <f>J217*0.0965918938476037</f>
        <v>0</v>
      </c>
      <c r="AP217" s="34">
        <f>J217*(1-0.0965918938476037)</f>
        <v>0</v>
      </c>
      <c r="AQ217" s="28" t="s">
        <v>7</v>
      </c>
      <c r="AV217" s="34">
        <f t="shared" si="176"/>
        <v>0</v>
      </c>
      <c r="AW217" s="34">
        <f t="shared" si="177"/>
        <v>0</v>
      </c>
      <c r="AX217" s="34">
        <f t="shared" si="178"/>
        <v>0</v>
      </c>
      <c r="AY217" s="35" t="s">
        <v>3670</v>
      </c>
      <c r="AZ217" s="35" t="s">
        <v>3712</v>
      </c>
      <c r="BA217" s="27" t="s">
        <v>3729</v>
      </c>
      <c r="BC217" s="34">
        <f t="shared" si="179"/>
        <v>0</v>
      </c>
      <c r="BD217" s="34">
        <f t="shared" si="180"/>
        <v>0</v>
      </c>
      <c r="BE217" s="34">
        <v>0</v>
      </c>
      <c r="BF217" s="34">
        <f>217</f>
        <v>217</v>
      </c>
      <c r="BH217" s="18">
        <f t="shared" si="181"/>
        <v>0</v>
      </c>
      <c r="BI217" s="18">
        <f t="shared" si="182"/>
        <v>0</v>
      </c>
      <c r="BJ217" s="18">
        <f t="shared" si="183"/>
        <v>0</v>
      </c>
    </row>
    <row r="218" spans="1:62" x14ac:dyDescent="0.2">
      <c r="A218" s="5" t="s">
        <v>188</v>
      </c>
      <c r="B218" s="5" t="s">
        <v>1387</v>
      </c>
      <c r="C218" s="135" t="s">
        <v>2607</v>
      </c>
      <c r="D218" s="136"/>
      <c r="E218" s="136"/>
      <c r="F218" s="136"/>
      <c r="G218" s="136"/>
      <c r="H218" s="5" t="s">
        <v>3615</v>
      </c>
      <c r="I218" s="18">
        <v>17.895</v>
      </c>
      <c r="J218" s="18">
        <v>0</v>
      </c>
      <c r="K218" s="18">
        <f t="shared" si="164"/>
        <v>0</v>
      </c>
      <c r="L218" s="28" t="s">
        <v>3635</v>
      </c>
      <c r="Z218" s="34">
        <f t="shared" si="165"/>
        <v>0</v>
      </c>
      <c r="AB218" s="34">
        <f t="shared" si="166"/>
        <v>0</v>
      </c>
      <c r="AC218" s="34">
        <f t="shared" si="167"/>
        <v>0</v>
      </c>
      <c r="AD218" s="34">
        <f t="shared" si="168"/>
        <v>0</v>
      </c>
      <c r="AE218" s="34">
        <f t="shared" si="169"/>
        <v>0</v>
      </c>
      <c r="AF218" s="34">
        <f t="shared" si="170"/>
        <v>0</v>
      </c>
      <c r="AG218" s="34">
        <f t="shared" si="171"/>
        <v>0</v>
      </c>
      <c r="AH218" s="34">
        <f t="shared" si="172"/>
        <v>0</v>
      </c>
      <c r="AI218" s="27" t="s">
        <v>3645</v>
      </c>
      <c r="AJ218" s="18">
        <f t="shared" si="173"/>
        <v>0</v>
      </c>
      <c r="AK218" s="18">
        <f t="shared" si="174"/>
        <v>0</v>
      </c>
      <c r="AL218" s="18">
        <f t="shared" si="175"/>
        <v>0</v>
      </c>
      <c r="AN218" s="34">
        <v>21</v>
      </c>
      <c r="AO218" s="34">
        <f>J218*0.1140625</f>
        <v>0</v>
      </c>
      <c r="AP218" s="34">
        <f>J218*(1-0.1140625)</f>
        <v>0</v>
      </c>
      <c r="AQ218" s="28" t="s">
        <v>7</v>
      </c>
      <c r="AV218" s="34">
        <f t="shared" si="176"/>
        <v>0</v>
      </c>
      <c r="AW218" s="34">
        <f t="shared" si="177"/>
        <v>0</v>
      </c>
      <c r="AX218" s="34">
        <f t="shared" si="178"/>
        <v>0</v>
      </c>
      <c r="AY218" s="35" t="s">
        <v>3670</v>
      </c>
      <c r="AZ218" s="35" t="s">
        <v>3712</v>
      </c>
      <c r="BA218" s="27" t="s">
        <v>3729</v>
      </c>
      <c r="BC218" s="34">
        <f t="shared" si="179"/>
        <v>0</v>
      </c>
      <c r="BD218" s="34">
        <f t="shared" si="180"/>
        <v>0</v>
      </c>
      <c r="BE218" s="34">
        <v>0</v>
      </c>
      <c r="BF218" s="34">
        <f>218</f>
        <v>218</v>
      </c>
      <c r="BH218" s="18">
        <f t="shared" si="181"/>
        <v>0</v>
      </c>
      <c r="BI218" s="18">
        <f t="shared" si="182"/>
        <v>0</v>
      </c>
      <c r="BJ218" s="18">
        <f t="shared" si="183"/>
        <v>0</v>
      </c>
    </row>
    <row r="219" spans="1:62" x14ac:dyDescent="0.2">
      <c r="A219" s="5" t="s">
        <v>189</v>
      </c>
      <c r="B219" s="5" t="s">
        <v>1388</v>
      </c>
      <c r="C219" s="135" t="s">
        <v>2608</v>
      </c>
      <c r="D219" s="136"/>
      <c r="E219" s="136"/>
      <c r="F219" s="136"/>
      <c r="G219" s="136"/>
      <c r="H219" s="5" t="s">
        <v>3615</v>
      </c>
      <c r="I219" s="18">
        <v>30.501999999999999</v>
      </c>
      <c r="J219" s="18">
        <v>0</v>
      </c>
      <c r="K219" s="18">
        <f t="shared" si="164"/>
        <v>0</v>
      </c>
      <c r="L219" s="28" t="s">
        <v>3635</v>
      </c>
      <c r="Z219" s="34">
        <f t="shared" si="165"/>
        <v>0</v>
      </c>
      <c r="AB219" s="34">
        <f t="shared" si="166"/>
        <v>0</v>
      </c>
      <c r="AC219" s="34">
        <f t="shared" si="167"/>
        <v>0</v>
      </c>
      <c r="AD219" s="34">
        <f t="shared" si="168"/>
        <v>0</v>
      </c>
      <c r="AE219" s="34">
        <f t="shared" si="169"/>
        <v>0</v>
      </c>
      <c r="AF219" s="34">
        <f t="shared" si="170"/>
        <v>0</v>
      </c>
      <c r="AG219" s="34">
        <f t="shared" si="171"/>
        <v>0</v>
      </c>
      <c r="AH219" s="34">
        <f t="shared" si="172"/>
        <v>0</v>
      </c>
      <c r="AI219" s="27" t="s">
        <v>3645</v>
      </c>
      <c r="AJ219" s="18">
        <f t="shared" si="173"/>
        <v>0</v>
      </c>
      <c r="AK219" s="18">
        <f t="shared" si="174"/>
        <v>0</v>
      </c>
      <c r="AL219" s="18">
        <f t="shared" si="175"/>
        <v>0</v>
      </c>
      <c r="AN219" s="34">
        <v>21</v>
      </c>
      <c r="AO219" s="34">
        <f>J219*0.0755766419721014</f>
        <v>0</v>
      </c>
      <c r="AP219" s="34">
        <f>J219*(1-0.0755766419721014)</f>
        <v>0</v>
      </c>
      <c r="AQ219" s="28" t="s">
        <v>7</v>
      </c>
      <c r="AV219" s="34">
        <f t="shared" si="176"/>
        <v>0</v>
      </c>
      <c r="AW219" s="34">
        <f t="shared" si="177"/>
        <v>0</v>
      </c>
      <c r="AX219" s="34">
        <f t="shared" si="178"/>
        <v>0</v>
      </c>
      <c r="AY219" s="35" t="s">
        <v>3670</v>
      </c>
      <c r="AZ219" s="35" t="s">
        <v>3712</v>
      </c>
      <c r="BA219" s="27" t="s">
        <v>3729</v>
      </c>
      <c r="BC219" s="34">
        <f t="shared" si="179"/>
        <v>0</v>
      </c>
      <c r="BD219" s="34">
        <f t="shared" si="180"/>
        <v>0</v>
      </c>
      <c r="BE219" s="34">
        <v>0</v>
      </c>
      <c r="BF219" s="34">
        <f>219</f>
        <v>219</v>
      </c>
      <c r="BH219" s="18">
        <f t="shared" si="181"/>
        <v>0</v>
      </c>
      <c r="BI219" s="18">
        <f t="shared" si="182"/>
        <v>0</v>
      </c>
      <c r="BJ219" s="18">
        <f t="shared" si="183"/>
        <v>0</v>
      </c>
    </row>
    <row r="220" spans="1:62" x14ac:dyDescent="0.2">
      <c r="A220" s="5" t="s">
        <v>190</v>
      </c>
      <c r="B220" s="5" t="s">
        <v>1389</v>
      </c>
      <c r="C220" s="135" t="s">
        <v>2609</v>
      </c>
      <c r="D220" s="136"/>
      <c r="E220" s="136"/>
      <c r="F220" s="136"/>
      <c r="G220" s="136"/>
      <c r="H220" s="5" t="s">
        <v>3615</v>
      </c>
      <c r="I220" s="18">
        <v>7.5389999999999997</v>
      </c>
      <c r="J220" s="18">
        <v>0</v>
      </c>
      <c r="K220" s="18">
        <f t="shared" si="164"/>
        <v>0</v>
      </c>
      <c r="L220" s="28" t="s">
        <v>3635</v>
      </c>
      <c r="Z220" s="34">
        <f t="shared" si="165"/>
        <v>0</v>
      </c>
      <c r="AB220" s="34">
        <f t="shared" si="166"/>
        <v>0</v>
      </c>
      <c r="AC220" s="34">
        <f t="shared" si="167"/>
        <v>0</v>
      </c>
      <c r="AD220" s="34">
        <f t="shared" si="168"/>
        <v>0</v>
      </c>
      <c r="AE220" s="34">
        <f t="shared" si="169"/>
        <v>0</v>
      </c>
      <c r="AF220" s="34">
        <f t="shared" si="170"/>
        <v>0</v>
      </c>
      <c r="AG220" s="34">
        <f t="shared" si="171"/>
        <v>0</v>
      </c>
      <c r="AH220" s="34">
        <f t="shared" si="172"/>
        <v>0</v>
      </c>
      <c r="AI220" s="27" t="s">
        <v>3645</v>
      </c>
      <c r="AJ220" s="18">
        <f t="shared" si="173"/>
        <v>0</v>
      </c>
      <c r="AK220" s="18">
        <f t="shared" si="174"/>
        <v>0</v>
      </c>
      <c r="AL220" s="18">
        <f t="shared" si="175"/>
        <v>0</v>
      </c>
      <c r="AN220" s="34">
        <v>21</v>
      </c>
      <c r="AO220" s="34">
        <f>J220*0.0836905098258619</f>
        <v>0</v>
      </c>
      <c r="AP220" s="34">
        <f>J220*(1-0.0836905098258619)</f>
        <v>0</v>
      </c>
      <c r="AQ220" s="28" t="s">
        <v>7</v>
      </c>
      <c r="AV220" s="34">
        <f t="shared" si="176"/>
        <v>0</v>
      </c>
      <c r="AW220" s="34">
        <f t="shared" si="177"/>
        <v>0</v>
      </c>
      <c r="AX220" s="34">
        <f t="shared" si="178"/>
        <v>0</v>
      </c>
      <c r="AY220" s="35" t="s">
        <v>3670</v>
      </c>
      <c r="AZ220" s="35" t="s">
        <v>3712</v>
      </c>
      <c r="BA220" s="27" t="s">
        <v>3729</v>
      </c>
      <c r="BC220" s="34">
        <f t="shared" si="179"/>
        <v>0</v>
      </c>
      <c r="BD220" s="34">
        <f t="shared" si="180"/>
        <v>0</v>
      </c>
      <c r="BE220" s="34">
        <v>0</v>
      </c>
      <c r="BF220" s="34">
        <f>220</f>
        <v>220</v>
      </c>
      <c r="BH220" s="18">
        <f t="shared" si="181"/>
        <v>0</v>
      </c>
      <c r="BI220" s="18">
        <f t="shared" si="182"/>
        <v>0</v>
      </c>
      <c r="BJ220" s="18">
        <f t="shared" si="183"/>
        <v>0</v>
      </c>
    </row>
    <row r="221" spans="1:62" x14ac:dyDescent="0.2">
      <c r="A221" s="5" t="s">
        <v>191</v>
      </c>
      <c r="B221" s="5" t="s">
        <v>1390</v>
      </c>
      <c r="C221" s="135" t="s">
        <v>2610</v>
      </c>
      <c r="D221" s="136"/>
      <c r="E221" s="136"/>
      <c r="F221" s="136"/>
      <c r="G221" s="136"/>
      <c r="H221" s="5" t="s">
        <v>3615</v>
      </c>
      <c r="I221" s="18">
        <v>31.359449999999999</v>
      </c>
      <c r="J221" s="18">
        <v>0</v>
      </c>
      <c r="K221" s="18">
        <f t="shared" si="164"/>
        <v>0</v>
      </c>
      <c r="L221" s="28" t="s">
        <v>3635</v>
      </c>
      <c r="Z221" s="34">
        <f t="shared" si="165"/>
        <v>0</v>
      </c>
      <c r="AB221" s="34">
        <f t="shared" si="166"/>
        <v>0</v>
      </c>
      <c r="AC221" s="34">
        <f t="shared" si="167"/>
        <v>0</v>
      </c>
      <c r="AD221" s="34">
        <f t="shared" si="168"/>
        <v>0</v>
      </c>
      <c r="AE221" s="34">
        <f t="shared" si="169"/>
        <v>0</v>
      </c>
      <c r="AF221" s="34">
        <f t="shared" si="170"/>
        <v>0</v>
      </c>
      <c r="AG221" s="34">
        <f t="shared" si="171"/>
        <v>0</v>
      </c>
      <c r="AH221" s="34">
        <f t="shared" si="172"/>
        <v>0</v>
      </c>
      <c r="AI221" s="27" t="s">
        <v>3645</v>
      </c>
      <c r="AJ221" s="18">
        <f t="shared" si="173"/>
        <v>0</v>
      </c>
      <c r="AK221" s="18">
        <f t="shared" si="174"/>
        <v>0</v>
      </c>
      <c r="AL221" s="18">
        <f t="shared" si="175"/>
        <v>0</v>
      </c>
      <c r="AN221" s="34">
        <v>21</v>
      </c>
      <c r="AO221" s="34">
        <f>J221*0.0952688885256844</f>
        <v>0</v>
      </c>
      <c r="AP221" s="34">
        <f>J221*(1-0.0952688885256844)</f>
        <v>0</v>
      </c>
      <c r="AQ221" s="28" t="s">
        <v>7</v>
      </c>
      <c r="AV221" s="34">
        <f t="shared" si="176"/>
        <v>0</v>
      </c>
      <c r="AW221" s="34">
        <f t="shared" si="177"/>
        <v>0</v>
      </c>
      <c r="AX221" s="34">
        <f t="shared" si="178"/>
        <v>0</v>
      </c>
      <c r="AY221" s="35" t="s">
        <v>3670</v>
      </c>
      <c r="AZ221" s="35" t="s">
        <v>3712</v>
      </c>
      <c r="BA221" s="27" t="s">
        <v>3729</v>
      </c>
      <c r="BC221" s="34">
        <f t="shared" si="179"/>
        <v>0</v>
      </c>
      <c r="BD221" s="34">
        <f t="shared" si="180"/>
        <v>0</v>
      </c>
      <c r="BE221" s="34">
        <v>0</v>
      </c>
      <c r="BF221" s="34">
        <f>221</f>
        <v>221</v>
      </c>
      <c r="BH221" s="18">
        <f t="shared" si="181"/>
        <v>0</v>
      </c>
      <c r="BI221" s="18">
        <f t="shared" si="182"/>
        <v>0</v>
      </c>
      <c r="BJ221" s="18">
        <f t="shared" si="183"/>
        <v>0</v>
      </c>
    </row>
    <row r="222" spans="1:62" x14ac:dyDescent="0.2">
      <c r="A222" s="5" t="s">
        <v>192</v>
      </c>
      <c r="B222" s="5" t="s">
        <v>1391</v>
      </c>
      <c r="C222" s="135" t="s">
        <v>2611</v>
      </c>
      <c r="D222" s="136"/>
      <c r="E222" s="136"/>
      <c r="F222" s="136"/>
      <c r="G222" s="136"/>
      <c r="H222" s="5" t="s">
        <v>3619</v>
      </c>
      <c r="I222" s="18">
        <v>128</v>
      </c>
      <c r="J222" s="18">
        <v>0</v>
      </c>
      <c r="K222" s="18">
        <f t="shared" si="164"/>
        <v>0</v>
      </c>
      <c r="L222" s="28" t="s">
        <v>3635</v>
      </c>
      <c r="Z222" s="34">
        <f t="shared" si="165"/>
        <v>0</v>
      </c>
      <c r="AB222" s="34">
        <f t="shared" si="166"/>
        <v>0</v>
      </c>
      <c r="AC222" s="34">
        <f t="shared" si="167"/>
        <v>0</v>
      </c>
      <c r="AD222" s="34">
        <f t="shared" si="168"/>
        <v>0</v>
      </c>
      <c r="AE222" s="34">
        <f t="shared" si="169"/>
        <v>0</v>
      </c>
      <c r="AF222" s="34">
        <f t="shared" si="170"/>
        <v>0</v>
      </c>
      <c r="AG222" s="34">
        <f t="shared" si="171"/>
        <v>0</v>
      </c>
      <c r="AH222" s="34">
        <f t="shared" si="172"/>
        <v>0</v>
      </c>
      <c r="AI222" s="27" t="s">
        <v>3645</v>
      </c>
      <c r="AJ222" s="18">
        <f t="shared" si="173"/>
        <v>0</v>
      </c>
      <c r="AK222" s="18">
        <f t="shared" si="174"/>
        <v>0</v>
      </c>
      <c r="AL222" s="18">
        <f t="shared" si="175"/>
        <v>0</v>
      </c>
      <c r="AN222" s="34">
        <v>21</v>
      </c>
      <c r="AO222" s="34">
        <f>J222*0</f>
        <v>0</v>
      </c>
      <c r="AP222" s="34">
        <f>J222*(1-0)</f>
        <v>0</v>
      </c>
      <c r="AQ222" s="28" t="s">
        <v>7</v>
      </c>
      <c r="AV222" s="34">
        <f t="shared" si="176"/>
        <v>0</v>
      </c>
      <c r="AW222" s="34">
        <f t="shared" si="177"/>
        <v>0</v>
      </c>
      <c r="AX222" s="34">
        <f t="shared" si="178"/>
        <v>0</v>
      </c>
      <c r="AY222" s="35" t="s">
        <v>3670</v>
      </c>
      <c r="AZ222" s="35" t="s">
        <v>3712</v>
      </c>
      <c r="BA222" s="27" t="s">
        <v>3729</v>
      </c>
      <c r="BC222" s="34">
        <f t="shared" si="179"/>
        <v>0</v>
      </c>
      <c r="BD222" s="34">
        <f t="shared" si="180"/>
        <v>0</v>
      </c>
      <c r="BE222" s="34">
        <v>0</v>
      </c>
      <c r="BF222" s="34">
        <f>222</f>
        <v>222</v>
      </c>
      <c r="BH222" s="18">
        <f t="shared" si="181"/>
        <v>0</v>
      </c>
      <c r="BI222" s="18">
        <f t="shared" si="182"/>
        <v>0</v>
      </c>
      <c r="BJ222" s="18">
        <f t="shared" si="183"/>
        <v>0</v>
      </c>
    </row>
    <row r="223" spans="1:62" x14ac:dyDescent="0.2">
      <c r="A223" s="5" t="s">
        <v>193</v>
      </c>
      <c r="B223" s="5" t="s">
        <v>1392</v>
      </c>
      <c r="C223" s="135" t="s">
        <v>2612</v>
      </c>
      <c r="D223" s="136"/>
      <c r="E223" s="136"/>
      <c r="F223" s="136"/>
      <c r="G223" s="136"/>
      <c r="H223" s="5" t="s">
        <v>3612</v>
      </c>
      <c r="I223" s="18">
        <v>1</v>
      </c>
      <c r="J223" s="18">
        <v>0</v>
      </c>
      <c r="K223" s="18">
        <f t="shared" si="164"/>
        <v>0</v>
      </c>
      <c r="L223" s="28" t="s">
        <v>3635</v>
      </c>
      <c r="Z223" s="34">
        <f t="shared" si="165"/>
        <v>0</v>
      </c>
      <c r="AB223" s="34">
        <f t="shared" si="166"/>
        <v>0</v>
      </c>
      <c r="AC223" s="34">
        <f t="shared" si="167"/>
        <v>0</v>
      </c>
      <c r="AD223" s="34">
        <f t="shared" si="168"/>
        <v>0</v>
      </c>
      <c r="AE223" s="34">
        <f t="shared" si="169"/>
        <v>0</v>
      </c>
      <c r="AF223" s="34">
        <f t="shared" si="170"/>
        <v>0</v>
      </c>
      <c r="AG223" s="34">
        <f t="shared" si="171"/>
        <v>0</v>
      </c>
      <c r="AH223" s="34">
        <f t="shared" si="172"/>
        <v>0</v>
      </c>
      <c r="AI223" s="27" t="s">
        <v>3645</v>
      </c>
      <c r="AJ223" s="18">
        <f t="shared" si="173"/>
        <v>0</v>
      </c>
      <c r="AK223" s="18">
        <f t="shared" si="174"/>
        <v>0</v>
      </c>
      <c r="AL223" s="18">
        <f t="shared" si="175"/>
        <v>0</v>
      </c>
      <c r="AN223" s="34">
        <v>21</v>
      </c>
      <c r="AO223" s="34">
        <f>J223*0.056624</f>
        <v>0</v>
      </c>
      <c r="AP223" s="34">
        <f>J223*(1-0.056624)</f>
        <v>0</v>
      </c>
      <c r="AQ223" s="28" t="s">
        <v>7</v>
      </c>
      <c r="AV223" s="34">
        <f t="shared" si="176"/>
        <v>0</v>
      </c>
      <c r="AW223" s="34">
        <f t="shared" si="177"/>
        <v>0</v>
      </c>
      <c r="AX223" s="34">
        <f t="shared" si="178"/>
        <v>0</v>
      </c>
      <c r="AY223" s="35" t="s">
        <v>3670</v>
      </c>
      <c r="AZ223" s="35" t="s">
        <v>3712</v>
      </c>
      <c r="BA223" s="27" t="s">
        <v>3729</v>
      </c>
      <c r="BC223" s="34">
        <f t="shared" si="179"/>
        <v>0</v>
      </c>
      <c r="BD223" s="34">
        <f t="shared" si="180"/>
        <v>0</v>
      </c>
      <c r="BE223" s="34">
        <v>0</v>
      </c>
      <c r="BF223" s="34">
        <f>223</f>
        <v>223</v>
      </c>
      <c r="BH223" s="18">
        <f t="shared" si="181"/>
        <v>0</v>
      </c>
      <c r="BI223" s="18">
        <f t="shared" si="182"/>
        <v>0</v>
      </c>
      <c r="BJ223" s="18">
        <f t="shared" si="183"/>
        <v>0</v>
      </c>
    </row>
    <row r="224" spans="1:62" x14ac:dyDescent="0.2">
      <c r="A224" s="5" t="s">
        <v>194</v>
      </c>
      <c r="B224" s="5" t="s">
        <v>1393</v>
      </c>
      <c r="C224" s="135" t="s">
        <v>2613</v>
      </c>
      <c r="D224" s="136"/>
      <c r="E224" s="136"/>
      <c r="F224" s="136"/>
      <c r="G224" s="136"/>
      <c r="H224" s="5" t="s">
        <v>3612</v>
      </c>
      <c r="I224" s="18">
        <v>1</v>
      </c>
      <c r="J224" s="18">
        <v>0</v>
      </c>
      <c r="K224" s="18">
        <f t="shared" si="164"/>
        <v>0</v>
      </c>
      <c r="L224" s="28" t="s">
        <v>3635</v>
      </c>
      <c r="Z224" s="34">
        <f t="shared" si="165"/>
        <v>0</v>
      </c>
      <c r="AB224" s="34">
        <f t="shared" si="166"/>
        <v>0</v>
      </c>
      <c r="AC224" s="34">
        <f t="shared" si="167"/>
        <v>0</v>
      </c>
      <c r="AD224" s="34">
        <f t="shared" si="168"/>
        <v>0</v>
      </c>
      <c r="AE224" s="34">
        <f t="shared" si="169"/>
        <v>0</v>
      </c>
      <c r="AF224" s="34">
        <f t="shared" si="170"/>
        <v>0</v>
      </c>
      <c r="AG224" s="34">
        <f t="shared" si="171"/>
        <v>0</v>
      </c>
      <c r="AH224" s="34">
        <f t="shared" si="172"/>
        <v>0</v>
      </c>
      <c r="AI224" s="27" t="s">
        <v>3645</v>
      </c>
      <c r="AJ224" s="18">
        <f t="shared" si="173"/>
        <v>0</v>
      </c>
      <c r="AK224" s="18">
        <f t="shared" si="174"/>
        <v>0</v>
      </c>
      <c r="AL224" s="18">
        <f t="shared" si="175"/>
        <v>0</v>
      </c>
      <c r="AN224" s="34">
        <v>21</v>
      </c>
      <c r="AO224" s="34">
        <f>J224*0.0564705882352941</f>
        <v>0</v>
      </c>
      <c r="AP224" s="34">
        <f>J224*(1-0.0564705882352941)</f>
        <v>0</v>
      </c>
      <c r="AQ224" s="28" t="s">
        <v>7</v>
      </c>
      <c r="AV224" s="34">
        <f t="shared" si="176"/>
        <v>0</v>
      </c>
      <c r="AW224" s="34">
        <f t="shared" si="177"/>
        <v>0</v>
      </c>
      <c r="AX224" s="34">
        <f t="shared" si="178"/>
        <v>0</v>
      </c>
      <c r="AY224" s="35" t="s">
        <v>3670</v>
      </c>
      <c r="AZ224" s="35" t="s">
        <v>3712</v>
      </c>
      <c r="BA224" s="27" t="s">
        <v>3729</v>
      </c>
      <c r="BC224" s="34">
        <f t="shared" si="179"/>
        <v>0</v>
      </c>
      <c r="BD224" s="34">
        <f t="shared" si="180"/>
        <v>0</v>
      </c>
      <c r="BE224" s="34">
        <v>0</v>
      </c>
      <c r="BF224" s="34">
        <f>224</f>
        <v>224</v>
      </c>
      <c r="BH224" s="18">
        <f t="shared" si="181"/>
        <v>0</v>
      </c>
      <c r="BI224" s="18">
        <f t="shared" si="182"/>
        <v>0</v>
      </c>
      <c r="BJ224" s="18">
        <f t="shared" si="183"/>
        <v>0</v>
      </c>
    </row>
    <row r="225" spans="1:62" x14ac:dyDescent="0.2">
      <c r="A225" s="4"/>
      <c r="B225" s="14" t="s">
        <v>103</v>
      </c>
      <c r="C225" s="133" t="s">
        <v>2614</v>
      </c>
      <c r="D225" s="134"/>
      <c r="E225" s="134"/>
      <c r="F225" s="134"/>
      <c r="G225" s="134"/>
      <c r="H225" s="4" t="s">
        <v>6</v>
      </c>
      <c r="I225" s="4" t="s">
        <v>6</v>
      </c>
      <c r="J225" s="4" t="s">
        <v>6</v>
      </c>
      <c r="K225" s="37">
        <f>SUM(K226:K264)</f>
        <v>0</v>
      </c>
      <c r="L225" s="27"/>
      <c r="AI225" s="27" t="s">
        <v>3645</v>
      </c>
      <c r="AS225" s="37">
        <f>SUM(AJ226:AJ264)</f>
        <v>0</v>
      </c>
      <c r="AT225" s="37">
        <f>SUM(AK226:AK264)</f>
        <v>0</v>
      </c>
      <c r="AU225" s="37">
        <f>SUM(AL226:AL264)</f>
        <v>0</v>
      </c>
    </row>
    <row r="226" spans="1:62" x14ac:dyDescent="0.2">
      <c r="A226" s="5" t="s">
        <v>195</v>
      </c>
      <c r="B226" s="5" t="s">
        <v>1394</v>
      </c>
      <c r="C226" s="135" t="s">
        <v>2615</v>
      </c>
      <c r="D226" s="136"/>
      <c r="E226" s="136"/>
      <c r="F226" s="136"/>
      <c r="G226" s="136"/>
      <c r="H226" s="5" t="s">
        <v>3614</v>
      </c>
      <c r="I226" s="18">
        <v>2.2000000000000002</v>
      </c>
      <c r="J226" s="18">
        <v>0</v>
      </c>
      <c r="K226" s="18">
        <f t="shared" ref="K226:K264" si="186">I226*J226</f>
        <v>0</v>
      </c>
      <c r="L226" s="28" t="s">
        <v>3635</v>
      </c>
      <c r="Z226" s="34">
        <f t="shared" ref="Z226:Z264" si="187">IF(AQ226="5",BJ226,0)</f>
        <v>0</v>
      </c>
      <c r="AB226" s="34">
        <f t="shared" ref="AB226:AB264" si="188">IF(AQ226="1",BH226,0)</f>
        <v>0</v>
      </c>
      <c r="AC226" s="34">
        <f t="shared" ref="AC226:AC264" si="189">IF(AQ226="1",BI226,0)</f>
        <v>0</v>
      </c>
      <c r="AD226" s="34">
        <f t="shared" ref="AD226:AD264" si="190">IF(AQ226="7",BH226,0)</f>
        <v>0</v>
      </c>
      <c r="AE226" s="34">
        <f t="shared" ref="AE226:AE264" si="191">IF(AQ226="7",BI226,0)</f>
        <v>0</v>
      </c>
      <c r="AF226" s="34">
        <f t="shared" ref="AF226:AF264" si="192">IF(AQ226="2",BH226,0)</f>
        <v>0</v>
      </c>
      <c r="AG226" s="34">
        <f t="shared" ref="AG226:AG264" si="193">IF(AQ226="2",BI226,0)</f>
        <v>0</v>
      </c>
      <c r="AH226" s="34">
        <f t="shared" ref="AH226:AH264" si="194">IF(AQ226="0",BJ226,0)</f>
        <v>0</v>
      </c>
      <c r="AI226" s="27" t="s">
        <v>3645</v>
      </c>
      <c r="AJ226" s="18">
        <f t="shared" ref="AJ226:AJ264" si="195">IF(AN226=0,K226,0)</f>
        <v>0</v>
      </c>
      <c r="AK226" s="18">
        <f t="shared" ref="AK226:AK264" si="196">IF(AN226=15,K226,0)</f>
        <v>0</v>
      </c>
      <c r="AL226" s="18">
        <f t="shared" ref="AL226:AL264" si="197">IF(AN226=21,K226,0)</f>
        <v>0</v>
      </c>
      <c r="AN226" s="34">
        <v>21</v>
      </c>
      <c r="AO226" s="34">
        <f>J226*0.368742382271468</f>
        <v>0</v>
      </c>
      <c r="AP226" s="34">
        <f>J226*(1-0.368742382271468)</f>
        <v>0</v>
      </c>
      <c r="AQ226" s="28" t="s">
        <v>7</v>
      </c>
      <c r="AV226" s="34">
        <f t="shared" ref="AV226:AV264" si="198">AW226+AX226</f>
        <v>0</v>
      </c>
      <c r="AW226" s="34">
        <f t="shared" ref="AW226:AW264" si="199">I226*AO226</f>
        <v>0</v>
      </c>
      <c r="AX226" s="34">
        <f t="shared" ref="AX226:AX264" si="200">I226*AP226</f>
        <v>0</v>
      </c>
      <c r="AY226" s="35" t="s">
        <v>3671</v>
      </c>
      <c r="AZ226" s="35" t="s">
        <v>3712</v>
      </c>
      <c r="BA226" s="27" t="s">
        <v>3729</v>
      </c>
      <c r="BC226" s="34">
        <f t="shared" ref="BC226:BC264" si="201">AW226+AX226</f>
        <v>0</v>
      </c>
      <c r="BD226" s="34">
        <f t="shared" ref="BD226:BD264" si="202">J226/(100-BE226)*100</f>
        <v>0</v>
      </c>
      <c r="BE226" s="34">
        <v>0</v>
      </c>
      <c r="BF226" s="34">
        <f>226</f>
        <v>226</v>
      </c>
      <c r="BH226" s="18">
        <f t="shared" ref="BH226:BH264" si="203">I226*AO226</f>
        <v>0</v>
      </c>
      <c r="BI226" s="18">
        <f t="shared" ref="BI226:BI264" si="204">I226*AP226</f>
        <v>0</v>
      </c>
      <c r="BJ226" s="18">
        <f t="shared" ref="BJ226:BJ264" si="205">I226*J226</f>
        <v>0</v>
      </c>
    </row>
    <row r="227" spans="1:62" x14ac:dyDescent="0.2">
      <c r="A227" s="5" t="s">
        <v>196</v>
      </c>
      <c r="B227" s="5" t="s">
        <v>1395</v>
      </c>
      <c r="C227" s="135" t="s">
        <v>2616</v>
      </c>
      <c r="D227" s="136"/>
      <c r="E227" s="136"/>
      <c r="F227" s="136"/>
      <c r="G227" s="136"/>
      <c r="H227" s="5" t="s">
        <v>3614</v>
      </c>
      <c r="I227" s="18">
        <v>4.3</v>
      </c>
      <c r="J227" s="18">
        <v>0</v>
      </c>
      <c r="K227" s="18">
        <f t="shared" si="186"/>
        <v>0</v>
      </c>
      <c r="L227" s="28" t="s">
        <v>3635</v>
      </c>
      <c r="Z227" s="34">
        <f t="shared" si="187"/>
        <v>0</v>
      </c>
      <c r="AB227" s="34">
        <f t="shared" si="188"/>
        <v>0</v>
      </c>
      <c r="AC227" s="34">
        <f t="shared" si="189"/>
        <v>0</v>
      </c>
      <c r="AD227" s="34">
        <f t="shared" si="190"/>
        <v>0</v>
      </c>
      <c r="AE227" s="34">
        <f t="shared" si="191"/>
        <v>0</v>
      </c>
      <c r="AF227" s="34">
        <f t="shared" si="192"/>
        <v>0</v>
      </c>
      <c r="AG227" s="34">
        <f t="shared" si="193"/>
        <v>0</v>
      </c>
      <c r="AH227" s="34">
        <f t="shared" si="194"/>
        <v>0</v>
      </c>
      <c r="AI227" s="27" t="s">
        <v>3645</v>
      </c>
      <c r="AJ227" s="18">
        <f t="shared" si="195"/>
        <v>0</v>
      </c>
      <c r="AK227" s="18">
        <f t="shared" si="196"/>
        <v>0</v>
      </c>
      <c r="AL227" s="18">
        <f t="shared" si="197"/>
        <v>0</v>
      </c>
      <c r="AN227" s="34">
        <v>21</v>
      </c>
      <c r="AO227" s="34">
        <f>J227*0.395389004149378</f>
        <v>0</v>
      </c>
      <c r="AP227" s="34">
        <f>J227*(1-0.395389004149378)</f>
        <v>0</v>
      </c>
      <c r="AQ227" s="28" t="s">
        <v>7</v>
      </c>
      <c r="AV227" s="34">
        <f t="shared" si="198"/>
        <v>0</v>
      </c>
      <c r="AW227" s="34">
        <f t="shared" si="199"/>
        <v>0</v>
      </c>
      <c r="AX227" s="34">
        <f t="shared" si="200"/>
        <v>0</v>
      </c>
      <c r="AY227" s="35" t="s">
        <v>3671</v>
      </c>
      <c r="AZ227" s="35" t="s">
        <v>3712</v>
      </c>
      <c r="BA227" s="27" t="s">
        <v>3729</v>
      </c>
      <c r="BC227" s="34">
        <f t="shared" si="201"/>
        <v>0</v>
      </c>
      <c r="BD227" s="34">
        <f t="shared" si="202"/>
        <v>0</v>
      </c>
      <c r="BE227" s="34">
        <v>0</v>
      </c>
      <c r="BF227" s="34">
        <f>227</f>
        <v>227</v>
      </c>
      <c r="BH227" s="18">
        <f t="shared" si="203"/>
        <v>0</v>
      </c>
      <c r="BI227" s="18">
        <f t="shared" si="204"/>
        <v>0</v>
      </c>
      <c r="BJ227" s="18">
        <f t="shared" si="205"/>
        <v>0</v>
      </c>
    </row>
    <row r="228" spans="1:62" x14ac:dyDescent="0.2">
      <c r="A228" s="5" t="s">
        <v>197</v>
      </c>
      <c r="B228" s="5" t="s">
        <v>1396</v>
      </c>
      <c r="C228" s="135" t="s">
        <v>2617</v>
      </c>
      <c r="D228" s="136"/>
      <c r="E228" s="136"/>
      <c r="F228" s="136"/>
      <c r="G228" s="136"/>
      <c r="H228" s="5" t="s">
        <v>3614</v>
      </c>
      <c r="I228" s="18">
        <v>5.6</v>
      </c>
      <c r="J228" s="18">
        <v>0</v>
      </c>
      <c r="K228" s="18">
        <f t="shared" si="186"/>
        <v>0</v>
      </c>
      <c r="L228" s="28" t="s">
        <v>3635</v>
      </c>
      <c r="Z228" s="34">
        <f t="shared" si="187"/>
        <v>0</v>
      </c>
      <c r="AB228" s="34">
        <f t="shared" si="188"/>
        <v>0</v>
      </c>
      <c r="AC228" s="34">
        <f t="shared" si="189"/>
        <v>0</v>
      </c>
      <c r="AD228" s="34">
        <f t="shared" si="190"/>
        <v>0</v>
      </c>
      <c r="AE228" s="34">
        <f t="shared" si="191"/>
        <v>0</v>
      </c>
      <c r="AF228" s="34">
        <f t="shared" si="192"/>
        <v>0</v>
      </c>
      <c r="AG228" s="34">
        <f t="shared" si="193"/>
        <v>0</v>
      </c>
      <c r="AH228" s="34">
        <f t="shared" si="194"/>
        <v>0</v>
      </c>
      <c r="AI228" s="27" t="s">
        <v>3645</v>
      </c>
      <c r="AJ228" s="18">
        <f t="shared" si="195"/>
        <v>0</v>
      </c>
      <c r="AK228" s="18">
        <f t="shared" si="196"/>
        <v>0</v>
      </c>
      <c r="AL228" s="18">
        <f t="shared" si="197"/>
        <v>0</v>
      </c>
      <c r="AN228" s="34">
        <v>21</v>
      </c>
      <c r="AO228" s="34">
        <f>J228*0.360196078431373</f>
        <v>0</v>
      </c>
      <c r="AP228" s="34">
        <f>J228*(1-0.360196078431373)</f>
        <v>0</v>
      </c>
      <c r="AQ228" s="28" t="s">
        <v>7</v>
      </c>
      <c r="AV228" s="34">
        <f t="shared" si="198"/>
        <v>0</v>
      </c>
      <c r="AW228" s="34">
        <f t="shared" si="199"/>
        <v>0</v>
      </c>
      <c r="AX228" s="34">
        <f t="shared" si="200"/>
        <v>0</v>
      </c>
      <c r="AY228" s="35" t="s">
        <v>3671</v>
      </c>
      <c r="AZ228" s="35" t="s">
        <v>3712</v>
      </c>
      <c r="BA228" s="27" t="s">
        <v>3729</v>
      </c>
      <c r="BC228" s="34">
        <f t="shared" si="201"/>
        <v>0</v>
      </c>
      <c r="BD228" s="34">
        <f t="shared" si="202"/>
        <v>0</v>
      </c>
      <c r="BE228" s="34">
        <v>0</v>
      </c>
      <c r="BF228" s="34">
        <f>228</f>
        <v>228</v>
      </c>
      <c r="BH228" s="18">
        <f t="shared" si="203"/>
        <v>0</v>
      </c>
      <c r="BI228" s="18">
        <f t="shared" si="204"/>
        <v>0</v>
      </c>
      <c r="BJ228" s="18">
        <f t="shared" si="205"/>
        <v>0</v>
      </c>
    </row>
    <row r="229" spans="1:62" x14ac:dyDescent="0.2">
      <c r="A229" s="5" t="s">
        <v>198</v>
      </c>
      <c r="B229" s="5" t="s">
        <v>1397</v>
      </c>
      <c r="C229" s="135" t="s">
        <v>2618</v>
      </c>
      <c r="D229" s="136"/>
      <c r="E229" s="136"/>
      <c r="F229" s="136"/>
      <c r="G229" s="136"/>
      <c r="H229" s="5" t="s">
        <v>3614</v>
      </c>
      <c r="I229" s="18">
        <v>8.4</v>
      </c>
      <c r="J229" s="18">
        <v>0</v>
      </c>
      <c r="K229" s="18">
        <f t="shared" si="186"/>
        <v>0</v>
      </c>
      <c r="L229" s="28" t="s">
        <v>3635</v>
      </c>
      <c r="Z229" s="34">
        <f t="shared" si="187"/>
        <v>0</v>
      </c>
      <c r="AB229" s="34">
        <f t="shared" si="188"/>
        <v>0</v>
      </c>
      <c r="AC229" s="34">
        <f t="shared" si="189"/>
        <v>0</v>
      </c>
      <c r="AD229" s="34">
        <f t="shared" si="190"/>
        <v>0</v>
      </c>
      <c r="AE229" s="34">
        <f t="shared" si="191"/>
        <v>0</v>
      </c>
      <c r="AF229" s="34">
        <f t="shared" si="192"/>
        <v>0</v>
      </c>
      <c r="AG229" s="34">
        <f t="shared" si="193"/>
        <v>0</v>
      </c>
      <c r="AH229" s="34">
        <f t="shared" si="194"/>
        <v>0</v>
      </c>
      <c r="AI229" s="27" t="s">
        <v>3645</v>
      </c>
      <c r="AJ229" s="18">
        <f t="shared" si="195"/>
        <v>0</v>
      </c>
      <c r="AK229" s="18">
        <f t="shared" si="196"/>
        <v>0</v>
      </c>
      <c r="AL229" s="18">
        <f t="shared" si="197"/>
        <v>0</v>
      </c>
      <c r="AN229" s="34">
        <v>21</v>
      </c>
      <c r="AO229" s="34">
        <f>J229*0.356924566899962</f>
        <v>0</v>
      </c>
      <c r="AP229" s="34">
        <f>J229*(1-0.356924566899962)</f>
        <v>0</v>
      </c>
      <c r="AQ229" s="28" t="s">
        <v>7</v>
      </c>
      <c r="AV229" s="34">
        <f t="shared" si="198"/>
        <v>0</v>
      </c>
      <c r="AW229" s="34">
        <f t="shared" si="199"/>
        <v>0</v>
      </c>
      <c r="AX229" s="34">
        <f t="shared" si="200"/>
        <v>0</v>
      </c>
      <c r="AY229" s="35" t="s">
        <v>3671</v>
      </c>
      <c r="AZ229" s="35" t="s">
        <v>3712</v>
      </c>
      <c r="BA229" s="27" t="s">
        <v>3729</v>
      </c>
      <c r="BC229" s="34">
        <f t="shared" si="201"/>
        <v>0</v>
      </c>
      <c r="BD229" s="34">
        <f t="shared" si="202"/>
        <v>0</v>
      </c>
      <c r="BE229" s="34">
        <v>0</v>
      </c>
      <c r="BF229" s="34">
        <f>229</f>
        <v>229</v>
      </c>
      <c r="BH229" s="18">
        <f t="shared" si="203"/>
        <v>0</v>
      </c>
      <c r="BI229" s="18">
        <f t="shared" si="204"/>
        <v>0</v>
      </c>
      <c r="BJ229" s="18">
        <f t="shared" si="205"/>
        <v>0</v>
      </c>
    </row>
    <row r="230" spans="1:62" x14ac:dyDescent="0.2">
      <c r="A230" s="5" t="s">
        <v>199</v>
      </c>
      <c r="B230" s="5" t="s">
        <v>1398</v>
      </c>
      <c r="C230" s="135" t="s">
        <v>2619</v>
      </c>
      <c r="D230" s="136"/>
      <c r="E230" s="136"/>
      <c r="F230" s="136"/>
      <c r="G230" s="136"/>
      <c r="H230" s="5" t="s">
        <v>3614</v>
      </c>
      <c r="I230" s="18">
        <v>3.5</v>
      </c>
      <c r="J230" s="18">
        <v>0</v>
      </c>
      <c r="K230" s="18">
        <f t="shared" si="186"/>
        <v>0</v>
      </c>
      <c r="L230" s="28" t="s">
        <v>3635</v>
      </c>
      <c r="Z230" s="34">
        <f t="shared" si="187"/>
        <v>0</v>
      </c>
      <c r="AB230" s="34">
        <f t="shared" si="188"/>
        <v>0</v>
      </c>
      <c r="AC230" s="34">
        <f t="shared" si="189"/>
        <v>0</v>
      </c>
      <c r="AD230" s="34">
        <f t="shared" si="190"/>
        <v>0</v>
      </c>
      <c r="AE230" s="34">
        <f t="shared" si="191"/>
        <v>0</v>
      </c>
      <c r="AF230" s="34">
        <f t="shared" si="192"/>
        <v>0</v>
      </c>
      <c r="AG230" s="34">
        <f t="shared" si="193"/>
        <v>0</v>
      </c>
      <c r="AH230" s="34">
        <f t="shared" si="194"/>
        <v>0</v>
      </c>
      <c r="AI230" s="27" t="s">
        <v>3645</v>
      </c>
      <c r="AJ230" s="18">
        <f t="shared" si="195"/>
        <v>0</v>
      </c>
      <c r="AK230" s="18">
        <f t="shared" si="196"/>
        <v>0</v>
      </c>
      <c r="AL230" s="18">
        <f t="shared" si="197"/>
        <v>0</v>
      </c>
      <c r="AN230" s="34">
        <v>21</v>
      </c>
      <c r="AO230" s="34">
        <f>J230*0.361811846792001</f>
        <v>0</v>
      </c>
      <c r="AP230" s="34">
        <f>J230*(1-0.361811846792001)</f>
        <v>0</v>
      </c>
      <c r="AQ230" s="28" t="s">
        <v>7</v>
      </c>
      <c r="AV230" s="34">
        <f t="shared" si="198"/>
        <v>0</v>
      </c>
      <c r="AW230" s="34">
        <f t="shared" si="199"/>
        <v>0</v>
      </c>
      <c r="AX230" s="34">
        <f t="shared" si="200"/>
        <v>0</v>
      </c>
      <c r="AY230" s="35" t="s">
        <v>3671</v>
      </c>
      <c r="AZ230" s="35" t="s">
        <v>3712</v>
      </c>
      <c r="BA230" s="27" t="s">
        <v>3729</v>
      </c>
      <c r="BC230" s="34">
        <f t="shared" si="201"/>
        <v>0</v>
      </c>
      <c r="BD230" s="34">
        <f t="shared" si="202"/>
        <v>0</v>
      </c>
      <c r="BE230" s="34">
        <v>0</v>
      </c>
      <c r="BF230" s="34">
        <f>230</f>
        <v>230</v>
      </c>
      <c r="BH230" s="18">
        <f t="shared" si="203"/>
        <v>0</v>
      </c>
      <c r="BI230" s="18">
        <f t="shared" si="204"/>
        <v>0</v>
      </c>
      <c r="BJ230" s="18">
        <f t="shared" si="205"/>
        <v>0</v>
      </c>
    </row>
    <row r="231" spans="1:62" x14ac:dyDescent="0.2">
      <c r="A231" s="5" t="s">
        <v>200</v>
      </c>
      <c r="B231" s="5" t="s">
        <v>1399</v>
      </c>
      <c r="C231" s="135" t="s">
        <v>2620</v>
      </c>
      <c r="D231" s="136"/>
      <c r="E231" s="136"/>
      <c r="F231" s="136"/>
      <c r="G231" s="136"/>
      <c r="H231" s="5" t="s">
        <v>3614</v>
      </c>
      <c r="I231" s="18">
        <v>8.6999999999999993</v>
      </c>
      <c r="J231" s="18">
        <v>0</v>
      </c>
      <c r="K231" s="18">
        <f t="shared" si="186"/>
        <v>0</v>
      </c>
      <c r="L231" s="28" t="s">
        <v>3635</v>
      </c>
      <c r="Z231" s="34">
        <f t="shared" si="187"/>
        <v>0</v>
      </c>
      <c r="AB231" s="34">
        <f t="shared" si="188"/>
        <v>0</v>
      </c>
      <c r="AC231" s="34">
        <f t="shared" si="189"/>
        <v>0</v>
      </c>
      <c r="AD231" s="34">
        <f t="shared" si="190"/>
        <v>0</v>
      </c>
      <c r="AE231" s="34">
        <f t="shared" si="191"/>
        <v>0</v>
      </c>
      <c r="AF231" s="34">
        <f t="shared" si="192"/>
        <v>0</v>
      </c>
      <c r="AG231" s="34">
        <f t="shared" si="193"/>
        <v>0</v>
      </c>
      <c r="AH231" s="34">
        <f t="shared" si="194"/>
        <v>0</v>
      </c>
      <c r="AI231" s="27" t="s">
        <v>3645</v>
      </c>
      <c r="AJ231" s="18">
        <f t="shared" si="195"/>
        <v>0</v>
      </c>
      <c r="AK231" s="18">
        <f t="shared" si="196"/>
        <v>0</v>
      </c>
      <c r="AL231" s="18">
        <f t="shared" si="197"/>
        <v>0</v>
      </c>
      <c r="AN231" s="34">
        <v>21</v>
      </c>
      <c r="AO231" s="34">
        <f>J231*0.363632093933464</f>
        <v>0</v>
      </c>
      <c r="AP231" s="34">
        <f>J231*(1-0.363632093933464)</f>
        <v>0</v>
      </c>
      <c r="AQ231" s="28" t="s">
        <v>7</v>
      </c>
      <c r="AV231" s="34">
        <f t="shared" si="198"/>
        <v>0</v>
      </c>
      <c r="AW231" s="34">
        <f t="shared" si="199"/>
        <v>0</v>
      </c>
      <c r="AX231" s="34">
        <f t="shared" si="200"/>
        <v>0</v>
      </c>
      <c r="AY231" s="35" t="s">
        <v>3671</v>
      </c>
      <c r="AZ231" s="35" t="s">
        <v>3712</v>
      </c>
      <c r="BA231" s="27" t="s">
        <v>3729</v>
      </c>
      <c r="BC231" s="34">
        <f t="shared" si="201"/>
        <v>0</v>
      </c>
      <c r="BD231" s="34">
        <f t="shared" si="202"/>
        <v>0</v>
      </c>
      <c r="BE231" s="34">
        <v>0</v>
      </c>
      <c r="BF231" s="34">
        <f>231</f>
        <v>231</v>
      </c>
      <c r="BH231" s="18">
        <f t="shared" si="203"/>
        <v>0</v>
      </c>
      <c r="BI231" s="18">
        <f t="shared" si="204"/>
        <v>0</v>
      </c>
      <c r="BJ231" s="18">
        <f t="shared" si="205"/>
        <v>0</v>
      </c>
    </row>
    <row r="232" spans="1:62" x14ac:dyDescent="0.2">
      <c r="A232" s="5" t="s">
        <v>201</v>
      </c>
      <c r="B232" s="5" t="s">
        <v>1400</v>
      </c>
      <c r="C232" s="135" t="s">
        <v>2621</v>
      </c>
      <c r="D232" s="136"/>
      <c r="E232" s="136"/>
      <c r="F232" s="136"/>
      <c r="G232" s="136"/>
      <c r="H232" s="5" t="s">
        <v>3614</v>
      </c>
      <c r="I232" s="18">
        <v>56.84</v>
      </c>
      <c r="J232" s="18">
        <v>0</v>
      </c>
      <c r="K232" s="18">
        <f t="shared" si="186"/>
        <v>0</v>
      </c>
      <c r="L232" s="28" t="s">
        <v>3635</v>
      </c>
      <c r="Z232" s="34">
        <f t="shared" si="187"/>
        <v>0</v>
      </c>
      <c r="AB232" s="34">
        <f t="shared" si="188"/>
        <v>0</v>
      </c>
      <c r="AC232" s="34">
        <f t="shared" si="189"/>
        <v>0</v>
      </c>
      <c r="AD232" s="34">
        <f t="shared" si="190"/>
        <v>0</v>
      </c>
      <c r="AE232" s="34">
        <f t="shared" si="191"/>
        <v>0</v>
      </c>
      <c r="AF232" s="34">
        <f t="shared" si="192"/>
        <v>0</v>
      </c>
      <c r="AG232" s="34">
        <f t="shared" si="193"/>
        <v>0</v>
      </c>
      <c r="AH232" s="34">
        <f t="shared" si="194"/>
        <v>0</v>
      </c>
      <c r="AI232" s="27" t="s">
        <v>3645</v>
      </c>
      <c r="AJ232" s="18">
        <f t="shared" si="195"/>
        <v>0</v>
      </c>
      <c r="AK232" s="18">
        <f t="shared" si="196"/>
        <v>0</v>
      </c>
      <c r="AL232" s="18">
        <f t="shared" si="197"/>
        <v>0</v>
      </c>
      <c r="AN232" s="34">
        <v>21</v>
      </c>
      <c r="AO232" s="34">
        <f>J232*0.136728778467909</f>
        <v>0</v>
      </c>
      <c r="AP232" s="34">
        <f>J232*(1-0.136728778467909)</f>
        <v>0</v>
      </c>
      <c r="AQ232" s="28" t="s">
        <v>7</v>
      </c>
      <c r="AV232" s="34">
        <f t="shared" si="198"/>
        <v>0</v>
      </c>
      <c r="AW232" s="34">
        <f t="shared" si="199"/>
        <v>0</v>
      </c>
      <c r="AX232" s="34">
        <f t="shared" si="200"/>
        <v>0</v>
      </c>
      <c r="AY232" s="35" t="s">
        <v>3671</v>
      </c>
      <c r="AZ232" s="35" t="s">
        <v>3712</v>
      </c>
      <c r="BA232" s="27" t="s">
        <v>3729</v>
      </c>
      <c r="BC232" s="34">
        <f t="shared" si="201"/>
        <v>0</v>
      </c>
      <c r="BD232" s="34">
        <f t="shared" si="202"/>
        <v>0</v>
      </c>
      <c r="BE232" s="34">
        <v>0</v>
      </c>
      <c r="BF232" s="34">
        <f>232</f>
        <v>232</v>
      </c>
      <c r="BH232" s="18">
        <f t="shared" si="203"/>
        <v>0</v>
      </c>
      <c r="BI232" s="18">
        <f t="shared" si="204"/>
        <v>0</v>
      </c>
      <c r="BJ232" s="18">
        <f t="shared" si="205"/>
        <v>0</v>
      </c>
    </row>
    <row r="233" spans="1:62" x14ac:dyDescent="0.2">
      <c r="A233" s="5" t="s">
        <v>202</v>
      </c>
      <c r="B233" s="5" t="s">
        <v>1401</v>
      </c>
      <c r="C233" s="135" t="s">
        <v>2622</v>
      </c>
      <c r="D233" s="136"/>
      <c r="E233" s="136"/>
      <c r="F233" s="136"/>
      <c r="G233" s="136"/>
      <c r="H233" s="5" t="s">
        <v>3614</v>
      </c>
      <c r="I233" s="18">
        <v>5.18</v>
      </c>
      <c r="J233" s="18">
        <v>0</v>
      </c>
      <c r="K233" s="18">
        <f t="shared" si="186"/>
        <v>0</v>
      </c>
      <c r="L233" s="28" t="s">
        <v>3635</v>
      </c>
      <c r="Z233" s="34">
        <f t="shared" si="187"/>
        <v>0</v>
      </c>
      <c r="AB233" s="34">
        <f t="shared" si="188"/>
        <v>0</v>
      </c>
      <c r="AC233" s="34">
        <f t="shared" si="189"/>
        <v>0</v>
      </c>
      <c r="AD233" s="34">
        <f t="shared" si="190"/>
        <v>0</v>
      </c>
      <c r="AE233" s="34">
        <f t="shared" si="191"/>
        <v>0</v>
      </c>
      <c r="AF233" s="34">
        <f t="shared" si="192"/>
        <v>0</v>
      </c>
      <c r="AG233" s="34">
        <f t="shared" si="193"/>
        <v>0</v>
      </c>
      <c r="AH233" s="34">
        <f t="shared" si="194"/>
        <v>0</v>
      </c>
      <c r="AI233" s="27" t="s">
        <v>3645</v>
      </c>
      <c r="AJ233" s="18">
        <f t="shared" si="195"/>
        <v>0</v>
      </c>
      <c r="AK233" s="18">
        <f t="shared" si="196"/>
        <v>0</v>
      </c>
      <c r="AL233" s="18">
        <f t="shared" si="197"/>
        <v>0</v>
      </c>
      <c r="AN233" s="34">
        <v>21</v>
      </c>
      <c r="AO233" s="34">
        <f>J233*0.148952380952381</f>
        <v>0</v>
      </c>
      <c r="AP233" s="34">
        <f>J233*(1-0.148952380952381)</f>
        <v>0</v>
      </c>
      <c r="AQ233" s="28" t="s">
        <v>7</v>
      </c>
      <c r="AV233" s="34">
        <f t="shared" si="198"/>
        <v>0</v>
      </c>
      <c r="AW233" s="34">
        <f t="shared" si="199"/>
        <v>0</v>
      </c>
      <c r="AX233" s="34">
        <f t="shared" si="200"/>
        <v>0</v>
      </c>
      <c r="AY233" s="35" t="s">
        <v>3671</v>
      </c>
      <c r="AZ233" s="35" t="s">
        <v>3712</v>
      </c>
      <c r="BA233" s="27" t="s">
        <v>3729</v>
      </c>
      <c r="BC233" s="34">
        <f t="shared" si="201"/>
        <v>0</v>
      </c>
      <c r="BD233" s="34">
        <f t="shared" si="202"/>
        <v>0</v>
      </c>
      <c r="BE233" s="34">
        <v>0</v>
      </c>
      <c r="BF233" s="34">
        <f>233</f>
        <v>233</v>
      </c>
      <c r="BH233" s="18">
        <f t="shared" si="203"/>
        <v>0</v>
      </c>
      <c r="BI233" s="18">
        <f t="shared" si="204"/>
        <v>0</v>
      </c>
      <c r="BJ233" s="18">
        <f t="shared" si="205"/>
        <v>0</v>
      </c>
    </row>
    <row r="234" spans="1:62" x14ac:dyDescent="0.2">
      <c r="A234" s="5" t="s">
        <v>203</v>
      </c>
      <c r="B234" s="5" t="s">
        <v>1402</v>
      </c>
      <c r="C234" s="135" t="s">
        <v>2623</v>
      </c>
      <c r="D234" s="136"/>
      <c r="E234" s="136"/>
      <c r="F234" s="136"/>
      <c r="G234" s="136"/>
      <c r="H234" s="5" t="s">
        <v>3614</v>
      </c>
      <c r="I234" s="18">
        <v>4.8</v>
      </c>
      <c r="J234" s="18">
        <v>0</v>
      </c>
      <c r="K234" s="18">
        <f t="shared" si="186"/>
        <v>0</v>
      </c>
      <c r="L234" s="28" t="s">
        <v>3635</v>
      </c>
      <c r="Z234" s="34">
        <f t="shared" si="187"/>
        <v>0</v>
      </c>
      <c r="AB234" s="34">
        <f t="shared" si="188"/>
        <v>0</v>
      </c>
      <c r="AC234" s="34">
        <f t="shared" si="189"/>
        <v>0</v>
      </c>
      <c r="AD234" s="34">
        <f t="shared" si="190"/>
        <v>0</v>
      </c>
      <c r="AE234" s="34">
        <f t="shared" si="191"/>
        <v>0</v>
      </c>
      <c r="AF234" s="34">
        <f t="shared" si="192"/>
        <v>0</v>
      </c>
      <c r="AG234" s="34">
        <f t="shared" si="193"/>
        <v>0</v>
      </c>
      <c r="AH234" s="34">
        <f t="shared" si="194"/>
        <v>0</v>
      </c>
      <c r="AI234" s="27" t="s">
        <v>3645</v>
      </c>
      <c r="AJ234" s="18">
        <f t="shared" si="195"/>
        <v>0</v>
      </c>
      <c r="AK234" s="18">
        <f t="shared" si="196"/>
        <v>0</v>
      </c>
      <c r="AL234" s="18">
        <f t="shared" si="197"/>
        <v>0</v>
      </c>
      <c r="AN234" s="34">
        <v>21</v>
      </c>
      <c r="AO234" s="34">
        <f>J234*0.174022457067371</f>
        <v>0</v>
      </c>
      <c r="AP234" s="34">
        <f>J234*(1-0.174022457067371)</f>
        <v>0</v>
      </c>
      <c r="AQ234" s="28" t="s">
        <v>7</v>
      </c>
      <c r="AV234" s="34">
        <f t="shared" si="198"/>
        <v>0</v>
      </c>
      <c r="AW234" s="34">
        <f t="shared" si="199"/>
        <v>0</v>
      </c>
      <c r="AX234" s="34">
        <f t="shared" si="200"/>
        <v>0</v>
      </c>
      <c r="AY234" s="35" t="s">
        <v>3671</v>
      </c>
      <c r="AZ234" s="35" t="s">
        <v>3712</v>
      </c>
      <c r="BA234" s="27" t="s">
        <v>3729</v>
      </c>
      <c r="BC234" s="34">
        <f t="shared" si="201"/>
        <v>0</v>
      </c>
      <c r="BD234" s="34">
        <f t="shared" si="202"/>
        <v>0</v>
      </c>
      <c r="BE234" s="34">
        <v>0</v>
      </c>
      <c r="BF234" s="34">
        <f>234</f>
        <v>234</v>
      </c>
      <c r="BH234" s="18">
        <f t="shared" si="203"/>
        <v>0</v>
      </c>
      <c r="BI234" s="18">
        <f t="shared" si="204"/>
        <v>0</v>
      </c>
      <c r="BJ234" s="18">
        <f t="shared" si="205"/>
        <v>0</v>
      </c>
    </row>
    <row r="235" spans="1:62" x14ac:dyDescent="0.2">
      <c r="A235" s="5" t="s">
        <v>204</v>
      </c>
      <c r="B235" s="5" t="s">
        <v>1403</v>
      </c>
      <c r="C235" s="135" t="s">
        <v>2624</v>
      </c>
      <c r="D235" s="136"/>
      <c r="E235" s="136"/>
      <c r="F235" s="136"/>
      <c r="G235" s="136"/>
      <c r="H235" s="5" t="s">
        <v>3614</v>
      </c>
      <c r="I235" s="18">
        <v>18.27</v>
      </c>
      <c r="J235" s="18">
        <v>0</v>
      </c>
      <c r="K235" s="18">
        <f t="shared" si="186"/>
        <v>0</v>
      </c>
      <c r="L235" s="28" t="s">
        <v>3635</v>
      </c>
      <c r="Z235" s="34">
        <f t="shared" si="187"/>
        <v>0</v>
      </c>
      <c r="AB235" s="34">
        <f t="shared" si="188"/>
        <v>0</v>
      </c>
      <c r="AC235" s="34">
        <f t="shared" si="189"/>
        <v>0</v>
      </c>
      <c r="AD235" s="34">
        <f t="shared" si="190"/>
        <v>0</v>
      </c>
      <c r="AE235" s="34">
        <f t="shared" si="191"/>
        <v>0</v>
      </c>
      <c r="AF235" s="34">
        <f t="shared" si="192"/>
        <v>0</v>
      </c>
      <c r="AG235" s="34">
        <f t="shared" si="193"/>
        <v>0</v>
      </c>
      <c r="AH235" s="34">
        <f t="shared" si="194"/>
        <v>0</v>
      </c>
      <c r="AI235" s="27" t="s">
        <v>3645</v>
      </c>
      <c r="AJ235" s="18">
        <f t="shared" si="195"/>
        <v>0</v>
      </c>
      <c r="AK235" s="18">
        <f t="shared" si="196"/>
        <v>0</v>
      </c>
      <c r="AL235" s="18">
        <f t="shared" si="197"/>
        <v>0</v>
      </c>
      <c r="AN235" s="34">
        <v>21</v>
      </c>
      <c r="AO235" s="34">
        <f>J235*0.191286031042129</f>
        <v>0</v>
      </c>
      <c r="AP235" s="34">
        <f>J235*(1-0.191286031042129)</f>
        <v>0</v>
      </c>
      <c r="AQ235" s="28" t="s">
        <v>7</v>
      </c>
      <c r="AV235" s="34">
        <f t="shared" si="198"/>
        <v>0</v>
      </c>
      <c r="AW235" s="34">
        <f t="shared" si="199"/>
        <v>0</v>
      </c>
      <c r="AX235" s="34">
        <f t="shared" si="200"/>
        <v>0</v>
      </c>
      <c r="AY235" s="35" t="s">
        <v>3671</v>
      </c>
      <c r="AZ235" s="35" t="s">
        <v>3712</v>
      </c>
      <c r="BA235" s="27" t="s">
        <v>3729</v>
      </c>
      <c r="BC235" s="34">
        <f t="shared" si="201"/>
        <v>0</v>
      </c>
      <c r="BD235" s="34">
        <f t="shared" si="202"/>
        <v>0</v>
      </c>
      <c r="BE235" s="34">
        <v>0</v>
      </c>
      <c r="BF235" s="34">
        <f>235</f>
        <v>235</v>
      </c>
      <c r="BH235" s="18">
        <f t="shared" si="203"/>
        <v>0</v>
      </c>
      <c r="BI235" s="18">
        <f t="shared" si="204"/>
        <v>0</v>
      </c>
      <c r="BJ235" s="18">
        <f t="shared" si="205"/>
        <v>0</v>
      </c>
    </row>
    <row r="236" spans="1:62" x14ac:dyDescent="0.2">
      <c r="A236" s="5" t="s">
        <v>205</v>
      </c>
      <c r="B236" s="5" t="s">
        <v>1404</v>
      </c>
      <c r="C236" s="135" t="s">
        <v>2625</v>
      </c>
      <c r="D236" s="136"/>
      <c r="E236" s="136"/>
      <c r="F236" s="136"/>
      <c r="G236" s="136"/>
      <c r="H236" s="5" t="s">
        <v>3614</v>
      </c>
      <c r="I236" s="18">
        <v>9.08</v>
      </c>
      <c r="J236" s="18">
        <v>0</v>
      </c>
      <c r="K236" s="18">
        <f t="shared" si="186"/>
        <v>0</v>
      </c>
      <c r="L236" s="28" t="s">
        <v>3635</v>
      </c>
      <c r="Z236" s="34">
        <f t="shared" si="187"/>
        <v>0</v>
      </c>
      <c r="AB236" s="34">
        <f t="shared" si="188"/>
        <v>0</v>
      </c>
      <c r="AC236" s="34">
        <f t="shared" si="189"/>
        <v>0</v>
      </c>
      <c r="AD236" s="34">
        <f t="shared" si="190"/>
        <v>0</v>
      </c>
      <c r="AE236" s="34">
        <f t="shared" si="191"/>
        <v>0</v>
      </c>
      <c r="AF236" s="34">
        <f t="shared" si="192"/>
        <v>0</v>
      </c>
      <c r="AG236" s="34">
        <f t="shared" si="193"/>
        <v>0</v>
      </c>
      <c r="AH236" s="34">
        <f t="shared" si="194"/>
        <v>0</v>
      </c>
      <c r="AI236" s="27" t="s">
        <v>3645</v>
      </c>
      <c r="AJ236" s="18">
        <f t="shared" si="195"/>
        <v>0</v>
      </c>
      <c r="AK236" s="18">
        <f t="shared" si="196"/>
        <v>0</v>
      </c>
      <c r="AL236" s="18">
        <f t="shared" si="197"/>
        <v>0</v>
      </c>
      <c r="AN236" s="34">
        <v>21</v>
      </c>
      <c r="AO236" s="34">
        <f>J236*0.2125</f>
        <v>0</v>
      </c>
      <c r="AP236" s="34">
        <f>J236*(1-0.2125)</f>
        <v>0</v>
      </c>
      <c r="AQ236" s="28" t="s">
        <v>7</v>
      </c>
      <c r="AV236" s="34">
        <f t="shared" si="198"/>
        <v>0</v>
      </c>
      <c r="AW236" s="34">
        <f t="shared" si="199"/>
        <v>0</v>
      </c>
      <c r="AX236" s="34">
        <f t="shared" si="200"/>
        <v>0</v>
      </c>
      <c r="AY236" s="35" t="s">
        <v>3671</v>
      </c>
      <c r="AZ236" s="35" t="s">
        <v>3712</v>
      </c>
      <c r="BA236" s="27" t="s">
        <v>3729</v>
      </c>
      <c r="BC236" s="34">
        <f t="shared" si="201"/>
        <v>0</v>
      </c>
      <c r="BD236" s="34">
        <f t="shared" si="202"/>
        <v>0</v>
      </c>
      <c r="BE236" s="34">
        <v>0</v>
      </c>
      <c r="BF236" s="34">
        <f>236</f>
        <v>236</v>
      </c>
      <c r="BH236" s="18">
        <f t="shared" si="203"/>
        <v>0</v>
      </c>
      <c r="BI236" s="18">
        <f t="shared" si="204"/>
        <v>0</v>
      </c>
      <c r="BJ236" s="18">
        <f t="shared" si="205"/>
        <v>0</v>
      </c>
    </row>
    <row r="237" spans="1:62" x14ac:dyDescent="0.2">
      <c r="A237" s="5" t="s">
        <v>206</v>
      </c>
      <c r="B237" s="5" t="s">
        <v>1405</v>
      </c>
      <c r="C237" s="135" t="s">
        <v>2626</v>
      </c>
      <c r="D237" s="136"/>
      <c r="E237" s="136"/>
      <c r="F237" s="136"/>
      <c r="G237" s="136"/>
      <c r="H237" s="5" t="s">
        <v>3614</v>
      </c>
      <c r="I237" s="18">
        <v>100.22</v>
      </c>
      <c r="J237" s="18">
        <v>0</v>
      </c>
      <c r="K237" s="18">
        <f t="shared" si="186"/>
        <v>0</v>
      </c>
      <c r="L237" s="28" t="s">
        <v>3635</v>
      </c>
      <c r="Z237" s="34">
        <f t="shared" si="187"/>
        <v>0</v>
      </c>
      <c r="AB237" s="34">
        <f t="shared" si="188"/>
        <v>0</v>
      </c>
      <c r="AC237" s="34">
        <f t="shared" si="189"/>
        <v>0</v>
      </c>
      <c r="AD237" s="34">
        <f t="shared" si="190"/>
        <v>0</v>
      </c>
      <c r="AE237" s="34">
        <f t="shared" si="191"/>
        <v>0</v>
      </c>
      <c r="AF237" s="34">
        <f t="shared" si="192"/>
        <v>0</v>
      </c>
      <c r="AG237" s="34">
        <f t="shared" si="193"/>
        <v>0</v>
      </c>
      <c r="AH237" s="34">
        <f t="shared" si="194"/>
        <v>0</v>
      </c>
      <c r="AI237" s="27" t="s">
        <v>3645</v>
      </c>
      <c r="AJ237" s="18">
        <f t="shared" si="195"/>
        <v>0</v>
      </c>
      <c r="AK237" s="18">
        <f t="shared" si="196"/>
        <v>0</v>
      </c>
      <c r="AL237" s="18">
        <f t="shared" si="197"/>
        <v>0</v>
      </c>
      <c r="AN237" s="34">
        <v>21</v>
      </c>
      <c r="AO237" s="34">
        <f>J237*0.174149732620321</f>
        <v>0</v>
      </c>
      <c r="AP237" s="34">
        <f>J237*(1-0.174149732620321)</f>
        <v>0</v>
      </c>
      <c r="AQ237" s="28" t="s">
        <v>7</v>
      </c>
      <c r="AV237" s="34">
        <f t="shared" si="198"/>
        <v>0</v>
      </c>
      <c r="AW237" s="34">
        <f t="shared" si="199"/>
        <v>0</v>
      </c>
      <c r="AX237" s="34">
        <f t="shared" si="200"/>
        <v>0</v>
      </c>
      <c r="AY237" s="35" t="s">
        <v>3671</v>
      </c>
      <c r="AZ237" s="35" t="s">
        <v>3712</v>
      </c>
      <c r="BA237" s="27" t="s">
        <v>3729</v>
      </c>
      <c r="BC237" s="34">
        <f t="shared" si="201"/>
        <v>0</v>
      </c>
      <c r="BD237" s="34">
        <f t="shared" si="202"/>
        <v>0</v>
      </c>
      <c r="BE237" s="34">
        <v>0</v>
      </c>
      <c r="BF237" s="34">
        <f>237</f>
        <v>237</v>
      </c>
      <c r="BH237" s="18">
        <f t="shared" si="203"/>
        <v>0</v>
      </c>
      <c r="BI237" s="18">
        <f t="shared" si="204"/>
        <v>0</v>
      </c>
      <c r="BJ237" s="18">
        <f t="shared" si="205"/>
        <v>0</v>
      </c>
    </row>
    <row r="238" spans="1:62" x14ac:dyDescent="0.2">
      <c r="A238" s="5" t="s">
        <v>207</v>
      </c>
      <c r="B238" s="5" t="s">
        <v>1406</v>
      </c>
      <c r="C238" s="135" t="s">
        <v>2627</v>
      </c>
      <c r="D238" s="136"/>
      <c r="E238" s="136"/>
      <c r="F238" s="136"/>
      <c r="G238" s="136"/>
      <c r="H238" s="5" t="s">
        <v>3612</v>
      </c>
      <c r="I238" s="18">
        <v>1</v>
      </c>
      <c r="J238" s="18">
        <v>0</v>
      </c>
      <c r="K238" s="18">
        <f t="shared" si="186"/>
        <v>0</v>
      </c>
      <c r="L238" s="28" t="s">
        <v>3635</v>
      </c>
      <c r="Z238" s="34">
        <f t="shared" si="187"/>
        <v>0</v>
      </c>
      <c r="AB238" s="34">
        <f t="shared" si="188"/>
        <v>0</v>
      </c>
      <c r="AC238" s="34">
        <f t="shared" si="189"/>
        <v>0</v>
      </c>
      <c r="AD238" s="34">
        <f t="shared" si="190"/>
        <v>0</v>
      </c>
      <c r="AE238" s="34">
        <f t="shared" si="191"/>
        <v>0</v>
      </c>
      <c r="AF238" s="34">
        <f t="shared" si="192"/>
        <v>0</v>
      </c>
      <c r="AG238" s="34">
        <f t="shared" si="193"/>
        <v>0</v>
      </c>
      <c r="AH238" s="34">
        <f t="shared" si="194"/>
        <v>0</v>
      </c>
      <c r="AI238" s="27" t="s">
        <v>3645</v>
      </c>
      <c r="AJ238" s="18">
        <f t="shared" si="195"/>
        <v>0</v>
      </c>
      <c r="AK238" s="18">
        <f t="shared" si="196"/>
        <v>0</v>
      </c>
      <c r="AL238" s="18">
        <f t="shared" si="197"/>
        <v>0</v>
      </c>
      <c r="AN238" s="34">
        <v>21</v>
      </c>
      <c r="AO238" s="34">
        <f>J238*0.0721640091116173</f>
        <v>0</v>
      </c>
      <c r="AP238" s="34">
        <f>J238*(1-0.0721640091116173)</f>
        <v>0</v>
      </c>
      <c r="AQ238" s="28" t="s">
        <v>7</v>
      </c>
      <c r="AV238" s="34">
        <f t="shared" si="198"/>
        <v>0</v>
      </c>
      <c r="AW238" s="34">
        <f t="shared" si="199"/>
        <v>0</v>
      </c>
      <c r="AX238" s="34">
        <f t="shared" si="200"/>
        <v>0</v>
      </c>
      <c r="AY238" s="35" t="s">
        <v>3671</v>
      </c>
      <c r="AZ238" s="35" t="s">
        <v>3712</v>
      </c>
      <c r="BA238" s="27" t="s">
        <v>3729</v>
      </c>
      <c r="BC238" s="34">
        <f t="shared" si="201"/>
        <v>0</v>
      </c>
      <c r="BD238" s="34">
        <f t="shared" si="202"/>
        <v>0</v>
      </c>
      <c r="BE238" s="34">
        <v>0</v>
      </c>
      <c r="BF238" s="34">
        <f>238</f>
        <v>238</v>
      </c>
      <c r="BH238" s="18">
        <f t="shared" si="203"/>
        <v>0</v>
      </c>
      <c r="BI238" s="18">
        <f t="shared" si="204"/>
        <v>0</v>
      </c>
      <c r="BJ238" s="18">
        <f t="shared" si="205"/>
        <v>0</v>
      </c>
    </row>
    <row r="239" spans="1:62" x14ac:dyDescent="0.2">
      <c r="A239" s="5" t="s">
        <v>208</v>
      </c>
      <c r="B239" s="5" t="s">
        <v>1407</v>
      </c>
      <c r="C239" s="135" t="s">
        <v>2628</v>
      </c>
      <c r="D239" s="136"/>
      <c r="E239" s="136"/>
      <c r="F239" s="136"/>
      <c r="G239" s="136"/>
      <c r="H239" s="5" t="s">
        <v>3612</v>
      </c>
      <c r="I239" s="18">
        <v>2</v>
      </c>
      <c r="J239" s="18">
        <v>0</v>
      </c>
      <c r="K239" s="18">
        <f t="shared" si="186"/>
        <v>0</v>
      </c>
      <c r="L239" s="28" t="s">
        <v>3635</v>
      </c>
      <c r="Z239" s="34">
        <f t="shared" si="187"/>
        <v>0</v>
      </c>
      <c r="AB239" s="34">
        <f t="shared" si="188"/>
        <v>0</v>
      </c>
      <c r="AC239" s="34">
        <f t="shared" si="189"/>
        <v>0</v>
      </c>
      <c r="AD239" s="34">
        <f t="shared" si="190"/>
        <v>0</v>
      </c>
      <c r="AE239" s="34">
        <f t="shared" si="191"/>
        <v>0</v>
      </c>
      <c r="AF239" s="34">
        <f t="shared" si="192"/>
        <v>0</v>
      </c>
      <c r="AG239" s="34">
        <f t="shared" si="193"/>
        <v>0</v>
      </c>
      <c r="AH239" s="34">
        <f t="shared" si="194"/>
        <v>0</v>
      </c>
      <c r="AI239" s="27" t="s">
        <v>3645</v>
      </c>
      <c r="AJ239" s="18">
        <f t="shared" si="195"/>
        <v>0</v>
      </c>
      <c r="AK239" s="18">
        <f t="shared" si="196"/>
        <v>0</v>
      </c>
      <c r="AL239" s="18">
        <f t="shared" si="197"/>
        <v>0</v>
      </c>
      <c r="AN239" s="34">
        <v>21</v>
      </c>
      <c r="AO239" s="34">
        <f>J239*0.0540632786101915</f>
        <v>0</v>
      </c>
      <c r="AP239" s="34">
        <f>J239*(1-0.0540632786101915)</f>
        <v>0</v>
      </c>
      <c r="AQ239" s="28" t="s">
        <v>7</v>
      </c>
      <c r="AV239" s="34">
        <f t="shared" si="198"/>
        <v>0</v>
      </c>
      <c r="AW239" s="34">
        <f t="shared" si="199"/>
        <v>0</v>
      </c>
      <c r="AX239" s="34">
        <f t="shared" si="200"/>
        <v>0</v>
      </c>
      <c r="AY239" s="35" t="s">
        <v>3671</v>
      </c>
      <c r="AZ239" s="35" t="s">
        <v>3712</v>
      </c>
      <c r="BA239" s="27" t="s">
        <v>3729</v>
      </c>
      <c r="BC239" s="34">
        <f t="shared" si="201"/>
        <v>0</v>
      </c>
      <c r="BD239" s="34">
        <f t="shared" si="202"/>
        <v>0</v>
      </c>
      <c r="BE239" s="34">
        <v>0</v>
      </c>
      <c r="BF239" s="34">
        <f>239</f>
        <v>239</v>
      </c>
      <c r="BH239" s="18">
        <f t="shared" si="203"/>
        <v>0</v>
      </c>
      <c r="BI239" s="18">
        <f t="shared" si="204"/>
        <v>0</v>
      </c>
      <c r="BJ239" s="18">
        <f t="shared" si="205"/>
        <v>0</v>
      </c>
    </row>
    <row r="240" spans="1:62" x14ac:dyDescent="0.2">
      <c r="A240" s="5" t="s">
        <v>209</v>
      </c>
      <c r="B240" s="5" t="s">
        <v>1408</v>
      </c>
      <c r="C240" s="135" t="s">
        <v>2629</v>
      </c>
      <c r="D240" s="136"/>
      <c r="E240" s="136"/>
      <c r="F240" s="136"/>
      <c r="G240" s="136"/>
      <c r="H240" s="5" t="s">
        <v>3612</v>
      </c>
      <c r="I240" s="18">
        <v>5</v>
      </c>
      <c r="J240" s="18">
        <v>0</v>
      </c>
      <c r="K240" s="18">
        <f t="shared" si="186"/>
        <v>0</v>
      </c>
      <c r="L240" s="28" t="s">
        <v>3635</v>
      </c>
      <c r="Z240" s="34">
        <f t="shared" si="187"/>
        <v>0</v>
      </c>
      <c r="AB240" s="34">
        <f t="shared" si="188"/>
        <v>0</v>
      </c>
      <c r="AC240" s="34">
        <f t="shared" si="189"/>
        <v>0</v>
      </c>
      <c r="AD240" s="34">
        <f t="shared" si="190"/>
        <v>0</v>
      </c>
      <c r="AE240" s="34">
        <f t="shared" si="191"/>
        <v>0</v>
      </c>
      <c r="AF240" s="34">
        <f t="shared" si="192"/>
        <v>0</v>
      </c>
      <c r="AG240" s="34">
        <f t="shared" si="193"/>
        <v>0</v>
      </c>
      <c r="AH240" s="34">
        <f t="shared" si="194"/>
        <v>0</v>
      </c>
      <c r="AI240" s="27" t="s">
        <v>3645</v>
      </c>
      <c r="AJ240" s="18">
        <f t="shared" si="195"/>
        <v>0</v>
      </c>
      <c r="AK240" s="18">
        <f t="shared" si="196"/>
        <v>0</v>
      </c>
      <c r="AL240" s="18">
        <f t="shared" si="197"/>
        <v>0</v>
      </c>
      <c r="AN240" s="34">
        <v>21</v>
      </c>
      <c r="AO240" s="34">
        <f>J240*0.0768</f>
        <v>0</v>
      </c>
      <c r="AP240" s="34">
        <f>J240*(1-0.0768)</f>
        <v>0</v>
      </c>
      <c r="AQ240" s="28" t="s">
        <v>7</v>
      </c>
      <c r="AV240" s="34">
        <f t="shared" si="198"/>
        <v>0</v>
      </c>
      <c r="AW240" s="34">
        <f t="shared" si="199"/>
        <v>0</v>
      </c>
      <c r="AX240" s="34">
        <f t="shared" si="200"/>
        <v>0</v>
      </c>
      <c r="AY240" s="35" t="s">
        <v>3671</v>
      </c>
      <c r="AZ240" s="35" t="s">
        <v>3712</v>
      </c>
      <c r="BA240" s="27" t="s">
        <v>3729</v>
      </c>
      <c r="BC240" s="34">
        <f t="shared" si="201"/>
        <v>0</v>
      </c>
      <c r="BD240" s="34">
        <f t="shared" si="202"/>
        <v>0</v>
      </c>
      <c r="BE240" s="34">
        <v>0</v>
      </c>
      <c r="BF240" s="34">
        <f>240</f>
        <v>240</v>
      </c>
      <c r="BH240" s="18">
        <f t="shared" si="203"/>
        <v>0</v>
      </c>
      <c r="BI240" s="18">
        <f t="shared" si="204"/>
        <v>0</v>
      </c>
      <c r="BJ240" s="18">
        <f t="shared" si="205"/>
        <v>0</v>
      </c>
    </row>
    <row r="241" spans="1:62" x14ac:dyDescent="0.2">
      <c r="A241" s="5" t="s">
        <v>210</v>
      </c>
      <c r="B241" s="5" t="s">
        <v>1409</v>
      </c>
      <c r="C241" s="135" t="s">
        <v>2630</v>
      </c>
      <c r="D241" s="136"/>
      <c r="E241" s="136"/>
      <c r="F241" s="136"/>
      <c r="G241" s="136"/>
      <c r="H241" s="5" t="s">
        <v>3612</v>
      </c>
      <c r="I241" s="18">
        <v>2</v>
      </c>
      <c r="J241" s="18">
        <v>0</v>
      </c>
      <c r="K241" s="18">
        <f t="shared" si="186"/>
        <v>0</v>
      </c>
      <c r="L241" s="28" t="s">
        <v>3635</v>
      </c>
      <c r="Z241" s="34">
        <f t="shared" si="187"/>
        <v>0</v>
      </c>
      <c r="AB241" s="34">
        <f t="shared" si="188"/>
        <v>0</v>
      </c>
      <c r="AC241" s="34">
        <f t="shared" si="189"/>
        <v>0</v>
      </c>
      <c r="AD241" s="34">
        <f t="shared" si="190"/>
        <v>0</v>
      </c>
      <c r="AE241" s="34">
        <f t="shared" si="191"/>
        <v>0</v>
      </c>
      <c r="AF241" s="34">
        <f t="shared" si="192"/>
        <v>0</v>
      </c>
      <c r="AG241" s="34">
        <f t="shared" si="193"/>
        <v>0</v>
      </c>
      <c r="AH241" s="34">
        <f t="shared" si="194"/>
        <v>0</v>
      </c>
      <c r="AI241" s="27" t="s">
        <v>3645</v>
      </c>
      <c r="AJ241" s="18">
        <f t="shared" si="195"/>
        <v>0</v>
      </c>
      <c r="AK241" s="18">
        <f t="shared" si="196"/>
        <v>0</v>
      </c>
      <c r="AL241" s="18">
        <f t="shared" si="197"/>
        <v>0</v>
      </c>
      <c r="AN241" s="34">
        <v>21</v>
      </c>
      <c r="AO241" s="34">
        <f>J241*0.0587755102040816</f>
        <v>0</v>
      </c>
      <c r="AP241" s="34">
        <f>J241*(1-0.0587755102040816)</f>
        <v>0</v>
      </c>
      <c r="AQ241" s="28" t="s">
        <v>7</v>
      </c>
      <c r="AV241" s="34">
        <f t="shared" si="198"/>
        <v>0</v>
      </c>
      <c r="AW241" s="34">
        <f t="shared" si="199"/>
        <v>0</v>
      </c>
      <c r="AX241" s="34">
        <f t="shared" si="200"/>
        <v>0</v>
      </c>
      <c r="AY241" s="35" t="s">
        <v>3671</v>
      </c>
      <c r="AZ241" s="35" t="s">
        <v>3712</v>
      </c>
      <c r="BA241" s="27" t="s">
        <v>3729</v>
      </c>
      <c r="BC241" s="34">
        <f t="shared" si="201"/>
        <v>0</v>
      </c>
      <c r="BD241" s="34">
        <f t="shared" si="202"/>
        <v>0</v>
      </c>
      <c r="BE241" s="34">
        <v>0</v>
      </c>
      <c r="BF241" s="34">
        <f>241</f>
        <v>241</v>
      </c>
      <c r="BH241" s="18">
        <f t="shared" si="203"/>
        <v>0</v>
      </c>
      <c r="BI241" s="18">
        <f t="shared" si="204"/>
        <v>0</v>
      </c>
      <c r="BJ241" s="18">
        <f t="shared" si="205"/>
        <v>0</v>
      </c>
    </row>
    <row r="242" spans="1:62" x14ac:dyDescent="0.2">
      <c r="A242" s="5" t="s">
        <v>211</v>
      </c>
      <c r="B242" s="5" t="s">
        <v>1410</v>
      </c>
      <c r="C242" s="135" t="s">
        <v>2631</v>
      </c>
      <c r="D242" s="136"/>
      <c r="E242" s="136"/>
      <c r="F242" s="136"/>
      <c r="G242" s="136"/>
      <c r="H242" s="5" t="s">
        <v>3612</v>
      </c>
      <c r="I242" s="18">
        <v>1</v>
      </c>
      <c r="J242" s="18">
        <v>0</v>
      </c>
      <c r="K242" s="18">
        <f t="shared" si="186"/>
        <v>0</v>
      </c>
      <c r="L242" s="28" t="s">
        <v>3635</v>
      </c>
      <c r="Z242" s="34">
        <f t="shared" si="187"/>
        <v>0</v>
      </c>
      <c r="AB242" s="34">
        <f t="shared" si="188"/>
        <v>0</v>
      </c>
      <c r="AC242" s="34">
        <f t="shared" si="189"/>
        <v>0</v>
      </c>
      <c r="AD242" s="34">
        <f t="shared" si="190"/>
        <v>0</v>
      </c>
      <c r="AE242" s="34">
        <f t="shared" si="191"/>
        <v>0</v>
      </c>
      <c r="AF242" s="34">
        <f t="shared" si="192"/>
        <v>0</v>
      </c>
      <c r="AG242" s="34">
        <f t="shared" si="193"/>
        <v>0</v>
      </c>
      <c r="AH242" s="34">
        <f t="shared" si="194"/>
        <v>0</v>
      </c>
      <c r="AI242" s="27" t="s">
        <v>3645</v>
      </c>
      <c r="AJ242" s="18">
        <f t="shared" si="195"/>
        <v>0</v>
      </c>
      <c r="AK242" s="18">
        <f t="shared" si="196"/>
        <v>0</v>
      </c>
      <c r="AL242" s="18">
        <f t="shared" si="197"/>
        <v>0</v>
      </c>
      <c r="AN242" s="34">
        <v>21</v>
      </c>
      <c r="AO242" s="34">
        <f>J242*0.0454512847735327</f>
        <v>0</v>
      </c>
      <c r="AP242" s="34">
        <f>J242*(1-0.0454512847735327)</f>
        <v>0</v>
      </c>
      <c r="AQ242" s="28" t="s">
        <v>7</v>
      </c>
      <c r="AV242" s="34">
        <f t="shared" si="198"/>
        <v>0</v>
      </c>
      <c r="AW242" s="34">
        <f t="shared" si="199"/>
        <v>0</v>
      </c>
      <c r="AX242" s="34">
        <f t="shared" si="200"/>
        <v>0</v>
      </c>
      <c r="AY242" s="35" t="s">
        <v>3671</v>
      </c>
      <c r="AZ242" s="35" t="s">
        <v>3712</v>
      </c>
      <c r="BA242" s="27" t="s">
        <v>3729</v>
      </c>
      <c r="BC242" s="34">
        <f t="shared" si="201"/>
        <v>0</v>
      </c>
      <c r="BD242" s="34">
        <f t="shared" si="202"/>
        <v>0</v>
      </c>
      <c r="BE242" s="34">
        <v>0</v>
      </c>
      <c r="BF242" s="34">
        <f>242</f>
        <v>242</v>
      </c>
      <c r="BH242" s="18">
        <f t="shared" si="203"/>
        <v>0</v>
      </c>
      <c r="BI242" s="18">
        <f t="shared" si="204"/>
        <v>0</v>
      </c>
      <c r="BJ242" s="18">
        <f t="shared" si="205"/>
        <v>0</v>
      </c>
    </row>
    <row r="243" spans="1:62" x14ac:dyDescent="0.2">
      <c r="A243" s="5" t="s">
        <v>212</v>
      </c>
      <c r="B243" s="5" t="s">
        <v>1410</v>
      </c>
      <c r="C243" s="135" t="s">
        <v>2632</v>
      </c>
      <c r="D243" s="136"/>
      <c r="E243" s="136"/>
      <c r="F243" s="136"/>
      <c r="G243" s="136"/>
      <c r="H243" s="5" t="s">
        <v>3612</v>
      </c>
      <c r="I243" s="18">
        <v>1</v>
      </c>
      <c r="J243" s="18">
        <v>0</v>
      </c>
      <c r="K243" s="18">
        <f t="shared" si="186"/>
        <v>0</v>
      </c>
      <c r="L243" s="28" t="s">
        <v>3635</v>
      </c>
      <c r="Z243" s="34">
        <f t="shared" si="187"/>
        <v>0</v>
      </c>
      <c r="AB243" s="34">
        <f t="shared" si="188"/>
        <v>0</v>
      </c>
      <c r="AC243" s="34">
        <f t="shared" si="189"/>
        <v>0</v>
      </c>
      <c r="AD243" s="34">
        <f t="shared" si="190"/>
        <v>0</v>
      </c>
      <c r="AE243" s="34">
        <f t="shared" si="191"/>
        <v>0</v>
      </c>
      <c r="AF243" s="34">
        <f t="shared" si="192"/>
        <v>0</v>
      </c>
      <c r="AG243" s="34">
        <f t="shared" si="193"/>
        <v>0</v>
      </c>
      <c r="AH243" s="34">
        <f t="shared" si="194"/>
        <v>0</v>
      </c>
      <c r="AI243" s="27" t="s">
        <v>3645</v>
      </c>
      <c r="AJ243" s="18">
        <f t="shared" si="195"/>
        <v>0</v>
      </c>
      <c r="AK243" s="18">
        <f t="shared" si="196"/>
        <v>0</v>
      </c>
      <c r="AL243" s="18">
        <f t="shared" si="197"/>
        <v>0</v>
      </c>
      <c r="AN243" s="34">
        <v>21</v>
      </c>
      <c r="AO243" s="34">
        <f>J243*0.0454512847735327</f>
        <v>0</v>
      </c>
      <c r="AP243" s="34">
        <f>J243*(1-0.0454512847735327)</f>
        <v>0</v>
      </c>
      <c r="AQ243" s="28" t="s">
        <v>7</v>
      </c>
      <c r="AV243" s="34">
        <f t="shared" si="198"/>
        <v>0</v>
      </c>
      <c r="AW243" s="34">
        <f t="shared" si="199"/>
        <v>0</v>
      </c>
      <c r="AX243" s="34">
        <f t="shared" si="200"/>
        <v>0</v>
      </c>
      <c r="AY243" s="35" t="s">
        <v>3671</v>
      </c>
      <c r="AZ243" s="35" t="s">
        <v>3712</v>
      </c>
      <c r="BA243" s="27" t="s">
        <v>3729</v>
      </c>
      <c r="BC243" s="34">
        <f t="shared" si="201"/>
        <v>0</v>
      </c>
      <c r="BD243" s="34">
        <f t="shared" si="202"/>
        <v>0</v>
      </c>
      <c r="BE243" s="34">
        <v>0</v>
      </c>
      <c r="BF243" s="34">
        <f>243</f>
        <v>243</v>
      </c>
      <c r="BH243" s="18">
        <f t="shared" si="203"/>
        <v>0</v>
      </c>
      <c r="BI243" s="18">
        <f t="shared" si="204"/>
        <v>0</v>
      </c>
      <c r="BJ243" s="18">
        <f t="shared" si="205"/>
        <v>0</v>
      </c>
    </row>
    <row r="244" spans="1:62" x14ac:dyDescent="0.2">
      <c r="A244" s="5" t="s">
        <v>213</v>
      </c>
      <c r="B244" s="5" t="s">
        <v>1410</v>
      </c>
      <c r="C244" s="135" t="s">
        <v>2633</v>
      </c>
      <c r="D244" s="136"/>
      <c r="E244" s="136"/>
      <c r="F244" s="136"/>
      <c r="G244" s="136"/>
      <c r="H244" s="5" t="s">
        <v>3612</v>
      </c>
      <c r="I244" s="18">
        <v>1</v>
      </c>
      <c r="J244" s="18">
        <v>0</v>
      </c>
      <c r="K244" s="18">
        <f t="shared" si="186"/>
        <v>0</v>
      </c>
      <c r="L244" s="28" t="s">
        <v>3635</v>
      </c>
      <c r="Z244" s="34">
        <f t="shared" si="187"/>
        <v>0</v>
      </c>
      <c r="AB244" s="34">
        <f t="shared" si="188"/>
        <v>0</v>
      </c>
      <c r="AC244" s="34">
        <f t="shared" si="189"/>
        <v>0</v>
      </c>
      <c r="AD244" s="34">
        <f t="shared" si="190"/>
        <v>0</v>
      </c>
      <c r="AE244" s="34">
        <f t="shared" si="191"/>
        <v>0</v>
      </c>
      <c r="AF244" s="34">
        <f t="shared" si="192"/>
        <v>0</v>
      </c>
      <c r="AG244" s="34">
        <f t="shared" si="193"/>
        <v>0</v>
      </c>
      <c r="AH244" s="34">
        <f t="shared" si="194"/>
        <v>0</v>
      </c>
      <c r="AI244" s="27" t="s">
        <v>3645</v>
      </c>
      <c r="AJ244" s="18">
        <f t="shared" si="195"/>
        <v>0</v>
      </c>
      <c r="AK244" s="18">
        <f t="shared" si="196"/>
        <v>0</v>
      </c>
      <c r="AL244" s="18">
        <f t="shared" si="197"/>
        <v>0</v>
      </c>
      <c r="AN244" s="34">
        <v>21</v>
      </c>
      <c r="AO244" s="34">
        <f>J244*0.0454512847735327</f>
        <v>0</v>
      </c>
      <c r="AP244" s="34">
        <f>J244*(1-0.0454512847735327)</f>
        <v>0</v>
      </c>
      <c r="AQ244" s="28" t="s">
        <v>7</v>
      </c>
      <c r="AV244" s="34">
        <f t="shared" si="198"/>
        <v>0</v>
      </c>
      <c r="AW244" s="34">
        <f t="shared" si="199"/>
        <v>0</v>
      </c>
      <c r="AX244" s="34">
        <f t="shared" si="200"/>
        <v>0</v>
      </c>
      <c r="AY244" s="35" t="s">
        <v>3671</v>
      </c>
      <c r="AZ244" s="35" t="s">
        <v>3712</v>
      </c>
      <c r="BA244" s="27" t="s">
        <v>3729</v>
      </c>
      <c r="BC244" s="34">
        <f t="shared" si="201"/>
        <v>0</v>
      </c>
      <c r="BD244" s="34">
        <f t="shared" si="202"/>
        <v>0</v>
      </c>
      <c r="BE244" s="34">
        <v>0</v>
      </c>
      <c r="BF244" s="34">
        <f>244</f>
        <v>244</v>
      </c>
      <c r="BH244" s="18">
        <f t="shared" si="203"/>
        <v>0</v>
      </c>
      <c r="BI244" s="18">
        <f t="shared" si="204"/>
        <v>0</v>
      </c>
      <c r="BJ244" s="18">
        <f t="shared" si="205"/>
        <v>0</v>
      </c>
    </row>
    <row r="245" spans="1:62" x14ac:dyDescent="0.2">
      <c r="A245" s="5" t="s">
        <v>214</v>
      </c>
      <c r="B245" s="5" t="s">
        <v>1411</v>
      </c>
      <c r="C245" s="135" t="s">
        <v>2634</v>
      </c>
      <c r="D245" s="136"/>
      <c r="E245" s="136"/>
      <c r="F245" s="136"/>
      <c r="G245" s="136"/>
      <c r="H245" s="5" t="s">
        <v>3612</v>
      </c>
      <c r="I245" s="18">
        <v>2</v>
      </c>
      <c r="J245" s="18">
        <v>0</v>
      </c>
      <c r="K245" s="18">
        <f t="shared" si="186"/>
        <v>0</v>
      </c>
      <c r="L245" s="28" t="s">
        <v>3635</v>
      </c>
      <c r="Z245" s="34">
        <f t="shared" si="187"/>
        <v>0</v>
      </c>
      <c r="AB245" s="34">
        <f t="shared" si="188"/>
        <v>0</v>
      </c>
      <c r="AC245" s="34">
        <f t="shared" si="189"/>
        <v>0</v>
      </c>
      <c r="AD245" s="34">
        <f t="shared" si="190"/>
        <v>0</v>
      </c>
      <c r="AE245" s="34">
        <f t="shared" si="191"/>
        <v>0</v>
      </c>
      <c r="AF245" s="34">
        <f t="shared" si="192"/>
        <v>0</v>
      </c>
      <c r="AG245" s="34">
        <f t="shared" si="193"/>
        <v>0</v>
      </c>
      <c r="AH245" s="34">
        <f t="shared" si="194"/>
        <v>0</v>
      </c>
      <c r="AI245" s="27" t="s">
        <v>3645</v>
      </c>
      <c r="AJ245" s="18">
        <f t="shared" si="195"/>
        <v>0</v>
      </c>
      <c r="AK245" s="18">
        <f t="shared" si="196"/>
        <v>0</v>
      </c>
      <c r="AL245" s="18">
        <f t="shared" si="197"/>
        <v>0</v>
      </c>
      <c r="AN245" s="34">
        <v>21</v>
      </c>
      <c r="AO245" s="34">
        <f>J245*0.0384470685323851</f>
        <v>0</v>
      </c>
      <c r="AP245" s="34">
        <f>J245*(1-0.0384470685323851)</f>
        <v>0</v>
      </c>
      <c r="AQ245" s="28" t="s">
        <v>7</v>
      </c>
      <c r="AV245" s="34">
        <f t="shared" si="198"/>
        <v>0</v>
      </c>
      <c r="AW245" s="34">
        <f t="shared" si="199"/>
        <v>0</v>
      </c>
      <c r="AX245" s="34">
        <f t="shared" si="200"/>
        <v>0</v>
      </c>
      <c r="AY245" s="35" t="s">
        <v>3671</v>
      </c>
      <c r="AZ245" s="35" t="s">
        <v>3712</v>
      </c>
      <c r="BA245" s="27" t="s">
        <v>3729</v>
      </c>
      <c r="BC245" s="34">
        <f t="shared" si="201"/>
        <v>0</v>
      </c>
      <c r="BD245" s="34">
        <f t="shared" si="202"/>
        <v>0</v>
      </c>
      <c r="BE245" s="34">
        <v>0</v>
      </c>
      <c r="BF245" s="34">
        <f>245</f>
        <v>245</v>
      </c>
      <c r="BH245" s="18">
        <f t="shared" si="203"/>
        <v>0</v>
      </c>
      <c r="BI245" s="18">
        <f t="shared" si="204"/>
        <v>0</v>
      </c>
      <c r="BJ245" s="18">
        <f t="shared" si="205"/>
        <v>0</v>
      </c>
    </row>
    <row r="246" spans="1:62" x14ac:dyDescent="0.2">
      <c r="A246" s="5" t="s">
        <v>215</v>
      </c>
      <c r="B246" s="5" t="s">
        <v>1412</v>
      </c>
      <c r="C246" s="135" t="s">
        <v>2635</v>
      </c>
      <c r="D246" s="136"/>
      <c r="E246" s="136"/>
      <c r="F246" s="136"/>
      <c r="G246" s="136"/>
      <c r="H246" s="5" t="s">
        <v>3613</v>
      </c>
      <c r="I246" s="18">
        <v>0.29260000000000003</v>
      </c>
      <c r="J246" s="18">
        <v>0</v>
      </c>
      <c r="K246" s="18">
        <f t="shared" si="186"/>
        <v>0</v>
      </c>
      <c r="L246" s="28" t="s">
        <v>3635</v>
      </c>
      <c r="Z246" s="34">
        <f t="shared" si="187"/>
        <v>0</v>
      </c>
      <c r="AB246" s="34">
        <f t="shared" si="188"/>
        <v>0</v>
      </c>
      <c r="AC246" s="34">
        <f t="shared" si="189"/>
        <v>0</v>
      </c>
      <c r="AD246" s="34">
        <f t="shared" si="190"/>
        <v>0</v>
      </c>
      <c r="AE246" s="34">
        <f t="shared" si="191"/>
        <v>0</v>
      </c>
      <c r="AF246" s="34">
        <f t="shared" si="192"/>
        <v>0</v>
      </c>
      <c r="AG246" s="34">
        <f t="shared" si="193"/>
        <v>0</v>
      </c>
      <c r="AH246" s="34">
        <f t="shared" si="194"/>
        <v>0</v>
      </c>
      <c r="AI246" s="27" t="s">
        <v>3645</v>
      </c>
      <c r="AJ246" s="18">
        <f t="shared" si="195"/>
        <v>0</v>
      </c>
      <c r="AK246" s="18">
        <f t="shared" si="196"/>
        <v>0</v>
      </c>
      <c r="AL246" s="18">
        <f t="shared" si="197"/>
        <v>0</v>
      </c>
      <c r="AN246" s="34">
        <v>21</v>
      </c>
      <c r="AO246" s="34">
        <f>J246*0.0235120644623507</f>
        <v>0</v>
      </c>
      <c r="AP246" s="34">
        <f>J246*(1-0.0235120644623507)</f>
        <v>0</v>
      </c>
      <c r="AQ246" s="28" t="s">
        <v>7</v>
      </c>
      <c r="AV246" s="34">
        <f t="shared" si="198"/>
        <v>0</v>
      </c>
      <c r="AW246" s="34">
        <f t="shared" si="199"/>
        <v>0</v>
      </c>
      <c r="AX246" s="34">
        <f t="shared" si="200"/>
        <v>0</v>
      </c>
      <c r="AY246" s="35" t="s">
        <v>3671</v>
      </c>
      <c r="AZ246" s="35" t="s">
        <v>3712</v>
      </c>
      <c r="BA246" s="27" t="s">
        <v>3729</v>
      </c>
      <c r="BC246" s="34">
        <f t="shared" si="201"/>
        <v>0</v>
      </c>
      <c r="BD246" s="34">
        <f t="shared" si="202"/>
        <v>0</v>
      </c>
      <c r="BE246" s="34">
        <v>0</v>
      </c>
      <c r="BF246" s="34">
        <f>246</f>
        <v>246</v>
      </c>
      <c r="BH246" s="18">
        <f t="shared" si="203"/>
        <v>0</v>
      </c>
      <c r="BI246" s="18">
        <f t="shared" si="204"/>
        <v>0</v>
      </c>
      <c r="BJ246" s="18">
        <f t="shared" si="205"/>
        <v>0</v>
      </c>
    </row>
    <row r="247" spans="1:62" x14ac:dyDescent="0.2">
      <c r="A247" s="5" t="s">
        <v>216</v>
      </c>
      <c r="B247" s="5" t="s">
        <v>1413</v>
      </c>
      <c r="C247" s="135" t="s">
        <v>2636</v>
      </c>
      <c r="D247" s="136"/>
      <c r="E247" s="136"/>
      <c r="F247" s="136"/>
      <c r="G247" s="136"/>
      <c r="H247" s="5" t="s">
        <v>3613</v>
      </c>
      <c r="I247" s="18">
        <v>1.7275499999999999</v>
      </c>
      <c r="J247" s="18">
        <v>0</v>
      </c>
      <c r="K247" s="18">
        <f t="shared" si="186"/>
        <v>0</v>
      </c>
      <c r="L247" s="28" t="s">
        <v>3635</v>
      </c>
      <c r="Z247" s="34">
        <f t="shared" si="187"/>
        <v>0</v>
      </c>
      <c r="AB247" s="34">
        <f t="shared" si="188"/>
        <v>0</v>
      </c>
      <c r="AC247" s="34">
        <f t="shared" si="189"/>
        <v>0</v>
      </c>
      <c r="AD247" s="34">
        <f t="shared" si="190"/>
        <v>0</v>
      </c>
      <c r="AE247" s="34">
        <f t="shared" si="191"/>
        <v>0</v>
      </c>
      <c r="AF247" s="34">
        <f t="shared" si="192"/>
        <v>0</v>
      </c>
      <c r="AG247" s="34">
        <f t="shared" si="193"/>
        <v>0</v>
      </c>
      <c r="AH247" s="34">
        <f t="shared" si="194"/>
        <v>0</v>
      </c>
      <c r="AI247" s="27" t="s">
        <v>3645</v>
      </c>
      <c r="AJ247" s="18">
        <f t="shared" si="195"/>
        <v>0</v>
      </c>
      <c r="AK247" s="18">
        <f t="shared" si="196"/>
        <v>0</v>
      </c>
      <c r="AL247" s="18">
        <f t="shared" si="197"/>
        <v>0</v>
      </c>
      <c r="AN247" s="34">
        <v>21</v>
      </c>
      <c r="AO247" s="34">
        <f>J247*0.0204141385002615</f>
        <v>0</v>
      </c>
      <c r="AP247" s="34">
        <f>J247*(1-0.0204141385002615)</f>
        <v>0</v>
      </c>
      <c r="AQ247" s="28" t="s">
        <v>7</v>
      </c>
      <c r="AV247" s="34">
        <f t="shared" si="198"/>
        <v>0</v>
      </c>
      <c r="AW247" s="34">
        <f t="shared" si="199"/>
        <v>0</v>
      </c>
      <c r="AX247" s="34">
        <f t="shared" si="200"/>
        <v>0</v>
      </c>
      <c r="AY247" s="35" t="s">
        <v>3671</v>
      </c>
      <c r="AZ247" s="35" t="s">
        <v>3712</v>
      </c>
      <c r="BA247" s="27" t="s">
        <v>3729</v>
      </c>
      <c r="BC247" s="34">
        <f t="shared" si="201"/>
        <v>0</v>
      </c>
      <c r="BD247" s="34">
        <f t="shared" si="202"/>
        <v>0</v>
      </c>
      <c r="BE247" s="34">
        <v>0</v>
      </c>
      <c r="BF247" s="34">
        <f>247</f>
        <v>247</v>
      </c>
      <c r="BH247" s="18">
        <f t="shared" si="203"/>
        <v>0</v>
      </c>
      <c r="BI247" s="18">
        <f t="shared" si="204"/>
        <v>0</v>
      </c>
      <c r="BJ247" s="18">
        <f t="shared" si="205"/>
        <v>0</v>
      </c>
    </row>
    <row r="248" spans="1:62" x14ac:dyDescent="0.2">
      <c r="A248" s="5" t="s">
        <v>217</v>
      </c>
      <c r="B248" s="5" t="s">
        <v>1414</v>
      </c>
      <c r="C248" s="135" t="s">
        <v>2637</v>
      </c>
      <c r="D248" s="136"/>
      <c r="E248" s="136"/>
      <c r="F248" s="136"/>
      <c r="G248" s="136"/>
      <c r="H248" s="5" t="s">
        <v>3613</v>
      </c>
      <c r="I248" s="18">
        <v>1.9219999999999999</v>
      </c>
      <c r="J248" s="18">
        <v>0</v>
      </c>
      <c r="K248" s="18">
        <f t="shared" si="186"/>
        <v>0</v>
      </c>
      <c r="L248" s="28" t="s">
        <v>3635</v>
      </c>
      <c r="Z248" s="34">
        <f t="shared" si="187"/>
        <v>0</v>
      </c>
      <c r="AB248" s="34">
        <f t="shared" si="188"/>
        <v>0</v>
      </c>
      <c r="AC248" s="34">
        <f t="shared" si="189"/>
        <v>0</v>
      </c>
      <c r="AD248" s="34">
        <f t="shared" si="190"/>
        <v>0</v>
      </c>
      <c r="AE248" s="34">
        <f t="shared" si="191"/>
        <v>0</v>
      </c>
      <c r="AF248" s="34">
        <f t="shared" si="192"/>
        <v>0</v>
      </c>
      <c r="AG248" s="34">
        <f t="shared" si="193"/>
        <v>0</v>
      </c>
      <c r="AH248" s="34">
        <f t="shared" si="194"/>
        <v>0</v>
      </c>
      <c r="AI248" s="27" t="s">
        <v>3645</v>
      </c>
      <c r="AJ248" s="18">
        <f t="shared" si="195"/>
        <v>0</v>
      </c>
      <c r="AK248" s="18">
        <f t="shared" si="196"/>
        <v>0</v>
      </c>
      <c r="AL248" s="18">
        <f t="shared" si="197"/>
        <v>0</v>
      </c>
      <c r="AN248" s="34">
        <v>21</v>
      </c>
      <c r="AO248" s="34">
        <f>J248*0.0363316266280879</f>
        <v>0</v>
      </c>
      <c r="AP248" s="34">
        <f>J248*(1-0.0363316266280879)</f>
        <v>0</v>
      </c>
      <c r="AQ248" s="28" t="s">
        <v>7</v>
      </c>
      <c r="AV248" s="34">
        <f t="shared" si="198"/>
        <v>0</v>
      </c>
      <c r="AW248" s="34">
        <f t="shared" si="199"/>
        <v>0</v>
      </c>
      <c r="AX248" s="34">
        <f t="shared" si="200"/>
        <v>0</v>
      </c>
      <c r="AY248" s="35" t="s">
        <v>3671</v>
      </c>
      <c r="AZ248" s="35" t="s">
        <v>3712</v>
      </c>
      <c r="BA248" s="27" t="s">
        <v>3729</v>
      </c>
      <c r="BC248" s="34">
        <f t="shared" si="201"/>
        <v>0</v>
      </c>
      <c r="BD248" s="34">
        <f t="shared" si="202"/>
        <v>0</v>
      </c>
      <c r="BE248" s="34">
        <v>0</v>
      </c>
      <c r="BF248" s="34">
        <f>248</f>
        <v>248</v>
      </c>
      <c r="BH248" s="18">
        <f t="shared" si="203"/>
        <v>0</v>
      </c>
      <c r="BI248" s="18">
        <f t="shared" si="204"/>
        <v>0</v>
      </c>
      <c r="BJ248" s="18">
        <f t="shared" si="205"/>
        <v>0</v>
      </c>
    </row>
    <row r="249" spans="1:62" x14ac:dyDescent="0.2">
      <c r="A249" s="5" t="s">
        <v>218</v>
      </c>
      <c r="B249" s="5" t="s">
        <v>1415</v>
      </c>
      <c r="C249" s="135" t="s">
        <v>2638</v>
      </c>
      <c r="D249" s="136"/>
      <c r="E249" s="136"/>
      <c r="F249" s="136"/>
      <c r="G249" s="136"/>
      <c r="H249" s="5" t="s">
        <v>3613</v>
      </c>
      <c r="I249" s="18">
        <v>4.41</v>
      </c>
      <c r="J249" s="18">
        <v>0</v>
      </c>
      <c r="K249" s="18">
        <f t="shared" si="186"/>
        <v>0</v>
      </c>
      <c r="L249" s="28" t="s">
        <v>3635</v>
      </c>
      <c r="Z249" s="34">
        <f t="shared" si="187"/>
        <v>0</v>
      </c>
      <c r="AB249" s="34">
        <f t="shared" si="188"/>
        <v>0</v>
      </c>
      <c r="AC249" s="34">
        <f t="shared" si="189"/>
        <v>0</v>
      </c>
      <c r="AD249" s="34">
        <f t="shared" si="190"/>
        <v>0</v>
      </c>
      <c r="AE249" s="34">
        <f t="shared" si="191"/>
        <v>0</v>
      </c>
      <c r="AF249" s="34">
        <f t="shared" si="192"/>
        <v>0</v>
      </c>
      <c r="AG249" s="34">
        <f t="shared" si="193"/>
        <v>0</v>
      </c>
      <c r="AH249" s="34">
        <f t="shared" si="194"/>
        <v>0</v>
      </c>
      <c r="AI249" s="27" t="s">
        <v>3645</v>
      </c>
      <c r="AJ249" s="18">
        <f t="shared" si="195"/>
        <v>0</v>
      </c>
      <c r="AK249" s="18">
        <f t="shared" si="196"/>
        <v>0</v>
      </c>
      <c r="AL249" s="18">
        <f t="shared" si="197"/>
        <v>0</v>
      </c>
      <c r="AN249" s="34">
        <v>21</v>
      </c>
      <c r="AO249" s="34">
        <f>J249*0.0323489932885906</f>
        <v>0</v>
      </c>
      <c r="AP249" s="34">
        <f>J249*(1-0.0323489932885906)</f>
        <v>0</v>
      </c>
      <c r="AQ249" s="28" t="s">
        <v>7</v>
      </c>
      <c r="AV249" s="34">
        <f t="shared" si="198"/>
        <v>0</v>
      </c>
      <c r="AW249" s="34">
        <f t="shared" si="199"/>
        <v>0</v>
      </c>
      <c r="AX249" s="34">
        <f t="shared" si="200"/>
        <v>0</v>
      </c>
      <c r="AY249" s="35" t="s">
        <v>3671</v>
      </c>
      <c r="AZ249" s="35" t="s">
        <v>3712</v>
      </c>
      <c r="BA249" s="27" t="s">
        <v>3729</v>
      </c>
      <c r="BC249" s="34">
        <f t="shared" si="201"/>
        <v>0</v>
      </c>
      <c r="BD249" s="34">
        <f t="shared" si="202"/>
        <v>0</v>
      </c>
      <c r="BE249" s="34">
        <v>0</v>
      </c>
      <c r="BF249" s="34">
        <f>249</f>
        <v>249</v>
      </c>
      <c r="BH249" s="18">
        <f t="shared" si="203"/>
        <v>0</v>
      </c>
      <c r="BI249" s="18">
        <f t="shared" si="204"/>
        <v>0</v>
      </c>
      <c r="BJ249" s="18">
        <f t="shared" si="205"/>
        <v>0</v>
      </c>
    </row>
    <row r="250" spans="1:62" x14ac:dyDescent="0.2">
      <c r="A250" s="5" t="s">
        <v>219</v>
      </c>
      <c r="B250" s="5" t="s">
        <v>1416</v>
      </c>
      <c r="C250" s="135" t="s">
        <v>2639</v>
      </c>
      <c r="D250" s="136"/>
      <c r="E250" s="136"/>
      <c r="F250" s="136"/>
      <c r="G250" s="136"/>
      <c r="H250" s="5" t="s">
        <v>3612</v>
      </c>
      <c r="I250" s="18">
        <v>1</v>
      </c>
      <c r="J250" s="18">
        <v>0</v>
      </c>
      <c r="K250" s="18">
        <f t="shared" si="186"/>
        <v>0</v>
      </c>
      <c r="L250" s="28" t="s">
        <v>3635</v>
      </c>
      <c r="Z250" s="34">
        <f t="shared" si="187"/>
        <v>0</v>
      </c>
      <c r="AB250" s="34">
        <f t="shared" si="188"/>
        <v>0</v>
      </c>
      <c r="AC250" s="34">
        <f t="shared" si="189"/>
        <v>0</v>
      </c>
      <c r="AD250" s="34">
        <f t="shared" si="190"/>
        <v>0</v>
      </c>
      <c r="AE250" s="34">
        <f t="shared" si="191"/>
        <v>0</v>
      </c>
      <c r="AF250" s="34">
        <f t="shared" si="192"/>
        <v>0</v>
      </c>
      <c r="AG250" s="34">
        <f t="shared" si="193"/>
        <v>0</v>
      </c>
      <c r="AH250" s="34">
        <f t="shared" si="194"/>
        <v>0</v>
      </c>
      <c r="AI250" s="27" t="s">
        <v>3645</v>
      </c>
      <c r="AJ250" s="18">
        <f t="shared" si="195"/>
        <v>0</v>
      </c>
      <c r="AK250" s="18">
        <f t="shared" si="196"/>
        <v>0</v>
      </c>
      <c r="AL250" s="18">
        <f t="shared" si="197"/>
        <v>0</v>
      </c>
      <c r="AN250" s="34">
        <v>21</v>
      </c>
      <c r="AO250" s="34">
        <f>J250*0.165872</f>
        <v>0</v>
      </c>
      <c r="AP250" s="34">
        <f>J250*(1-0.165872)</f>
        <v>0</v>
      </c>
      <c r="AQ250" s="28" t="s">
        <v>7</v>
      </c>
      <c r="AV250" s="34">
        <f t="shared" si="198"/>
        <v>0</v>
      </c>
      <c r="AW250" s="34">
        <f t="shared" si="199"/>
        <v>0</v>
      </c>
      <c r="AX250" s="34">
        <f t="shared" si="200"/>
        <v>0</v>
      </c>
      <c r="AY250" s="35" t="s">
        <v>3671</v>
      </c>
      <c r="AZ250" s="35" t="s">
        <v>3712</v>
      </c>
      <c r="BA250" s="27" t="s">
        <v>3729</v>
      </c>
      <c r="BC250" s="34">
        <f t="shared" si="201"/>
        <v>0</v>
      </c>
      <c r="BD250" s="34">
        <f t="shared" si="202"/>
        <v>0</v>
      </c>
      <c r="BE250" s="34">
        <v>0</v>
      </c>
      <c r="BF250" s="34">
        <f>250</f>
        <v>250</v>
      </c>
      <c r="BH250" s="18">
        <f t="shared" si="203"/>
        <v>0</v>
      </c>
      <c r="BI250" s="18">
        <f t="shared" si="204"/>
        <v>0</v>
      </c>
      <c r="BJ250" s="18">
        <f t="shared" si="205"/>
        <v>0</v>
      </c>
    </row>
    <row r="251" spans="1:62" x14ac:dyDescent="0.2">
      <c r="A251" s="5" t="s">
        <v>220</v>
      </c>
      <c r="B251" s="5" t="s">
        <v>1417</v>
      </c>
      <c r="C251" s="135" t="s">
        <v>2640</v>
      </c>
      <c r="D251" s="136"/>
      <c r="E251" s="136"/>
      <c r="F251" s="136"/>
      <c r="G251" s="136"/>
      <c r="H251" s="5" t="s">
        <v>3614</v>
      </c>
      <c r="I251" s="18">
        <v>88.92</v>
      </c>
      <c r="J251" s="18">
        <v>0</v>
      </c>
      <c r="K251" s="18">
        <f t="shared" si="186"/>
        <v>0</v>
      </c>
      <c r="L251" s="28" t="s">
        <v>3635</v>
      </c>
      <c r="Z251" s="34">
        <f t="shared" si="187"/>
        <v>0</v>
      </c>
      <c r="AB251" s="34">
        <f t="shared" si="188"/>
        <v>0</v>
      </c>
      <c r="AC251" s="34">
        <f t="shared" si="189"/>
        <v>0</v>
      </c>
      <c r="AD251" s="34">
        <f t="shared" si="190"/>
        <v>0</v>
      </c>
      <c r="AE251" s="34">
        <f t="shared" si="191"/>
        <v>0</v>
      </c>
      <c r="AF251" s="34">
        <f t="shared" si="192"/>
        <v>0</v>
      </c>
      <c r="AG251" s="34">
        <f t="shared" si="193"/>
        <v>0</v>
      </c>
      <c r="AH251" s="34">
        <f t="shared" si="194"/>
        <v>0</v>
      </c>
      <c r="AI251" s="27" t="s">
        <v>3645</v>
      </c>
      <c r="AJ251" s="18">
        <f t="shared" si="195"/>
        <v>0</v>
      </c>
      <c r="AK251" s="18">
        <f t="shared" si="196"/>
        <v>0</v>
      </c>
      <c r="AL251" s="18">
        <f t="shared" si="197"/>
        <v>0</v>
      </c>
      <c r="AN251" s="34">
        <v>21</v>
      </c>
      <c r="AO251" s="34">
        <f t="shared" ref="AO251:AO264" si="206">J251*0</f>
        <v>0</v>
      </c>
      <c r="AP251" s="34">
        <f t="shared" ref="AP251:AP264" si="207">J251*(1-0)</f>
        <v>0</v>
      </c>
      <c r="AQ251" s="28" t="s">
        <v>7</v>
      </c>
      <c r="AV251" s="34">
        <f t="shared" si="198"/>
        <v>0</v>
      </c>
      <c r="AW251" s="34">
        <f t="shared" si="199"/>
        <v>0</v>
      </c>
      <c r="AX251" s="34">
        <f t="shared" si="200"/>
        <v>0</v>
      </c>
      <c r="AY251" s="35" t="s">
        <v>3671</v>
      </c>
      <c r="AZ251" s="35" t="s">
        <v>3712</v>
      </c>
      <c r="BA251" s="27" t="s">
        <v>3729</v>
      </c>
      <c r="BC251" s="34">
        <f t="shared" si="201"/>
        <v>0</v>
      </c>
      <c r="BD251" s="34">
        <f t="shared" si="202"/>
        <v>0</v>
      </c>
      <c r="BE251" s="34">
        <v>0</v>
      </c>
      <c r="BF251" s="34">
        <f>251</f>
        <v>251</v>
      </c>
      <c r="BH251" s="18">
        <f t="shared" si="203"/>
        <v>0</v>
      </c>
      <c r="BI251" s="18">
        <f t="shared" si="204"/>
        <v>0</v>
      </c>
      <c r="BJ251" s="18">
        <f t="shared" si="205"/>
        <v>0</v>
      </c>
    </row>
    <row r="252" spans="1:62" x14ac:dyDescent="0.2">
      <c r="A252" s="5" t="s">
        <v>221</v>
      </c>
      <c r="B252" s="5" t="s">
        <v>1418</v>
      </c>
      <c r="C252" s="135" t="s">
        <v>2641</v>
      </c>
      <c r="D252" s="136"/>
      <c r="E252" s="136"/>
      <c r="F252" s="136"/>
      <c r="G252" s="136"/>
      <c r="H252" s="5" t="s">
        <v>3614</v>
      </c>
      <c r="I252" s="18">
        <v>17.600000000000001</v>
      </c>
      <c r="J252" s="18">
        <v>0</v>
      </c>
      <c r="K252" s="18">
        <f t="shared" si="186"/>
        <v>0</v>
      </c>
      <c r="L252" s="28" t="s">
        <v>3635</v>
      </c>
      <c r="Z252" s="34">
        <f t="shared" si="187"/>
        <v>0</v>
      </c>
      <c r="AB252" s="34">
        <f t="shared" si="188"/>
        <v>0</v>
      </c>
      <c r="AC252" s="34">
        <f t="shared" si="189"/>
        <v>0</v>
      </c>
      <c r="AD252" s="34">
        <f t="shared" si="190"/>
        <v>0</v>
      </c>
      <c r="AE252" s="34">
        <f t="shared" si="191"/>
        <v>0</v>
      </c>
      <c r="AF252" s="34">
        <f t="shared" si="192"/>
        <v>0</v>
      </c>
      <c r="AG252" s="34">
        <f t="shared" si="193"/>
        <v>0</v>
      </c>
      <c r="AH252" s="34">
        <f t="shared" si="194"/>
        <v>0</v>
      </c>
      <c r="AI252" s="27" t="s">
        <v>3645</v>
      </c>
      <c r="AJ252" s="18">
        <f t="shared" si="195"/>
        <v>0</v>
      </c>
      <c r="AK252" s="18">
        <f t="shared" si="196"/>
        <v>0</v>
      </c>
      <c r="AL252" s="18">
        <f t="shared" si="197"/>
        <v>0</v>
      </c>
      <c r="AN252" s="34">
        <v>21</v>
      </c>
      <c r="AO252" s="34">
        <f t="shared" si="206"/>
        <v>0</v>
      </c>
      <c r="AP252" s="34">
        <f t="shared" si="207"/>
        <v>0</v>
      </c>
      <c r="AQ252" s="28" t="s">
        <v>7</v>
      </c>
      <c r="AV252" s="34">
        <f t="shared" si="198"/>
        <v>0</v>
      </c>
      <c r="AW252" s="34">
        <f t="shared" si="199"/>
        <v>0</v>
      </c>
      <c r="AX252" s="34">
        <f t="shared" si="200"/>
        <v>0</v>
      </c>
      <c r="AY252" s="35" t="s">
        <v>3671</v>
      </c>
      <c r="AZ252" s="35" t="s">
        <v>3712</v>
      </c>
      <c r="BA252" s="27" t="s">
        <v>3729</v>
      </c>
      <c r="BC252" s="34">
        <f t="shared" si="201"/>
        <v>0</v>
      </c>
      <c r="BD252" s="34">
        <f t="shared" si="202"/>
        <v>0</v>
      </c>
      <c r="BE252" s="34">
        <v>0</v>
      </c>
      <c r="BF252" s="34">
        <f>252</f>
        <v>252</v>
      </c>
      <c r="BH252" s="18">
        <f t="shared" si="203"/>
        <v>0</v>
      </c>
      <c r="BI252" s="18">
        <f t="shared" si="204"/>
        <v>0</v>
      </c>
      <c r="BJ252" s="18">
        <f t="shared" si="205"/>
        <v>0</v>
      </c>
    </row>
    <row r="253" spans="1:62" x14ac:dyDescent="0.2">
      <c r="A253" s="5" t="s">
        <v>222</v>
      </c>
      <c r="B253" s="5" t="s">
        <v>1419</v>
      </c>
      <c r="C253" s="135" t="s">
        <v>2642</v>
      </c>
      <c r="D253" s="136"/>
      <c r="E253" s="136"/>
      <c r="F253" s="136"/>
      <c r="G253" s="136"/>
      <c r="H253" s="5" t="s">
        <v>3614</v>
      </c>
      <c r="I253" s="18">
        <v>2.4</v>
      </c>
      <c r="J253" s="18">
        <v>0</v>
      </c>
      <c r="K253" s="18">
        <f t="shared" si="186"/>
        <v>0</v>
      </c>
      <c r="L253" s="28" t="s">
        <v>3635</v>
      </c>
      <c r="Z253" s="34">
        <f t="shared" si="187"/>
        <v>0</v>
      </c>
      <c r="AB253" s="34">
        <f t="shared" si="188"/>
        <v>0</v>
      </c>
      <c r="AC253" s="34">
        <f t="shared" si="189"/>
        <v>0</v>
      </c>
      <c r="AD253" s="34">
        <f t="shared" si="190"/>
        <v>0</v>
      </c>
      <c r="AE253" s="34">
        <f t="shared" si="191"/>
        <v>0</v>
      </c>
      <c r="AF253" s="34">
        <f t="shared" si="192"/>
        <v>0</v>
      </c>
      <c r="AG253" s="34">
        <f t="shared" si="193"/>
        <v>0</v>
      </c>
      <c r="AH253" s="34">
        <f t="shared" si="194"/>
        <v>0</v>
      </c>
      <c r="AI253" s="27" t="s">
        <v>3645</v>
      </c>
      <c r="AJ253" s="18">
        <f t="shared" si="195"/>
        <v>0</v>
      </c>
      <c r="AK253" s="18">
        <f t="shared" si="196"/>
        <v>0</v>
      </c>
      <c r="AL253" s="18">
        <f t="shared" si="197"/>
        <v>0</v>
      </c>
      <c r="AN253" s="34">
        <v>21</v>
      </c>
      <c r="AO253" s="34">
        <f t="shared" si="206"/>
        <v>0</v>
      </c>
      <c r="AP253" s="34">
        <f t="shared" si="207"/>
        <v>0</v>
      </c>
      <c r="AQ253" s="28" t="s">
        <v>7</v>
      </c>
      <c r="AV253" s="34">
        <f t="shared" si="198"/>
        <v>0</v>
      </c>
      <c r="AW253" s="34">
        <f t="shared" si="199"/>
        <v>0</v>
      </c>
      <c r="AX253" s="34">
        <f t="shared" si="200"/>
        <v>0</v>
      </c>
      <c r="AY253" s="35" t="s">
        <v>3671</v>
      </c>
      <c r="AZ253" s="35" t="s">
        <v>3712</v>
      </c>
      <c r="BA253" s="27" t="s">
        <v>3729</v>
      </c>
      <c r="BC253" s="34">
        <f t="shared" si="201"/>
        <v>0</v>
      </c>
      <c r="BD253" s="34">
        <f t="shared" si="202"/>
        <v>0</v>
      </c>
      <c r="BE253" s="34">
        <v>0</v>
      </c>
      <c r="BF253" s="34">
        <f>253</f>
        <v>253</v>
      </c>
      <c r="BH253" s="18">
        <f t="shared" si="203"/>
        <v>0</v>
      </c>
      <c r="BI253" s="18">
        <f t="shared" si="204"/>
        <v>0</v>
      </c>
      <c r="BJ253" s="18">
        <f t="shared" si="205"/>
        <v>0</v>
      </c>
    </row>
    <row r="254" spans="1:62" x14ac:dyDescent="0.2">
      <c r="A254" s="5" t="s">
        <v>223</v>
      </c>
      <c r="B254" s="5" t="s">
        <v>1420</v>
      </c>
      <c r="C254" s="135" t="s">
        <v>2643</v>
      </c>
      <c r="D254" s="136"/>
      <c r="E254" s="136"/>
      <c r="F254" s="136"/>
      <c r="G254" s="136"/>
      <c r="H254" s="5" t="s">
        <v>3616</v>
      </c>
      <c r="I254" s="18">
        <v>0.45</v>
      </c>
      <c r="J254" s="18">
        <v>0</v>
      </c>
      <c r="K254" s="18">
        <f t="shared" si="186"/>
        <v>0</v>
      </c>
      <c r="L254" s="28" t="s">
        <v>3635</v>
      </c>
      <c r="Z254" s="34">
        <f t="shared" si="187"/>
        <v>0</v>
      </c>
      <c r="AB254" s="34">
        <f t="shared" si="188"/>
        <v>0</v>
      </c>
      <c r="AC254" s="34">
        <f t="shared" si="189"/>
        <v>0</v>
      </c>
      <c r="AD254" s="34">
        <f t="shared" si="190"/>
        <v>0</v>
      </c>
      <c r="AE254" s="34">
        <f t="shared" si="191"/>
        <v>0</v>
      </c>
      <c r="AF254" s="34">
        <f t="shared" si="192"/>
        <v>0</v>
      </c>
      <c r="AG254" s="34">
        <f t="shared" si="193"/>
        <v>0</v>
      </c>
      <c r="AH254" s="34">
        <f t="shared" si="194"/>
        <v>0</v>
      </c>
      <c r="AI254" s="27" t="s">
        <v>3645</v>
      </c>
      <c r="AJ254" s="18">
        <f t="shared" si="195"/>
        <v>0</v>
      </c>
      <c r="AK254" s="18">
        <f t="shared" si="196"/>
        <v>0</v>
      </c>
      <c r="AL254" s="18">
        <f t="shared" si="197"/>
        <v>0</v>
      </c>
      <c r="AN254" s="34">
        <v>21</v>
      </c>
      <c r="AO254" s="34">
        <f t="shared" si="206"/>
        <v>0</v>
      </c>
      <c r="AP254" s="34">
        <f t="shared" si="207"/>
        <v>0</v>
      </c>
      <c r="AQ254" s="28" t="s">
        <v>7</v>
      </c>
      <c r="AV254" s="34">
        <f t="shared" si="198"/>
        <v>0</v>
      </c>
      <c r="AW254" s="34">
        <f t="shared" si="199"/>
        <v>0</v>
      </c>
      <c r="AX254" s="34">
        <f t="shared" si="200"/>
        <v>0</v>
      </c>
      <c r="AY254" s="35" t="s">
        <v>3671</v>
      </c>
      <c r="AZ254" s="35" t="s">
        <v>3712</v>
      </c>
      <c r="BA254" s="27" t="s">
        <v>3729</v>
      </c>
      <c r="BC254" s="34">
        <f t="shared" si="201"/>
        <v>0</v>
      </c>
      <c r="BD254" s="34">
        <f t="shared" si="202"/>
        <v>0</v>
      </c>
      <c r="BE254" s="34">
        <v>0</v>
      </c>
      <c r="BF254" s="34">
        <f>254</f>
        <v>254</v>
      </c>
      <c r="BH254" s="18">
        <f t="shared" si="203"/>
        <v>0</v>
      </c>
      <c r="BI254" s="18">
        <f t="shared" si="204"/>
        <v>0</v>
      </c>
      <c r="BJ254" s="18">
        <f t="shared" si="205"/>
        <v>0</v>
      </c>
    </row>
    <row r="255" spans="1:62" x14ac:dyDescent="0.2">
      <c r="A255" s="5" t="s">
        <v>224</v>
      </c>
      <c r="B255" s="5" t="s">
        <v>1421</v>
      </c>
      <c r="C255" s="135" t="s">
        <v>2644</v>
      </c>
      <c r="D255" s="136"/>
      <c r="E255" s="136"/>
      <c r="F255" s="136"/>
      <c r="G255" s="136"/>
      <c r="H255" s="5" t="s">
        <v>3612</v>
      </c>
      <c r="I255" s="18">
        <v>30</v>
      </c>
      <c r="J255" s="18">
        <v>0</v>
      </c>
      <c r="K255" s="18">
        <f t="shared" si="186"/>
        <v>0</v>
      </c>
      <c r="L255" s="28" t="s">
        <v>3635</v>
      </c>
      <c r="Z255" s="34">
        <f t="shared" si="187"/>
        <v>0</v>
      </c>
      <c r="AB255" s="34">
        <f t="shared" si="188"/>
        <v>0</v>
      </c>
      <c r="AC255" s="34">
        <f t="shared" si="189"/>
        <v>0</v>
      </c>
      <c r="AD255" s="34">
        <f t="shared" si="190"/>
        <v>0</v>
      </c>
      <c r="AE255" s="34">
        <f t="shared" si="191"/>
        <v>0</v>
      </c>
      <c r="AF255" s="34">
        <f t="shared" si="192"/>
        <v>0</v>
      </c>
      <c r="AG255" s="34">
        <f t="shared" si="193"/>
        <v>0</v>
      </c>
      <c r="AH255" s="34">
        <f t="shared" si="194"/>
        <v>0</v>
      </c>
      <c r="AI255" s="27" t="s">
        <v>3645</v>
      </c>
      <c r="AJ255" s="18">
        <f t="shared" si="195"/>
        <v>0</v>
      </c>
      <c r="AK255" s="18">
        <f t="shared" si="196"/>
        <v>0</v>
      </c>
      <c r="AL255" s="18">
        <f t="shared" si="197"/>
        <v>0</v>
      </c>
      <c r="AN255" s="34">
        <v>21</v>
      </c>
      <c r="AO255" s="34">
        <f t="shared" si="206"/>
        <v>0</v>
      </c>
      <c r="AP255" s="34">
        <f t="shared" si="207"/>
        <v>0</v>
      </c>
      <c r="AQ255" s="28" t="s">
        <v>7</v>
      </c>
      <c r="AV255" s="34">
        <f t="shared" si="198"/>
        <v>0</v>
      </c>
      <c r="AW255" s="34">
        <f t="shared" si="199"/>
        <v>0</v>
      </c>
      <c r="AX255" s="34">
        <f t="shared" si="200"/>
        <v>0</v>
      </c>
      <c r="AY255" s="35" t="s">
        <v>3671</v>
      </c>
      <c r="AZ255" s="35" t="s">
        <v>3712</v>
      </c>
      <c r="BA255" s="27" t="s">
        <v>3729</v>
      </c>
      <c r="BC255" s="34">
        <f t="shared" si="201"/>
        <v>0</v>
      </c>
      <c r="BD255" s="34">
        <f t="shared" si="202"/>
        <v>0</v>
      </c>
      <c r="BE255" s="34">
        <v>0</v>
      </c>
      <c r="BF255" s="34">
        <f>255</f>
        <v>255</v>
      </c>
      <c r="BH255" s="18">
        <f t="shared" si="203"/>
        <v>0</v>
      </c>
      <c r="BI255" s="18">
        <f t="shared" si="204"/>
        <v>0</v>
      </c>
      <c r="BJ255" s="18">
        <f t="shared" si="205"/>
        <v>0</v>
      </c>
    </row>
    <row r="256" spans="1:62" x14ac:dyDescent="0.2">
      <c r="A256" s="5" t="s">
        <v>225</v>
      </c>
      <c r="B256" s="5" t="s">
        <v>1422</v>
      </c>
      <c r="C256" s="135" t="s">
        <v>2645</v>
      </c>
      <c r="D256" s="136"/>
      <c r="E256" s="136"/>
      <c r="F256" s="136"/>
      <c r="G256" s="136"/>
      <c r="H256" s="5" t="s">
        <v>3615</v>
      </c>
      <c r="I256" s="18">
        <v>358.42</v>
      </c>
      <c r="J256" s="18">
        <v>0</v>
      </c>
      <c r="K256" s="18">
        <f t="shared" si="186"/>
        <v>0</v>
      </c>
      <c r="L256" s="28" t="s">
        <v>3635</v>
      </c>
      <c r="Z256" s="34">
        <f t="shared" si="187"/>
        <v>0</v>
      </c>
      <c r="AB256" s="34">
        <f t="shared" si="188"/>
        <v>0</v>
      </c>
      <c r="AC256" s="34">
        <f t="shared" si="189"/>
        <v>0</v>
      </c>
      <c r="AD256" s="34">
        <f t="shared" si="190"/>
        <v>0</v>
      </c>
      <c r="AE256" s="34">
        <f t="shared" si="191"/>
        <v>0</v>
      </c>
      <c r="AF256" s="34">
        <f t="shared" si="192"/>
        <v>0</v>
      </c>
      <c r="AG256" s="34">
        <f t="shared" si="193"/>
        <v>0</v>
      </c>
      <c r="AH256" s="34">
        <f t="shared" si="194"/>
        <v>0</v>
      </c>
      <c r="AI256" s="27" t="s">
        <v>3645</v>
      </c>
      <c r="AJ256" s="18">
        <f t="shared" si="195"/>
        <v>0</v>
      </c>
      <c r="AK256" s="18">
        <f t="shared" si="196"/>
        <v>0</v>
      </c>
      <c r="AL256" s="18">
        <f t="shared" si="197"/>
        <v>0</v>
      </c>
      <c r="AN256" s="34">
        <v>21</v>
      </c>
      <c r="AO256" s="34">
        <f t="shared" si="206"/>
        <v>0</v>
      </c>
      <c r="AP256" s="34">
        <f t="shared" si="207"/>
        <v>0</v>
      </c>
      <c r="AQ256" s="28" t="s">
        <v>7</v>
      </c>
      <c r="AV256" s="34">
        <f t="shared" si="198"/>
        <v>0</v>
      </c>
      <c r="AW256" s="34">
        <f t="shared" si="199"/>
        <v>0</v>
      </c>
      <c r="AX256" s="34">
        <f t="shared" si="200"/>
        <v>0</v>
      </c>
      <c r="AY256" s="35" t="s">
        <v>3671</v>
      </c>
      <c r="AZ256" s="35" t="s">
        <v>3712</v>
      </c>
      <c r="BA256" s="27" t="s">
        <v>3729</v>
      </c>
      <c r="BC256" s="34">
        <f t="shared" si="201"/>
        <v>0</v>
      </c>
      <c r="BD256" s="34">
        <f t="shared" si="202"/>
        <v>0</v>
      </c>
      <c r="BE256" s="34">
        <v>0</v>
      </c>
      <c r="BF256" s="34">
        <f>256</f>
        <v>256</v>
      </c>
      <c r="BH256" s="18">
        <f t="shared" si="203"/>
        <v>0</v>
      </c>
      <c r="BI256" s="18">
        <f t="shared" si="204"/>
        <v>0</v>
      </c>
      <c r="BJ256" s="18">
        <f t="shared" si="205"/>
        <v>0</v>
      </c>
    </row>
    <row r="257" spans="1:62" x14ac:dyDescent="0.2">
      <c r="A257" s="5" t="s">
        <v>226</v>
      </c>
      <c r="B257" s="5" t="s">
        <v>1423</v>
      </c>
      <c r="C257" s="135" t="s">
        <v>2646</v>
      </c>
      <c r="D257" s="136"/>
      <c r="E257" s="136"/>
      <c r="F257" s="136"/>
      <c r="G257" s="136"/>
      <c r="H257" s="5" t="s">
        <v>3615</v>
      </c>
      <c r="I257" s="18">
        <v>358.42</v>
      </c>
      <c r="J257" s="18">
        <v>0</v>
      </c>
      <c r="K257" s="18">
        <f t="shared" si="186"/>
        <v>0</v>
      </c>
      <c r="L257" s="28" t="s">
        <v>3635</v>
      </c>
      <c r="Z257" s="34">
        <f t="shared" si="187"/>
        <v>0</v>
      </c>
      <c r="AB257" s="34">
        <f t="shared" si="188"/>
        <v>0</v>
      </c>
      <c r="AC257" s="34">
        <f t="shared" si="189"/>
        <v>0</v>
      </c>
      <c r="AD257" s="34">
        <f t="shared" si="190"/>
        <v>0</v>
      </c>
      <c r="AE257" s="34">
        <f t="shared" si="191"/>
        <v>0</v>
      </c>
      <c r="AF257" s="34">
        <f t="shared" si="192"/>
        <v>0</v>
      </c>
      <c r="AG257" s="34">
        <f t="shared" si="193"/>
        <v>0</v>
      </c>
      <c r="AH257" s="34">
        <f t="shared" si="194"/>
        <v>0</v>
      </c>
      <c r="AI257" s="27" t="s">
        <v>3645</v>
      </c>
      <c r="AJ257" s="18">
        <f t="shared" si="195"/>
        <v>0</v>
      </c>
      <c r="AK257" s="18">
        <f t="shared" si="196"/>
        <v>0</v>
      </c>
      <c r="AL257" s="18">
        <f t="shared" si="197"/>
        <v>0</v>
      </c>
      <c r="AN257" s="34">
        <v>21</v>
      </c>
      <c r="AO257" s="34">
        <f t="shared" si="206"/>
        <v>0</v>
      </c>
      <c r="AP257" s="34">
        <f t="shared" si="207"/>
        <v>0</v>
      </c>
      <c r="AQ257" s="28" t="s">
        <v>7</v>
      </c>
      <c r="AV257" s="34">
        <f t="shared" si="198"/>
        <v>0</v>
      </c>
      <c r="AW257" s="34">
        <f t="shared" si="199"/>
        <v>0</v>
      </c>
      <c r="AX257" s="34">
        <f t="shared" si="200"/>
        <v>0</v>
      </c>
      <c r="AY257" s="35" t="s">
        <v>3671</v>
      </c>
      <c r="AZ257" s="35" t="s">
        <v>3712</v>
      </c>
      <c r="BA257" s="27" t="s">
        <v>3729</v>
      </c>
      <c r="BC257" s="34">
        <f t="shared" si="201"/>
        <v>0</v>
      </c>
      <c r="BD257" s="34">
        <f t="shared" si="202"/>
        <v>0</v>
      </c>
      <c r="BE257" s="34">
        <v>0</v>
      </c>
      <c r="BF257" s="34">
        <f>257</f>
        <v>257</v>
      </c>
      <c r="BH257" s="18">
        <f t="shared" si="203"/>
        <v>0</v>
      </c>
      <c r="BI257" s="18">
        <f t="shared" si="204"/>
        <v>0</v>
      </c>
      <c r="BJ257" s="18">
        <f t="shared" si="205"/>
        <v>0</v>
      </c>
    </row>
    <row r="258" spans="1:62" x14ac:dyDescent="0.2">
      <c r="A258" s="5" t="s">
        <v>227</v>
      </c>
      <c r="B258" s="5" t="s">
        <v>1424</v>
      </c>
      <c r="C258" s="135" t="s">
        <v>2647</v>
      </c>
      <c r="D258" s="136"/>
      <c r="E258" s="136"/>
      <c r="F258" s="136"/>
      <c r="G258" s="136"/>
      <c r="H258" s="5" t="s">
        <v>3615</v>
      </c>
      <c r="I258" s="18">
        <v>638.65229999999997</v>
      </c>
      <c r="J258" s="18">
        <v>0</v>
      </c>
      <c r="K258" s="18">
        <f t="shared" si="186"/>
        <v>0</v>
      </c>
      <c r="L258" s="28" t="s">
        <v>3635</v>
      </c>
      <c r="Z258" s="34">
        <f t="shared" si="187"/>
        <v>0</v>
      </c>
      <c r="AB258" s="34">
        <f t="shared" si="188"/>
        <v>0</v>
      </c>
      <c r="AC258" s="34">
        <f t="shared" si="189"/>
        <v>0</v>
      </c>
      <c r="AD258" s="34">
        <f t="shared" si="190"/>
        <v>0</v>
      </c>
      <c r="AE258" s="34">
        <f t="shared" si="191"/>
        <v>0</v>
      </c>
      <c r="AF258" s="34">
        <f t="shared" si="192"/>
        <v>0</v>
      </c>
      <c r="AG258" s="34">
        <f t="shared" si="193"/>
        <v>0</v>
      </c>
      <c r="AH258" s="34">
        <f t="shared" si="194"/>
        <v>0</v>
      </c>
      <c r="AI258" s="27" t="s">
        <v>3645</v>
      </c>
      <c r="AJ258" s="18">
        <f t="shared" si="195"/>
        <v>0</v>
      </c>
      <c r="AK258" s="18">
        <f t="shared" si="196"/>
        <v>0</v>
      </c>
      <c r="AL258" s="18">
        <f t="shared" si="197"/>
        <v>0</v>
      </c>
      <c r="AN258" s="34">
        <v>21</v>
      </c>
      <c r="AO258" s="34">
        <f t="shared" si="206"/>
        <v>0</v>
      </c>
      <c r="AP258" s="34">
        <f t="shared" si="207"/>
        <v>0</v>
      </c>
      <c r="AQ258" s="28" t="s">
        <v>7</v>
      </c>
      <c r="AV258" s="34">
        <f t="shared" si="198"/>
        <v>0</v>
      </c>
      <c r="AW258" s="34">
        <f t="shared" si="199"/>
        <v>0</v>
      </c>
      <c r="AX258" s="34">
        <f t="shared" si="200"/>
        <v>0</v>
      </c>
      <c r="AY258" s="35" t="s">
        <v>3671</v>
      </c>
      <c r="AZ258" s="35" t="s">
        <v>3712</v>
      </c>
      <c r="BA258" s="27" t="s">
        <v>3729</v>
      </c>
      <c r="BC258" s="34">
        <f t="shared" si="201"/>
        <v>0</v>
      </c>
      <c r="BD258" s="34">
        <f t="shared" si="202"/>
        <v>0</v>
      </c>
      <c r="BE258" s="34">
        <v>0</v>
      </c>
      <c r="BF258" s="34">
        <f>258</f>
        <v>258</v>
      </c>
      <c r="BH258" s="18">
        <f t="shared" si="203"/>
        <v>0</v>
      </c>
      <c r="BI258" s="18">
        <f t="shared" si="204"/>
        <v>0</v>
      </c>
      <c r="BJ258" s="18">
        <f t="shared" si="205"/>
        <v>0</v>
      </c>
    </row>
    <row r="259" spans="1:62" x14ac:dyDescent="0.2">
      <c r="A259" s="5" t="s">
        <v>228</v>
      </c>
      <c r="B259" s="5" t="s">
        <v>1424</v>
      </c>
      <c r="C259" s="135" t="s">
        <v>2648</v>
      </c>
      <c r="D259" s="136"/>
      <c r="E259" s="136"/>
      <c r="F259" s="136"/>
      <c r="G259" s="136"/>
      <c r="H259" s="5" t="s">
        <v>3615</v>
      </c>
      <c r="I259" s="18">
        <v>42.726500000000001</v>
      </c>
      <c r="J259" s="18">
        <v>0</v>
      </c>
      <c r="K259" s="18">
        <f t="shared" si="186"/>
        <v>0</v>
      </c>
      <c r="L259" s="28" t="s">
        <v>3635</v>
      </c>
      <c r="Z259" s="34">
        <f t="shared" si="187"/>
        <v>0</v>
      </c>
      <c r="AB259" s="34">
        <f t="shared" si="188"/>
        <v>0</v>
      </c>
      <c r="AC259" s="34">
        <f t="shared" si="189"/>
        <v>0</v>
      </c>
      <c r="AD259" s="34">
        <f t="shared" si="190"/>
        <v>0</v>
      </c>
      <c r="AE259" s="34">
        <f t="shared" si="191"/>
        <v>0</v>
      </c>
      <c r="AF259" s="34">
        <f t="shared" si="192"/>
        <v>0</v>
      </c>
      <c r="AG259" s="34">
        <f t="shared" si="193"/>
        <v>0</v>
      </c>
      <c r="AH259" s="34">
        <f t="shared" si="194"/>
        <v>0</v>
      </c>
      <c r="AI259" s="27" t="s">
        <v>3645</v>
      </c>
      <c r="AJ259" s="18">
        <f t="shared" si="195"/>
        <v>0</v>
      </c>
      <c r="AK259" s="18">
        <f t="shared" si="196"/>
        <v>0</v>
      </c>
      <c r="AL259" s="18">
        <f t="shared" si="197"/>
        <v>0</v>
      </c>
      <c r="AN259" s="34">
        <v>21</v>
      </c>
      <c r="AO259" s="34">
        <f t="shared" si="206"/>
        <v>0</v>
      </c>
      <c r="AP259" s="34">
        <f t="shared" si="207"/>
        <v>0</v>
      </c>
      <c r="AQ259" s="28" t="s">
        <v>7</v>
      </c>
      <c r="AV259" s="34">
        <f t="shared" si="198"/>
        <v>0</v>
      </c>
      <c r="AW259" s="34">
        <f t="shared" si="199"/>
        <v>0</v>
      </c>
      <c r="AX259" s="34">
        <f t="shared" si="200"/>
        <v>0</v>
      </c>
      <c r="AY259" s="35" t="s">
        <v>3671</v>
      </c>
      <c r="AZ259" s="35" t="s">
        <v>3712</v>
      </c>
      <c r="BA259" s="27" t="s">
        <v>3729</v>
      </c>
      <c r="BC259" s="34">
        <f t="shared" si="201"/>
        <v>0</v>
      </c>
      <c r="BD259" s="34">
        <f t="shared" si="202"/>
        <v>0</v>
      </c>
      <c r="BE259" s="34">
        <v>0</v>
      </c>
      <c r="BF259" s="34">
        <f>259</f>
        <v>259</v>
      </c>
      <c r="BH259" s="18">
        <f t="shared" si="203"/>
        <v>0</v>
      </c>
      <c r="BI259" s="18">
        <f t="shared" si="204"/>
        <v>0</v>
      </c>
      <c r="BJ259" s="18">
        <f t="shared" si="205"/>
        <v>0</v>
      </c>
    </row>
    <row r="260" spans="1:62" x14ac:dyDescent="0.2">
      <c r="A260" s="5" t="s">
        <v>229</v>
      </c>
      <c r="B260" s="5" t="s">
        <v>1425</v>
      </c>
      <c r="C260" s="135" t="s">
        <v>2649</v>
      </c>
      <c r="D260" s="136"/>
      <c r="E260" s="136"/>
      <c r="F260" s="136"/>
      <c r="G260" s="136"/>
      <c r="H260" s="5" t="s">
        <v>3615</v>
      </c>
      <c r="I260" s="18">
        <v>638.65229999999997</v>
      </c>
      <c r="J260" s="18">
        <v>0</v>
      </c>
      <c r="K260" s="18">
        <f t="shared" si="186"/>
        <v>0</v>
      </c>
      <c r="L260" s="28" t="s">
        <v>3635</v>
      </c>
      <c r="Z260" s="34">
        <f t="shared" si="187"/>
        <v>0</v>
      </c>
      <c r="AB260" s="34">
        <f t="shared" si="188"/>
        <v>0</v>
      </c>
      <c r="AC260" s="34">
        <f t="shared" si="189"/>
        <v>0</v>
      </c>
      <c r="AD260" s="34">
        <f t="shared" si="190"/>
        <v>0</v>
      </c>
      <c r="AE260" s="34">
        <f t="shared" si="191"/>
        <v>0</v>
      </c>
      <c r="AF260" s="34">
        <f t="shared" si="192"/>
        <v>0</v>
      </c>
      <c r="AG260" s="34">
        <f t="shared" si="193"/>
        <v>0</v>
      </c>
      <c r="AH260" s="34">
        <f t="shared" si="194"/>
        <v>0</v>
      </c>
      <c r="AI260" s="27" t="s">
        <v>3645</v>
      </c>
      <c r="AJ260" s="18">
        <f t="shared" si="195"/>
        <v>0</v>
      </c>
      <c r="AK260" s="18">
        <f t="shared" si="196"/>
        <v>0</v>
      </c>
      <c r="AL260" s="18">
        <f t="shared" si="197"/>
        <v>0</v>
      </c>
      <c r="AN260" s="34">
        <v>21</v>
      </c>
      <c r="AO260" s="34">
        <f t="shared" si="206"/>
        <v>0</v>
      </c>
      <c r="AP260" s="34">
        <f t="shared" si="207"/>
        <v>0</v>
      </c>
      <c r="AQ260" s="28" t="s">
        <v>7</v>
      </c>
      <c r="AV260" s="34">
        <f t="shared" si="198"/>
        <v>0</v>
      </c>
      <c r="AW260" s="34">
        <f t="shared" si="199"/>
        <v>0</v>
      </c>
      <c r="AX260" s="34">
        <f t="shared" si="200"/>
        <v>0</v>
      </c>
      <c r="AY260" s="35" t="s">
        <v>3671</v>
      </c>
      <c r="AZ260" s="35" t="s">
        <v>3712</v>
      </c>
      <c r="BA260" s="27" t="s">
        <v>3729</v>
      </c>
      <c r="BC260" s="34">
        <f t="shared" si="201"/>
        <v>0</v>
      </c>
      <c r="BD260" s="34">
        <f t="shared" si="202"/>
        <v>0</v>
      </c>
      <c r="BE260" s="34">
        <v>0</v>
      </c>
      <c r="BF260" s="34">
        <f>260</f>
        <v>260</v>
      </c>
      <c r="BH260" s="18">
        <f t="shared" si="203"/>
        <v>0</v>
      </c>
      <c r="BI260" s="18">
        <f t="shared" si="204"/>
        <v>0</v>
      </c>
      <c r="BJ260" s="18">
        <f t="shared" si="205"/>
        <v>0</v>
      </c>
    </row>
    <row r="261" spans="1:62" x14ac:dyDescent="0.2">
      <c r="A261" s="5" t="s">
        <v>230</v>
      </c>
      <c r="B261" s="5" t="s">
        <v>1425</v>
      </c>
      <c r="C261" s="135" t="s">
        <v>2650</v>
      </c>
      <c r="D261" s="136"/>
      <c r="E261" s="136"/>
      <c r="F261" s="136"/>
      <c r="G261" s="136"/>
      <c r="H261" s="5" t="s">
        <v>3615</v>
      </c>
      <c r="I261" s="18">
        <v>42.726500000000001</v>
      </c>
      <c r="J261" s="18">
        <v>0</v>
      </c>
      <c r="K261" s="18">
        <f t="shared" si="186"/>
        <v>0</v>
      </c>
      <c r="L261" s="28" t="s">
        <v>3635</v>
      </c>
      <c r="Z261" s="34">
        <f t="shared" si="187"/>
        <v>0</v>
      </c>
      <c r="AB261" s="34">
        <f t="shared" si="188"/>
        <v>0</v>
      </c>
      <c r="AC261" s="34">
        <f t="shared" si="189"/>
        <v>0</v>
      </c>
      <c r="AD261" s="34">
        <f t="shared" si="190"/>
        <v>0</v>
      </c>
      <c r="AE261" s="34">
        <f t="shared" si="191"/>
        <v>0</v>
      </c>
      <c r="AF261" s="34">
        <f t="shared" si="192"/>
        <v>0</v>
      </c>
      <c r="AG261" s="34">
        <f t="shared" si="193"/>
        <v>0</v>
      </c>
      <c r="AH261" s="34">
        <f t="shared" si="194"/>
        <v>0</v>
      </c>
      <c r="AI261" s="27" t="s">
        <v>3645</v>
      </c>
      <c r="AJ261" s="18">
        <f t="shared" si="195"/>
        <v>0</v>
      </c>
      <c r="AK261" s="18">
        <f t="shared" si="196"/>
        <v>0</v>
      </c>
      <c r="AL261" s="18">
        <f t="shared" si="197"/>
        <v>0</v>
      </c>
      <c r="AN261" s="34">
        <v>21</v>
      </c>
      <c r="AO261" s="34">
        <f t="shared" si="206"/>
        <v>0</v>
      </c>
      <c r="AP261" s="34">
        <f t="shared" si="207"/>
        <v>0</v>
      </c>
      <c r="AQ261" s="28" t="s">
        <v>7</v>
      </c>
      <c r="AV261" s="34">
        <f t="shared" si="198"/>
        <v>0</v>
      </c>
      <c r="AW261" s="34">
        <f t="shared" si="199"/>
        <v>0</v>
      </c>
      <c r="AX261" s="34">
        <f t="shared" si="200"/>
        <v>0</v>
      </c>
      <c r="AY261" s="35" t="s">
        <v>3671</v>
      </c>
      <c r="AZ261" s="35" t="s">
        <v>3712</v>
      </c>
      <c r="BA261" s="27" t="s">
        <v>3729</v>
      </c>
      <c r="BC261" s="34">
        <f t="shared" si="201"/>
        <v>0</v>
      </c>
      <c r="BD261" s="34">
        <f t="shared" si="202"/>
        <v>0</v>
      </c>
      <c r="BE261" s="34">
        <v>0</v>
      </c>
      <c r="BF261" s="34">
        <f>261</f>
        <v>261</v>
      </c>
      <c r="BH261" s="18">
        <f t="shared" si="203"/>
        <v>0</v>
      </c>
      <c r="BI261" s="18">
        <f t="shared" si="204"/>
        <v>0</v>
      </c>
      <c r="BJ261" s="18">
        <f t="shared" si="205"/>
        <v>0</v>
      </c>
    </row>
    <row r="262" spans="1:62" x14ac:dyDescent="0.2">
      <c r="A262" s="5" t="s">
        <v>231</v>
      </c>
      <c r="B262" s="5" t="s">
        <v>1426</v>
      </c>
      <c r="C262" s="135" t="s">
        <v>2651</v>
      </c>
      <c r="D262" s="136"/>
      <c r="E262" s="136"/>
      <c r="F262" s="136"/>
      <c r="G262" s="136"/>
      <c r="H262" s="5" t="s">
        <v>3615</v>
      </c>
      <c r="I262" s="18">
        <v>384.53813000000002</v>
      </c>
      <c r="J262" s="18">
        <v>0</v>
      </c>
      <c r="K262" s="18">
        <f t="shared" si="186"/>
        <v>0</v>
      </c>
      <c r="L262" s="28" t="s">
        <v>3635</v>
      </c>
      <c r="Z262" s="34">
        <f t="shared" si="187"/>
        <v>0</v>
      </c>
      <c r="AB262" s="34">
        <f t="shared" si="188"/>
        <v>0</v>
      </c>
      <c r="AC262" s="34">
        <f t="shared" si="189"/>
        <v>0</v>
      </c>
      <c r="AD262" s="34">
        <f t="shared" si="190"/>
        <v>0</v>
      </c>
      <c r="AE262" s="34">
        <f t="shared" si="191"/>
        <v>0</v>
      </c>
      <c r="AF262" s="34">
        <f t="shared" si="192"/>
        <v>0</v>
      </c>
      <c r="AG262" s="34">
        <f t="shared" si="193"/>
        <v>0</v>
      </c>
      <c r="AH262" s="34">
        <f t="shared" si="194"/>
        <v>0</v>
      </c>
      <c r="AI262" s="27" t="s">
        <v>3645</v>
      </c>
      <c r="AJ262" s="18">
        <f t="shared" si="195"/>
        <v>0</v>
      </c>
      <c r="AK262" s="18">
        <f t="shared" si="196"/>
        <v>0</v>
      </c>
      <c r="AL262" s="18">
        <f t="shared" si="197"/>
        <v>0</v>
      </c>
      <c r="AN262" s="34">
        <v>21</v>
      </c>
      <c r="AO262" s="34">
        <f t="shared" si="206"/>
        <v>0</v>
      </c>
      <c r="AP262" s="34">
        <f t="shared" si="207"/>
        <v>0</v>
      </c>
      <c r="AQ262" s="28" t="s">
        <v>7</v>
      </c>
      <c r="AV262" s="34">
        <f t="shared" si="198"/>
        <v>0</v>
      </c>
      <c r="AW262" s="34">
        <f t="shared" si="199"/>
        <v>0</v>
      </c>
      <c r="AX262" s="34">
        <f t="shared" si="200"/>
        <v>0</v>
      </c>
      <c r="AY262" s="35" t="s">
        <v>3671</v>
      </c>
      <c r="AZ262" s="35" t="s">
        <v>3712</v>
      </c>
      <c r="BA262" s="27" t="s">
        <v>3729</v>
      </c>
      <c r="BC262" s="34">
        <f t="shared" si="201"/>
        <v>0</v>
      </c>
      <c r="BD262" s="34">
        <f t="shared" si="202"/>
        <v>0</v>
      </c>
      <c r="BE262" s="34">
        <v>0</v>
      </c>
      <c r="BF262" s="34">
        <f>262</f>
        <v>262</v>
      </c>
      <c r="BH262" s="18">
        <f t="shared" si="203"/>
        <v>0</v>
      </c>
      <c r="BI262" s="18">
        <f t="shared" si="204"/>
        <v>0</v>
      </c>
      <c r="BJ262" s="18">
        <f t="shared" si="205"/>
        <v>0</v>
      </c>
    </row>
    <row r="263" spans="1:62" x14ac:dyDescent="0.2">
      <c r="A263" s="5" t="s">
        <v>232</v>
      </c>
      <c r="B263" s="5" t="s">
        <v>1427</v>
      </c>
      <c r="C263" s="135" t="s">
        <v>2652</v>
      </c>
      <c r="D263" s="136"/>
      <c r="E263" s="136"/>
      <c r="F263" s="136"/>
      <c r="G263" s="136"/>
      <c r="H263" s="5" t="s">
        <v>3615</v>
      </c>
      <c r="I263" s="18">
        <v>511.59521999999998</v>
      </c>
      <c r="J263" s="18">
        <v>0</v>
      </c>
      <c r="K263" s="18">
        <f t="shared" si="186"/>
        <v>0</v>
      </c>
      <c r="L263" s="28" t="s">
        <v>3635</v>
      </c>
      <c r="Z263" s="34">
        <f t="shared" si="187"/>
        <v>0</v>
      </c>
      <c r="AB263" s="34">
        <f t="shared" si="188"/>
        <v>0</v>
      </c>
      <c r="AC263" s="34">
        <f t="shared" si="189"/>
        <v>0</v>
      </c>
      <c r="AD263" s="34">
        <f t="shared" si="190"/>
        <v>0</v>
      </c>
      <c r="AE263" s="34">
        <f t="shared" si="191"/>
        <v>0</v>
      </c>
      <c r="AF263" s="34">
        <f t="shared" si="192"/>
        <v>0</v>
      </c>
      <c r="AG263" s="34">
        <f t="shared" si="193"/>
        <v>0</v>
      </c>
      <c r="AH263" s="34">
        <f t="shared" si="194"/>
        <v>0</v>
      </c>
      <c r="AI263" s="27" t="s">
        <v>3645</v>
      </c>
      <c r="AJ263" s="18">
        <f t="shared" si="195"/>
        <v>0</v>
      </c>
      <c r="AK263" s="18">
        <f t="shared" si="196"/>
        <v>0</v>
      </c>
      <c r="AL263" s="18">
        <f t="shared" si="197"/>
        <v>0</v>
      </c>
      <c r="AN263" s="34">
        <v>21</v>
      </c>
      <c r="AO263" s="34">
        <f t="shared" si="206"/>
        <v>0</v>
      </c>
      <c r="AP263" s="34">
        <f t="shared" si="207"/>
        <v>0</v>
      </c>
      <c r="AQ263" s="28" t="s">
        <v>7</v>
      </c>
      <c r="AV263" s="34">
        <f t="shared" si="198"/>
        <v>0</v>
      </c>
      <c r="AW263" s="34">
        <f t="shared" si="199"/>
        <v>0</v>
      </c>
      <c r="AX263" s="34">
        <f t="shared" si="200"/>
        <v>0</v>
      </c>
      <c r="AY263" s="35" t="s">
        <v>3671</v>
      </c>
      <c r="AZ263" s="35" t="s">
        <v>3712</v>
      </c>
      <c r="BA263" s="27" t="s">
        <v>3729</v>
      </c>
      <c r="BC263" s="34">
        <f t="shared" si="201"/>
        <v>0</v>
      </c>
      <c r="BD263" s="34">
        <f t="shared" si="202"/>
        <v>0</v>
      </c>
      <c r="BE263" s="34">
        <v>0</v>
      </c>
      <c r="BF263" s="34">
        <f>263</f>
        <v>263</v>
      </c>
      <c r="BH263" s="18">
        <f t="shared" si="203"/>
        <v>0</v>
      </c>
      <c r="BI263" s="18">
        <f t="shared" si="204"/>
        <v>0</v>
      </c>
      <c r="BJ263" s="18">
        <f t="shared" si="205"/>
        <v>0</v>
      </c>
    </row>
    <row r="264" spans="1:62" x14ac:dyDescent="0.2">
      <c r="A264" s="5" t="s">
        <v>233</v>
      </c>
      <c r="B264" s="5" t="s">
        <v>1428</v>
      </c>
      <c r="C264" s="135" t="s">
        <v>2653</v>
      </c>
      <c r="D264" s="136"/>
      <c r="E264" s="136"/>
      <c r="F264" s="136"/>
      <c r="G264" s="136"/>
      <c r="H264" s="5" t="s">
        <v>3615</v>
      </c>
      <c r="I264" s="18">
        <v>5.25</v>
      </c>
      <c r="J264" s="18">
        <v>0</v>
      </c>
      <c r="K264" s="18">
        <f t="shared" si="186"/>
        <v>0</v>
      </c>
      <c r="L264" s="28" t="s">
        <v>3635</v>
      </c>
      <c r="Z264" s="34">
        <f t="shared" si="187"/>
        <v>0</v>
      </c>
      <c r="AB264" s="34">
        <f t="shared" si="188"/>
        <v>0</v>
      </c>
      <c r="AC264" s="34">
        <f t="shared" si="189"/>
        <v>0</v>
      </c>
      <c r="AD264" s="34">
        <f t="shared" si="190"/>
        <v>0</v>
      </c>
      <c r="AE264" s="34">
        <f t="shared" si="191"/>
        <v>0</v>
      </c>
      <c r="AF264" s="34">
        <f t="shared" si="192"/>
        <v>0</v>
      </c>
      <c r="AG264" s="34">
        <f t="shared" si="193"/>
        <v>0</v>
      </c>
      <c r="AH264" s="34">
        <f t="shared" si="194"/>
        <v>0</v>
      </c>
      <c r="AI264" s="27" t="s">
        <v>3645</v>
      </c>
      <c r="AJ264" s="18">
        <f t="shared" si="195"/>
        <v>0</v>
      </c>
      <c r="AK264" s="18">
        <f t="shared" si="196"/>
        <v>0</v>
      </c>
      <c r="AL264" s="18">
        <f t="shared" si="197"/>
        <v>0</v>
      </c>
      <c r="AN264" s="34">
        <v>21</v>
      </c>
      <c r="AO264" s="34">
        <f t="shared" si="206"/>
        <v>0</v>
      </c>
      <c r="AP264" s="34">
        <f t="shared" si="207"/>
        <v>0</v>
      </c>
      <c r="AQ264" s="28" t="s">
        <v>7</v>
      </c>
      <c r="AV264" s="34">
        <f t="shared" si="198"/>
        <v>0</v>
      </c>
      <c r="AW264" s="34">
        <f t="shared" si="199"/>
        <v>0</v>
      </c>
      <c r="AX264" s="34">
        <f t="shared" si="200"/>
        <v>0</v>
      </c>
      <c r="AY264" s="35" t="s">
        <v>3671</v>
      </c>
      <c r="AZ264" s="35" t="s">
        <v>3712</v>
      </c>
      <c r="BA264" s="27" t="s">
        <v>3729</v>
      </c>
      <c r="BC264" s="34">
        <f t="shared" si="201"/>
        <v>0</v>
      </c>
      <c r="BD264" s="34">
        <f t="shared" si="202"/>
        <v>0</v>
      </c>
      <c r="BE264" s="34">
        <v>0</v>
      </c>
      <c r="BF264" s="34">
        <f>264</f>
        <v>264</v>
      </c>
      <c r="BH264" s="18">
        <f t="shared" si="203"/>
        <v>0</v>
      </c>
      <c r="BI264" s="18">
        <f t="shared" si="204"/>
        <v>0</v>
      </c>
      <c r="BJ264" s="18">
        <f t="shared" si="205"/>
        <v>0</v>
      </c>
    </row>
    <row r="265" spans="1:62" x14ac:dyDescent="0.2">
      <c r="A265" s="4"/>
      <c r="B265" s="14" t="s">
        <v>1429</v>
      </c>
      <c r="C265" s="133" t="s">
        <v>2654</v>
      </c>
      <c r="D265" s="134"/>
      <c r="E265" s="134"/>
      <c r="F265" s="134"/>
      <c r="G265" s="134"/>
      <c r="H265" s="4" t="s">
        <v>6</v>
      </c>
      <c r="I265" s="4" t="s">
        <v>6</v>
      </c>
      <c r="J265" s="4" t="s">
        <v>6</v>
      </c>
      <c r="K265" s="37">
        <f>SUM(K266:K284)</f>
        <v>0</v>
      </c>
      <c r="L265" s="27"/>
      <c r="AI265" s="27" t="s">
        <v>3645</v>
      </c>
      <c r="AS265" s="37">
        <f>SUM(AJ266:AJ284)</f>
        <v>0</v>
      </c>
      <c r="AT265" s="37">
        <f>SUM(AK266:AK284)</f>
        <v>0</v>
      </c>
      <c r="AU265" s="37">
        <f>SUM(AL266:AL284)</f>
        <v>0</v>
      </c>
    </row>
    <row r="266" spans="1:62" x14ac:dyDescent="0.2">
      <c r="A266" s="5" t="s">
        <v>234</v>
      </c>
      <c r="B266" s="5" t="s">
        <v>1430</v>
      </c>
      <c r="C266" s="135" t="s">
        <v>2655</v>
      </c>
      <c r="D266" s="136"/>
      <c r="E266" s="136"/>
      <c r="F266" s="136"/>
      <c r="G266" s="136"/>
      <c r="H266" s="5" t="s">
        <v>3616</v>
      </c>
      <c r="I266" s="18">
        <v>114.56399999999999</v>
      </c>
      <c r="J266" s="18">
        <v>0</v>
      </c>
      <c r="K266" s="18">
        <f t="shared" ref="K266:K284" si="208">I266*J266</f>
        <v>0</v>
      </c>
      <c r="L266" s="28" t="s">
        <v>3635</v>
      </c>
      <c r="Z266" s="34">
        <f t="shared" ref="Z266:Z284" si="209">IF(AQ266="5",BJ266,0)</f>
        <v>0</v>
      </c>
      <c r="AB266" s="34">
        <f t="shared" ref="AB266:AB284" si="210">IF(AQ266="1",BH266,0)</f>
        <v>0</v>
      </c>
      <c r="AC266" s="34">
        <f t="shared" ref="AC266:AC284" si="211">IF(AQ266="1",BI266,0)</f>
        <v>0</v>
      </c>
      <c r="AD266" s="34">
        <f t="shared" ref="AD266:AD284" si="212">IF(AQ266="7",BH266,0)</f>
        <v>0</v>
      </c>
      <c r="AE266" s="34">
        <f t="shared" ref="AE266:AE284" si="213">IF(AQ266="7",BI266,0)</f>
        <v>0</v>
      </c>
      <c r="AF266" s="34">
        <f t="shared" ref="AF266:AF284" si="214">IF(AQ266="2",BH266,0)</f>
        <v>0</v>
      </c>
      <c r="AG266" s="34">
        <f t="shared" ref="AG266:AG284" si="215">IF(AQ266="2",BI266,0)</f>
        <v>0</v>
      </c>
      <c r="AH266" s="34">
        <f t="shared" ref="AH266:AH284" si="216">IF(AQ266="0",BJ266,0)</f>
        <v>0</v>
      </c>
      <c r="AI266" s="27" t="s">
        <v>3645</v>
      </c>
      <c r="AJ266" s="18">
        <f t="shared" ref="AJ266:AJ284" si="217">IF(AN266=0,K266,0)</f>
        <v>0</v>
      </c>
      <c r="AK266" s="18">
        <f t="shared" ref="AK266:AK284" si="218">IF(AN266=15,K266,0)</f>
        <v>0</v>
      </c>
      <c r="AL266" s="18">
        <f t="shared" ref="AL266:AL284" si="219">IF(AN266=21,K266,0)</f>
        <v>0</v>
      </c>
      <c r="AN266" s="34">
        <v>21</v>
      </c>
      <c r="AO266" s="34">
        <f t="shared" ref="AO266:AO284" si="220">J266*0</f>
        <v>0</v>
      </c>
      <c r="AP266" s="34">
        <f t="shared" ref="AP266:AP284" si="221">J266*(1-0)</f>
        <v>0</v>
      </c>
      <c r="AQ266" s="28" t="s">
        <v>11</v>
      </c>
      <c r="AV266" s="34">
        <f t="shared" ref="AV266:AV284" si="222">AW266+AX266</f>
        <v>0</v>
      </c>
      <c r="AW266" s="34">
        <f t="shared" ref="AW266:AW284" si="223">I266*AO266</f>
        <v>0</v>
      </c>
      <c r="AX266" s="34">
        <f t="shared" ref="AX266:AX284" si="224">I266*AP266</f>
        <v>0</v>
      </c>
      <c r="AY266" s="35" t="s">
        <v>3672</v>
      </c>
      <c r="AZ266" s="35" t="s">
        <v>3712</v>
      </c>
      <c r="BA266" s="27" t="s">
        <v>3729</v>
      </c>
      <c r="BC266" s="34">
        <f t="shared" ref="BC266:BC284" si="225">AW266+AX266</f>
        <v>0</v>
      </c>
      <c r="BD266" s="34">
        <f t="shared" ref="BD266:BD284" si="226">J266/(100-BE266)*100</f>
        <v>0</v>
      </c>
      <c r="BE266" s="34">
        <v>0</v>
      </c>
      <c r="BF266" s="34">
        <f>266</f>
        <v>266</v>
      </c>
      <c r="BH266" s="18">
        <f t="shared" ref="BH266:BH284" si="227">I266*AO266</f>
        <v>0</v>
      </c>
      <c r="BI266" s="18">
        <f t="shared" ref="BI266:BI284" si="228">I266*AP266</f>
        <v>0</v>
      </c>
      <c r="BJ266" s="18">
        <f t="shared" ref="BJ266:BJ284" si="229">I266*J266</f>
        <v>0</v>
      </c>
    </row>
    <row r="267" spans="1:62" x14ac:dyDescent="0.2">
      <c r="A267" s="5" t="s">
        <v>235</v>
      </c>
      <c r="B267" s="5" t="s">
        <v>1431</v>
      </c>
      <c r="C267" s="135" t="s">
        <v>2656</v>
      </c>
      <c r="D267" s="136"/>
      <c r="E267" s="136"/>
      <c r="F267" s="136"/>
      <c r="G267" s="136"/>
      <c r="H267" s="5" t="s">
        <v>3616</v>
      </c>
      <c r="I267" s="18">
        <v>343.69200000000001</v>
      </c>
      <c r="J267" s="18">
        <v>0</v>
      </c>
      <c r="K267" s="18">
        <f t="shared" si="208"/>
        <v>0</v>
      </c>
      <c r="L267" s="28" t="s">
        <v>3635</v>
      </c>
      <c r="Z267" s="34">
        <f t="shared" si="209"/>
        <v>0</v>
      </c>
      <c r="AB267" s="34">
        <f t="shared" si="210"/>
        <v>0</v>
      </c>
      <c r="AC267" s="34">
        <f t="shared" si="211"/>
        <v>0</v>
      </c>
      <c r="AD267" s="34">
        <f t="shared" si="212"/>
        <v>0</v>
      </c>
      <c r="AE267" s="34">
        <f t="shared" si="213"/>
        <v>0</v>
      </c>
      <c r="AF267" s="34">
        <f t="shared" si="214"/>
        <v>0</v>
      </c>
      <c r="AG267" s="34">
        <f t="shared" si="215"/>
        <v>0</v>
      </c>
      <c r="AH267" s="34">
        <f t="shared" si="216"/>
        <v>0</v>
      </c>
      <c r="AI267" s="27" t="s">
        <v>3645</v>
      </c>
      <c r="AJ267" s="18">
        <f t="shared" si="217"/>
        <v>0</v>
      </c>
      <c r="AK267" s="18">
        <f t="shared" si="218"/>
        <v>0</v>
      </c>
      <c r="AL267" s="18">
        <f t="shared" si="219"/>
        <v>0</v>
      </c>
      <c r="AN267" s="34">
        <v>21</v>
      </c>
      <c r="AO267" s="34">
        <f t="shared" si="220"/>
        <v>0</v>
      </c>
      <c r="AP267" s="34">
        <f t="shared" si="221"/>
        <v>0</v>
      </c>
      <c r="AQ267" s="28" t="s">
        <v>11</v>
      </c>
      <c r="AV267" s="34">
        <f t="shared" si="222"/>
        <v>0</v>
      </c>
      <c r="AW267" s="34">
        <f t="shared" si="223"/>
        <v>0</v>
      </c>
      <c r="AX267" s="34">
        <f t="shared" si="224"/>
        <v>0</v>
      </c>
      <c r="AY267" s="35" t="s">
        <v>3672</v>
      </c>
      <c r="AZ267" s="35" t="s">
        <v>3712</v>
      </c>
      <c r="BA267" s="27" t="s">
        <v>3729</v>
      </c>
      <c r="BC267" s="34">
        <f t="shared" si="225"/>
        <v>0</v>
      </c>
      <c r="BD267" s="34">
        <f t="shared" si="226"/>
        <v>0</v>
      </c>
      <c r="BE267" s="34">
        <v>0</v>
      </c>
      <c r="BF267" s="34">
        <f>267</f>
        <v>267</v>
      </c>
      <c r="BH267" s="18">
        <f t="shared" si="227"/>
        <v>0</v>
      </c>
      <c r="BI267" s="18">
        <f t="shared" si="228"/>
        <v>0</v>
      </c>
      <c r="BJ267" s="18">
        <f t="shared" si="229"/>
        <v>0</v>
      </c>
    </row>
    <row r="268" spans="1:62" x14ac:dyDescent="0.2">
      <c r="A268" s="5" t="s">
        <v>236</v>
      </c>
      <c r="B268" s="5" t="s">
        <v>1432</v>
      </c>
      <c r="C268" s="135" t="s">
        <v>2657</v>
      </c>
      <c r="D268" s="136"/>
      <c r="E268" s="136"/>
      <c r="F268" s="136"/>
      <c r="G268" s="136"/>
      <c r="H268" s="5" t="s">
        <v>3616</v>
      </c>
      <c r="I268" s="18">
        <v>11685.528</v>
      </c>
      <c r="J268" s="18">
        <v>0</v>
      </c>
      <c r="K268" s="18">
        <f t="shared" si="208"/>
        <v>0</v>
      </c>
      <c r="L268" s="28" t="s">
        <v>3635</v>
      </c>
      <c r="Z268" s="34">
        <f t="shared" si="209"/>
        <v>0</v>
      </c>
      <c r="AB268" s="34">
        <f t="shared" si="210"/>
        <v>0</v>
      </c>
      <c r="AC268" s="34">
        <f t="shared" si="211"/>
        <v>0</v>
      </c>
      <c r="AD268" s="34">
        <f t="shared" si="212"/>
        <v>0</v>
      </c>
      <c r="AE268" s="34">
        <f t="shared" si="213"/>
        <v>0</v>
      </c>
      <c r="AF268" s="34">
        <f t="shared" si="214"/>
        <v>0</v>
      </c>
      <c r="AG268" s="34">
        <f t="shared" si="215"/>
        <v>0</v>
      </c>
      <c r="AH268" s="34">
        <f t="shared" si="216"/>
        <v>0</v>
      </c>
      <c r="AI268" s="27" t="s">
        <v>3645</v>
      </c>
      <c r="AJ268" s="18">
        <f t="shared" si="217"/>
        <v>0</v>
      </c>
      <c r="AK268" s="18">
        <f t="shared" si="218"/>
        <v>0</v>
      </c>
      <c r="AL268" s="18">
        <f t="shared" si="219"/>
        <v>0</v>
      </c>
      <c r="AN268" s="34">
        <v>21</v>
      </c>
      <c r="AO268" s="34">
        <f t="shared" si="220"/>
        <v>0</v>
      </c>
      <c r="AP268" s="34">
        <f t="shared" si="221"/>
        <v>0</v>
      </c>
      <c r="AQ268" s="28" t="s">
        <v>11</v>
      </c>
      <c r="AV268" s="34">
        <f t="shared" si="222"/>
        <v>0</v>
      </c>
      <c r="AW268" s="34">
        <f t="shared" si="223"/>
        <v>0</v>
      </c>
      <c r="AX268" s="34">
        <f t="shared" si="224"/>
        <v>0</v>
      </c>
      <c r="AY268" s="35" t="s">
        <v>3672</v>
      </c>
      <c r="AZ268" s="35" t="s">
        <v>3712</v>
      </c>
      <c r="BA268" s="27" t="s">
        <v>3729</v>
      </c>
      <c r="BC268" s="34">
        <f t="shared" si="225"/>
        <v>0</v>
      </c>
      <c r="BD268" s="34">
        <f t="shared" si="226"/>
        <v>0</v>
      </c>
      <c r="BE268" s="34">
        <v>0</v>
      </c>
      <c r="BF268" s="34">
        <f>268</f>
        <v>268</v>
      </c>
      <c r="BH268" s="18">
        <f t="shared" si="227"/>
        <v>0</v>
      </c>
      <c r="BI268" s="18">
        <f t="shared" si="228"/>
        <v>0</v>
      </c>
      <c r="BJ268" s="18">
        <f t="shared" si="229"/>
        <v>0</v>
      </c>
    </row>
    <row r="269" spans="1:62" x14ac:dyDescent="0.2">
      <c r="A269" s="5" t="s">
        <v>237</v>
      </c>
      <c r="B269" s="5" t="s">
        <v>1433</v>
      </c>
      <c r="C269" s="135" t="s">
        <v>2658</v>
      </c>
      <c r="D269" s="136"/>
      <c r="E269" s="136"/>
      <c r="F269" s="136"/>
      <c r="G269" s="136"/>
      <c r="H269" s="5" t="s">
        <v>3616</v>
      </c>
      <c r="I269" s="18">
        <v>343.69200000000001</v>
      </c>
      <c r="J269" s="18">
        <v>0</v>
      </c>
      <c r="K269" s="18">
        <f t="shared" si="208"/>
        <v>0</v>
      </c>
      <c r="L269" s="28" t="s">
        <v>3635</v>
      </c>
      <c r="Z269" s="34">
        <f t="shared" si="209"/>
        <v>0</v>
      </c>
      <c r="AB269" s="34">
        <f t="shared" si="210"/>
        <v>0</v>
      </c>
      <c r="AC269" s="34">
        <f t="shared" si="211"/>
        <v>0</v>
      </c>
      <c r="AD269" s="34">
        <f t="shared" si="212"/>
        <v>0</v>
      </c>
      <c r="AE269" s="34">
        <f t="shared" si="213"/>
        <v>0</v>
      </c>
      <c r="AF269" s="34">
        <f t="shared" si="214"/>
        <v>0</v>
      </c>
      <c r="AG269" s="34">
        <f t="shared" si="215"/>
        <v>0</v>
      </c>
      <c r="AH269" s="34">
        <f t="shared" si="216"/>
        <v>0</v>
      </c>
      <c r="AI269" s="27" t="s">
        <v>3645</v>
      </c>
      <c r="AJ269" s="18">
        <f t="shared" si="217"/>
        <v>0</v>
      </c>
      <c r="AK269" s="18">
        <f t="shared" si="218"/>
        <v>0</v>
      </c>
      <c r="AL269" s="18">
        <f t="shared" si="219"/>
        <v>0</v>
      </c>
      <c r="AN269" s="34">
        <v>21</v>
      </c>
      <c r="AO269" s="34">
        <f t="shared" si="220"/>
        <v>0</v>
      </c>
      <c r="AP269" s="34">
        <f t="shared" si="221"/>
        <v>0</v>
      </c>
      <c r="AQ269" s="28" t="s">
        <v>11</v>
      </c>
      <c r="AV269" s="34">
        <f t="shared" si="222"/>
        <v>0</v>
      </c>
      <c r="AW269" s="34">
        <f t="shared" si="223"/>
        <v>0</v>
      </c>
      <c r="AX269" s="34">
        <f t="shared" si="224"/>
        <v>0</v>
      </c>
      <c r="AY269" s="35" t="s">
        <v>3672</v>
      </c>
      <c r="AZ269" s="35" t="s">
        <v>3712</v>
      </c>
      <c r="BA269" s="27" t="s">
        <v>3729</v>
      </c>
      <c r="BC269" s="34">
        <f t="shared" si="225"/>
        <v>0</v>
      </c>
      <c r="BD269" s="34">
        <f t="shared" si="226"/>
        <v>0</v>
      </c>
      <c r="BE269" s="34">
        <v>0</v>
      </c>
      <c r="BF269" s="34">
        <f>269</f>
        <v>269</v>
      </c>
      <c r="BH269" s="18">
        <f t="shared" si="227"/>
        <v>0</v>
      </c>
      <c r="BI269" s="18">
        <f t="shared" si="228"/>
        <v>0</v>
      </c>
      <c r="BJ269" s="18">
        <f t="shared" si="229"/>
        <v>0</v>
      </c>
    </row>
    <row r="270" spans="1:62" x14ac:dyDescent="0.2">
      <c r="A270" s="5" t="s">
        <v>238</v>
      </c>
      <c r="B270" s="5" t="s">
        <v>1434</v>
      </c>
      <c r="C270" s="135" t="s">
        <v>2659</v>
      </c>
      <c r="D270" s="136"/>
      <c r="E270" s="136"/>
      <c r="F270" s="136"/>
      <c r="G270" s="136"/>
      <c r="H270" s="5" t="s">
        <v>3616</v>
      </c>
      <c r="I270" s="18">
        <v>1374.768</v>
      </c>
      <c r="J270" s="18">
        <v>0</v>
      </c>
      <c r="K270" s="18">
        <f t="shared" si="208"/>
        <v>0</v>
      </c>
      <c r="L270" s="28" t="s">
        <v>3635</v>
      </c>
      <c r="Z270" s="34">
        <f t="shared" si="209"/>
        <v>0</v>
      </c>
      <c r="AB270" s="34">
        <f t="shared" si="210"/>
        <v>0</v>
      </c>
      <c r="AC270" s="34">
        <f t="shared" si="211"/>
        <v>0</v>
      </c>
      <c r="AD270" s="34">
        <f t="shared" si="212"/>
        <v>0</v>
      </c>
      <c r="AE270" s="34">
        <f t="shared" si="213"/>
        <v>0</v>
      </c>
      <c r="AF270" s="34">
        <f t="shared" si="214"/>
        <v>0</v>
      </c>
      <c r="AG270" s="34">
        <f t="shared" si="215"/>
        <v>0</v>
      </c>
      <c r="AH270" s="34">
        <f t="shared" si="216"/>
        <v>0</v>
      </c>
      <c r="AI270" s="27" t="s">
        <v>3645</v>
      </c>
      <c r="AJ270" s="18">
        <f t="shared" si="217"/>
        <v>0</v>
      </c>
      <c r="AK270" s="18">
        <f t="shared" si="218"/>
        <v>0</v>
      </c>
      <c r="AL270" s="18">
        <f t="shared" si="219"/>
        <v>0</v>
      </c>
      <c r="AN270" s="34">
        <v>21</v>
      </c>
      <c r="AO270" s="34">
        <f t="shared" si="220"/>
        <v>0</v>
      </c>
      <c r="AP270" s="34">
        <f t="shared" si="221"/>
        <v>0</v>
      </c>
      <c r="AQ270" s="28" t="s">
        <v>11</v>
      </c>
      <c r="AV270" s="34">
        <f t="shared" si="222"/>
        <v>0</v>
      </c>
      <c r="AW270" s="34">
        <f t="shared" si="223"/>
        <v>0</v>
      </c>
      <c r="AX270" s="34">
        <f t="shared" si="224"/>
        <v>0</v>
      </c>
      <c r="AY270" s="35" t="s">
        <v>3672</v>
      </c>
      <c r="AZ270" s="35" t="s">
        <v>3712</v>
      </c>
      <c r="BA270" s="27" t="s">
        <v>3729</v>
      </c>
      <c r="BC270" s="34">
        <f t="shared" si="225"/>
        <v>0</v>
      </c>
      <c r="BD270" s="34">
        <f t="shared" si="226"/>
        <v>0</v>
      </c>
      <c r="BE270" s="34">
        <v>0</v>
      </c>
      <c r="BF270" s="34">
        <f>270</f>
        <v>270</v>
      </c>
      <c r="BH270" s="18">
        <f t="shared" si="227"/>
        <v>0</v>
      </c>
      <c r="BI270" s="18">
        <f t="shared" si="228"/>
        <v>0</v>
      </c>
      <c r="BJ270" s="18">
        <f t="shared" si="229"/>
        <v>0</v>
      </c>
    </row>
    <row r="271" spans="1:62" x14ac:dyDescent="0.2">
      <c r="A271" s="5" t="s">
        <v>239</v>
      </c>
      <c r="B271" s="5" t="s">
        <v>1435</v>
      </c>
      <c r="C271" s="135" t="s">
        <v>2660</v>
      </c>
      <c r="D271" s="136"/>
      <c r="E271" s="136"/>
      <c r="F271" s="136"/>
      <c r="G271" s="136"/>
      <c r="H271" s="5" t="s">
        <v>3616</v>
      </c>
      <c r="I271" s="18">
        <v>343.69200000000001</v>
      </c>
      <c r="J271" s="18">
        <v>0</v>
      </c>
      <c r="K271" s="18">
        <f t="shared" si="208"/>
        <v>0</v>
      </c>
      <c r="L271" s="28" t="s">
        <v>3635</v>
      </c>
      <c r="Z271" s="34">
        <f t="shared" si="209"/>
        <v>0</v>
      </c>
      <c r="AB271" s="34">
        <f t="shared" si="210"/>
        <v>0</v>
      </c>
      <c r="AC271" s="34">
        <f t="shared" si="211"/>
        <v>0</v>
      </c>
      <c r="AD271" s="34">
        <f t="shared" si="212"/>
        <v>0</v>
      </c>
      <c r="AE271" s="34">
        <f t="shared" si="213"/>
        <v>0</v>
      </c>
      <c r="AF271" s="34">
        <f t="shared" si="214"/>
        <v>0</v>
      </c>
      <c r="AG271" s="34">
        <f t="shared" si="215"/>
        <v>0</v>
      </c>
      <c r="AH271" s="34">
        <f t="shared" si="216"/>
        <v>0</v>
      </c>
      <c r="AI271" s="27" t="s">
        <v>3645</v>
      </c>
      <c r="AJ271" s="18">
        <f t="shared" si="217"/>
        <v>0</v>
      </c>
      <c r="AK271" s="18">
        <f t="shared" si="218"/>
        <v>0</v>
      </c>
      <c r="AL271" s="18">
        <f t="shared" si="219"/>
        <v>0</v>
      </c>
      <c r="AN271" s="34">
        <v>21</v>
      </c>
      <c r="AO271" s="34">
        <f t="shared" si="220"/>
        <v>0</v>
      </c>
      <c r="AP271" s="34">
        <f t="shared" si="221"/>
        <v>0</v>
      </c>
      <c r="AQ271" s="28" t="s">
        <v>11</v>
      </c>
      <c r="AV271" s="34">
        <f t="shared" si="222"/>
        <v>0</v>
      </c>
      <c r="AW271" s="34">
        <f t="shared" si="223"/>
        <v>0</v>
      </c>
      <c r="AX271" s="34">
        <f t="shared" si="224"/>
        <v>0</v>
      </c>
      <c r="AY271" s="35" t="s">
        <v>3672</v>
      </c>
      <c r="AZ271" s="35" t="s">
        <v>3712</v>
      </c>
      <c r="BA271" s="27" t="s">
        <v>3729</v>
      </c>
      <c r="BC271" s="34">
        <f t="shared" si="225"/>
        <v>0</v>
      </c>
      <c r="BD271" s="34">
        <f t="shared" si="226"/>
        <v>0</v>
      </c>
      <c r="BE271" s="34">
        <v>0</v>
      </c>
      <c r="BF271" s="34">
        <f>271</f>
        <v>271</v>
      </c>
      <c r="BH271" s="18">
        <f t="shared" si="227"/>
        <v>0</v>
      </c>
      <c r="BI271" s="18">
        <f t="shared" si="228"/>
        <v>0</v>
      </c>
      <c r="BJ271" s="18">
        <f t="shared" si="229"/>
        <v>0</v>
      </c>
    </row>
    <row r="272" spans="1:62" x14ac:dyDescent="0.2">
      <c r="A272" s="5" t="s">
        <v>240</v>
      </c>
      <c r="B272" s="5" t="s">
        <v>1436</v>
      </c>
      <c r="C272" s="135" t="s">
        <v>2661</v>
      </c>
      <c r="D272" s="136"/>
      <c r="E272" s="136"/>
      <c r="F272" s="136"/>
      <c r="G272" s="136"/>
      <c r="H272" s="5" t="s">
        <v>3616</v>
      </c>
      <c r="I272" s="18">
        <v>343.69200000000001</v>
      </c>
      <c r="J272" s="18">
        <v>0</v>
      </c>
      <c r="K272" s="18">
        <f t="shared" si="208"/>
        <v>0</v>
      </c>
      <c r="L272" s="28" t="s">
        <v>3635</v>
      </c>
      <c r="Z272" s="34">
        <f t="shared" si="209"/>
        <v>0</v>
      </c>
      <c r="AB272" s="34">
        <f t="shared" si="210"/>
        <v>0</v>
      </c>
      <c r="AC272" s="34">
        <f t="shared" si="211"/>
        <v>0</v>
      </c>
      <c r="AD272" s="34">
        <f t="shared" si="212"/>
        <v>0</v>
      </c>
      <c r="AE272" s="34">
        <f t="shared" si="213"/>
        <v>0</v>
      </c>
      <c r="AF272" s="34">
        <f t="shared" si="214"/>
        <v>0</v>
      </c>
      <c r="AG272" s="34">
        <f t="shared" si="215"/>
        <v>0</v>
      </c>
      <c r="AH272" s="34">
        <f t="shared" si="216"/>
        <v>0</v>
      </c>
      <c r="AI272" s="27" t="s">
        <v>3645</v>
      </c>
      <c r="AJ272" s="18">
        <f t="shared" si="217"/>
        <v>0</v>
      </c>
      <c r="AK272" s="18">
        <f t="shared" si="218"/>
        <v>0</v>
      </c>
      <c r="AL272" s="18">
        <f t="shared" si="219"/>
        <v>0</v>
      </c>
      <c r="AN272" s="34">
        <v>21</v>
      </c>
      <c r="AO272" s="34">
        <f t="shared" si="220"/>
        <v>0</v>
      </c>
      <c r="AP272" s="34">
        <f t="shared" si="221"/>
        <v>0</v>
      </c>
      <c r="AQ272" s="28" t="s">
        <v>11</v>
      </c>
      <c r="AV272" s="34">
        <f t="shared" si="222"/>
        <v>0</v>
      </c>
      <c r="AW272" s="34">
        <f t="shared" si="223"/>
        <v>0</v>
      </c>
      <c r="AX272" s="34">
        <f t="shared" si="224"/>
        <v>0</v>
      </c>
      <c r="AY272" s="35" t="s">
        <v>3672</v>
      </c>
      <c r="AZ272" s="35" t="s">
        <v>3712</v>
      </c>
      <c r="BA272" s="27" t="s">
        <v>3729</v>
      </c>
      <c r="BC272" s="34">
        <f t="shared" si="225"/>
        <v>0</v>
      </c>
      <c r="BD272" s="34">
        <f t="shared" si="226"/>
        <v>0</v>
      </c>
      <c r="BE272" s="34">
        <v>0</v>
      </c>
      <c r="BF272" s="34">
        <f>272</f>
        <v>272</v>
      </c>
      <c r="BH272" s="18">
        <f t="shared" si="227"/>
        <v>0</v>
      </c>
      <c r="BI272" s="18">
        <f t="shared" si="228"/>
        <v>0</v>
      </c>
      <c r="BJ272" s="18">
        <f t="shared" si="229"/>
        <v>0</v>
      </c>
    </row>
    <row r="273" spans="1:62" x14ac:dyDescent="0.2">
      <c r="A273" s="5" t="s">
        <v>241</v>
      </c>
      <c r="B273" s="5" t="s">
        <v>1437</v>
      </c>
      <c r="C273" s="135" t="s">
        <v>2662</v>
      </c>
      <c r="D273" s="136"/>
      <c r="E273" s="136"/>
      <c r="F273" s="136"/>
      <c r="G273" s="136"/>
      <c r="H273" s="5" t="s">
        <v>3616</v>
      </c>
      <c r="I273" s="18">
        <v>66.343999999999994</v>
      </c>
      <c r="J273" s="18">
        <v>0</v>
      </c>
      <c r="K273" s="18">
        <f t="shared" si="208"/>
        <v>0</v>
      </c>
      <c r="L273" s="28" t="s">
        <v>3635</v>
      </c>
      <c r="Z273" s="34">
        <f t="shared" si="209"/>
        <v>0</v>
      </c>
      <c r="AB273" s="34">
        <f t="shared" si="210"/>
        <v>0</v>
      </c>
      <c r="AC273" s="34">
        <f t="shared" si="211"/>
        <v>0</v>
      </c>
      <c r="AD273" s="34">
        <f t="shared" si="212"/>
        <v>0</v>
      </c>
      <c r="AE273" s="34">
        <f t="shared" si="213"/>
        <v>0</v>
      </c>
      <c r="AF273" s="34">
        <f t="shared" si="214"/>
        <v>0</v>
      </c>
      <c r="AG273" s="34">
        <f t="shared" si="215"/>
        <v>0</v>
      </c>
      <c r="AH273" s="34">
        <f t="shared" si="216"/>
        <v>0</v>
      </c>
      <c r="AI273" s="27" t="s">
        <v>3645</v>
      </c>
      <c r="AJ273" s="18">
        <f t="shared" si="217"/>
        <v>0</v>
      </c>
      <c r="AK273" s="18">
        <f t="shared" si="218"/>
        <v>0</v>
      </c>
      <c r="AL273" s="18">
        <f t="shared" si="219"/>
        <v>0</v>
      </c>
      <c r="AN273" s="34">
        <v>21</v>
      </c>
      <c r="AO273" s="34">
        <f t="shared" si="220"/>
        <v>0</v>
      </c>
      <c r="AP273" s="34">
        <f t="shared" si="221"/>
        <v>0</v>
      </c>
      <c r="AQ273" s="28" t="s">
        <v>11</v>
      </c>
      <c r="AV273" s="34">
        <f t="shared" si="222"/>
        <v>0</v>
      </c>
      <c r="AW273" s="34">
        <f t="shared" si="223"/>
        <v>0</v>
      </c>
      <c r="AX273" s="34">
        <f t="shared" si="224"/>
        <v>0</v>
      </c>
      <c r="AY273" s="35" t="s">
        <v>3672</v>
      </c>
      <c r="AZ273" s="35" t="s">
        <v>3712</v>
      </c>
      <c r="BA273" s="27" t="s">
        <v>3729</v>
      </c>
      <c r="BC273" s="34">
        <f t="shared" si="225"/>
        <v>0</v>
      </c>
      <c r="BD273" s="34">
        <f t="shared" si="226"/>
        <v>0</v>
      </c>
      <c r="BE273" s="34">
        <v>0</v>
      </c>
      <c r="BF273" s="34">
        <f>273</f>
        <v>273</v>
      </c>
      <c r="BH273" s="18">
        <f t="shared" si="227"/>
        <v>0</v>
      </c>
      <c r="BI273" s="18">
        <f t="shared" si="228"/>
        <v>0</v>
      </c>
      <c r="BJ273" s="18">
        <f t="shared" si="229"/>
        <v>0</v>
      </c>
    </row>
    <row r="274" spans="1:62" x14ac:dyDescent="0.2">
      <c r="A274" s="5" t="s">
        <v>242</v>
      </c>
      <c r="B274" s="5" t="s">
        <v>1438</v>
      </c>
      <c r="C274" s="135" t="s">
        <v>2663</v>
      </c>
      <c r="D274" s="136"/>
      <c r="E274" s="136"/>
      <c r="F274" s="136"/>
      <c r="G274" s="136"/>
      <c r="H274" s="5" t="s">
        <v>3616</v>
      </c>
      <c r="I274" s="18">
        <v>72.451999999999998</v>
      </c>
      <c r="J274" s="18">
        <v>0</v>
      </c>
      <c r="K274" s="18">
        <f t="shared" si="208"/>
        <v>0</v>
      </c>
      <c r="L274" s="28" t="s">
        <v>3635</v>
      </c>
      <c r="Z274" s="34">
        <f t="shared" si="209"/>
        <v>0</v>
      </c>
      <c r="AB274" s="34">
        <f t="shared" si="210"/>
        <v>0</v>
      </c>
      <c r="AC274" s="34">
        <f t="shared" si="211"/>
        <v>0</v>
      </c>
      <c r="AD274" s="34">
        <f t="shared" si="212"/>
        <v>0</v>
      </c>
      <c r="AE274" s="34">
        <f t="shared" si="213"/>
        <v>0</v>
      </c>
      <c r="AF274" s="34">
        <f t="shared" si="214"/>
        <v>0</v>
      </c>
      <c r="AG274" s="34">
        <f t="shared" si="215"/>
        <v>0</v>
      </c>
      <c r="AH274" s="34">
        <f t="shared" si="216"/>
        <v>0</v>
      </c>
      <c r="AI274" s="27" t="s">
        <v>3645</v>
      </c>
      <c r="AJ274" s="18">
        <f t="shared" si="217"/>
        <v>0</v>
      </c>
      <c r="AK274" s="18">
        <f t="shared" si="218"/>
        <v>0</v>
      </c>
      <c r="AL274" s="18">
        <f t="shared" si="219"/>
        <v>0</v>
      </c>
      <c r="AN274" s="34">
        <v>21</v>
      </c>
      <c r="AO274" s="34">
        <f t="shared" si="220"/>
        <v>0</v>
      </c>
      <c r="AP274" s="34">
        <f t="shared" si="221"/>
        <v>0</v>
      </c>
      <c r="AQ274" s="28" t="s">
        <v>11</v>
      </c>
      <c r="AV274" s="34">
        <f t="shared" si="222"/>
        <v>0</v>
      </c>
      <c r="AW274" s="34">
        <f t="shared" si="223"/>
        <v>0</v>
      </c>
      <c r="AX274" s="34">
        <f t="shared" si="224"/>
        <v>0</v>
      </c>
      <c r="AY274" s="35" t="s">
        <v>3672</v>
      </c>
      <c r="AZ274" s="35" t="s">
        <v>3712</v>
      </c>
      <c r="BA274" s="27" t="s">
        <v>3729</v>
      </c>
      <c r="BC274" s="34">
        <f t="shared" si="225"/>
        <v>0</v>
      </c>
      <c r="BD274" s="34">
        <f t="shared" si="226"/>
        <v>0</v>
      </c>
      <c r="BE274" s="34">
        <v>0</v>
      </c>
      <c r="BF274" s="34">
        <f>274</f>
        <v>274</v>
      </c>
      <c r="BH274" s="18">
        <f t="shared" si="227"/>
        <v>0</v>
      </c>
      <c r="BI274" s="18">
        <f t="shared" si="228"/>
        <v>0</v>
      </c>
      <c r="BJ274" s="18">
        <f t="shared" si="229"/>
        <v>0</v>
      </c>
    </row>
    <row r="275" spans="1:62" x14ac:dyDescent="0.2">
      <c r="A275" s="5" t="s">
        <v>243</v>
      </c>
      <c r="B275" s="5" t="s">
        <v>1439</v>
      </c>
      <c r="C275" s="135" t="s">
        <v>2664</v>
      </c>
      <c r="D275" s="136"/>
      <c r="E275" s="136"/>
      <c r="F275" s="136"/>
      <c r="G275" s="136"/>
      <c r="H275" s="5" t="s">
        <v>3616</v>
      </c>
      <c r="I275" s="18">
        <v>96.325999999999993</v>
      </c>
      <c r="J275" s="18">
        <v>0</v>
      </c>
      <c r="K275" s="18">
        <f t="shared" si="208"/>
        <v>0</v>
      </c>
      <c r="L275" s="28" t="s">
        <v>3635</v>
      </c>
      <c r="Z275" s="34">
        <f t="shared" si="209"/>
        <v>0</v>
      </c>
      <c r="AB275" s="34">
        <f t="shared" si="210"/>
        <v>0</v>
      </c>
      <c r="AC275" s="34">
        <f t="shared" si="211"/>
        <v>0</v>
      </c>
      <c r="AD275" s="34">
        <f t="shared" si="212"/>
        <v>0</v>
      </c>
      <c r="AE275" s="34">
        <f t="shared" si="213"/>
        <v>0</v>
      </c>
      <c r="AF275" s="34">
        <f t="shared" si="214"/>
        <v>0</v>
      </c>
      <c r="AG275" s="34">
        <f t="shared" si="215"/>
        <v>0</v>
      </c>
      <c r="AH275" s="34">
        <f t="shared" si="216"/>
        <v>0</v>
      </c>
      <c r="AI275" s="27" t="s">
        <v>3645</v>
      </c>
      <c r="AJ275" s="18">
        <f t="shared" si="217"/>
        <v>0</v>
      </c>
      <c r="AK275" s="18">
        <f t="shared" si="218"/>
        <v>0</v>
      </c>
      <c r="AL275" s="18">
        <f t="shared" si="219"/>
        <v>0</v>
      </c>
      <c r="AN275" s="34">
        <v>21</v>
      </c>
      <c r="AO275" s="34">
        <f t="shared" si="220"/>
        <v>0</v>
      </c>
      <c r="AP275" s="34">
        <f t="shared" si="221"/>
        <v>0</v>
      </c>
      <c r="AQ275" s="28" t="s">
        <v>11</v>
      </c>
      <c r="AV275" s="34">
        <f t="shared" si="222"/>
        <v>0</v>
      </c>
      <c r="AW275" s="34">
        <f t="shared" si="223"/>
        <v>0</v>
      </c>
      <c r="AX275" s="34">
        <f t="shared" si="224"/>
        <v>0</v>
      </c>
      <c r="AY275" s="35" t="s">
        <v>3672</v>
      </c>
      <c r="AZ275" s="35" t="s">
        <v>3712</v>
      </c>
      <c r="BA275" s="27" t="s">
        <v>3729</v>
      </c>
      <c r="BC275" s="34">
        <f t="shared" si="225"/>
        <v>0</v>
      </c>
      <c r="BD275" s="34">
        <f t="shared" si="226"/>
        <v>0</v>
      </c>
      <c r="BE275" s="34">
        <v>0</v>
      </c>
      <c r="BF275" s="34">
        <f>275</f>
        <v>275</v>
      </c>
      <c r="BH275" s="18">
        <f t="shared" si="227"/>
        <v>0</v>
      </c>
      <c r="BI275" s="18">
        <f t="shared" si="228"/>
        <v>0</v>
      </c>
      <c r="BJ275" s="18">
        <f t="shared" si="229"/>
        <v>0</v>
      </c>
    </row>
    <row r="276" spans="1:62" x14ac:dyDescent="0.2">
      <c r="A276" s="5" t="s">
        <v>244</v>
      </c>
      <c r="B276" s="5" t="s">
        <v>1440</v>
      </c>
      <c r="C276" s="135" t="s">
        <v>2665</v>
      </c>
      <c r="D276" s="136"/>
      <c r="E276" s="136"/>
      <c r="F276" s="136"/>
      <c r="G276" s="136"/>
      <c r="H276" s="5" t="s">
        <v>3616</v>
      </c>
      <c r="I276" s="18">
        <v>84.685000000000002</v>
      </c>
      <c r="J276" s="18">
        <v>0</v>
      </c>
      <c r="K276" s="18">
        <f t="shared" si="208"/>
        <v>0</v>
      </c>
      <c r="L276" s="28" t="s">
        <v>3635</v>
      </c>
      <c r="Z276" s="34">
        <f t="shared" si="209"/>
        <v>0</v>
      </c>
      <c r="AB276" s="34">
        <f t="shared" si="210"/>
        <v>0</v>
      </c>
      <c r="AC276" s="34">
        <f t="shared" si="211"/>
        <v>0</v>
      </c>
      <c r="AD276" s="34">
        <f t="shared" si="212"/>
        <v>0</v>
      </c>
      <c r="AE276" s="34">
        <f t="shared" si="213"/>
        <v>0</v>
      </c>
      <c r="AF276" s="34">
        <f t="shared" si="214"/>
        <v>0</v>
      </c>
      <c r="AG276" s="34">
        <f t="shared" si="215"/>
        <v>0</v>
      </c>
      <c r="AH276" s="34">
        <f t="shared" si="216"/>
        <v>0</v>
      </c>
      <c r="AI276" s="27" t="s">
        <v>3645</v>
      </c>
      <c r="AJ276" s="18">
        <f t="shared" si="217"/>
        <v>0</v>
      </c>
      <c r="AK276" s="18">
        <f t="shared" si="218"/>
        <v>0</v>
      </c>
      <c r="AL276" s="18">
        <f t="shared" si="219"/>
        <v>0</v>
      </c>
      <c r="AN276" s="34">
        <v>21</v>
      </c>
      <c r="AO276" s="34">
        <f t="shared" si="220"/>
        <v>0</v>
      </c>
      <c r="AP276" s="34">
        <f t="shared" si="221"/>
        <v>0</v>
      </c>
      <c r="AQ276" s="28" t="s">
        <v>11</v>
      </c>
      <c r="AV276" s="34">
        <f t="shared" si="222"/>
        <v>0</v>
      </c>
      <c r="AW276" s="34">
        <f t="shared" si="223"/>
        <v>0</v>
      </c>
      <c r="AX276" s="34">
        <f t="shared" si="224"/>
        <v>0</v>
      </c>
      <c r="AY276" s="35" t="s">
        <v>3672</v>
      </c>
      <c r="AZ276" s="35" t="s">
        <v>3712</v>
      </c>
      <c r="BA276" s="27" t="s">
        <v>3729</v>
      </c>
      <c r="BC276" s="34">
        <f t="shared" si="225"/>
        <v>0</v>
      </c>
      <c r="BD276" s="34">
        <f t="shared" si="226"/>
        <v>0</v>
      </c>
      <c r="BE276" s="34">
        <v>0</v>
      </c>
      <c r="BF276" s="34">
        <f>276</f>
        <v>276</v>
      </c>
      <c r="BH276" s="18">
        <f t="shared" si="227"/>
        <v>0</v>
      </c>
      <c r="BI276" s="18">
        <f t="shared" si="228"/>
        <v>0</v>
      </c>
      <c r="BJ276" s="18">
        <f t="shared" si="229"/>
        <v>0</v>
      </c>
    </row>
    <row r="277" spans="1:62" x14ac:dyDescent="0.2">
      <c r="A277" s="5" t="s">
        <v>245</v>
      </c>
      <c r="B277" s="5" t="s">
        <v>1441</v>
      </c>
      <c r="C277" s="135" t="s">
        <v>2666</v>
      </c>
      <c r="D277" s="136"/>
      <c r="E277" s="136"/>
      <c r="F277" s="136"/>
      <c r="G277" s="136"/>
      <c r="H277" s="5" t="s">
        <v>3616</v>
      </c>
      <c r="I277" s="18">
        <v>1.323</v>
      </c>
      <c r="J277" s="18">
        <v>0</v>
      </c>
      <c r="K277" s="18">
        <f t="shared" si="208"/>
        <v>0</v>
      </c>
      <c r="L277" s="28" t="s">
        <v>3635</v>
      </c>
      <c r="Z277" s="34">
        <f t="shared" si="209"/>
        <v>0</v>
      </c>
      <c r="AB277" s="34">
        <f t="shared" si="210"/>
        <v>0</v>
      </c>
      <c r="AC277" s="34">
        <f t="shared" si="211"/>
        <v>0</v>
      </c>
      <c r="AD277" s="34">
        <f t="shared" si="212"/>
        <v>0</v>
      </c>
      <c r="AE277" s="34">
        <f t="shared" si="213"/>
        <v>0</v>
      </c>
      <c r="AF277" s="34">
        <f t="shared" si="214"/>
        <v>0</v>
      </c>
      <c r="AG277" s="34">
        <f t="shared" si="215"/>
        <v>0</v>
      </c>
      <c r="AH277" s="34">
        <f t="shared" si="216"/>
        <v>0</v>
      </c>
      <c r="AI277" s="27" t="s">
        <v>3645</v>
      </c>
      <c r="AJ277" s="18">
        <f t="shared" si="217"/>
        <v>0</v>
      </c>
      <c r="AK277" s="18">
        <f t="shared" si="218"/>
        <v>0</v>
      </c>
      <c r="AL277" s="18">
        <f t="shared" si="219"/>
        <v>0</v>
      </c>
      <c r="AN277" s="34">
        <v>21</v>
      </c>
      <c r="AO277" s="34">
        <f t="shared" si="220"/>
        <v>0</v>
      </c>
      <c r="AP277" s="34">
        <f t="shared" si="221"/>
        <v>0</v>
      </c>
      <c r="AQ277" s="28" t="s">
        <v>11</v>
      </c>
      <c r="AV277" s="34">
        <f t="shared" si="222"/>
        <v>0</v>
      </c>
      <c r="AW277" s="34">
        <f t="shared" si="223"/>
        <v>0</v>
      </c>
      <c r="AX277" s="34">
        <f t="shared" si="224"/>
        <v>0</v>
      </c>
      <c r="AY277" s="35" t="s">
        <v>3672</v>
      </c>
      <c r="AZ277" s="35" t="s">
        <v>3712</v>
      </c>
      <c r="BA277" s="27" t="s">
        <v>3729</v>
      </c>
      <c r="BC277" s="34">
        <f t="shared" si="225"/>
        <v>0</v>
      </c>
      <c r="BD277" s="34">
        <f t="shared" si="226"/>
        <v>0</v>
      </c>
      <c r="BE277" s="34">
        <v>0</v>
      </c>
      <c r="BF277" s="34">
        <f>277</f>
        <v>277</v>
      </c>
      <c r="BH277" s="18">
        <f t="shared" si="227"/>
        <v>0</v>
      </c>
      <c r="BI277" s="18">
        <f t="shared" si="228"/>
        <v>0</v>
      </c>
      <c r="BJ277" s="18">
        <f t="shared" si="229"/>
        <v>0</v>
      </c>
    </row>
    <row r="278" spans="1:62" x14ac:dyDescent="0.2">
      <c r="A278" s="5" t="s">
        <v>246</v>
      </c>
      <c r="B278" s="5" t="s">
        <v>1442</v>
      </c>
      <c r="C278" s="135" t="s">
        <v>2667</v>
      </c>
      <c r="D278" s="136"/>
      <c r="E278" s="136"/>
      <c r="F278" s="136"/>
      <c r="G278" s="136"/>
      <c r="H278" s="5" t="s">
        <v>3616</v>
      </c>
      <c r="I278" s="18">
        <v>7.4050000000000002</v>
      </c>
      <c r="J278" s="18">
        <v>0</v>
      </c>
      <c r="K278" s="18">
        <f t="shared" si="208"/>
        <v>0</v>
      </c>
      <c r="L278" s="28" t="s">
        <v>3635</v>
      </c>
      <c r="Z278" s="34">
        <f t="shared" si="209"/>
        <v>0</v>
      </c>
      <c r="AB278" s="34">
        <f t="shared" si="210"/>
        <v>0</v>
      </c>
      <c r="AC278" s="34">
        <f t="shared" si="211"/>
        <v>0</v>
      </c>
      <c r="AD278" s="34">
        <f t="shared" si="212"/>
        <v>0</v>
      </c>
      <c r="AE278" s="34">
        <f t="shared" si="213"/>
        <v>0</v>
      </c>
      <c r="AF278" s="34">
        <f t="shared" si="214"/>
        <v>0</v>
      </c>
      <c r="AG278" s="34">
        <f t="shared" si="215"/>
        <v>0</v>
      </c>
      <c r="AH278" s="34">
        <f t="shared" si="216"/>
        <v>0</v>
      </c>
      <c r="AI278" s="27" t="s">
        <v>3645</v>
      </c>
      <c r="AJ278" s="18">
        <f t="shared" si="217"/>
        <v>0</v>
      </c>
      <c r="AK278" s="18">
        <f t="shared" si="218"/>
        <v>0</v>
      </c>
      <c r="AL278" s="18">
        <f t="shared" si="219"/>
        <v>0</v>
      </c>
      <c r="AN278" s="34">
        <v>21</v>
      </c>
      <c r="AO278" s="34">
        <f t="shared" si="220"/>
        <v>0</v>
      </c>
      <c r="AP278" s="34">
        <f t="shared" si="221"/>
        <v>0</v>
      </c>
      <c r="AQ278" s="28" t="s">
        <v>11</v>
      </c>
      <c r="AV278" s="34">
        <f t="shared" si="222"/>
        <v>0</v>
      </c>
      <c r="AW278" s="34">
        <f t="shared" si="223"/>
        <v>0</v>
      </c>
      <c r="AX278" s="34">
        <f t="shared" si="224"/>
        <v>0</v>
      </c>
      <c r="AY278" s="35" t="s">
        <v>3672</v>
      </c>
      <c r="AZ278" s="35" t="s">
        <v>3712</v>
      </c>
      <c r="BA278" s="27" t="s">
        <v>3729</v>
      </c>
      <c r="BC278" s="34">
        <f t="shared" si="225"/>
        <v>0</v>
      </c>
      <c r="BD278" s="34">
        <f t="shared" si="226"/>
        <v>0</v>
      </c>
      <c r="BE278" s="34">
        <v>0</v>
      </c>
      <c r="BF278" s="34">
        <f>278</f>
        <v>278</v>
      </c>
      <c r="BH278" s="18">
        <f t="shared" si="227"/>
        <v>0</v>
      </c>
      <c r="BI278" s="18">
        <f t="shared" si="228"/>
        <v>0</v>
      </c>
      <c r="BJ278" s="18">
        <f t="shared" si="229"/>
        <v>0</v>
      </c>
    </row>
    <row r="279" spans="1:62" x14ac:dyDescent="0.2">
      <c r="A279" s="5" t="s">
        <v>247</v>
      </c>
      <c r="B279" s="5" t="s">
        <v>1443</v>
      </c>
      <c r="C279" s="135" t="s">
        <v>2668</v>
      </c>
      <c r="D279" s="136"/>
      <c r="E279" s="136"/>
      <c r="F279" s="136"/>
      <c r="G279" s="136"/>
      <c r="H279" s="5" t="s">
        <v>3616</v>
      </c>
      <c r="I279" s="18">
        <v>5.6470000000000002</v>
      </c>
      <c r="J279" s="18">
        <v>0</v>
      </c>
      <c r="K279" s="18">
        <f t="shared" si="208"/>
        <v>0</v>
      </c>
      <c r="L279" s="28" t="s">
        <v>3635</v>
      </c>
      <c r="Z279" s="34">
        <f t="shared" si="209"/>
        <v>0</v>
      </c>
      <c r="AB279" s="34">
        <f t="shared" si="210"/>
        <v>0</v>
      </c>
      <c r="AC279" s="34">
        <f t="shared" si="211"/>
        <v>0</v>
      </c>
      <c r="AD279" s="34">
        <f t="shared" si="212"/>
        <v>0</v>
      </c>
      <c r="AE279" s="34">
        <f t="shared" si="213"/>
        <v>0</v>
      </c>
      <c r="AF279" s="34">
        <f t="shared" si="214"/>
        <v>0</v>
      </c>
      <c r="AG279" s="34">
        <f t="shared" si="215"/>
        <v>0</v>
      </c>
      <c r="AH279" s="34">
        <f t="shared" si="216"/>
        <v>0</v>
      </c>
      <c r="AI279" s="27" t="s">
        <v>3645</v>
      </c>
      <c r="AJ279" s="18">
        <f t="shared" si="217"/>
        <v>0</v>
      </c>
      <c r="AK279" s="18">
        <f t="shared" si="218"/>
        <v>0</v>
      </c>
      <c r="AL279" s="18">
        <f t="shared" si="219"/>
        <v>0</v>
      </c>
      <c r="AN279" s="34">
        <v>21</v>
      </c>
      <c r="AO279" s="34">
        <f t="shared" si="220"/>
        <v>0</v>
      </c>
      <c r="AP279" s="34">
        <f t="shared" si="221"/>
        <v>0</v>
      </c>
      <c r="AQ279" s="28" t="s">
        <v>11</v>
      </c>
      <c r="AV279" s="34">
        <f t="shared" si="222"/>
        <v>0</v>
      </c>
      <c r="AW279" s="34">
        <f t="shared" si="223"/>
        <v>0</v>
      </c>
      <c r="AX279" s="34">
        <f t="shared" si="224"/>
        <v>0</v>
      </c>
      <c r="AY279" s="35" t="s">
        <v>3672</v>
      </c>
      <c r="AZ279" s="35" t="s">
        <v>3712</v>
      </c>
      <c r="BA279" s="27" t="s">
        <v>3729</v>
      </c>
      <c r="BC279" s="34">
        <f t="shared" si="225"/>
        <v>0</v>
      </c>
      <c r="BD279" s="34">
        <f t="shared" si="226"/>
        <v>0</v>
      </c>
      <c r="BE279" s="34">
        <v>0</v>
      </c>
      <c r="BF279" s="34">
        <f>279</f>
        <v>279</v>
      </c>
      <c r="BH279" s="18">
        <f t="shared" si="227"/>
        <v>0</v>
      </c>
      <c r="BI279" s="18">
        <f t="shared" si="228"/>
        <v>0</v>
      </c>
      <c r="BJ279" s="18">
        <f t="shared" si="229"/>
        <v>0</v>
      </c>
    </row>
    <row r="280" spans="1:62" x14ac:dyDescent="0.2">
      <c r="A280" s="5" t="s">
        <v>248</v>
      </c>
      <c r="B280" s="5" t="s">
        <v>1444</v>
      </c>
      <c r="C280" s="135" t="s">
        <v>2669</v>
      </c>
      <c r="D280" s="136"/>
      <c r="E280" s="136"/>
      <c r="F280" s="136"/>
      <c r="G280" s="136"/>
      <c r="H280" s="5" t="s">
        <v>3616</v>
      </c>
      <c r="I280" s="18">
        <v>1.2849999999999999</v>
      </c>
      <c r="J280" s="18">
        <v>0</v>
      </c>
      <c r="K280" s="18">
        <f t="shared" si="208"/>
        <v>0</v>
      </c>
      <c r="L280" s="28" t="s">
        <v>3635</v>
      </c>
      <c r="Z280" s="34">
        <f t="shared" si="209"/>
        <v>0</v>
      </c>
      <c r="AB280" s="34">
        <f t="shared" si="210"/>
        <v>0</v>
      </c>
      <c r="AC280" s="34">
        <f t="shared" si="211"/>
        <v>0</v>
      </c>
      <c r="AD280" s="34">
        <f t="shared" si="212"/>
        <v>0</v>
      </c>
      <c r="AE280" s="34">
        <f t="shared" si="213"/>
        <v>0</v>
      </c>
      <c r="AF280" s="34">
        <f t="shared" si="214"/>
        <v>0</v>
      </c>
      <c r="AG280" s="34">
        <f t="shared" si="215"/>
        <v>0</v>
      </c>
      <c r="AH280" s="34">
        <f t="shared" si="216"/>
        <v>0</v>
      </c>
      <c r="AI280" s="27" t="s">
        <v>3645</v>
      </c>
      <c r="AJ280" s="18">
        <f t="shared" si="217"/>
        <v>0</v>
      </c>
      <c r="AK280" s="18">
        <f t="shared" si="218"/>
        <v>0</v>
      </c>
      <c r="AL280" s="18">
        <f t="shared" si="219"/>
        <v>0</v>
      </c>
      <c r="AN280" s="34">
        <v>21</v>
      </c>
      <c r="AO280" s="34">
        <f t="shared" si="220"/>
        <v>0</v>
      </c>
      <c r="AP280" s="34">
        <f t="shared" si="221"/>
        <v>0</v>
      </c>
      <c r="AQ280" s="28" t="s">
        <v>11</v>
      </c>
      <c r="AV280" s="34">
        <f t="shared" si="222"/>
        <v>0</v>
      </c>
      <c r="AW280" s="34">
        <f t="shared" si="223"/>
        <v>0</v>
      </c>
      <c r="AX280" s="34">
        <f t="shared" si="224"/>
        <v>0</v>
      </c>
      <c r="AY280" s="35" t="s">
        <v>3672</v>
      </c>
      <c r="AZ280" s="35" t="s">
        <v>3712</v>
      </c>
      <c r="BA280" s="27" t="s">
        <v>3729</v>
      </c>
      <c r="BC280" s="34">
        <f t="shared" si="225"/>
        <v>0</v>
      </c>
      <c r="BD280" s="34">
        <f t="shared" si="226"/>
        <v>0</v>
      </c>
      <c r="BE280" s="34">
        <v>0</v>
      </c>
      <c r="BF280" s="34">
        <f>280</f>
        <v>280</v>
      </c>
      <c r="BH280" s="18">
        <f t="shared" si="227"/>
        <v>0</v>
      </c>
      <c r="BI280" s="18">
        <f t="shared" si="228"/>
        <v>0</v>
      </c>
      <c r="BJ280" s="18">
        <f t="shared" si="229"/>
        <v>0</v>
      </c>
    </row>
    <row r="281" spans="1:62" x14ac:dyDescent="0.2">
      <c r="A281" s="5" t="s">
        <v>249</v>
      </c>
      <c r="B281" s="5" t="s">
        <v>1445</v>
      </c>
      <c r="C281" s="135" t="s">
        <v>2670</v>
      </c>
      <c r="D281" s="136"/>
      <c r="E281" s="136"/>
      <c r="F281" s="136"/>
      <c r="G281" s="136"/>
      <c r="H281" s="5" t="s">
        <v>3616</v>
      </c>
      <c r="I281" s="18">
        <v>0.90800000000000003</v>
      </c>
      <c r="J281" s="18">
        <v>0</v>
      </c>
      <c r="K281" s="18">
        <f t="shared" si="208"/>
        <v>0</v>
      </c>
      <c r="L281" s="28" t="s">
        <v>3635</v>
      </c>
      <c r="Z281" s="34">
        <f t="shared" si="209"/>
        <v>0</v>
      </c>
      <c r="AB281" s="34">
        <f t="shared" si="210"/>
        <v>0</v>
      </c>
      <c r="AC281" s="34">
        <f t="shared" si="211"/>
        <v>0</v>
      </c>
      <c r="AD281" s="34">
        <f t="shared" si="212"/>
        <v>0</v>
      </c>
      <c r="AE281" s="34">
        <f t="shared" si="213"/>
        <v>0</v>
      </c>
      <c r="AF281" s="34">
        <f t="shared" si="214"/>
        <v>0</v>
      </c>
      <c r="AG281" s="34">
        <f t="shared" si="215"/>
        <v>0</v>
      </c>
      <c r="AH281" s="34">
        <f t="shared" si="216"/>
        <v>0</v>
      </c>
      <c r="AI281" s="27" t="s">
        <v>3645</v>
      </c>
      <c r="AJ281" s="18">
        <f t="shared" si="217"/>
        <v>0</v>
      </c>
      <c r="AK281" s="18">
        <f t="shared" si="218"/>
        <v>0</v>
      </c>
      <c r="AL281" s="18">
        <f t="shared" si="219"/>
        <v>0</v>
      </c>
      <c r="AN281" s="34">
        <v>21</v>
      </c>
      <c r="AO281" s="34">
        <f t="shared" si="220"/>
        <v>0</v>
      </c>
      <c r="AP281" s="34">
        <f t="shared" si="221"/>
        <v>0</v>
      </c>
      <c r="AQ281" s="28" t="s">
        <v>11</v>
      </c>
      <c r="AV281" s="34">
        <f t="shared" si="222"/>
        <v>0</v>
      </c>
      <c r="AW281" s="34">
        <f t="shared" si="223"/>
        <v>0</v>
      </c>
      <c r="AX281" s="34">
        <f t="shared" si="224"/>
        <v>0</v>
      </c>
      <c r="AY281" s="35" t="s">
        <v>3672</v>
      </c>
      <c r="AZ281" s="35" t="s">
        <v>3712</v>
      </c>
      <c r="BA281" s="27" t="s">
        <v>3729</v>
      </c>
      <c r="BC281" s="34">
        <f t="shared" si="225"/>
        <v>0</v>
      </c>
      <c r="BD281" s="34">
        <f t="shared" si="226"/>
        <v>0</v>
      </c>
      <c r="BE281" s="34">
        <v>0</v>
      </c>
      <c r="BF281" s="34">
        <f>281</f>
        <v>281</v>
      </c>
      <c r="BH281" s="18">
        <f t="shared" si="227"/>
        <v>0</v>
      </c>
      <c r="BI281" s="18">
        <f t="shared" si="228"/>
        <v>0</v>
      </c>
      <c r="BJ281" s="18">
        <f t="shared" si="229"/>
        <v>0</v>
      </c>
    </row>
    <row r="282" spans="1:62" x14ac:dyDescent="0.2">
      <c r="A282" s="5" t="s">
        <v>250</v>
      </c>
      <c r="B282" s="5" t="s">
        <v>1446</v>
      </c>
      <c r="C282" s="135" t="s">
        <v>2671</v>
      </c>
      <c r="D282" s="136"/>
      <c r="E282" s="136"/>
      <c r="F282" s="136"/>
      <c r="G282" s="136"/>
      <c r="H282" s="5" t="s">
        <v>3616</v>
      </c>
      <c r="I282" s="18">
        <v>5.5259999999999998</v>
      </c>
      <c r="J282" s="18">
        <v>0</v>
      </c>
      <c r="K282" s="18">
        <f t="shared" si="208"/>
        <v>0</v>
      </c>
      <c r="L282" s="28" t="s">
        <v>3635</v>
      </c>
      <c r="Z282" s="34">
        <f t="shared" si="209"/>
        <v>0</v>
      </c>
      <c r="AB282" s="34">
        <f t="shared" si="210"/>
        <v>0</v>
      </c>
      <c r="AC282" s="34">
        <f t="shared" si="211"/>
        <v>0</v>
      </c>
      <c r="AD282" s="34">
        <f t="shared" si="212"/>
        <v>0</v>
      </c>
      <c r="AE282" s="34">
        <f t="shared" si="213"/>
        <v>0</v>
      </c>
      <c r="AF282" s="34">
        <f t="shared" si="214"/>
        <v>0</v>
      </c>
      <c r="AG282" s="34">
        <f t="shared" si="215"/>
        <v>0</v>
      </c>
      <c r="AH282" s="34">
        <f t="shared" si="216"/>
        <v>0</v>
      </c>
      <c r="AI282" s="27" t="s">
        <v>3645</v>
      </c>
      <c r="AJ282" s="18">
        <f t="shared" si="217"/>
        <v>0</v>
      </c>
      <c r="AK282" s="18">
        <f t="shared" si="218"/>
        <v>0</v>
      </c>
      <c r="AL282" s="18">
        <f t="shared" si="219"/>
        <v>0</v>
      </c>
      <c r="AN282" s="34">
        <v>21</v>
      </c>
      <c r="AO282" s="34">
        <f t="shared" si="220"/>
        <v>0</v>
      </c>
      <c r="AP282" s="34">
        <f t="shared" si="221"/>
        <v>0</v>
      </c>
      <c r="AQ282" s="28" t="s">
        <v>11</v>
      </c>
      <c r="AV282" s="34">
        <f t="shared" si="222"/>
        <v>0</v>
      </c>
      <c r="AW282" s="34">
        <f t="shared" si="223"/>
        <v>0</v>
      </c>
      <c r="AX282" s="34">
        <f t="shared" si="224"/>
        <v>0</v>
      </c>
      <c r="AY282" s="35" t="s">
        <v>3672</v>
      </c>
      <c r="AZ282" s="35" t="s">
        <v>3712</v>
      </c>
      <c r="BA282" s="27" t="s">
        <v>3729</v>
      </c>
      <c r="BC282" s="34">
        <f t="shared" si="225"/>
        <v>0</v>
      </c>
      <c r="BD282" s="34">
        <f t="shared" si="226"/>
        <v>0</v>
      </c>
      <c r="BE282" s="34">
        <v>0</v>
      </c>
      <c r="BF282" s="34">
        <f>282</f>
        <v>282</v>
      </c>
      <c r="BH282" s="18">
        <f t="shared" si="227"/>
        <v>0</v>
      </c>
      <c r="BI282" s="18">
        <f t="shared" si="228"/>
        <v>0</v>
      </c>
      <c r="BJ282" s="18">
        <f t="shared" si="229"/>
        <v>0</v>
      </c>
    </row>
    <row r="283" spans="1:62" x14ac:dyDescent="0.2">
      <c r="A283" s="5" t="s">
        <v>251</v>
      </c>
      <c r="B283" s="5" t="s">
        <v>1447</v>
      </c>
      <c r="C283" s="135" t="s">
        <v>2672</v>
      </c>
      <c r="D283" s="136"/>
      <c r="E283" s="136"/>
      <c r="F283" s="136"/>
      <c r="G283" s="136"/>
      <c r="H283" s="5" t="s">
        <v>3616</v>
      </c>
      <c r="I283" s="18">
        <v>1.4730000000000001</v>
      </c>
      <c r="J283" s="18">
        <v>0</v>
      </c>
      <c r="K283" s="18">
        <f t="shared" si="208"/>
        <v>0</v>
      </c>
      <c r="L283" s="28" t="s">
        <v>3635</v>
      </c>
      <c r="Z283" s="34">
        <f t="shared" si="209"/>
        <v>0</v>
      </c>
      <c r="AB283" s="34">
        <f t="shared" si="210"/>
        <v>0</v>
      </c>
      <c r="AC283" s="34">
        <f t="shared" si="211"/>
        <v>0</v>
      </c>
      <c r="AD283" s="34">
        <f t="shared" si="212"/>
        <v>0</v>
      </c>
      <c r="AE283" s="34">
        <f t="shared" si="213"/>
        <v>0</v>
      </c>
      <c r="AF283" s="34">
        <f t="shared" si="214"/>
        <v>0</v>
      </c>
      <c r="AG283" s="34">
        <f t="shared" si="215"/>
        <v>0</v>
      </c>
      <c r="AH283" s="34">
        <f t="shared" si="216"/>
        <v>0</v>
      </c>
      <c r="AI283" s="27" t="s">
        <v>3645</v>
      </c>
      <c r="AJ283" s="18">
        <f t="shared" si="217"/>
        <v>0</v>
      </c>
      <c r="AK283" s="18">
        <f t="shared" si="218"/>
        <v>0</v>
      </c>
      <c r="AL283" s="18">
        <f t="shared" si="219"/>
        <v>0</v>
      </c>
      <c r="AN283" s="34">
        <v>21</v>
      </c>
      <c r="AO283" s="34">
        <f t="shared" si="220"/>
        <v>0</v>
      </c>
      <c r="AP283" s="34">
        <f t="shared" si="221"/>
        <v>0</v>
      </c>
      <c r="AQ283" s="28" t="s">
        <v>11</v>
      </c>
      <c r="AV283" s="34">
        <f t="shared" si="222"/>
        <v>0</v>
      </c>
      <c r="AW283" s="34">
        <f t="shared" si="223"/>
        <v>0</v>
      </c>
      <c r="AX283" s="34">
        <f t="shared" si="224"/>
        <v>0</v>
      </c>
      <c r="AY283" s="35" t="s">
        <v>3672</v>
      </c>
      <c r="AZ283" s="35" t="s">
        <v>3712</v>
      </c>
      <c r="BA283" s="27" t="s">
        <v>3729</v>
      </c>
      <c r="BC283" s="34">
        <f t="shared" si="225"/>
        <v>0</v>
      </c>
      <c r="BD283" s="34">
        <f t="shared" si="226"/>
        <v>0</v>
      </c>
      <c r="BE283" s="34">
        <v>0</v>
      </c>
      <c r="BF283" s="34">
        <f>283</f>
        <v>283</v>
      </c>
      <c r="BH283" s="18">
        <f t="shared" si="227"/>
        <v>0</v>
      </c>
      <c r="BI283" s="18">
        <f t="shared" si="228"/>
        <v>0</v>
      </c>
      <c r="BJ283" s="18">
        <f t="shared" si="229"/>
        <v>0</v>
      </c>
    </row>
    <row r="284" spans="1:62" x14ac:dyDescent="0.2">
      <c r="A284" s="5" t="s">
        <v>252</v>
      </c>
      <c r="B284" s="5" t="s">
        <v>1448</v>
      </c>
      <c r="C284" s="135" t="s">
        <v>2673</v>
      </c>
      <c r="D284" s="136"/>
      <c r="E284" s="136"/>
      <c r="F284" s="136"/>
      <c r="G284" s="136"/>
      <c r="H284" s="5" t="s">
        <v>3616</v>
      </c>
      <c r="I284" s="18">
        <v>0.318</v>
      </c>
      <c r="J284" s="18">
        <v>0</v>
      </c>
      <c r="K284" s="18">
        <f t="shared" si="208"/>
        <v>0</v>
      </c>
      <c r="L284" s="28" t="s">
        <v>3635</v>
      </c>
      <c r="Z284" s="34">
        <f t="shared" si="209"/>
        <v>0</v>
      </c>
      <c r="AB284" s="34">
        <f t="shared" si="210"/>
        <v>0</v>
      </c>
      <c r="AC284" s="34">
        <f t="shared" si="211"/>
        <v>0</v>
      </c>
      <c r="AD284" s="34">
        <f t="shared" si="212"/>
        <v>0</v>
      </c>
      <c r="AE284" s="34">
        <f t="shared" si="213"/>
        <v>0</v>
      </c>
      <c r="AF284" s="34">
        <f t="shared" si="214"/>
        <v>0</v>
      </c>
      <c r="AG284" s="34">
        <f t="shared" si="215"/>
        <v>0</v>
      </c>
      <c r="AH284" s="34">
        <f t="shared" si="216"/>
        <v>0</v>
      </c>
      <c r="AI284" s="27" t="s">
        <v>3645</v>
      </c>
      <c r="AJ284" s="18">
        <f t="shared" si="217"/>
        <v>0</v>
      </c>
      <c r="AK284" s="18">
        <f t="shared" si="218"/>
        <v>0</v>
      </c>
      <c r="AL284" s="18">
        <f t="shared" si="219"/>
        <v>0</v>
      </c>
      <c r="AN284" s="34">
        <v>21</v>
      </c>
      <c r="AO284" s="34">
        <f t="shared" si="220"/>
        <v>0</v>
      </c>
      <c r="AP284" s="34">
        <f t="shared" si="221"/>
        <v>0</v>
      </c>
      <c r="AQ284" s="28" t="s">
        <v>11</v>
      </c>
      <c r="AV284" s="34">
        <f t="shared" si="222"/>
        <v>0</v>
      </c>
      <c r="AW284" s="34">
        <f t="shared" si="223"/>
        <v>0</v>
      </c>
      <c r="AX284" s="34">
        <f t="shared" si="224"/>
        <v>0</v>
      </c>
      <c r="AY284" s="35" t="s">
        <v>3672</v>
      </c>
      <c r="AZ284" s="35" t="s">
        <v>3712</v>
      </c>
      <c r="BA284" s="27" t="s">
        <v>3729</v>
      </c>
      <c r="BC284" s="34">
        <f t="shared" si="225"/>
        <v>0</v>
      </c>
      <c r="BD284" s="34">
        <f t="shared" si="226"/>
        <v>0</v>
      </c>
      <c r="BE284" s="34">
        <v>0</v>
      </c>
      <c r="BF284" s="34">
        <f>284</f>
        <v>284</v>
      </c>
      <c r="BH284" s="18">
        <f t="shared" si="227"/>
        <v>0</v>
      </c>
      <c r="BI284" s="18">
        <f t="shared" si="228"/>
        <v>0</v>
      </c>
      <c r="BJ284" s="18">
        <f t="shared" si="229"/>
        <v>0</v>
      </c>
    </row>
    <row r="285" spans="1:62" x14ac:dyDescent="0.2">
      <c r="A285" s="4"/>
      <c r="B285" s="14" t="s">
        <v>104</v>
      </c>
      <c r="C285" s="133" t="s">
        <v>2674</v>
      </c>
      <c r="D285" s="134"/>
      <c r="E285" s="134"/>
      <c r="F285" s="134"/>
      <c r="G285" s="134"/>
      <c r="H285" s="4" t="s">
        <v>6</v>
      </c>
      <c r="I285" s="4" t="s">
        <v>6</v>
      </c>
      <c r="J285" s="4" t="s">
        <v>6</v>
      </c>
      <c r="K285" s="37">
        <f>SUM(K286:K286)</f>
        <v>0</v>
      </c>
      <c r="L285" s="27"/>
      <c r="AI285" s="27" t="s">
        <v>3645</v>
      </c>
      <c r="AS285" s="37">
        <f>SUM(AJ286:AJ286)</f>
        <v>0</v>
      </c>
      <c r="AT285" s="37">
        <f>SUM(AK286:AK286)</f>
        <v>0</v>
      </c>
      <c r="AU285" s="37">
        <f>SUM(AL286:AL286)</f>
        <v>0</v>
      </c>
    </row>
    <row r="286" spans="1:62" x14ac:dyDescent="0.2">
      <c r="A286" s="5" t="s">
        <v>253</v>
      </c>
      <c r="B286" s="5" t="s">
        <v>1449</v>
      </c>
      <c r="C286" s="135" t="s">
        <v>2675</v>
      </c>
      <c r="D286" s="136"/>
      <c r="E286" s="136"/>
      <c r="F286" s="136"/>
      <c r="G286" s="136"/>
      <c r="H286" s="5" t="s">
        <v>3613</v>
      </c>
      <c r="I286" s="18">
        <v>12.936</v>
      </c>
      <c r="J286" s="18">
        <v>0</v>
      </c>
      <c r="K286" s="18">
        <f>I286*J286</f>
        <v>0</v>
      </c>
      <c r="L286" s="28" t="s">
        <v>3635</v>
      </c>
      <c r="Z286" s="34">
        <f>IF(AQ286="5",BJ286,0)</f>
        <v>0</v>
      </c>
      <c r="AB286" s="34">
        <f>IF(AQ286="1",BH286,0)</f>
        <v>0</v>
      </c>
      <c r="AC286" s="34">
        <f>IF(AQ286="1",BI286,0)</f>
        <v>0</v>
      </c>
      <c r="AD286" s="34">
        <f>IF(AQ286="7",BH286,0)</f>
        <v>0</v>
      </c>
      <c r="AE286" s="34">
        <f>IF(AQ286="7",BI286,0)</f>
        <v>0</v>
      </c>
      <c r="AF286" s="34">
        <f>IF(AQ286="2",BH286,0)</f>
        <v>0</v>
      </c>
      <c r="AG286" s="34">
        <f>IF(AQ286="2",BI286,0)</f>
        <v>0</v>
      </c>
      <c r="AH286" s="34">
        <f>IF(AQ286="0",BJ286,0)</f>
        <v>0</v>
      </c>
      <c r="AI286" s="27" t="s">
        <v>3645</v>
      </c>
      <c r="AJ286" s="18">
        <f>IF(AN286=0,K286,0)</f>
        <v>0</v>
      </c>
      <c r="AK286" s="18">
        <f>IF(AN286=15,K286,0)</f>
        <v>0</v>
      </c>
      <c r="AL286" s="18">
        <f>IF(AN286=21,K286,0)</f>
        <v>0</v>
      </c>
      <c r="AN286" s="34">
        <v>21</v>
      </c>
      <c r="AO286" s="34">
        <f>J286*0.017037037037037</f>
        <v>0</v>
      </c>
      <c r="AP286" s="34">
        <f>J286*(1-0.017037037037037)</f>
        <v>0</v>
      </c>
      <c r="AQ286" s="28" t="s">
        <v>7</v>
      </c>
      <c r="AV286" s="34">
        <f>AW286+AX286</f>
        <v>0</v>
      </c>
      <c r="AW286" s="34">
        <f>I286*AO286</f>
        <v>0</v>
      </c>
      <c r="AX286" s="34">
        <f>I286*AP286</f>
        <v>0</v>
      </c>
      <c r="AY286" s="35" t="s">
        <v>3673</v>
      </c>
      <c r="AZ286" s="35" t="s">
        <v>3712</v>
      </c>
      <c r="BA286" s="27" t="s">
        <v>3729</v>
      </c>
      <c r="BC286" s="34">
        <f>AW286+AX286</f>
        <v>0</v>
      </c>
      <c r="BD286" s="34">
        <f>J286/(100-BE286)*100</f>
        <v>0</v>
      </c>
      <c r="BE286" s="34">
        <v>0</v>
      </c>
      <c r="BF286" s="34">
        <f>286</f>
        <v>286</v>
      </c>
      <c r="BH286" s="18">
        <f>I286*AO286</f>
        <v>0</v>
      </c>
      <c r="BI286" s="18">
        <f>I286*AP286</f>
        <v>0</v>
      </c>
      <c r="BJ286" s="18">
        <f>I286*J286</f>
        <v>0</v>
      </c>
    </row>
    <row r="287" spans="1:62" x14ac:dyDescent="0.2">
      <c r="A287" s="4"/>
      <c r="B287" s="14" t="s">
        <v>1450</v>
      </c>
      <c r="C287" s="133" t="s">
        <v>2676</v>
      </c>
      <c r="D287" s="134"/>
      <c r="E287" s="134"/>
      <c r="F287" s="134"/>
      <c r="G287" s="134"/>
      <c r="H287" s="4" t="s">
        <v>6</v>
      </c>
      <c r="I287" s="4" t="s">
        <v>6</v>
      </c>
      <c r="J287" s="4" t="s">
        <v>6</v>
      </c>
      <c r="K287" s="37">
        <f>SUM(K288:K288)</f>
        <v>0</v>
      </c>
      <c r="L287" s="27"/>
      <c r="AI287" s="27" t="s">
        <v>3645</v>
      </c>
      <c r="AS287" s="37">
        <f>SUM(AJ288:AJ288)</f>
        <v>0</v>
      </c>
      <c r="AT287" s="37">
        <f>SUM(AK288:AK288)</f>
        <v>0</v>
      </c>
      <c r="AU287" s="37">
        <f>SUM(AL288:AL288)</f>
        <v>0</v>
      </c>
    </row>
    <row r="288" spans="1:62" x14ac:dyDescent="0.2">
      <c r="A288" s="5" t="s">
        <v>254</v>
      </c>
      <c r="B288" s="5" t="s">
        <v>1451</v>
      </c>
      <c r="C288" s="135" t="s">
        <v>2677</v>
      </c>
      <c r="D288" s="136"/>
      <c r="E288" s="136"/>
      <c r="F288" s="136"/>
      <c r="G288" s="136"/>
      <c r="H288" s="5" t="s">
        <v>3616</v>
      </c>
      <c r="I288" s="18">
        <v>1225.2639999999999</v>
      </c>
      <c r="J288" s="18">
        <v>0</v>
      </c>
      <c r="K288" s="18">
        <f>I288*J288</f>
        <v>0</v>
      </c>
      <c r="L288" s="28" t="s">
        <v>3635</v>
      </c>
      <c r="Z288" s="34">
        <f>IF(AQ288="5",BJ288,0)</f>
        <v>0</v>
      </c>
      <c r="AB288" s="34">
        <f>IF(AQ288="1",BH288,0)</f>
        <v>0</v>
      </c>
      <c r="AC288" s="34">
        <f>IF(AQ288="1",BI288,0)</f>
        <v>0</v>
      </c>
      <c r="AD288" s="34">
        <f>IF(AQ288="7",BH288,0)</f>
        <v>0</v>
      </c>
      <c r="AE288" s="34">
        <f>IF(AQ288="7",BI288,0)</f>
        <v>0</v>
      </c>
      <c r="AF288" s="34">
        <f>IF(AQ288="2",BH288,0)</f>
        <v>0</v>
      </c>
      <c r="AG288" s="34">
        <f>IF(AQ288="2",BI288,0)</f>
        <v>0</v>
      </c>
      <c r="AH288" s="34">
        <f>IF(AQ288="0",BJ288,0)</f>
        <v>0</v>
      </c>
      <c r="AI288" s="27" t="s">
        <v>3645</v>
      </c>
      <c r="AJ288" s="18">
        <f>IF(AN288=0,K288,0)</f>
        <v>0</v>
      </c>
      <c r="AK288" s="18">
        <f>IF(AN288=15,K288,0)</f>
        <v>0</v>
      </c>
      <c r="AL288" s="18">
        <f>IF(AN288=21,K288,0)</f>
        <v>0</v>
      </c>
      <c r="AN288" s="34">
        <v>21</v>
      </c>
      <c r="AO288" s="34">
        <f>J288*0</f>
        <v>0</v>
      </c>
      <c r="AP288" s="34">
        <f>J288*(1-0)</f>
        <v>0</v>
      </c>
      <c r="AQ288" s="28" t="s">
        <v>11</v>
      </c>
      <c r="AV288" s="34">
        <f>AW288+AX288</f>
        <v>0</v>
      </c>
      <c r="AW288" s="34">
        <f>I288*AO288</f>
        <v>0</v>
      </c>
      <c r="AX288" s="34">
        <f>I288*AP288</f>
        <v>0</v>
      </c>
      <c r="AY288" s="35" t="s">
        <v>3674</v>
      </c>
      <c r="AZ288" s="35" t="s">
        <v>3712</v>
      </c>
      <c r="BA288" s="27" t="s">
        <v>3729</v>
      </c>
      <c r="BC288" s="34">
        <f>AW288+AX288</f>
        <v>0</v>
      </c>
      <c r="BD288" s="34">
        <f>J288/(100-BE288)*100</f>
        <v>0</v>
      </c>
      <c r="BE288" s="34">
        <v>0</v>
      </c>
      <c r="BF288" s="34">
        <f>288</f>
        <v>288</v>
      </c>
      <c r="BH288" s="18">
        <f>I288*AO288</f>
        <v>0</v>
      </c>
      <c r="BI288" s="18">
        <f>I288*AP288</f>
        <v>0</v>
      </c>
      <c r="BJ288" s="18">
        <f>I288*J288</f>
        <v>0</v>
      </c>
    </row>
    <row r="289" spans="1:62" x14ac:dyDescent="0.2">
      <c r="A289" s="4"/>
      <c r="B289" s="14" t="s">
        <v>717</v>
      </c>
      <c r="C289" s="133" t="s">
        <v>2678</v>
      </c>
      <c r="D289" s="134"/>
      <c r="E289" s="134"/>
      <c r="F289" s="134"/>
      <c r="G289" s="134"/>
      <c r="H289" s="4" t="s">
        <v>6</v>
      </c>
      <c r="I289" s="4" t="s">
        <v>6</v>
      </c>
      <c r="J289" s="4" t="s">
        <v>6</v>
      </c>
      <c r="K289" s="37">
        <f>SUM(K290:K308)</f>
        <v>0</v>
      </c>
      <c r="L289" s="27"/>
      <c r="AI289" s="27" t="s">
        <v>3645</v>
      </c>
      <c r="AS289" s="37">
        <f>SUM(AJ290:AJ308)</f>
        <v>0</v>
      </c>
      <c r="AT289" s="37">
        <f>SUM(AK290:AK308)</f>
        <v>0</v>
      </c>
      <c r="AU289" s="37">
        <f>SUM(AL290:AL308)</f>
        <v>0</v>
      </c>
    </row>
    <row r="290" spans="1:62" x14ac:dyDescent="0.2">
      <c r="A290" s="5" t="s">
        <v>255</v>
      </c>
      <c r="B290" s="5" t="s">
        <v>1452</v>
      </c>
      <c r="C290" s="135" t="s">
        <v>2679</v>
      </c>
      <c r="D290" s="136"/>
      <c r="E290" s="136"/>
      <c r="F290" s="136"/>
      <c r="G290" s="136"/>
      <c r="H290" s="5" t="s">
        <v>3615</v>
      </c>
      <c r="I290" s="18">
        <v>532.55399999999997</v>
      </c>
      <c r="J290" s="18">
        <v>0</v>
      </c>
      <c r="K290" s="18">
        <f t="shared" ref="K290:K308" si="230">I290*J290</f>
        <v>0</v>
      </c>
      <c r="L290" s="28" t="s">
        <v>3635</v>
      </c>
      <c r="Z290" s="34">
        <f t="shared" ref="Z290:Z308" si="231">IF(AQ290="5",BJ290,0)</f>
        <v>0</v>
      </c>
      <c r="AB290" s="34">
        <f t="shared" ref="AB290:AB308" si="232">IF(AQ290="1",BH290,0)</f>
        <v>0</v>
      </c>
      <c r="AC290" s="34">
        <f t="shared" ref="AC290:AC308" si="233">IF(AQ290="1",BI290,0)</f>
        <v>0</v>
      </c>
      <c r="AD290" s="34">
        <f t="shared" ref="AD290:AD308" si="234">IF(AQ290="7",BH290,0)</f>
        <v>0</v>
      </c>
      <c r="AE290" s="34">
        <f t="shared" ref="AE290:AE308" si="235">IF(AQ290="7",BI290,0)</f>
        <v>0</v>
      </c>
      <c r="AF290" s="34">
        <f t="shared" ref="AF290:AF308" si="236">IF(AQ290="2",BH290,0)</f>
        <v>0</v>
      </c>
      <c r="AG290" s="34">
        <f t="shared" ref="AG290:AG308" si="237">IF(AQ290="2",BI290,0)</f>
        <v>0</v>
      </c>
      <c r="AH290" s="34">
        <f t="shared" ref="AH290:AH308" si="238">IF(AQ290="0",BJ290,0)</f>
        <v>0</v>
      </c>
      <c r="AI290" s="27" t="s">
        <v>3645</v>
      </c>
      <c r="AJ290" s="18">
        <f t="shared" ref="AJ290:AJ308" si="239">IF(AN290=0,K290,0)</f>
        <v>0</v>
      </c>
      <c r="AK290" s="18">
        <f t="shared" ref="AK290:AK308" si="240">IF(AN290=15,K290,0)</f>
        <v>0</v>
      </c>
      <c r="AL290" s="18">
        <f t="shared" ref="AL290:AL308" si="241">IF(AN290=21,K290,0)</f>
        <v>0</v>
      </c>
      <c r="AN290" s="34">
        <v>21</v>
      </c>
      <c r="AO290" s="34">
        <f>J290*0.574021252581897</f>
        <v>0</v>
      </c>
      <c r="AP290" s="34">
        <f>J290*(1-0.574021252581897)</f>
        <v>0</v>
      </c>
      <c r="AQ290" s="28" t="s">
        <v>13</v>
      </c>
      <c r="AV290" s="34">
        <f t="shared" ref="AV290:AV308" si="242">AW290+AX290</f>
        <v>0</v>
      </c>
      <c r="AW290" s="34">
        <f t="shared" ref="AW290:AW308" si="243">I290*AO290</f>
        <v>0</v>
      </c>
      <c r="AX290" s="34">
        <f t="shared" ref="AX290:AX308" si="244">I290*AP290</f>
        <v>0</v>
      </c>
      <c r="AY290" s="35" t="s">
        <v>3675</v>
      </c>
      <c r="AZ290" s="35" t="s">
        <v>3713</v>
      </c>
      <c r="BA290" s="27" t="s">
        <v>3729</v>
      </c>
      <c r="BC290" s="34">
        <f t="shared" ref="BC290:BC308" si="245">AW290+AX290</f>
        <v>0</v>
      </c>
      <c r="BD290" s="34">
        <f t="shared" ref="BD290:BD308" si="246">J290/(100-BE290)*100</f>
        <v>0</v>
      </c>
      <c r="BE290" s="34">
        <v>0</v>
      </c>
      <c r="BF290" s="34">
        <f>290</f>
        <v>290</v>
      </c>
      <c r="BH290" s="18">
        <f t="shared" ref="BH290:BH308" si="247">I290*AO290</f>
        <v>0</v>
      </c>
      <c r="BI290" s="18">
        <f t="shared" ref="BI290:BI308" si="248">I290*AP290</f>
        <v>0</v>
      </c>
      <c r="BJ290" s="18">
        <f t="shared" ref="BJ290:BJ308" si="249">I290*J290</f>
        <v>0</v>
      </c>
    </row>
    <row r="291" spans="1:62" x14ac:dyDescent="0.2">
      <c r="A291" s="5" t="s">
        <v>256</v>
      </c>
      <c r="B291" s="5" t="s">
        <v>1452</v>
      </c>
      <c r="C291" s="135" t="s">
        <v>2680</v>
      </c>
      <c r="D291" s="136"/>
      <c r="E291" s="136"/>
      <c r="F291" s="136"/>
      <c r="G291" s="136"/>
      <c r="H291" s="5" t="s">
        <v>3615</v>
      </c>
      <c r="I291" s="18">
        <v>10.557</v>
      </c>
      <c r="J291" s="18">
        <v>0</v>
      </c>
      <c r="K291" s="18">
        <f t="shared" si="230"/>
        <v>0</v>
      </c>
      <c r="L291" s="28" t="s">
        <v>3635</v>
      </c>
      <c r="Z291" s="34">
        <f t="shared" si="231"/>
        <v>0</v>
      </c>
      <c r="AB291" s="34">
        <f t="shared" si="232"/>
        <v>0</v>
      </c>
      <c r="AC291" s="34">
        <f t="shared" si="233"/>
        <v>0</v>
      </c>
      <c r="AD291" s="34">
        <f t="shared" si="234"/>
        <v>0</v>
      </c>
      <c r="AE291" s="34">
        <f t="shared" si="235"/>
        <v>0</v>
      </c>
      <c r="AF291" s="34">
        <f t="shared" si="236"/>
        <v>0</v>
      </c>
      <c r="AG291" s="34">
        <f t="shared" si="237"/>
        <v>0</v>
      </c>
      <c r="AH291" s="34">
        <f t="shared" si="238"/>
        <v>0</v>
      </c>
      <c r="AI291" s="27" t="s">
        <v>3645</v>
      </c>
      <c r="AJ291" s="18">
        <f t="shared" si="239"/>
        <v>0</v>
      </c>
      <c r="AK291" s="18">
        <f t="shared" si="240"/>
        <v>0</v>
      </c>
      <c r="AL291" s="18">
        <f t="shared" si="241"/>
        <v>0</v>
      </c>
      <c r="AN291" s="34">
        <v>21</v>
      </c>
      <c r="AO291" s="34">
        <f>J291*0.574024641833811</f>
        <v>0</v>
      </c>
      <c r="AP291" s="34">
        <f>J291*(1-0.574024641833811)</f>
        <v>0</v>
      </c>
      <c r="AQ291" s="28" t="s">
        <v>13</v>
      </c>
      <c r="AV291" s="34">
        <f t="shared" si="242"/>
        <v>0</v>
      </c>
      <c r="AW291" s="34">
        <f t="shared" si="243"/>
        <v>0</v>
      </c>
      <c r="AX291" s="34">
        <f t="shared" si="244"/>
        <v>0</v>
      </c>
      <c r="AY291" s="35" t="s">
        <v>3675</v>
      </c>
      <c r="AZ291" s="35" t="s">
        <v>3713</v>
      </c>
      <c r="BA291" s="27" t="s">
        <v>3729</v>
      </c>
      <c r="BC291" s="34">
        <f t="shared" si="245"/>
        <v>0</v>
      </c>
      <c r="BD291" s="34">
        <f t="shared" si="246"/>
        <v>0</v>
      </c>
      <c r="BE291" s="34">
        <v>0</v>
      </c>
      <c r="BF291" s="34">
        <f>291</f>
        <v>291</v>
      </c>
      <c r="BH291" s="18">
        <f t="shared" si="247"/>
        <v>0</v>
      </c>
      <c r="BI291" s="18">
        <f t="shared" si="248"/>
        <v>0</v>
      </c>
      <c r="BJ291" s="18">
        <f t="shared" si="249"/>
        <v>0</v>
      </c>
    </row>
    <row r="292" spans="1:62" x14ac:dyDescent="0.2">
      <c r="A292" s="5" t="s">
        <v>257</v>
      </c>
      <c r="B292" s="5" t="s">
        <v>1453</v>
      </c>
      <c r="C292" s="135" t="s">
        <v>2681</v>
      </c>
      <c r="D292" s="136"/>
      <c r="E292" s="136"/>
      <c r="F292" s="136"/>
      <c r="G292" s="136"/>
      <c r="H292" s="5" t="s">
        <v>3615</v>
      </c>
      <c r="I292" s="18">
        <v>38.07</v>
      </c>
      <c r="J292" s="18">
        <v>0</v>
      </c>
      <c r="K292" s="18">
        <f t="shared" si="230"/>
        <v>0</v>
      </c>
      <c r="L292" s="28" t="s">
        <v>3635</v>
      </c>
      <c r="Z292" s="34">
        <f t="shared" si="231"/>
        <v>0</v>
      </c>
      <c r="AB292" s="34">
        <f t="shared" si="232"/>
        <v>0</v>
      </c>
      <c r="AC292" s="34">
        <f t="shared" si="233"/>
        <v>0</v>
      </c>
      <c r="AD292" s="34">
        <f t="shared" si="234"/>
        <v>0</v>
      </c>
      <c r="AE292" s="34">
        <f t="shared" si="235"/>
        <v>0</v>
      </c>
      <c r="AF292" s="34">
        <f t="shared" si="236"/>
        <v>0</v>
      </c>
      <c r="AG292" s="34">
        <f t="shared" si="237"/>
        <v>0</v>
      </c>
      <c r="AH292" s="34">
        <f t="shared" si="238"/>
        <v>0</v>
      </c>
      <c r="AI292" s="27" t="s">
        <v>3645</v>
      </c>
      <c r="AJ292" s="18">
        <f t="shared" si="239"/>
        <v>0</v>
      </c>
      <c r="AK292" s="18">
        <f t="shared" si="240"/>
        <v>0</v>
      </c>
      <c r="AL292" s="18">
        <f t="shared" si="241"/>
        <v>0</v>
      </c>
      <c r="AN292" s="34">
        <v>21</v>
      </c>
      <c r="AO292" s="34">
        <f>J292*0.501780329729966</f>
        <v>0</v>
      </c>
      <c r="AP292" s="34">
        <f>J292*(1-0.501780329729966)</f>
        <v>0</v>
      </c>
      <c r="AQ292" s="28" t="s">
        <v>13</v>
      </c>
      <c r="AV292" s="34">
        <f t="shared" si="242"/>
        <v>0</v>
      </c>
      <c r="AW292" s="34">
        <f t="shared" si="243"/>
        <v>0</v>
      </c>
      <c r="AX292" s="34">
        <f t="shared" si="244"/>
        <v>0</v>
      </c>
      <c r="AY292" s="35" t="s">
        <v>3675</v>
      </c>
      <c r="AZ292" s="35" t="s">
        <v>3713</v>
      </c>
      <c r="BA292" s="27" t="s">
        <v>3729</v>
      </c>
      <c r="BC292" s="34">
        <f t="shared" si="245"/>
        <v>0</v>
      </c>
      <c r="BD292" s="34">
        <f t="shared" si="246"/>
        <v>0</v>
      </c>
      <c r="BE292" s="34">
        <v>0</v>
      </c>
      <c r="BF292" s="34">
        <f>292</f>
        <v>292</v>
      </c>
      <c r="BH292" s="18">
        <f t="shared" si="247"/>
        <v>0</v>
      </c>
      <c r="BI292" s="18">
        <f t="shared" si="248"/>
        <v>0</v>
      </c>
      <c r="BJ292" s="18">
        <f t="shared" si="249"/>
        <v>0</v>
      </c>
    </row>
    <row r="293" spans="1:62" x14ac:dyDescent="0.2">
      <c r="A293" s="5" t="s">
        <v>258</v>
      </c>
      <c r="B293" s="5" t="s">
        <v>1453</v>
      </c>
      <c r="C293" s="135" t="s">
        <v>2682</v>
      </c>
      <c r="D293" s="136"/>
      <c r="E293" s="136"/>
      <c r="F293" s="136"/>
      <c r="G293" s="136"/>
      <c r="H293" s="5" t="s">
        <v>3615</v>
      </c>
      <c r="I293" s="18">
        <v>18.751999999999999</v>
      </c>
      <c r="J293" s="18">
        <v>0</v>
      </c>
      <c r="K293" s="18">
        <f t="shared" si="230"/>
        <v>0</v>
      </c>
      <c r="L293" s="28" t="s">
        <v>3635</v>
      </c>
      <c r="Z293" s="34">
        <f t="shared" si="231"/>
        <v>0</v>
      </c>
      <c r="AB293" s="34">
        <f t="shared" si="232"/>
        <v>0</v>
      </c>
      <c r="AC293" s="34">
        <f t="shared" si="233"/>
        <v>0</v>
      </c>
      <c r="AD293" s="34">
        <f t="shared" si="234"/>
        <v>0</v>
      </c>
      <c r="AE293" s="34">
        <f t="shared" si="235"/>
        <v>0</v>
      </c>
      <c r="AF293" s="34">
        <f t="shared" si="236"/>
        <v>0</v>
      </c>
      <c r="AG293" s="34">
        <f t="shared" si="237"/>
        <v>0</v>
      </c>
      <c r="AH293" s="34">
        <f t="shared" si="238"/>
        <v>0</v>
      </c>
      <c r="AI293" s="27" t="s">
        <v>3645</v>
      </c>
      <c r="AJ293" s="18">
        <f t="shared" si="239"/>
        <v>0</v>
      </c>
      <c r="AK293" s="18">
        <f t="shared" si="240"/>
        <v>0</v>
      </c>
      <c r="AL293" s="18">
        <f t="shared" si="241"/>
        <v>0</v>
      </c>
      <c r="AN293" s="34">
        <v>21</v>
      </c>
      <c r="AO293" s="34">
        <f>J293*0.501778965364402</f>
        <v>0</v>
      </c>
      <c r="AP293" s="34">
        <f>J293*(1-0.501778965364402)</f>
        <v>0</v>
      </c>
      <c r="AQ293" s="28" t="s">
        <v>13</v>
      </c>
      <c r="AV293" s="34">
        <f t="shared" si="242"/>
        <v>0</v>
      </c>
      <c r="AW293" s="34">
        <f t="shared" si="243"/>
        <v>0</v>
      </c>
      <c r="AX293" s="34">
        <f t="shared" si="244"/>
        <v>0</v>
      </c>
      <c r="AY293" s="35" t="s">
        <v>3675</v>
      </c>
      <c r="AZ293" s="35" t="s">
        <v>3713</v>
      </c>
      <c r="BA293" s="27" t="s">
        <v>3729</v>
      </c>
      <c r="BC293" s="34">
        <f t="shared" si="245"/>
        <v>0</v>
      </c>
      <c r="BD293" s="34">
        <f t="shared" si="246"/>
        <v>0</v>
      </c>
      <c r="BE293" s="34">
        <v>0</v>
      </c>
      <c r="BF293" s="34">
        <f>293</f>
        <v>293</v>
      </c>
      <c r="BH293" s="18">
        <f t="shared" si="247"/>
        <v>0</v>
      </c>
      <c r="BI293" s="18">
        <f t="shared" si="248"/>
        <v>0</v>
      </c>
      <c r="BJ293" s="18">
        <f t="shared" si="249"/>
        <v>0</v>
      </c>
    </row>
    <row r="294" spans="1:62" x14ac:dyDescent="0.2">
      <c r="A294" s="5" t="s">
        <v>259</v>
      </c>
      <c r="B294" s="5" t="s">
        <v>1454</v>
      </c>
      <c r="C294" s="135" t="s">
        <v>2683</v>
      </c>
      <c r="D294" s="136"/>
      <c r="E294" s="136"/>
      <c r="F294" s="136"/>
      <c r="G294" s="136"/>
      <c r="H294" s="5" t="s">
        <v>3615</v>
      </c>
      <c r="I294" s="18">
        <v>193.42</v>
      </c>
      <c r="J294" s="18">
        <v>0</v>
      </c>
      <c r="K294" s="18">
        <f t="shared" si="230"/>
        <v>0</v>
      </c>
      <c r="L294" s="28" t="s">
        <v>3635</v>
      </c>
      <c r="Z294" s="34">
        <f t="shared" si="231"/>
        <v>0</v>
      </c>
      <c r="AB294" s="34">
        <f t="shared" si="232"/>
        <v>0</v>
      </c>
      <c r="AC294" s="34">
        <f t="shared" si="233"/>
        <v>0</v>
      </c>
      <c r="AD294" s="34">
        <f t="shared" si="234"/>
        <v>0</v>
      </c>
      <c r="AE294" s="34">
        <f t="shared" si="235"/>
        <v>0</v>
      </c>
      <c r="AF294" s="34">
        <f t="shared" si="236"/>
        <v>0</v>
      </c>
      <c r="AG294" s="34">
        <f t="shared" si="237"/>
        <v>0</v>
      </c>
      <c r="AH294" s="34">
        <f t="shared" si="238"/>
        <v>0</v>
      </c>
      <c r="AI294" s="27" t="s">
        <v>3645</v>
      </c>
      <c r="AJ294" s="18">
        <f t="shared" si="239"/>
        <v>0</v>
      </c>
      <c r="AK294" s="18">
        <f t="shared" si="240"/>
        <v>0</v>
      </c>
      <c r="AL294" s="18">
        <f t="shared" si="241"/>
        <v>0</v>
      </c>
      <c r="AN294" s="34">
        <v>21</v>
      </c>
      <c r="AO294" s="34">
        <f t="shared" ref="AO294:AO301" si="250">J294*0</f>
        <v>0</v>
      </c>
      <c r="AP294" s="34">
        <f t="shared" ref="AP294:AP301" si="251">J294*(1-0)</f>
        <v>0</v>
      </c>
      <c r="AQ294" s="28" t="s">
        <v>13</v>
      </c>
      <c r="AV294" s="34">
        <f t="shared" si="242"/>
        <v>0</v>
      </c>
      <c r="AW294" s="34">
        <f t="shared" si="243"/>
        <v>0</v>
      </c>
      <c r="AX294" s="34">
        <f t="shared" si="244"/>
        <v>0</v>
      </c>
      <c r="AY294" s="35" t="s">
        <v>3675</v>
      </c>
      <c r="AZ294" s="35" t="s">
        <v>3713</v>
      </c>
      <c r="BA294" s="27" t="s">
        <v>3729</v>
      </c>
      <c r="BC294" s="34">
        <f t="shared" si="245"/>
        <v>0</v>
      </c>
      <c r="BD294" s="34">
        <f t="shared" si="246"/>
        <v>0</v>
      </c>
      <c r="BE294" s="34">
        <v>0</v>
      </c>
      <c r="BF294" s="34">
        <f>294</f>
        <v>294</v>
      </c>
      <c r="BH294" s="18">
        <f t="shared" si="247"/>
        <v>0</v>
      </c>
      <c r="BI294" s="18">
        <f t="shared" si="248"/>
        <v>0</v>
      </c>
      <c r="BJ294" s="18">
        <f t="shared" si="249"/>
        <v>0</v>
      </c>
    </row>
    <row r="295" spans="1:62" x14ac:dyDescent="0.2">
      <c r="A295" s="5" t="s">
        <v>260</v>
      </c>
      <c r="B295" s="5" t="s">
        <v>1454</v>
      </c>
      <c r="C295" s="135" t="s">
        <v>2684</v>
      </c>
      <c r="D295" s="136"/>
      <c r="E295" s="136"/>
      <c r="F295" s="136"/>
      <c r="G295" s="136"/>
      <c r="H295" s="5" t="s">
        <v>3615</v>
      </c>
      <c r="I295" s="18">
        <v>94.48</v>
      </c>
      <c r="J295" s="18">
        <v>0</v>
      </c>
      <c r="K295" s="18">
        <f t="shared" si="230"/>
        <v>0</v>
      </c>
      <c r="L295" s="28" t="s">
        <v>3635</v>
      </c>
      <c r="Z295" s="34">
        <f t="shared" si="231"/>
        <v>0</v>
      </c>
      <c r="AB295" s="34">
        <f t="shared" si="232"/>
        <v>0</v>
      </c>
      <c r="AC295" s="34">
        <f t="shared" si="233"/>
        <v>0</v>
      </c>
      <c r="AD295" s="34">
        <f t="shared" si="234"/>
        <v>0</v>
      </c>
      <c r="AE295" s="34">
        <f t="shared" si="235"/>
        <v>0</v>
      </c>
      <c r="AF295" s="34">
        <f t="shared" si="236"/>
        <v>0</v>
      </c>
      <c r="AG295" s="34">
        <f t="shared" si="237"/>
        <v>0</v>
      </c>
      <c r="AH295" s="34">
        <f t="shared" si="238"/>
        <v>0</v>
      </c>
      <c r="AI295" s="27" t="s">
        <v>3645</v>
      </c>
      <c r="AJ295" s="18">
        <f t="shared" si="239"/>
        <v>0</v>
      </c>
      <c r="AK295" s="18">
        <f t="shared" si="240"/>
        <v>0</v>
      </c>
      <c r="AL295" s="18">
        <f t="shared" si="241"/>
        <v>0</v>
      </c>
      <c r="AN295" s="34">
        <v>21</v>
      </c>
      <c r="AO295" s="34">
        <f t="shared" si="250"/>
        <v>0</v>
      </c>
      <c r="AP295" s="34">
        <f t="shared" si="251"/>
        <v>0</v>
      </c>
      <c r="AQ295" s="28" t="s">
        <v>13</v>
      </c>
      <c r="AV295" s="34">
        <f t="shared" si="242"/>
        <v>0</v>
      </c>
      <c r="AW295" s="34">
        <f t="shared" si="243"/>
        <v>0</v>
      </c>
      <c r="AX295" s="34">
        <f t="shared" si="244"/>
        <v>0</v>
      </c>
      <c r="AY295" s="35" t="s">
        <v>3675</v>
      </c>
      <c r="AZ295" s="35" t="s">
        <v>3713</v>
      </c>
      <c r="BA295" s="27" t="s">
        <v>3729</v>
      </c>
      <c r="BC295" s="34">
        <f t="shared" si="245"/>
        <v>0</v>
      </c>
      <c r="BD295" s="34">
        <f t="shared" si="246"/>
        <v>0</v>
      </c>
      <c r="BE295" s="34">
        <v>0</v>
      </c>
      <c r="BF295" s="34">
        <f>295</f>
        <v>295</v>
      </c>
      <c r="BH295" s="18">
        <f t="shared" si="247"/>
        <v>0</v>
      </c>
      <c r="BI295" s="18">
        <f t="shared" si="248"/>
        <v>0</v>
      </c>
      <c r="BJ295" s="18">
        <f t="shared" si="249"/>
        <v>0</v>
      </c>
    </row>
    <row r="296" spans="1:62" x14ac:dyDescent="0.2">
      <c r="A296" s="5" t="s">
        <v>261</v>
      </c>
      <c r="B296" s="5" t="s">
        <v>1454</v>
      </c>
      <c r="C296" s="135" t="s">
        <v>2685</v>
      </c>
      <c r="D296" s="136"/>
      <c r="E296" s="136"/>
      <c r="F296" s="136"/>
      <c r="G296" s="136"/>
      <c r="H296" s="5" t="s">
        <v>3615</v>
      </c>
      <c r="I296" s="18">
        <v>272.779</v>
      </c>
      <c r="J296" s="18">
        <v>0</v>
      </c>
      <c r="K296" s="18">
        <f t="shared" si="230"/>
        <v>0</v>
      </c>
      <c r="L296" s="28" t="s">
        <v>3635</v>
      </c>
      <c r="Z296" s="34">
        <f t="shared" si="231"/>
        <v>0</v>
      </c>
      <c r="AB296" s="34">
        <f t="shared" si="232"/>
        <v>0</v>
      </c>
      <c r="AC296" s="34">
        <f t="shared" si="233"/>
        <v>0</v>
      </c>
      <c r="AD296" s="34">
        <f t="shared" si="234"/>
        <v>0</v>
      </c>
      <c r="AE296" s="34">
        <f t="shared" si="235"/>
        <v>0</v>
      </c>
      <c r="AF296" s="34">
        <f t="shared" si="236"/>
        <v>0</v>
      </c>
      <c r="AG296" s="34">
        <f t="shared" si="237"/>
        <v>0</v>
      </c>
      <c r="AH296" s="34">
        <f t="shared" si="238"/>
        <v>0</v>
      </c>
      <c r="AI296" s="27" t="s">
        <v>3645</v>
      </c>
      <c r="AJ296" s="18">
        <f t="shared" si="239"/>
        <v>0</v>
      </c>
      <c r="AK296" s="18">
        <f t="shared" si="240"/>
        <v>0</v>
      </c>
      <c r="AL296" s="18">
        <f t="shared" si="241"/>
        <v>0</v>
      </c>
      <c r="AN296" s="34">
        <v>21</v>
      </c>
      <c r="AO296" s="34">
        <f t="shared" si="250"/>
        <v>0</v>
      </c>
      <c r="AP296" s="34">
        <f t="shared" si="251"/>
        <v>0</v>
      </c>
      <c r="AQ296" s="28" t="s">
        <v>13</v>
      </c>
      <c r="AV296" s="34">
        <f t="shared" si="242"/>
        <v>0</v>
      </c>
      <c r="AW296" s="34">
        <f t="shared" si="243"/>
        <v>0</v>
      </c>
      <c r="AX296" s="34">
        <f t="shared" si="244"/>
        <v>0</v>
      </c>
      <c r="AY296" s="35" t="s">
        <v>3675</v>
      </c>
      <c r="AZ296" s="35" t="s">
        <v>3713</v>
      </c>
      <c r="BA296" s="27" t="s">
        <v>3729</v>
      </c>
      <c r="BC296" s="34">
        <f t="shared" si="245"/>
        <v>0</v>
      </c>
      <c r="BD296" s="34">
        <f t="shared" si="246"/>
        <v>0</v>
      </c>
      <c r="BE296" s="34">
        <v>0</v>
      </c>
      <c r="BF296" s="34">
        <f>296</f>
        <v>296</v>
      </c>
      <c r="BH296" s="18">
        <f t="shared" si="247"/>
        <v>0</v>
      </c>
      <c r="BI296" s="18">
        <f t="shared" si="248"/>
        <v>0</v>
      </c>
      <c r="BJ296" s="18">
        <f t="shared" si="249"/>
        <v>0</v>
      </c>
    </row>
    <row r="297" spans="1:62" x14ac:dyDescent="0.2">
      <c r="A297" s="5" t="s">
        <v>262</v>
      </c>
      <c r="B297" s="5" t="s">
        <v>1455</v>
      </c>
      <c r="C297" s="135" t="s">
        <v>2686</v>
      </c>
      <c r="D297" s="136"/>
      <c r="E297" s="136"/>
      <c r="F297" s="136"/>
      <c r="G297" s="136"/>
      <c r="H297" s="5" t="s">
        <v>3615</v>
      </c>
      <c r="I297" s="18">
        <v>33.619999999999997</v>
      </c>
      <c r="J297" s="18">
        <v>0</v>
      </c>
      <c r="K297" s="18">
        <f t="shared" si="230"/>
        <v>0</v>
      </c>
      <c r="L297" s="28" t="s">
        <v>3635</v>
      </c>
      <c r="Z297" s="34">
        <f t="shared" si="231"/>
        <v>0</v>
      </c>
      <c r="AB297" s="34">
        <f t="shared" si="232"/>
        <v>0</v>
      </c>
      <c r="AC297" s="34">
        <f t="shared" si="233"/>
        <v>0</v>
      </c>
      <c r="AD297" s="34">
        <f t="shared" si="234"/>
        <v>0</v>
      </c>
      <c r="AE297" s="34">
        <f t="shared" si="235"/>
        <v>0</v>
      </c>
      <c r="AF297" s="34">
        <f t="shared" si="236"/>
        <v>0</v>
      </c>
      <c r="AG297" s="34">
        <f t="shared" si="237"/>
        <v>0</v>
      </c>
      <c r="AH297" s="34">
        <f t="shared" si="238"/>
        <v>0</v>
      </c>
      <c r="AI297" s="27" t="s">
        <v>3645</v>
      </c>
      <c r="AJ297" s="18">
        <f t="shared" si="239"/>
        <v>0</v>
      </c>
      <c r="AK297" s="18">
        <f t="shared" si="240"/>
        <v>0</v>
      </c>
      <c r="AL297" s="18">
        <f t="shared" si="241"/>
        <v>0</v>
      </c>
      <c r="AN297" s="34">
        <v>21</v>
      </c>
      <c r="AO297" s="34">
        <f t="shared" si="250"/>
        <v>0</v>
      </c>
      <c r="AP297" s="34">
        <f t="shared" si="251"/>
        <v>0</v>
      </c>
      <c r="AQ297" s="28" t="s">
        <v>13</v>
      </c>
      <c r="AV297" s="34">
        <f t="shared" si="242"/>
        <v>0</v>
      </c>
      <c r="AW297" s="34">
        <f t="shared" si="243"/>
        <v>0</v>
      </c>
      <c r="AX297" s="34">
        <f t="shared" si="244"/>
        <v>0</v>
      </c>
      <c r="AY297" s="35" t="s">
        <v>3675</v>
      </c>
      <c r="AZ297" s="35" t="s">
        <v>3713</v>
      </c>
      <c r="BA297" s="27" t="s">
        <v>3729</v>
      </c>
      <c r="BC297" s="34">
        <f t="shared" si="245"/>
        <v>0</v>
      </c>
      <c r="BD297" s="34">
        <f t="shared" si="246"/>
        <v>0</v>
      </c>
      <c r="BE297" s="34">
        <v>0</v>
      </c>
      <c r="BF297" s="34">
        <f>297</f>
        <v>297</v>
      </c>
      <c r="BH297" s="18">
        <f t="shared" si="247"/>
        <v>0</v>
      </c>
      <c r="BI297" s="18">
        <f t="shared" si="248"/>
        <v>0</v>
      </c>
      <c r="BJ297" s="18">
        <f t="shared" si="249"/>
        <v>0</v>
      </c>
    </row>
    <row r="298" spans="1:62" x14ac:dyDescent="0.2">
      <c r="A298" s="5" t="s">
        <v>263</v>
      </c>
      <c r="B298" s="5" t="s">
        <v>1456</v>
      </c>
      <c r="C298" s="135" t="s">
        <v>2687</v>
      </c>
      <c r="D298" s="136"/>
      <c r="E298" s="136"/>
      <c r="F298" s="136"/>
      <c r="G298" s="136"/>
      <c r="H298" s="5" t="s">
        <v>3615</v>
      </c>
      <c r="I298" s="18">
        <v>33.723999999999997</v>
      </c>
      <c r="J298" s="18">
        <v>0</v>
      </c>
      <c r="K298" s="18">
        <f t="shared" si="230"/>
        <v>0</v>
      </c>
      <c r="L298" s="28" t="s">
        <v>3635</v>
      </c>
      <c r="Z298" s="34">
        <f t="shared" si="231"/>
        <v>0</v>
      </c>
      <c r="AB298" s="34">
        <f t="shared" si="232"/>
        <v>0</v>
      </c>
      <c r="AC298" s="34">
        <f t="shared" si="233"/>
        <v>0</v>
      </c>
      <c r="AD298" s="34">
        <f t="shared" si="234"/>
        <v>0</v>
      </c>
      <c r="AE298" s="34">
        <f t="shared" si="235"/>
        <v>0</v>
      </c>
      <c r="AF298" s="34">
        <f t="shared" si="236"/>
        <v>0</v>
      </c>
      <c r="AG298" s="34">
        <f t="shared" si="237"/>
        <v>0</v>
      </c>
      <c r="AH298" s="34">
        <f t="shared" si="238"/>
        <v>0</v>
      </c>
      <c r="AI298" s="27" t="s">
        <v>3645</v>
      </c>
      <c r="AJ298" s="18">
        <f t="shared" si="239"/>
        <v>0</v>
      </c>
      <c r="AK298" s="18">
        <f t="shared" si="240"/>
        <v>0</v>
      </c>
      <c r="AL298" s="18">
        <f t="shared" si="241"/>
        <v>0</v>
      </c>
      <c r="AN298" s="34">
        <v>21</v>
      </c>
      <c r="AO298" s="34">
        <f t="shared" si="250"/>
        <v>0</v>
      </c>
      <c r="AP298" s="34">
        <f t="shared" si="251"/>
        <v>0</v>
      </c>
      <c r="AQ298" s="28" t="s">
        <v>13</v>
      </c>
      <c r="AV298" s="34">
        <f t="shared" si="242"/>
        <v>0</v>
      </c>
      <c r="AW298" s="34">
        <f t="shared" si="243"/>
        <v>0</v>
      </c>
      <c r="AX298" s="34">
        <f t="shared" si="244"/>
        <v>0</v>
      </c>
      <c r="AY298" s="35" t="s">
        <v>3675</v>
      </c>
      <c r="AZ298" s="35" t="s">
        <v>3713</v>
      </c>
      <c r="BA298" s="27" t="s">
        <v>3729</v>
      </c>
      <c r="BC298" s="34">
        <f t="shared" si="245"/>
        <v>0</v>
      </c>
      <c r="BD298" s="34">
        <f t="shared" si="246"/>
        <v>0</v>
      </c>
      <c r="BE298" s="34">
        <v>0</v>
      </c>
      <c r="BF298" s="34">
        <f>298</f>
        <v>298</v>
      </c>
      <c r="BH298" s="18">
        <f t="shared" si="247"/>
        <v>0</v>
      </c>
      <c r="BI298" s="18">
        <f t="shared" si="248"/>
        <v>0</v>
      </c>
      <c r="BJ298" s="18">
        <f t="shared" si="249"/>
        <v>0</v>
      </c>
    </row>
    <row r="299" spans="1:62" x14ac:dyDescent="0.2">
      <c r="A299" s="5" t="s">
        <v>264</v>
      </c>
      <c r="B299" s="5" t="s">
        <v>1457</v>
      </c>
      <c r="C299" s="135" t="s">
        <v>2688</v>
      </c>
      <c r="D299" s="136"/>
      <c r="E299" s="136"/>
      <c r="F299" s="136"/>
      <c r="G299" s="136"/>
      <c r="H299" s="5" t="s">
        <v>3615</v>
      </c>
      <c r="I299" s="18">
        <v>96.71</v>
      </c>
      <c r="J299" s="18">
        <v>0</v>
      </c>
      <c r="K299" s="18">
        <f t="shared" si="230"/>
        <v>0</v>
      </c>
      <c r="L299" s="28" t="s">
        <v>3635</v>
      </c>
      <c r="Z299" s="34">
        <f t="shared" si="231"/>
        <v>0</v>
      </c>
      <c r="AB299" s="34">
        <f t="shared" si="232"/>
        <v>0</v>
      </c>
      <c r="AC299" s="34">
        <f t="shared" si="233"/>
        <v>0</v>
      </c>
      <c r="AD299" s="34">
        <f t="shared" si="234"/>
        <v>0</v>
      </c>
      <c r="AE299" s="34">
        <f t="shared" si="235"/>
        <v>0</v>
      </c>
      <c r="AF299" s="34">
        <f t="shared" si="236"/>
        <v>0</v>
      </c>
      <c r="AG299" s="34">
        <f t="shared" si="237"/>
        <v>0</v>
      </c>
      <c r="AH299" s="34">
        <f t="shared" si="238"/>
        <v>0</v>
      </c>
      <c r="AI299" s="27" t="s">
        <v>3645</v>
      </c>
      <c r="AJ299" s="18">
        <f t="shared" si="239"/>
        <v>0</v>
      </c>
      <c r="AK299" s="18">
        <f t="shared" si="240"/>
        <v>0</v>
      </c>
      <c r="AL299" s="18">
        <f t="shared" si="241"/>
        <v>0</v>
      </c>
      <c r="AN299" s="34">
        <v>21</v>
      </c>
      <c r="AO299" s="34">
        <f t="shared" si="250"/>
        <v>0</v>
      </c>
      <c r="AP299" s="34">
        <f t="shared" si="251"/>
        <v>0</v>
      </c>
      <c r="AQ299" s="28" t="s">
        <v>13</v>
      </c>
      <c r="AV299" s="34">
        <f t="shared" si="242"/>
        <v>0</v>
      </c>
      <c r="AW299" s="34">
        <f t="shared" si="243"/>
        <v>0</v>
      </c>
      <c r="AX299" s="34">
        <f t="shared" si="244"/>
        <v>0</v>
      </c>
      <c r="AY299" s="35" t="s">
        <v>3675</v>
      </c>
      <c r="AZ299" s="35" t="s">
        <v>3713</v>
      </c>
      <c r="BA299" s="27" t="s">
        <v>3729</v>
      </c>
      <c r="BC299" s="34">
        <f t="shared" si="245"/>
        <v>0</v>
      </c>
      <c r="BD299" s="34">
        <f t="shared" si="246"/>
        <v>0</v>
      </c>
      <c r="BE299" s="34">
        <v>0</v>
      </c>
      <c r="BF299" s="34">
        <f>299</f>
        <v>299</v>
      </c>
      <c r="BH299" s="18">
        <f t="shared" si="247"/>
        <v>0</v>
      </c>
      <c r="BI299" s="18">
        <f t="shared" si="248"/>
        <v>0</v>
      </c>
      <c r="BJ299" s="18">
        <f t="shared" si="249"/>
        <v>0</v>
      </c>
    </row>
    <row r="300" spans="1:62" x14ac:dyDescent="0.2">
      <c r="A300" s="5" t="s">
        <v>265</v>
      </c>
      <c r="B300" s="5" t="s">
        <v>1458</v>
      </c>
      <c r="C300" s="135" t="s">
        <v>2689</v>
      </c>
      <c r="D300" s="136"/>
      <c r="E300" s="136"/>
      <c r="F300" s="136"/>
      <c r="G300" s="136"/>
      <c r="H300" s="5" t="s">
        <v>3615</v>
      </c>
      <c r="I300" s="18">
        <v>75.038399999999996</v>
      </c>
      <c r="J300" s="18">
        <v>0</v>
      </c>
      <c r="K300" s="18">
        <f t="shared" si="230"/>
        <v>0</v>
      </c>
      <c r="L300" s="28" t="s">
        <v>3635</v>
      </c>
      <c r="Z300" s="34">
        <f t="shared" si="231"/>
        <v>0</v>
      </c>
      <c r="AB300" s="34">
        <f t="shared" si="232"/>
        <v>0</v>
      </c>
      <c r="AC300" s="34">
        <f t="shared" si="233"/>
        <v>0</v>
      </c>
      <c r="AD300" s="34">
        <f t="shared" si="234"/>
        <v>0</v>
      </c>
      <c r="AE300" s="34">
        <f t="shared" si="235"/>
        <v>0</v>
      </c>
      <c r="AF300" s="34">
        <f t="shared" si="236"/>
        <v>0</v>
      </c>
      <c r="AG300" s="34">
        <f t="shared" si="237"/>
        <v>0</v>
      </c>
      <c r="AH300" s="34">
        <f t="shared" si="238"/>
        <v>0</v>
      </c>
      <c r="AI300" s="27" t="s">
        <v>3645</v>
      </c>
      <c r="AJ300" s="18">
        <f t="shared" si="239"/>
        <v>0</v>
      </c>
      <c r="AK300" s="18">
        <f t="shared" si="240"/>
        <v>0</v>
      </c>
      <c r="AL300" s="18">
        <f t="shared" si="241"/>
        <v>0</v>
      </c>
      <c r="AN300" s="34">
        <v>21</v>
      </c>
      <c r="AO300" s="34">
        <f t="shared" si="250"/>
        <v>0</v>
      </c>
      <c r="AP300" s="34">
        <f t="shared" si="251"/>
        <v>0</v>
      </c>
      <c r="AQ300" s="28" t="s">
        <v>13</v>
      </c>
      <c r="AV300" s="34">
        <f t="shared" si="242"/>
        <v>0</v>
      </c>
      <c r="AW300" s="34">
        <f t="shared" si="243"/>
        <v>0</v>
      </c>
      <c r="AX300" s="34">
        <f t="shared" si="244"/>
        <v>0</v>
      </c>
      <c r="AY300" s="35" t="s">
        <v>3675</v>
      </c>
      <c r="AZ300" s="35" t="s">
        <v>3713</v>
      </c>
      <c r="BA300" s="27" t="s">
        <v>3729</v>
      </c>
      <c r="BC300" s="34">
        <f t="shared" si="245"/>
        <v>0</v>
      </c>
      <c r="BD300" s="34">
        <f t="shared" si="246"/>
        <v>0</v>
      </c>
      <c r="BE300" s="34">
        <v>0</v>
      </c>
      <c r="BF300" s="34">
        <f>300</f>
        <v>300</v>
      </c>
      <c r="BH300" s="18">
        <f t="shared" si="247"/>
        <v>0</v>
      </c>
      <c r="BI300" s="18">
        <f t="shared" si="248"/>
        <v>0</v>
      </c>
      <c r="BJ300" s="18">
        <f t="shared" si="249"/>
        <v>0</v>
      </c>
    </row>
    <row r="301" spans="1:62" x14ac:dyDescent="0.2">
      <c r="A301" s="5" t="s">
        <v>266</v>
      </c>
      <c r="B301" s="5" t="s">
        <v>1458</v>
      </c>
      <c r="C301" s="135" t="s">
        <v>2690</v>
      </c>
      <c r="D301" s="136"/>
      <c r="E301" s="136"/>
      <c r="F301" s="136"/>
      <c r="G301" s="136"/>
      <c r="H301" s="5" t="s">
        <v>3615</v>
      </c>
      <c r="I301" s="18">
        <v>31.06</v>
      </c>
      <c r="J301" s="18">
        <v>0</v>
      </c>
      <c r="K301" s="18">
        <f t="shared" si="230"/>
        <v>0</v>
      </c>
      <c r="L301" s="28" t="s">
        <v>3635</v>
      </c>
      <c r="Z301" s="34">
        <f t="shared" si="231"/>
        <v>0</v>
      </c>
      <c r="AB301" s="34">
        <f t="shared" si="232"/>
        <v>0</v>
      </c>
      <c r="AC301" s="34">
        <f t="shared" si="233"/>
        <v>0</v>
      </c>
      <c r="AD301" s="34">
        <f t="shared" si="234"/>
        <v>0</v>
      </c>
      <c r="AE301" s="34">
        <f t="shared" si="235"/>
        <v>0</v>
      </c>
      <c r="AF301" s="34">
        <f t="shared" si="236"/>
        <v>0</v>
      </c>
      <c r="AG301" s="34">
        <f t="shared" si="237"/>
        <v>0</v>
      </c>
      <c r="AH301" s="34">
        <f t="shared" si="238"/>
        <v>0</v>
      </c>
      <c r="AI301" s="27" t="s">
        <v>3645</v>
      </c>
      <c r="AJ301" s="18">
        <f t="shared" si="239"/>
        <v>0</v>
      </c>
      <c r="AK301" s="18">
        <f t="shared" si="240"/>
        <v>0</v>
      </c>
      <c r="AL301" s="18">
        <f t="shared" si="241"/>
        <v>0</v>
      </c>
      <c r="AN301" s="34">
        <v>21</v>
      </c>
      <c r="AO301" s="34">
        <f t="shared" si="250"/>
        <v>0</v>
      </c>
      <c r="AP301" s="34">
        <f t="shared" si="251"/>
        <v>0</v>
      </c>
      <c r="AQ301" s="28" t="s">
        <v>13</v>
      </c>
      <c r="AV301" s="34">
        <f t="shared" si="242"/>
        <v>0</v>
      </c>
      <c r="AW301" s="34">
        <f t="shared" si="243"/>
        <v>0</v>
      </c>
      <c r="AX301" s="34">
        <f t="shared" si="244"/>
        <v>0</v>
      </c>
      <c r="AY301" s="35" t="s">
        <v>3675</v>
      </c>
      <c r="AZ301" s="35" t="s">
        <v>3713</v>
      </c>
      <c r="BA301" s="27" t="s">
        <v>3729</v>
      </c>
      <c r="BC301" s="34">
        <f t="shared" si="245"/>
        <v>0</v>
      </c>
      <c r="BD301" s="34">
        <f t="shared" si="246"/>
        <v>0</v>
      </c>
      <c r="BE301" s="34">
        <v>0</v>
      </c>
      <c r="BF301" s="34">
        <f>301</f>
        <v>301</v>
      </c>
      <c r="BH301" s="18">
        <f t="shared" si="247"/>
        <v>0</v>
      </c>
      <c r="BI301" s="18">
        <f t="shared" si="248"/>
        <v>0</v>
      </c>
      <c r="BJ301" s="18">
        <f t="shared" si="249"/>
        <v>0</v>
      </c>
    </row>
    <row r="302" spans="1:62" x14ac:dyDescent="0.2">
      <c r="A302" s="5" t="s">
        <v>267</v>
      </c>
      <c r="B302" s="5" t="s">
        <v>1459</v>
      </c>
      <c r="C302" s="135" t="s">
        <v>2691</v>
      </c>
      <c r="D302" s="136"/>
      <c r="E302" s="136"/>
      <c r="F302" s="136"/>
      <c r="G302" s="136"/>
      <c r="H302" s="5" t="s">
        <v>3615</v>
      </c>
      <c r="I302" s="18">
        <v>366.3</v>
      </c>
      <c r="J302" s="18">
        <v>0</v>
      </c>
      <c r="K302" s="18">
        <f t="shared" si="230"/>
        <v>0</v>
      </c>
      <c r="L302" s="28" t="s">
        <v>3635</v>
      </c>
      <c r="Z302" s="34">
        <f t="shared" si="231"/>
        <v>0</v>
      </c>
      <c r="AB302" s="34">
        <f t="shared" si="232"/>
        <v>0</v>
      </c>
      <c r="AC302" s="34">
        <f t="shared" si="233"/>
        <v>0</v>
      </c>
      <c r="AD302" s="34">
        <f t="shared" si="234"/>
        <v>0</v>
      </c>
      <c r="AE302" s="34">
        <f t="shared" si="235"/>
        <v>0</v>
      </c>
      <c r="AF302" s="34">
        <f t="shared" si="236"/>
        <v>0</v>
      </c>
      <c r="AG302" s="34">
        <f t="shared" si="237"/>
        <v>0</v>
      </c>
      <c r="AH302" s="34">
        <f t="shared" si="238"/>
        <v>0</v>
      </c>
      <c r="AI302" s="27" t="s">
        <v>3645</v>
      </c>
      <c r="AJ302" s="18">
        <f t="shared" si="239"/>
        <v>0</v>
      </c>
      <c r="AK302" s="18">
        <f t="shared" si="240"/>
        <v>0</v>
      </c>
      <c r="AL302" s="18">
        <f t="shared" si="241"/>
        <v>0</v>
      </c>
      <c r="AN302" s="34">
        <v>21</v>
      </c>
      <c r="AO302" s="34">
        <f>J302*0.682434345251777</f>
        <v>0</v>
      </c>
      <c r="AP302" s="34">
        <f>J302*(1-0.682434345251777)</f>
        <v>0</v>
      </c>
      <c r="AQ302" s="28" t="s">
        <v>13</v>
      </c>
      <c r="AV302" s="34">
        <f t="shared" si="242"/>
        <v>0</v>
      </c>
      <c r="AW302" s="34">
        <f t="shared" si="243"/>
        <v>0</v>
      </c>
      <c r="AX302" s="34">
        <f t="shared" si="244"/>
        <v>0</v>
      </c>
      <c r="AY302" s="35" t="s">
        <v>3675</v>
      </c>
      <c r="AZ302" s="35" t="s">
        <v>3713</v>
      </c>
      <c r="BA302" s="27" t="s">
        <v>3729</v>
      </c>
      <c r="BC302" s="34">
        <f t="shared" si="245"/>
        <v>0</v>
      </c>
      <c r="BD302" s="34">
        <f t="shared" si="246"/>
        <v>0</v>
      </c>
      <c r="BE302" s="34">
        <v>0</v>
      </c>
      <c r="BF302" s="34">
        <f>302</f>
        <v>302</v>
      </c>
      <c r="BH302" s="18">
        <f t="shared" si="247"/>
        <v>0</v>
      </c>
      <c r="BI302" s="18">
        <f t="shared" si="248"/>
        <v>0</v>
      </c>
      <c r="BJ302" s="18">
        <f t="shared" si="249"/>
        <v>0</v>
      </c>
    </row>
    <row r="303" spans="1:62" x14ac:dyDescent="0.2">
      <c r="A303" s="5" t="s">
        <v>268</v>
      </c>
      <c r="B303" s="5" t="s">
        <v>1460</v>
      </c>
      <c r="C303" s="135" t="s">
        <v>2692</v>
      </c>
      <c r="D303" s="136"/>
      <c r="E303" s="136"/>
      <c r="F303" s="136"/>
      <c r="G303" s="136"/>
      <c r="H303" s="5" t="s">
        <v>3615</v>
      </c>
      <c r="I303" s="18">
        <v>10.557</v>
      </c>
      <c r="J303" s="18">
        <v>0</v>
      </c>
      <c r="K303" s="18">
        <f t="shared" si="230"/>
        <v>0</v>
      </c>
      <c r="L303" s="28" t="s">
        <v>3635</v>
      </c>
      <c r="Z303" s="34">
        <f t="shared" si="231"/>
        <v>0</v>
      </c>
      <c r="AB303" s="34">
        <f t="shared" si="232"/>
        <v>0</v>
      </c>
      <c r="AC303" s="34">
        <f t="shared" si="233"/>
        <v>0</v>
      </c>
      <c r="AD303" s="34">
        <f t="shared" si="234"/>
        <v>0</v>
      </c>
      <c r="AE303" s="34">
        <f t="shared" si="235"/>
        <v>0</v>
      </c>
      <c r="AF303" s="34">
        <f t="shared" si="236"/>
        <v>0</v>
      </c>
      <c r="AG303" s="34">
        <f t="shared" si="237"/>
        <v>0</v>
      </c>
      <c r="AH303" s="34">
        <f t="shared" si="238"/>
        <v>0</v>
      </c>
      <c r="AI303" s="27" t="s">
        <v>3645</v>
      </c>
      <c r="AJ303" s="18">
        <f t="shared" si="239"/>
        <v>0</v>
      </c>
      <c r="AK303" s="18">
        <f t="shared" si="240"/>
        <v>0</v>
      </c>
      <c r="AL303" s="18">
        <f t="shared" si="241"/>
        <v>0</v>
      </c>
      <c r="AN303" s="34">
        <v>21</v>
      </c>
      <c r="AO303" s="34">
        <f>J303*0.641440288512301</f>
        <v>0</v>
      </c>
      <c r="AP303" s="34">
        <f>J303*(1-0.641440288512301)</f>
        <v>0</v>
      </c>
      <c r="AQ303" s="28" t="s">
        <v>13</v>
      </c>
      <c r="AV303" s="34">
        <f t="shared" si="242"/>
        <v>0</v>
      </c>
      <c r="AW303" s="34">
        <f t="shared" si="243"/>
        <v>0</v>
      </c>
      <c r="AX303" s="34">
        <f t="shared" si="244"/>
        <v>0</v>
      </c>
      <c r="AY303" s="35" t="s">
        <v>3675</v>
      </c>
      <c r="AZ303" s="35" t="s">
        <v>3713</v>
      </c>
      <c r="BA303" s="27" t="s">
        <v>3729</v>
      </c>
      <c r="BC303" s="34">
        <f t="shared" si="245"/>
        <v>0</v>
      </c>
      <c r="BD303" s="34">
        <f t="shared" si="246"/>
        <v>0</v>
      </c>
      <c r="BE303" s="34">
        <v>0</v>
      </c>
      <c r="BF303" s="34">
        <f>303</f>
        <v>303</v>
      </c>
      <c r="BH303" s="18">
        <f t="shared" si="247"/>
        <v>0</v>
      </c>
      <c r="BI303" s="18">
        <f t="shared" si="248"/>
        <v>0</v>
      </c>
      <c r="BJ303" s="18">
        <f t="shared" si="249"/>
        <v>0</v>
      </c>
    </row>
    <row r="304" spans="1:62" x14ac:dyDescent="0.2">
      <c r="A304" s="5" t="s">
        <v>269</v>
      </c>
      <c r="B304" s="5" t="s">
        <v>1461</v>
      </c>
      <c r="C304" s="135" t="s">
        <v>2693</v>
      </c>
      <c r="D304" s="136"/>
      <c r="E304" s="136"/>
      <c r="F304" s="136"/>
      <c r="G304" s="136"/>
      <c r="H304" s="5" t="s">
        <v>3615</v>
      </c>
      <c r="I304" s="18">
        <v>116.6</v>
      </c>
      <c r="J304" s="18">
        <v>0</v>
      </c>
      <c r="K304" s="18">
        <f t="shared" si="230"/>
        <v>0</v>
      </c>
      <c r="L304" s="28" t="s">
        <v>3635</v>
      </c>
      <c r="Z304" s="34">
        <f t="shared" si="231"/>
        <v>0</v>
      </c>
      <c r="AB304" s="34">
        <f t="shared" si="232"/>
        <v>0</v>
      </c>
      <c r="AC304" s="34">
        <f t="shared" si="233"/>
        <v>0</v>
      </c>
      <c r="AD304" s="34">
        <f t="shared" si="234"/>
        <v>0</v>
      </c>
      <c r="AE304" s="34">
        <f t="shared" si="235"/>
        <v>0</v>
      </c>
      <c r="AF304" s="34">
        <f t="shared" si="236"/>
        <v>0</v>
      </c>
      <c r="AG304" s="34">
        <f t="shared" si="237"/>
        <v>0</v>
      </c>
      <c r="AH304" s="34">
        <f t="shared" si="238"/>
        <v>0</v>
      </c>
      <c r="AI304" s="27" t="s">
        <v>3645</v>
      </c>
      <c r="AJ304" s="18">
        <f t="shared" si="239"/>
        <v>0</v>
      </c>
      <c r="AK304" s="18">
        <f t="shared" si="240"/>
        <v>0</v>
      </c>
      <c r="AL304" s="18">
        <f t="shared" si="241"/>
        <v>0</v>
      </c>
      <c r="AN304" s="34">
        <v>21</v>
      </c>
      <c r="AO304" s="34">
        <f>J304*0.567886385941175</f>
        <v>0</v>
      </c>
      <c r="AP304" s="34">
        <f>J304*(1-0.567886385941175)</f>
        <v>0</v>
      </c>
      <c r="AQ304" s="28" t="s">
        <v>13</v>
      </c>
      <c r="AV304" s="34">
        <f t="shared" si="242"/>
        <v>0</v>
      </c>
      <c r="AW304" s="34">
        <f t="shared" si="243"/>
        <v>0</v>
      </c>
      <c r="AX304" s="34">
        <f t="shared" si="244"/>
        <v>0</v>
      </c>
      <c r="AY304" s="35" t="s">
        <v>3675</v>
      </c>
      <c r="AZ304" s="35" t="s">
        <v>3713</v>
      </c>
      <c r="BA304" s="27" t="s">
        <v>3729</v>
      </c>
      <c r="BC304" s="34">
        <f t="shared" si="245"/>
        <v>0</v>
      </c>
      <c r="BD304" s="34">
        <f t="shared" si="246"/>
        <v>0</v>
      </c>
      <c r="BE304" s="34">
        <v>0</v>
      </c>
      <c r="BF304" s="34">
        <f>304</f>
        <v>304</v>
      </c>
      <c r="BH304" s="18">
        <f t="shared" si="247"/>
        <v>0</v>
      </c>
      <c r="BI304" s="18">
        <f t="shared" si="248"/>
        <v>0</v>
      </c>
      <c r="BJ304" s="18">
        <f t="shared" si="249"/>
        <v>0</v>
      </c>
    </row>
    <row r="305" spans="1:62" x14ac:dyDescent="0.2">
      <c r="A305" s="5" t="s">
        <v>270</v>
      </c>
      <c r="B305" s="5" t="s">
        <v>1462</v>
      </c>
      <c r="C305" s="135" t="s">
        <v>2694</v>
      </c>
      <c r="D305" s="136"/>
      <c r="E305" s="136"/>
      <c r="F305" s="136"/>
      <c r="G305" s="136"/>
      <c r="H305" s="5" t="s">
        <v>3615</v>
      </c>
      <c r="I305" s="18">
        <v>38.07</v>
      </c>
      <c r="J305" s="18">
        <v>0</v>
      </c>
      <c r="K305" s="18">
        <f t="shared" si="230"/>
        <v>0</v>
      </c>
      <c r="L305" s="28" t="s">
        <v>3635</v>
      </c>
      <c r="Z305" s="34">
        <f t="shared" si="231"/>
        <v>0</v>
      </c>
      <c r="AB305" s="34">
        <f t="shared" si="232"/>
        <v>0</v>
      </c>
      <c r="AC305" s="34">
        <f t="shared" si="233"/>
        <v>0</v>
      </c>
      <c r="AD305" s="34">
        <f t="shared" si="234"/>
        <v>0</v>
      </c>
      <c r="AE305" s="34">
        <f t="shared" si="235"/>
        <v>0</v>
      </c>
      <c r="AF305" s="34">
        <f t="shared" si="236"/>
        <v>0</v>
      </c>
      <c r="AG305" s="34">
        <f t="shared" si="237"/>
        <v>0</v>
      </c>
      <c r="AH305" s="34">
        <f t="shared" si="238"/>
        <v>0</v>
      </c>
      <c r="AI305" s="27" t="s">
        <v>3645</v>
      </c>
      <c r="AJ305" s="18">
        <f t="shared" si="239"/>
        <v>0</v>
      </c>
      <c r="AK305" s="18">
        <f t="shared" si="240"/>
        <v>0</v>
      </c>
      <c r="AL305" s="18">
        <f t="shared" si="241"/>
        <v>0</v>
      </c>
      <c r="AN305" s="34">
        <v>21</v>
      </c>
      <c r="AO305" s="34">
        <f>J305*0.664066130036263</f>
        <v>0</v>
      </c>
      <c r="AP305" s="34">
        <f>J305*(1-0.664066130036263)</f>
        <v>0</v>
      </c>
      <c r="AQ305" s="28" t="s">
        <v>13</v>
      </c>
      <c r="AV305" s="34">
        <f t="shared" si="242"/>
        <v>0</v>
      </c>
      <c r="AW305" s="34">
        <f t="shared" si="243"/>
        <v>0</v>
      </c>
      <c r="AX305" s="34">
        <f t="shared" si="244"/>
        <v>0</v>
      </c>
      <c r="AY305" s="35" t="s">
        <v>3675</v>
      </c>
      <c r="AZ305" s="35" t="s">
        <v>3713</v>
      </c>
      <c r="BA305" s="27" t="s">
        <v>3729</v>
      </c>
      <c r="BC305" s="34">
        <f t="shared" si="245"/>
        <v>0</v>
      </c>
      <c r="BD305" s="34">
        <f t="shared" si="246"/>
        <v>0</v>
      </c>
      <c r="BE305" s="34">
        <v>0</v>
      </c>
      <c r="BF305" s="34">
        <f>305</f>
        <v>305</v>
      </c>
      <c r="BH305" s="18">
        <f t="shared" si="247"/>
        <v>0</v>
      </c>
      <c r="BI305" s="18">
        <f t="shared" si="248"/>
        <v>0</v>
      </c>
      <c r="BJ305" s="18">
        <f t="shared" si="249"/>
        <v>0</v>
      </c>
    </row>
    <row r="306" spans="1:62" x14ac:dyDescent="0.2">
      <c r="A306" s="5" t="s">
        <v>271</v>
      </c>
      <c r="B306" s="5" t="s">
        <v>1463</v>
      </c>
      <c r="C306" s="135" t="s">
        <v>2695</v>
      </c>
      <c r="D306" s="136"/>
      <c r="E306" s="136"/>
      <c r="F306" s="136"/>
      <c r="G306" s="136"/>
      <c r="H306" s="5" t="s">
        <v>3615</v>
      </c>
      <c r="I306" s="18">
        <v>18.751999999999999</v>
      </c>
      <c r="J306" s="18">
        <v>0</v>
      </c>
      <c r="K306" s="18">
        <f t="shared" si="230"/>
        <v>0</v>
      </c>
      <c r="L306" s="28" t="s">
        <v>3635</v>
      </c>
      <c r="Z306" s="34">
        <f t="shared" si="231"/>
        <v>0</v>
      </c>
      <c r="AB306" s="34">
        <f t="shared" si="232"/>
        <v>0</v>
      </c>
      <c r="AC306" s="34">
        <f t="shared" si="233"/>
        <v>0</v>
      </c>
      <c r="AD306" s="34">
        <f t="shared" si="234"/>
        <v>0</v>
      </c>
      <c r="AE306" s="34">
        <f t="shared" si="235"/>
        <v>0</v>
      </c>
      <c r="AF306" s="34">
        <f t="shared" si="236"/>
        <v>0</v>
      </c>
      <c r="AG306" s="34">
        <f t="shared" si="237"/>
        <v>0</v>
      </c>
      <c r="AH306" s="34">
        <f t="shared" si="238"/>
        <v>0</v>
      </c>
      <c r="AI306" s="27" t="s">
        <v>3645</v>
      </c>
      <c r="AJ306" s="18">
        <f t="shared" si="239"/>
        <v>0</v>
      </c>
      <c r="AK306" s="18">
        <f t="shared" si="240"/>
        <v>0</v>
      </c>
      <c r="AL306" s="18">
        <f t="shared" si="241"/>
        <v>0</v>
      </c>
      <c r="AN306" s="34">
        <v>21</v>
      </c>
      <c r="AO306" s="34">
        <f>J306*0.664061419087697</f>
        <v>0</v>
      </c>
      <c r="AP306" s="34">
        <f>J306*(1-0.664061419087697)</f>
        <v>0</v>
      </c>
      <c r="AQ306" s="28" t="s">
        <v>13</v>
      </c>
      <c r="AV306" s="34">
        <f t="shared" si="242"/>
        <v>0</v>
      </c>
      <c r="AW306" s="34">
        <f t="shared" si="243"/>
        <v>0</v>
      </c>
      <c r="AX306" s="34">
        <f t="shared" si="244"/>
        <v>0</v>
      </c>
      <c r="AY306" s="35" t="s">
        <v>3675</v>
      </c>
      <c r="AZ306" s="35" t="s">
        <v>3713</v>
      </c>
      <c r="BA306" s="27" t="s">
        <v>3729</v>
      </c>
      <c r="BC306" s="34">
        <f t="shared" si="245"/>
        <v>0</v>
      </c>
      <c r="BD306" s="34">
        <f t="shared" si="246"/>
        <v>0</v>
      </c>
      <c r="BE306" s="34">
        <v>0</v>
      </c>
      <c r="BF306" s="34">
        <f>306</f>
        <v>306</v>
      </c>
      <c r="BH306" s="18">
        <f t="shared" si="247"/>
        <v>0</v>
      </c>
      <c r="BI306" s="18">
        <f t="shared" si="248"/>
        <v>0</v>
      </c>
      <c r="BJ306" s="18">
        <f t="shared" si="249"/>
        <v>0</v>
      </c>
    </row>
    <row r="307" spans="1:62" x14ac:dyDescent="0.2">
      <c r="A307" s="5" t="s">
        <v>272</v>
      </c>
      <c r="B307" s="5" t="s">
        <v>1464</v>
      </c>
      <c r="C307" s="135" t="s">
        <v>2696</v>
      </c>
      <c r="D307" s="136"/>
      <c r="E307" s="136"/>
      <c r="F307" s="136"/>
      <c r="G307" s="136"/>
      <c r="H307" s="5" t="s">
        <v>3615</v>
      </c>
      <c r="I307" s="18">
        <v>333</v>
      </c>
      <c r="J307" s="18">
        <v>0</v>
      </c>
      <c r="K307" s="18">
        <f t="shared" si="230"/>
        <v>0</v>
      </c>
      <c r="L307" s="28" t="s">
        <v>3635</v>
      </c>
      <c r="Z307" s="34">
        <f t="shared" si="231"/>
        <v>0</v>
      </c>
      <c r="AB307" s="34">
        <f t="shared" si="232"/>
        <v>0</v>
      </c>
      <c r="AC307" s="34">
        <f t="shared" si="233"/>
        <v>0</v>
      </c>
      <c r="AD307" s="34">
        <f t="shared" si="234"/>
        <v>0</v>
      </c>
      <c r="AE307" s="34">
        <f t="shared" si="235"/>
        <v>0</v>
      </c>
      <c r="AF307" s="34">
        <f t="shared" si="236"/>
        <v>0</v>
      </c>
      <c r="AG307" s="34">
        <f t="shared" si="237"/>
        <v>0</v>
      </c>
      <c r="AH307" s="34">
        <f t="shared" si="238"/>
        <v>0</v>
      </c>
      <c r="AI307" s="27" t="s">
        <v>3645</v>
      </c>
      <c r="AJ307" s="18">
        <f t="shared" si="239"/>
        <v>0</v>
      </c>
      <c r="AK307" s="18">
        <f t="shared" si="240"/>
        <v>0</v>
      </c>
      <c r="AL307" s="18">
        <f t="shared" si="241"/>
        <v>0</v>
      </c>
      <c r="AN307" s="34">
        <v>21</v>
      </c>
      <c r="AO307" s="34">
        <f>J307*0.488724035608309</f>
        <v>0</v>
      </c>
      <c r="AP307" s="34">
        <f>J307*(1-0.488724035608309)</f>
        <v>0</v>
      </c>
      <c r="AQ307" s="28" t="s">
        <v>13</v>
      </c>
      <c r="AV307" s="34">
        <f t="shared" si="242"/>
        <v>0</v>
      </c>
      <c r="AW307" s="34">
        <f t="shared" si="243"/>
        <v>0</v>
      </c>
      <c r="AX307" s="34">
        <f t="shared" si="244"/>
        <v>0</v>
      </c>
      <c r="AY307" s="35" t="s">
        <v>3675</v>
      </c>
      <c r="AZ307" s="35" t="s">
        <v>3713</v>
      </c>
      <c r="BA307" s="27" t="s">
        <v>3729</v>
      </c>
      <c r="BC307" s="34">
        <f t="shared" si="245"/>
        <v>0</v>
      </c>
      <c r="BD307" s="34">
        <f t="shared" si="246"/>
        <v>0</v>
      </c>
      <c r="BE307" s="34">
        <v>0</v>
      </c>
      <c r="BF307" s="34">
        <f>307</f>
        <v>307</v>
      </c>
      <c r="BH307" s="18">
        <f t="shared" si="247"/>
        <v>0</v>
      </c>
      <c r="BI307" s="18">
        <f t="shared" si="248"/>
        <v>0</v>
      </c>
      <c r="BJ307" s="18">
        <f t="shared" si="249"/>
        <v>0</v>
      </c>
    </row>
    <row r="308" spans="1:62" x14ac:dyDescent="0.2">
      <c r="A308" s="5" t="s">
        <v>273</v>
      </c>
      <c r="B308" s="5" t="s">
        <v>1465</v>
      </c>
      <c r="C308" s="135" t="s">
        <v>2697</v>
      </c>
      <c r="D308" s="136"/>
      <c r="E308" s="136"/>
      <c r="F308" s="136"/>
      <c r="G308" s="136"/>
      <c r="H308" s="5" t="s">
        <v>3616</v>
      </c>
      <c r="I308" s="18">
        <v>6.0556999999999999</v>
      </c>
      <c r="J308" s="18">
        <v>0</v>
      </c>
      <c r="K308" s="18">
        <f t="shared" si="230"/>
        <v>0</v>
      </c>
      <c r="L308" s="28" t="s">
        <v>3635</v>
      </c>
      <c r="Z308" s="34">
        <f t="shared" si="231"/>
        <v>0</v>
      </c>
      <c r="AB308" s="34">
        <f t="shared" si="232"/>
        <v>0</v>
      </c>
      <c r="AC308" s="34">
        <f t="shared" si="233"/>
        <v>0</v>
      </c>
      <c r="AD308" s="34">
        <f t="shared" si="234"/>
        <v>0</v>
      </c>
      <c r="AE308" s="34">
        <f t="shared" si="235"/>
        <v>0</v>
      </c>
      <c r="AF308" s="34">
        <f t="shared" si="236"/>
        <v>0</v>
      </c>
      <c r="AG308" s="34">
        <f t="shared" si="237"/>
        <v>0</v>
      </c>
      <c r="AH308" s="34">
        <f t="shared" si="238"/>
        <v>0</v>
      </c>
      <c r="AI308" s="27" t="s">
        <v>3645</v>
      </c>
      <c r="AJ308" s="18">
        <f t="shared" si="239"/>
        <v>0</v>
      </c>
      <c r="AK308" s="18">
        <f t="shared" si="240"/>
        <v>0</v>
      </c>
      <c r="AL308" s="18">
        <f t="shared" si="241"/>
        <v>0</v>
      </c>
      <c r="AN308" s="34">
        <v>21</v>
      </c>
      <c r="AO308" s="34">
        <f>J308*0</f>
        <v>0</v>
      </c>
      <c r="AP308" s="34">
        <f>J308*(1-0)</f>
        <v>0</v>
      </c>
      <c r="AQ308" s="28" t="s">
        <v>11</v>
      </c>
      <c r="AV308" s="34">
        <f t="shared" si="242"/>
        <v>0</v>
      </c>
      <c r="AW308" s="34">
        <f t="shared" si="243"/>
        <v>0</v>
      </c>
      <c r="AX308" s="34">
        <f t="shared" si="244"/>
        <v>0</v>
      </c>
      <c r="AY308" s="35" t="s">
        <v>3675</v>
      </c>
      <c r="AZ308" s="35" t="s">
        <v>3713</v>
      </c>
      <c r="BA308" s="27" t="s">
        <v>3729</v>
      </c>
      <c r="BC308" s="34">
        <f t="shared" si="245"/>
        <v>0</v>
      </c>
      <c r="BD308" s="34">
        <f t="shared" si="246"/>
        <v>0</v>
      </c>
      <c r="BE308" s="34">
        <v>0</v>
      </c>
      <c r="BF308" s="34">
        <f>308</f>
        <v>308</v>
      </c>
      <c r="BH308" s="18">
        <f t="shared" si="247"/>
        <v>0</v>
      </c>
      <c r="BI308" s="18">
        <f t="shared" si="248"/>
        <v>0</v>
      </c>
      <c r="BJ308" s="18">
        <f t="shared" si="249"/>
        <v>0</v>
      </c>
    </row>
    <row r="309" spans="1:62" x14ac:dyDescent="0.2">
      <c r="A309" s="4"/>
      <c r="B309" s="14" t="s">
        <v>718</v>
      </c>
      <c r="C309" s="133" t="s">
        <v>2698</v>
      </c>
      <c r="D309" s="134"/>
      <c r="E309" s="134"/>
      <c r="F309" s="134"/>
      <c r="G309" s="134"/>
      <c r="H309" s="4" t="s">
        <v>6</v>
      </c>
      <c r="I309" s="4" t="s">
        <v>6</v>
      </c>
      <c r="J309" s="4" t="s">
        <v>6</v>
      </c>
      <c r="K309" s="37">
        <f>SUM(K310:K318)</f>
        <v>0</v>
      </c>
      <c r="L309" s="27"/>
      <c r="AI309" s="27" t="s">
        <v>3645</v>
      </c>
      <c r="AS309" s="37">
        <f>SUM(AJ310:AJ318)</f>
        <v>0</v>
      </c>
      <c r="AT309" s="37">
        <f>SUM(AK310:AK318)</f>
        <v>0</v>
      </c>
      <c r="AU309" s="37">
        <f>SUM(AL310:AL318)</f>
        <v>0</v>
      </c>
    </row>
    <row r="310" spans="1:62" x14ac:dyDescent="0.2">
      <c r="A310" s="5" t="s">
        <v>274</v>
      </c>
      <c r="B310" s="5" t="s">
        <v>1466</v>
      </c>
      <c r="C310" s="135" t="s">
        <v>2699</v>
      </c>
      <c r="D310" s="136"/>
      <c r="E310" s="136"/>
      <c r="F310" s="136"/>
      <c r="G310" s="136"/>
      <c r="H310" s="5" t="s">
        <v>3615</v>
      </c>
      <c r="I310" s="18">
        <v>272.779</v>
      </c>
      <c r="J310" s="18">
        <v>0</v>
      </c>
      <c r="K310" s="18">
        <f t="shared" ref="K310:K318" si="252">I310*J310</f>
        <v>0</v>
      </c>
      <c r="L310" s="28" t="s">
        <v>3635</v>
      </c>
      <c r="Z310" s="34">
        <f t="shared" ref="Z310:Z318" si="253">IF(AQ310="5",BJ310,0)</f>
        <v>0</v>
      </c>
      <c r="AB310" s="34">
        <f t="shared" ref="AB310:AB318" si="254">IF(AQ310="1",BH310,0)</f>
        <v>0</v>
      </c>
      <c r="AC310" s="34">
        <f t="shared" ref="AC310:AC318" si="255">IF(AQ310="1",BI310,0)</f>
        <v>0</v>
      </c>
      <c r="AD310" s="34">
        <f t="shared" ref="AD310:AD318" si="256">IF(AQ310="7",BH310,0)</f>
        <v>0</v>
      </c>
      <c r="AE310" s="34">
        <f t="shared" ref="AE310:AE318" si="257">IF(AQ310="7",BI310,0)</f>
        <v>0</v>
      </c>
      <c r="AF310" s="34">
        <f t="shared" ref="AF310:AF318" si="258">IF(AQ310="2",BH310,0)</f>
        <v>0</v>
      </c>
      <c r="AG310" s="34">
        <f t="shared" ref="AG310:AG318" si="259">IF(AQ310="2",BI310,0)</f>
        <v>0</v>
      </c>
      <c r="AH310" s="34">
        <f t="shared" ref="AH310:AH318" si="260">IF(AQ310="0",BJ310,0)</f>
        <v>0</v>
      </c>
      <c r="AI310" s="27" t="s">
        <v>3645</v>
      </c>
      <c r="AJ310" s="18">
        <f t="shared" ref="AJ310:AJ318" si="261">IF(AN310=0,K310,0)</f>
        <v>0</v>
      </c>
      <c r="AK310" s="18">
        <f t="shared" ref="AK310:AK318" si="262">IF(AN310=15,K310,0)</f>
        <v>0</v>
      </c>
      <c r="AL310" s="18">
        <f t="shared" ref="AL310:AL318" si="263">IF(AN310=21,K310,0)</f>
        <v>0</v>
      </c>
      <c r="AN310" s="34">
        <v>21</v>
      </c>
      <c r="AO310" s="34">
        <f>J310*0</f>
        <v>0</v>
      </c>
      <c r="AP310" s="34">
        <f>J310*(1-0)</f>
        <v>0</v>
      </c>
      <c r="AQ310" s="28" t="s">
        <v>13</v>
      </c>
      <c r="AV310" s="34">
        <f t="shared" ref="AV310:AV318" si="264">AW310+AX310</f>
        <v>0</v>
      </c>
      <c r="AW310" s="34">
        <f t="shared" ref="AW310:AW318" si="265">I310*AO310</f>
        <v>0</v>
      </c>
      <c r="AX310" s="34">
        <f t="shared" ref="AX310:AX318" si="266">I310*AP310</f>
        <v>0</v>
      </c>
      <c r="AY310" s="35" t="s">
        <v>3676</v>
      </c>
      <c r="AZ310" s="35" t="s">
        <v>3713</v>
      </c>
      <c r="BA310" s="27" t="s">
        <v>3729</v>
      </c>
      <c r="BC310" s="34">
        <f t="shared" ref="BC310:BC318" si="267">AW310+AX310</f>
        <v>0</v>
      </c>
      <c r="BD310" s="34">
        <f t="shared" ref="BD310:BD318" si="268">J310/(100-BE310)*100</f>
        <v>0</v>
      </c>
      <c r="BE310" s="34">
        <v>0</v>
      </c>
      <c r="BF310" s="34">
        <f>310</f>
        <v>310</v>
      </c>
      <c r="BH310" s="18">
        <f t="shared" ref="BH310:BH318" si="269">I310*AO310</f>
        <v>0</v>
      </c>
      <c r="BI310" s="18">
        <f t="shared" ref="BI310:BI318" si="270">I310*AP310</f>
        <v>0</v>
      </c>
      <c r="BJ310" s="18">
        <f t="shared" ref="BJ310:BJ318" si="271">I310*J310</f>
        <v>0</v>
      </c>
    </row>
    <row r="311" spans="1:62" x14ac:dyDescent="0.2">
      <c r="A311" s="5" t="s">
        <v>275</v>
      </c>
      <c r="B311" s="5" t="s">
        <v>1466</v>
      </c>
      <c r="C311" s="135" t="s">
        <v>2700</v>
      </c>
      <c r="D311" s="136"/>
      <c r="E311" s="136"/>
      <c r="F311" s="136"/>
      <c r="G311" s="136"/>
      <c r="H311" s="5" t="s">
        <v>3615</v>
      </c>
      <c r="I311" s="18">
        <v>272.779</v>
      </c>
      <c r="J311" s="18">
        <v>0</v>
      </c>
      <c r="K311" s="18">
        <f t="shared" si="252"/>
        <v>0</v>
      </c>
      <c r="L311" s="28" t="s">
        <v>3635</v>
      </c>
      <c r="Z311" s="34">
        <f t="shared" si="253"/>
        <v>0</v>
      </c>
      <c r="AB311" s="34">
        <f t="shared" si="254"/>
        <v>0</v>
      </c>
      <c r="AC311" s="34">
        <f t="shared" si="255"/>
        <v>0</v>
      </c>
      <c r="AD311" s="34">
        <f t="shared" si="256"/>
        <v>0</v>
      </c>
      <c r="AE311" s="34">
        <f t="shared" si="257"/>
        <v>0</v>
      </c>
      <c r="AF311" s="34">
        <f t="shared" si="258"/>
        <v>0</v>
      </c>
      <c r="AG311" s="34">
        <f t="shared" si="259"/>
        <v>0</v>
      </c>
      <c r="AH311" s="34">
        <f t="shared" si="260"/>
        <v>0</v>
      </c>
      <c r="AI311" s="27" t="s">
        <v>3645</v>
      </c>
      <c r="AJ311" s="18">
        <f t="shared" si="261"/>
        <v>0</v>
      </c>
      <c r="AK311" s="18">
        <f t="shared" si="262"/>
        <v>0</v>
      </c>
      <c r="AL311" s="18">
        <f t="shared" si="263"/>
        <v>0</v>
      </c>
      <c r="AN311" s="34">
        <v>21</v>
      </c>
      <c r="AO311" s="34">
        <f>J311*0</f>
        <v>0</v>
      </c>
      <c r="AP311" s="34">
        <f>J311*(1-0)</f>
        <v>0</v>
      </c>
      <c r="AQ311" s="28" t="s">
        <v>13</v>
      </c>
      <c r="AV311" s="34">
        <f t="shared" si="264"/>
        <v>0</v>
      </c>
      <c r="AW311" s="34">
        <f t="shared" si="265"/>
        <v>0</v>
      </c>
      <c r="AX311" s="34">
        <f t="shared" si="266"/>
        <v>0</v>
      </c>
      <c r="AY311" s="35" t="s">
        <v>3676</v>
      </c>
      <c r="AZ311" s="35" t="s">
        <v>3713</v>
      </c>
      <c r="BA311" s="27" t="s">
        <v>3729</v>
      </c>
      <c r="BC311" s="34">
        <f t="shared" si="267"/>
        <v>0</v>
      </c>
      <c r="BD311" s="34">
        <f t="shared" si="268"/>
        <v>0</v>
      </c>
      <c r="BE311" s="34">
        <v>0</v>
      </c>
      <c r="BF311" s="34">
        <f>311</f>
        <v>311</v>
      </c>
      <c r="BH311" s="18">
        <f t="shared" si="269"/>
        <v>0</v>
      </c>
      <c r="BI311" s="18">
        <f t="shared" si="270"/>
        <v>0</v>
      </c>
      <c r="BJ311" s="18">
        <f t="shared" si="271"/>
        <v>0</v>
      </c>
    </row>
    <row r="312" spans="1:62" x14ac:dyDescent="0.2">
      <c r="A312" s="5" t="s">
        <v>276</v>
      </c>
      <c r="B312" s="5" t="s">
        <v>1467</v>
      </c>
      <c r="C312" s="135" t="s">
        <v>2701</v>
      </c>
      <c r="D312" s="136"/>
      <c r="E312" s="136"/>
      <c r="F312" s="136"/>
      <c r="G312" s="136"/>
      <c r="H312" s="5" t="s">
        <v>3615</v>
      </c>
      <c r="I312" s="18">
        <v>87.873999999999995</v>
      </c>
      <c r="J312" s="18">
        <v>0</v>
      </c>
      <c r="K312" s="18">
        <f t="shared" si="252"/>
        <v>0</v>
      </c>
      <c r="L312" s="28" t="s">
        <v>3635</v>
      </c>
      <c r="Z312" s="34">
        <f t="shared" si="253"/>
        <v>0</v>
      </c>
      <c r="AB312" s="34">
        <f t="shared" si="254"/>
        <v>0</v>
      </c>
      <c r="AC312" s="34">
        <f t="shared" si="255"/>
        <v>0</v>
      </c>
      <c r="AD312" s="34">
        <f t="shared" si="256"/>
        <v>0</v>
      </c>
      <c r="AE312" s="34">
        <f t="shared" si="257"/>
        <v>0</v>
      </c>
      <c r="AF312" s="34">
        <f t="shared" si="258"/>
        <v>0</v>
      </c>
      <c r="AG312" s="34">
        <f t="shared" si="259"/>
        <v>0</v>
      </c>
      <c r="AH312" s="34">
        <f t="shared" si="260"/>
        <v>0</v>
      </c>
      <c r="AI312" s="27" t="s">
        <v>3645</v>
      </c>
      <c r="AJ312" s="18">
        <f t="shared" si="261"/>
        <v>0</v>
      </c>
      <c r="AK312" s="18">
        <f t="shared" si="262"/>
        <v>0</v>
      </c>
      <c r="AL312" s="18">
        <f t="shared" si="263"/>
        <v>0</v>
      </c>
      <c r="AN312" s="34">
        <v>21</v>
      </c>
      <c r="AO312" s="34">
        <f>J312*0.574021212832994</f>
        <v>0</v>
      </c>
      <c r="AP312" s="34">
        <f>J312*(1-0.574021212832994)</f>
        <v>0</v>
      </c>
      <c r="AQ312" s="28" t="s">
        <v>13</v>
      </c>
      <c r="AV312" s="34">
        <f t="shared" si="264"/>
        <v>0</v>
      </c>
      <c r="AW312" s="34">
        <f t="shared" si="265"/>
        <v>0</v>
      </c>
      <c r="AX312" s="34">
        <f t="shared" si="266"/>
        <v>0</v>
      </c>
      <c r="AY312" s="35" t="s">
        <v>3676</v>
      </c>
      <c r="AZ312" s="35" t="s">
        <v>3713</v>
      </c>
      <c r="BA312" s="27" t="s">
        <v>3729</v>
      </c>
      <c r="BC312" s="34">
        <f t="shared" si="267"/>
        <v>0</v>
      </c>
      <c r="BD312" s="34">
        <f t="shared" si="268"/>
        <v>0</v>
      </c>
      <c r="BE312" s="34">
        <v>0</v>
      </c>
      <c r="BF312" s="34">
        <f>312</f>
        <v>312</v>
      </c>
      <c r="BH312" s="18">
        <f t="shared" si="269"/>
        <v>0</v>
      </c>
      <c r="BI312" s="18">
        <f t="shared" si="270"/>
        <v>0</v>
      </c>
      <c r="BJ312" s="18">
        <f t="shared" si="271"/>
        <v>0</v>
      </c>
    </row>
    <row r="313" spans="1:62" x14ac:dyDescent="0.2">
      <c r="A313" s="5" t="s">
        <v>277</v>
      </c>
      <c r="B313" s="5" t="s">
        <v>1468</v>
      </c>
      <c r="C313" s="135" t="s">
        <v>2702</v>
      </c>
      <c r="D313" s="136"/>
      <c r="E313" s="136"/>
      <c r="F313" s="136"/>
      <c r="G313" s="136"/>
      <c r="H313" s="5" t="s">
        <v>3615</v>
      </c>
      <c r="I313" s="18">
        <v>87.873999999999995</v>
      </c>
      <c r="J313" s="18">
        <v>0</v>
      </c>
      <c r="K313" s="18">
        <f t="shared" si="252"/>
        <v>0</v>
      </c>
      <c r="L313" s="28" t="s">
        <v>3635</v>
      </c>
      <c r="Z313" s="34">
        <f t="shared" si="253"/>
        <v>0</v>
      </c>
      <c r="AB313" s="34">
        <f t="shared" si="254"/>
        <v>0</v>
      </c>
      <c r="AC313" s="34">
        <f t="shared" si="255"/>
        <v>0</v>
      </c>
      <c r="AD313" s="34">
        <f t="shared" si="256"/>
        <v>0</v>
      </c>
      <c r="AE313" s="34">
        <f t="shared" si="257"/>
        <v>0</v>
      </c>
      <c r="AF313" s="34">
        <f t="shared" si="258"/>
        <v>0</v>
      </c>
      <c r="AG313" s="34">
        <f t="shared" si="259"/>
        <v>0</v>
      </c>
      <c r="AH313" s="34">
        <f t="shared" si="260"/>
        <v>0</v>
      </c>
      <c r="AI313" s="27" t="s">
        <v>3645</v>
      </c>
      <c r="AJ313" s="18">
        <f t="shared" si="261"/>
        <v>0</v>
      </c>
      <c r="AK313" s="18">
        <f t="shared" si="262"/>
        <v>0</v>
      </c>
      <c r="AL313" s="18">
        <f t="shared" si="263"/>
        <v>0</v>
      </c>
      <c r="AN313" s="34">
        <v>21</v>
      </c>
      <c r="AO313" s="34">
        <f>J313*0.738102459887635</f>
        <v>0</v>
      </c>
      <c r="AP313" s="34">
        <f>J313*(1-0.738102459887635)</f>
        <v>0</v>
      </c>
      <c r="AQ313" s="28" t="s">
        <v>13</v>
      </c>
      <c r="AV313" s="34">
        <f t="shared" si="264"/>
        <v>0</v>
      </c>
      <c r="AW313" s="34">
        <f t="shared" si="265"/>
        <v>0</v>
      </c>
      <c r="AX313" s="34">
        <f t="shared" si="266"/>
        <v>0</v>
      </c>
      <c r="AY313" s="35" t="s">
        <v>3676</v>
      </c>
      <c r="AZ313" s="35" t="s">
        <v>3713</v>
      </c>
      <c r="BA313" s="27" t="s">
        <v>3729</v>
      </c>
      <c r="BC313" s="34">
        <f t="shared" si="267"/>
        <v>0</v>
      </c>
      <c r="BD313" s="34">
        <f t="shared" si="268"/>
        <v>0</v>
      </c>
      <c r="BE313" s="34">
        <v>0</v>
      </c>
      <c r="BF313" s="34">
        <f>313</f>
        <v>313</v>
      </c>
      <c r="BH313" s="18">
        <f t="shared" si="269"/>
        <v>0</v>
      </c>
      <c r="BI313" s="18">
        <f t="shared" si="270"/>
        <v>0</v>
      </c>
      <c r="BJ313" s="18">
        <f t="shared" si="271"/>
        <v>0</v>
      </c>
    </row>
    <row r="314" spans="1:62" x14ac:dyDescent="0.2">
      <c r="A314" s="5" t="s">
        <v>278</v>
      </c>
      <c r="B314" s="5" t="s">
        <v>1469</v>
      </c>
      <c r="C314" s="135" t="s">
        <v>2703</v>
      </c>
      <c r="D314" s="136"/>
      <c r="E314" s="136"/>
      <c r="F314" s="136"/>
      <c r="G314" s="136"/>
      <c r="H314" s="5" t="s">
        <v>3615</v>
      </c>
      <c r="I314" s="18">
        <v>511.63099999999997</v>
      </c>
      <c r="J314" s="18">
        <v>0</v>
      </c>
      <c r="K314" s="18">
        <f t="shared" si="252"/>
        <v>0</v>
      </c>
      <c r="L314" s="28" t="s">
        <v>3635</v>
      </c>
      <c r="Z314" s="34">
        <f t="shared" si="253"/>
        <v>0</v>
      </c>
      <c r="AB314" s="34">
        <f t="shared" si="254"/>
        <v>0</v>
      </c>
      <c r="AC314" s="34">
        <f t="shared" si="255"/>
        <v>0</v>
      </c>
      <c r="AD314" s="34">
        <f t="shared" si="256"/>
        <v>0</v>
      </c>
      <c r="AE314" s="34">
        <f t="shared" si="257"/>
        <v>0</v>
      </c>
      <c r="AF314" s="34">
        <f t="shared" si="258"/>
        <v>0</v>
      </c>
      <c r="AG314" s="34">
        <f t="shared" si="259"/>
        <v>0</v>
      </c>
      <c r="AH314" s="34">
        <f t="shared" si="260"/>
        <v>0</v>
      </c>
      <c r="AI314" s="27" t="s">
        <v>3645</v>
      </c>
      <c r="AJ314" s="18">
        <f t="shared" si="261"/>
        <v>0</v>
      </c>
      <c r="AK314" s="18">
        <f t="shared" si="262"/>
        <v>0</v>
      </c>
      <c r="AL314" s="18">
        <f t="shared" si="263"/>
        <v>0</v>
      </c>
      <c r="AN314" s="34">
        <v>21</v>
      </c>
      <c r="AO314" s="34">
        <f>J314*0.590299052628563</f>
        <v>0</v>
      </c>
      <c r="AP314" s="34">
        <f>J314*(1-0.590299052628563)</f>
        <v>0</v>
      </c>
      <c r="AQ314" s="28" t="s">
        <v>13</v>
      </c>
      <c r="AV314" s="34">
        <f t="shared" si="264"/>
        <v>0</v>
      </c>
      <c r="AW314" s="34">
        <f t="shared" si="265"/>
        <v>0</v>
      </c>
      <c r="AX314" s="34">
        <f t="shared" si="266"/>
        <v>0</v>
      </c>
      <c r="AY314" s="35" t="s">
        <v>3676</v>
      </c>
      <c r="AZ314" s="35" t="s">
        <v>3713</v>
      </c>
      <c r="BA314" s="27" t="s">
        <v>3729</v>
      </c>
      <c r="BC314" s="34">
        <f t="shared" si="267"/>
        <v>0</v>
      </c>
      <c r="BD314" s="34">
        <f t="shared" si="268"/>
        <v>0</v>
      </c>
      <c r="BE314" s="34">
        <v>0</v>
      </c>
      <c r="BF314" s="34">
        <f>314</f>
        <v>314</v>
      </c>
      <c r="BH314" s="18">
        <f t="shared" si="269"/>
        <v>0</v>
      </c>
      <c r="BI314" s="18">
        <f t="shared" si="270"/>
        <v>0</v>
      </c>
      <c r="BJ314" s="18">
        <f t="shared" si="271"/>
        <v>0</v>
      </c>
    </row>
    <row r="315" spans="1:62" x14ac:dyDescent="0.2">
      <c r="A315" s="5" t="s">
        <v>279</v>
      </c>
      <c r="B315" s="5" t="s">
        <v>1470</v>
      </c>
      <c r="C315" s="135" t="s">
        <v>2704</v>
      </c>
      <c r="D315" s="136"/>
      <c r="E315" s="136"/>
      <c r="F315" s="136"/>
      <c r="G315" s="136"/>
      <c r="H315" s="5" t="s">
        <v>3615</v>
      </c>
      <c r="I315" s="18">
        <v>599.68415000000005</v>
      </c>
      <c r="J315" s="18">
        <v>0</v>
      </c>
      <c r="K315" s="18">
        <f t="shared" si="252"/>
        <v>0</v>
      </c>
      <c r="L315" s="28" t="s">
        <v>3635</v>
      </c>
      <c r="Z315" s="34">
        <f t="shared" si="253"/>
        <v>0</v>
      </c>
      <c r="AB315" s="34">
        <f t="shared" si="254"/>
        <v>0</v>
      </c>
      <c r="AC315" s="34">
        <f t="shared" si="255"/>
        <v>0</v>
      </c>
      <c r="AD315" s="34">
        <f t="shared" si="256"/>
        <v>0</v>
      </c>
      <c r="AE315" s="34">
        <f t="shared" si="257"/>
        <v>0</v>
      </c>
      <c r="AF315" s="34">
        <f t="shared" si="258"/>
        <v>0</v>
      </c>
      <c r="AG315" s="34">
        <f t="shared" si="259"/>
        <v>0</v>
      </c>
      <c r="AH315" s="34">
        <f t="shared" si="260"/>
        <v>0</v>
      </c>
      <c r="AI315" s="27" t="s">
        <v>3645</v>
      </c>
      <c r="AJ315" s="18">
        <f t="shared" si="261"/>
        <v>0</v>
      </c>
      <c r="AK315" s="18">
        <f t="shared" si="262"/>
        <v>0</v>
      </c>
      <c r="AL315" s="18">
        <f t="shared" si="263"/>
        <v>0</v>
      </c>
      <c r="AN315" s="34">
        <v>21</v>
      </c>
      <c r="AO315" s="34">
        <f>J315*0.476749996214277</f>
        <v>0</v>
      </c>
      <c r="AP315" s="34">
        <f>J315*(1-0.476749996214277)</f>
        <v>0</v>
      </c>
      <c r="AQ315" s="28" t="s">
        <v>13</v>
      </c>
      <c r="AV315" s="34">
        <f t="shared" si="264"/>
        <v>0</v>
      </c>
      <c r="AW315" s="34">
        <f t="shared" si="265"/>
        <v>0</v>
      </c>
      <c r="AX315" s="34">
        <f t="shared" si="266"/>
        <v>0</v>
      </c>
      <c r="AY315" s="35" t="s">
        <v>3676</v>
      </c>
      <c r="AZ315" s="35" t="s">
        <v>3713</v>
      </c>
      <c r="BA315" s="27" t="s">
        <v>3729</v>
      </c>
      <c r="BC315" s="34">
        <f t="shared" si="267"/>
        <v>0</v>
      </c>
      <c r="BD315" s="34">
        <f t="shared" si="268"/>
        <v>0</v>
      </c>
      <c r="BE315" s="34">
        <v>0</v>
      </c>
      <c r="BF315" s="34">
        <f>315</f>
        <v>315</v>
      </c>
      <c r="BH315" s="18">
        <f t="shared" si="269"/>
        <v>0</v>
      </c>
      <c r="BI315" s="18">
        <f t="shared" si="270"/>
        <v>0</v>
      </c>
      <c r="BJ315" s="18">
        <f t="shared" si="271"/>
        <v>0</v>
      </c>
    </row>
    <row r="316" spans="1:62" x14ac:dyDescent="0.2">
      <c r="A316" s="5" t="s">
        <v>280</v>
      </c>
      <c r="B316" s="5" t="s">
        <v>1471</v>
      </c>
      <c r="C316" s="135" t="s">
        <v>2705</v>
      </c>
      <c r="D316" s="136"/>
      <c r="E316" s="136"/>
      <c r="F316" s="136"/>
      <c r="G316" s="136"/>
      <c r="H316" s="5" t="s">
        <v>3615</v>
      </c>
      <c r="I316" s="18">
        <v>687.37900000000002</v>
      </c>
      <c r="J316" s="18">
        <v>0</v>
      </c>
      <c r="K316" s="18">
        <f t="shared" si="252"/>
        <v>0</v>
      </c>
      <c r="L316" s="28" t="s">
        <v>3635</v>
      </c>
      <c r="Z316" s="34">
        <f t="shared" si="253"/>
        <v>0</v>
      </c>
      <c r="AB316" s="34">
        <f t="shared" si="254"/>
        <v>0</v>
      </c>
      <c r="AC316" s="34">
        <f t="shared" si="255"/>
        <v>0</v>
      </c>
      <c r="AD316" s="34">
        <f t="shared" si="256"/>
        <v>0</v>
      </c>
      <c r="AE316" s="34">
        <f t="shared" si="257"/>
        <v>0</v>
      </c>
      <c r="AF316" s="34">
        <f t="shared" si="258"/>
        <v>0</v>
      </c>
      <c r="AG316" s="34">
        <f t="shared" si="259"/>
        <v>0</v>
      </c>
      <c r="AH316" s="34">
        <f t="shared" si="260"/>
        <v>0</v>
      </c>
      <c r="AI316" s="27" t="s">
        <v>3645</v>
      </c>
      <c r="AJ316" s="18">
        <f t="shared" si="261"/>
        <v>0</v>
      </c>
      <c r="AK316" s="18">
        <f t="shared" si="262"/>
        <v>0</v>
      </c>
      <c r="AL316" s="18">
        <f t="shared" si="263"/>
        <v>0</v>
      </c>
      <c r="AN316" s="34">
        <v>21</v>
      </c>
      <c r="AO316" s="34">
        <f>J316*0.360113648270315</f>
        <v>0</v>
      </c>
      <c r="AP316" s="34">
        <f>J316*(1-0.360113648270315)</f>
        <v>0</v>
      </c>
      <c r="AQ316" s="28" t="s">
        <v>13</v>
      </c>
      <c r="AV316" s="34">
        <f t="shared" si="264"/>
        <v>0</v>
      </c>
      <c r="AW316" s="34">
        <f t="shared" si="265"/>
        <v>0</v>
      </c>
      <c r="AX316" s="34">
        <f t="shared" si="266"/>
        <v>0</v>
      </c>
      <c r="AY316" s="35" t="s">
        <v>3676</v>
      </c>
      <c r="AZ316" s="35" t="s">
        <v>3713</v>
      </c>
      <c r="BA316" s="27" t="s">
        <v>3729</v>
      </c>
      <c r="BC316" s="34">
        <f t="shared" si="267"/>
        <v>0</v>
      </c>
      <c r="BD316" s="34">
        <f t="shared" si="268"/>
        <v>0</v>
      </c>
      <c r="BE316" s="34">
        <v>0</v>
      </c>
      <c r="BF316" s="34">
        <f>316</f>
        <v>316</v>
      </c>
      <c r="BH316" s="18">
        <f t="shared" si="269"/>
        <v>0</v>
      </c>
      <c r="BI316" s="18">
        <f t="shared" si="270"/>
        <v>0</v>
      </c>
      <c r="BJ316" s="18">
        <f t="shared" si="271"/>
        <v>0</v>
      </c>
    </row>
    <row r="317" spans="1:62" x14ac:dyDescent="0.2">
      <c r="A317" s="5" t="s">
        <v>281</v>
      </c>
      <c r="B317" s="5" t="s">
        <v>1472</v>
      </c>
      <c r="C317" s="135" t="s">
        <v>2706</v>
      </c>
      <c r="D317" s="136"/>
      <c r="E317" s="136"/>
      <c r="F317" s="136"/>
      <c r="G317" s="136"/>
      <c r="H317" s="5" t="s">
        <v>3615</v>
      </c>
      <c r="I317" s="18">
        <v>323.23099999999999</v>
      </c>
      <c r="J317" s="18">
        <v>0</v>
      </c>
      <c r="K317" s="18">
        <f t="shared" si="252"/>
        <v>0</v>
      </c>
      <c r="L317" s="28" t="s">
        <v>3635</v>
      </c>
      <c r="Z317" s="34">
        <f t="shared" si="253"/>
        <v>0</v>
      </c>
      <c r="AB317" s="34">
        <f t="shared" si="254"/>
        <v>0</v>
      </c>
      <c r="AC317" s="34">
        <f t="shared" si="255"/>
        <v>0</v>
      </c>
      <c r="AD317" s="34">
        <f t="shared" si="256"/>
        <v>0</v>
      </c>
      <c r="AE317" s="34">
        <f t="shared" si="257"/>
        <v>0</v>
      </c>
      <c r="AF317" s="34">
        <f t="shared" si="258"/>
        <v>0</v>
      </c>
      <c r="AG317" s="34">
        <f t="shared" si="259"/>
        <v>0</v>
      </c>
      <c r="AH317" s="34">
        <f t="shared" si="260"/>
        <v>0</v>
      </c>
      <c r="AI317" s="27" t="s">
        <v>3645</v>
      </c>
      <c r="AJ317" s="18">
        <f t="shared" si="261"/>
        <v>0</v>
      </c>
      <c r="AK317" s="18">
        <f t="shared" si="262"/>
        <v>0</v>
      </c>
      <c r="AL317" s="18">
        <f t="shared" si="263"/>
        <v>0</v>
      </c>
      <c r="AN317" s="34">
        <v>21</v>
      </c>
      <c r="AO317" s="34">
        <f>J317*0.0494117613929479</f>
        <v>0</v>
      </c>
      <c r="AP317" s="34">
        <f>J317*(1-0.0494117613929479)</f>
        <v>0</v>
      </c>
      <c r="AQ317" s="28" t="s">
        <v>13</v>
      </c>
      <c r="AV317" s="34">
        <f t="shared" si="264"/>
        <v>0</v>
      </c>
      <c r="AW317" s="34">
        <f t="shared" si="265"/>
        <v>0</v>
      </c>
      <c r="AX317" s="34">
        <f t="shared" si="266"/>
        <v>0</v>
      </c>
      <c r="AY317" s="35" t="s">
        <v>3676</v>
      </c>
      <c r="AZ317" s="35" t="s">
        <v>3713</v>
      </c>
      <c r="BA317" s="27" t="s">
        <v>3729</v>
      </c>
      <c r="BC317" s="34">
        <f t="shared" si="267"/>
        <v>0</v>
      </c>
      <c r="BD317" s="34">
        <f t="shared" si="268"/>
        <v>0</v>
      </c>
      <c r="BE317" s="34">
        <v>0</v>
      </c>
      <c r="BF317" s="34">
        <f>317</f>
        <v>317</v>
      </c>
      <c r="BH317" s="18">
        <f t="shared" si="269"/>
        <v>0</v>
      </c>
      <c r="BI317" s="18">
        <f t="shared" si="270"/>
        <v>0</v>
      </c>
      <c r="BJ317" s="18">
        <f t="shared" si="271"/>
        <v>0</v>
      </c>
    </row>
    <row r="318" spans="1:62" x14ac:dyDescent="0.2">
      <c r="A318" s="5" t="s">
        <v>282</v>
      </c>
      <c r="B318" s="5" t="s">
        <v>1473</v>
      </c>
      <c r="C318" s="135" t="s">
        <v>2707</v>
      </c>
      <c r="D318" s="136"/>
      <c r="E318" s="136"/>
      <c r="F318" s="136"/>
      <c r="G318" s="136"/>
      <c r="H318" s="5" t="s">
        <v>3616</v>
      </c>
      <c r="I318" s="18">
        <v>5.0831999999999997</v>
      </c>
      <c r="J318" s="18">
        <v>0</v>
      </c>
      <c r="K318" s="18">
        <f t="shared" si="252"/>
        <v>0</v>
      </c>
      <c r="L318" s="28" t="s">
        <v>3635</v>
      </c>
      <c r="Z318" s="34">
        <f t="shared" si="253"/>
        <v>0</v>
      </c>
      <c r="AB318" s="34">
        <f t="shared" si="254"/>
        <v>0</v>
      </c>
      <c r="AC318" s="34">
        <f t="shared" si="255"/>
        <v>0</v>
      </c>
      <c r="AD318" s="34">
        <f t="shared" si="256"/>
        <v>0</v>
      </c>
      <c r="AE318" s="34">
        <f t="shared" si="257"/>
        <v>0</v>
      </c>
      <c r="AF318" s="34">
        <f t="shared" si="258"/>
        <v>0</v>
      </c>
      <c r="AG318" s="34">
        <f t="shared" si="259"/>
        <v>0</v>
      </c>
      <c r="AH318" s="34">
        <f t="shared" si="260"/>
        <v>0</v>
      </c>
      <c r="AI318" s="27" t="s">
        <v>3645</v>
      </c>
      <c r="AJ318" s="18">
        <f t="shared" si="261"/>
        <v>0</v>
      </c>
      <c r="AK318" s="18">
        <f t="shared" si="262"/>
        <v>0</v>
      </c>
      <c r="AL318" s="18">
        <f t="shared" si="263"/>
        <v>0</v>
      </c>
      <c r="AN318" s="34">
        <v>21</v>
      </c>
      <c r="AO318" s="34">
        <f>J318*0</f>
        <v>0</v>
      </c>
      <c r="AP318" s="34">
        <f>J318*(1-0)</f>
        <v>0</v>
      </c>
      <c r="AQ318" s="28" t="s">
        <v>11</v>
      </c>
      <c r="AV318" s="34">
        <f t="shared" si="264"/>
        <v>0</v>
      </c>
      <c r="AW318" s="34">
        <f t="shared" si="265"/>
        <v>0</v>
      </c>
      <c r="AX318" s="34">
        <f t="shared" si="266"/>
        <v>0</v>
      </c>
      <c r="AY318" s="35" t="s">
        <v>3676</v>
      </c>
      <c r="AZ318" s="35" t="s">
        <v>3713</v>
      </c>
      <c r="BA318" s="27" t="s">
        <v>3729</v>
      </c>
      <c r="BC318" s="34">
        <f t="shared" si="267"/>
        <v>0</v>
      </c>
      <c r="BD318" s="34">
        <f t="shared" si="268"/>
        <v>0</v>
      </c>
      <c r="BE318" s="34">
        <v>0</v>
      </c>
      <c r="BF318" s="34">
        <f>318</f>
        <v>318</v>
      </c>
      <c r="BH318" s="18">
        <f t="shared" si="269"/>
        <v>0</v>
      </c>
      <c r="BI318" s="18">
        <f t="shared" si="270"/>
        <v>0</v>
      </c>
      <c r="BJ318" s="18">
        <f t="shared" si="271"/>
        <v>0</v>
      </c>
    </row>
    <row r="319" spans="1:62" x14ac:dyDescent="0.2">
      <c r="A319" s="4"/>
      <c r="B319" s="14" t="s">
        <v>719</v>
      </c>
      <c r="C319" s="133" t="s">
        <v>2708</v>
      </c>
      <c r="D319" s="134"/>
      <c r="E319" s="134"/>
      <c r="F319" s="134"/>
      <c r="G319" s="134"/>
      <c r="H319" s="4" t="s">
        <v>6</v>
      </c>
      <c r="I319" s="4" t="s">
        <v>6</v>
      </c>
      <c r="J319" s="4" t="s">
        <v>6</v>
      </c>
      <c r="K319" s="37">
        <f>SUM(K320:K337)</f>
        <v>0</v>
      </c>
      <c r="L319" s="27"/>
      <c r="AI319" s="27" t="s">
        <v>3645</v>
      </c>
      <c r="AS319" s="37">
        <f>SUM(AJ320:AJ337)</f>
        <v>0</v>
      </c>
      <c r="AT319" s="37">
        <f>SUM(AK320:AK337)</f>
        <v>0</v>
      </c>
      <c r="AU319" s="37">
        <f>SUM(AL320:AL337)</f>
        <v>0</v>
      </c>
    </row>
    <row r="320" spans="1:62" x14ac:dyDescent="0.2">
      <c r="A320" s="5" t="s">
        <v>283</v>
      </c>
      <c r="B320" s="5" t="s">
        <v>1474</v>
      </c>
      <c r="C320" s="135" t="s">
        <v>2709</v>
      </c>
      <c r="D320" s="136"/>
      <c r="E320" s="136"/>
      <c r="F320" s="136"/>
      <c r="G320" s="136"/>
      <c r="H320" s="5" t="s">
        <v>3615</v>
      </c>
      <c r="I320" s="18">
        <v>96.71</v>
      </c>
      <c r="J320" s="18">
        <v>0</v>
      </c>
      <c r="K320" s="18">
        <f t="shared" ref="K320:K337" si="272">I320*J320</f>
        <v>0</v>
      </c>
      <c r="L320" s="28" t="s">
        <v>3635</v>
      </c>
      <c r="Z320" s="34">
        <f t="shared" ref="Z320:Z337" si="273">IF(AQ320="5",BJ320,0)</f>
        <v>0</v>
      </c>
      <c r="AB320" s="34">
        <f t="shared" ref="AB320:AB337" si="274">IF(AQ320="1",BH320,0)</f>
        <v>0</v>
      </c>
      <c r="AC320" s="34">
        <f t="shared" ref="AC320:AC337" si="275">IF(AQ320="1",BI320,0)</f>
        <v>0</v>
      </c>
      <c r="AD320" s="34">
        <f t="shared" ref="AD320:AD337" si="276">IF(AQ320="7",BH320,0)</f>
        <v>0</v>
      </c>
      <c r="AE320" s="34">
        <f t="shared" ref="AE320:AE337" si="277">IF(AQ320="7",BI320,0)</f>
        <v>0</v>
      </c>
      <c r="AF320" s="34">
        <f t="shared" ref="AF320:AF337" si="278">IF(AQ320="2",BH320,0)</f>
        <v>0</v>
      </c>
      <c r="AG320" s="34">
        <f t="shared" ref="AG320:AG337" si="279">IF(AQ320="2",BI320,0)</f>
        <v>0</v>
      </c>
      <c r="AH320" s="34">
        <f t="shared" ref="AH320:AH337" si="280">IF(AQ320="0",BJ320,0)</f>
        <v>0</v>
      </c>
      <c r="AI320" s="27" t="s">
        <v>3645</v>
      </c>
      <c r="AJ320" s="18">
        <f t="shared" ref="AJ320:AJ337" si="281">IF(AN320=0,K320,0)</f>
        <v>0</v>
      </c>
      <c r="AK320" s="18">
        <f t="shared" ref="AK320:AK337" si="282">IF(AN320=15,K320,0)</f>
        <v>0</v>
      </c>
      <c r="AL320" s="18">
        <f t="shared" ref="AL320:AL337" si="283">IF(AN320=21,K320,0)</f>
        <v>0</v>
      </c>
      <c r="AN320" s="34">
        <v>21</v>
      </c>
      <c r="AO320" s="34">
        <f>J320*0</f>
        <v>0</v>
      </c>
      <c r="AP320" s="34">
        <f>J320*(1-0)</f>
        <v>0</v>
      </c>
      <c r="AQ320" s="28" t="s">
        <v>13</v>
      </c>
      <c r="AV320" s="34">
        <f t="shared" ref="AV320:AV337" si="284">AW320+AX320</f>
        <v>0</v>
      </c>
      <c r="AW320" s="34">
        <f t="shared" ref="AW320:AW337" si="285">I320*AO320</f>
        <v>0</v>
      </c>
      <c r="AX320" s="34">
        <f t="shared" ref="AX320:AX337" si="286">I320*AP320</f>
        <v>0</v>
      </c>
      <c r="AY320" s="35" t="s">
        <v>3677</v>
      </c>
      <c r="AZ320" s="35" t="s">
        <v>3713</v>
      </c>
      <c r="BA320" s="27" t="s">
        <v>3729</v>
      </c>
      <c r="BC320" s="34">
        <f t="shared" ref="BC320:BC337" si="287">AW320+AX320</f>
        <v>0</v>
      </c>
      <c r="BD320" s="34">
        <f t="shared" ref="BD320:BD337" si="288">J320/(100-BE320)*100</f>
        <v>0</v>
      </c>
      <c r="BE320" s="34">
        <v>0</v>
      </c>
      <c r="BF320" s="34">
        <f>320</f>
        <v>320</v>
      </c>
      <c r="BH320" s="18">
        <f t="shared" ref="BH320:BH337" si="289">I320*AO320</f>
        <v>0</v>
      </c>
      <c r="BI320" s="18">
        <f t="shared" ref="BI320:BI337" si="290">I320*AP320</f>
        <v>0</v>
      </c>
      <c r="BJ320" s="18">
        <f t="shared" ref="BJ320:BJ337" si="291">I320*J320</f>
        <v>0</v>
      </c>
    </row>
    <row r="321" spans="1:62" x14ac:dyDescent="0.2">
      <c r="A321" s="5" t="s">
        <v>284</v>
      </c>
      <c r="B321" s="5" t="s">
        <v>1475</v>
      </c>
      <c r="C321" s="135" t="s">
        <v>2710</v>
      </c>
      <c r="D321" s="136"/>
      <c r="E321" s="136"/>
      <c r="F321" s="136"/>
      <c r="G321" s="136"/>
      <c r="H321" s="5" t="s">
        <v>3615</v>
      </c>
      <c r="I321" s="18">
        <v>94.48</v>
      </c>
      <c r="J321" s="18">
        <v>0</v>
      </c>
      <c r="K321" s="18">
        <f t="shared" si="272"/>
        <v>0</v>
      </c>
      <c r="L321" s="28" t="s">
        <v>3635</v>
      </c>
      <c r="Z321" s="34">
        <f t="shared" si="273"/>
        <v>0</v>
      </c>
      <c r="AB321" s="34">
        <f t="shared" si="274"/>
        <v>0</v>
      </c>
      <c r="AC321" s="34">
        <f t="shared" si="275"/>
        <v>0</v>
      </c>
      <c r="AD321" s="34">
        <f t="shared" si="276"/>
        <v>0</v>
      </c>
      <c r="AE321" s="34">
        <f t="shared" si="277"/>
        <v>0</v>
      </c>
      <c r="AF321" s="34">
        <f t="shared" si="278"/>
        <v>0</v>
      </c>
      <c r="AG321" s="34">
        <f t="shared" si="279"/>
        <v>0</v>
      </c>
      <c r="AH321" s="34">
        <f t="shared" si="280"/>
        <v>0</v>
      </c>
      <c r="AI321" s="27" t="s">
        <v>3645</v>
      </c>
      <c r="AJ321" s="18">
        <f t="shared" si="281"/>
        <v>0</v>
      </c>
      <c r="AK321" s="18">
        <f t="shared" si="282"/>
        <v>0</v>
      </c>
      <c r="AL321" s="18">
        <f t="shared" si="283"/>
        <v>0</v>
      </c>
      <c r="AN321" s="34">
        <v>21</v>
      </c>
      <c r="AO321" s="34">
        <f>J321*0</f>
        <v>0</v>
      </c>
      <c r="AP321" s="34">
        <f>J321*(1-0)</f>
        <v>0</v>
      </c>
      <c r="AQ321" s="28" t="s">
        <v>13</v>
      </c>
      <c r="AV321" s="34">
        <f t="shared" si="284"/>
        <v>0</v>
      </c>
      <c r="AW321" s="34">
        <f t="shared" si="285"/>
        <v>0</v>
      </c>
      <c r="AX321" s="34">
        <f t="shared" si="286"/>
        <v>0</v>
      </c>
      <c r="AY321" s="35" t="s">
        <v>3677</v>
      </c>
      <c r="AZ321" s="35" t="s">
        <v>3713</v>
      </c>
      <c r="BA321" s="27" t="s">
        <v>3729</v>
      </c>
      <c r="BC321" s="34">
        <f t="shared" si="287"/>
        <v>0</v>
      </c>
      <c r="BD321" s="34">
        <f t="shared" si="288"/>
        <v>0</v>
      </c>
      <c r="BE321" s="34">
        <v>0</v>
      </c>
      <c r="BF321" s="34">
        <f>321</f>
        <v>321</v>
      </c>
      <c r="BH321" s="18">
        <f t="shared" si="289"/>
        <v>0</v>
      </c>
      <c r="BI321" s="18">
        <f t="shared" si="290"/>
        <v>0</v>
      </c>
      <c r="BJ321" s="18">
        <f t="shared" si="291"/>
        <v>0</v>
      </c>
    </row>
    <row r="322" spans="1:62" x14ac:dyDescent="0.2">
      <c r="A322" s="5" t="s">
        <v>285</v>
      </c>
      <c r="B322" s="5" t="s">
        <v>1476</v>
      </c>
      <c r="C322" s="135" t="s">
        <v>2711</v>
      </c>
      <c r="D322" s="136"/>
      <c r="E322" s="136"/>
      <c r="F322" s="136"/>
      <c r="G322" s="136"/>
      <c r="H322" s="5" t="s">
        <v>3615</v>
      </c>
      <c r="I322" s="18">
        <v>545.55799999999999</v>
      </c>
      <c r="J322" s="18">
        <v>0</v>
      </c>
      <c r="K322" s="18">
        <f t="shared" si="272"/>
        <v>0</v>
      </c>
      <c r="L322" s="28" t="s">
        <v>3635</v>
      </c>
      <c r="Z322" s="34">
        <f t="shared" si="273"/>
        <v>0</v>
      </c>
      <c r="AB322" s="34">
        <f t="shared" si="274"/>
        <v>0</v>
      </c>
      <c r="AC322" s="34">
        <f t="shared" si="275"/>
        <v>0</v>
      </c>
      <c r="AD322" s="34">
        <f t="shared" si="276"/>
        <v>0</v>
      </c>
      <c r="AE322" s="34">
        <f t="shared" si="277"/>
        <v>0</v>
      </c>
      <c r="AF322" s="34">
        <f t="shared" si="278"/>
        <v>0</v>
      </c>
      <c r="AG322" s="34">
        <f t="shared" si="279"/>
        <v>0</v>
      </c>
      <c r="AH322" s="34">
        <f t="shared" si="280"/>
        <v>0</v>
      </c>
      <c r="AI322" s="27" t="s">
        <v>3645</v>
      </c>
      <c r="AJ322" s="18">
        <f t="shared" si="281"/>
        <v>0</v>
      </c>
      <c r="AK322" s="18">
        <f t="shared" si="282"/>
        <v>0</v>
      </c>
      <c r="AL322" s="18">
        <f t="shared" si="283"/>
        <v>0</v>
      </c>
      <c r="AN322" s="34">
        <v>21</v>
      </c>
      <c r="AO322" s="34">
        <f>J322*0</f>
        <v>0</v>
      </c>
      <c r="AP322" s="34">
        <f>J322*(1-0)</f>
        <v>0</v>
      </c>
      <c r="AQ322" s="28" t="s">
        <v>13</v>
      </c>
      <c r="AV322" s="34">
        <f t="shared" si="284"/>
        <v>0</v>
      </c>
      <c r="AW322" s="34">
        <f t="shared" si="285"/>
        <v>0</v>
      </c>
      <c r="AX322" s="34">
        <f t="shared" si="286"/>
        <v>0</v>
      </c>
      <c r="AY322" s="35" t="s">
        <v>3677</v>
      </c>
      <c r="AZ322" s="35" t="s">
        <v>3713</v>
      </c>
      <c r="BA322" s="27" t="s">
        <v>3729</v>
      </c>
      <c r="BC322" s="34">
        <f t="shared" si="287"/>
        <v>0</v>
      </c>
      <c r="BD322" s="34">
        <f t="shared" si="288"/>
        <v>0</v>
      </c>
      <c r="BE322" s="34">
        <v>0</v>
      </c>
      <c r="BF322" s="34">
        <f>322</f>
        <v>322</v>
      </c>
      <c r="BH322" s="18">
        <f t="shared" si="289"/>
        <v>0</v>
      </c>
      <c r="BI322" s="18">
        <f t="shared" si="290"/>
        <v>0</v>
      </c>
      <c r="BJ322" s="18">
        <f t="shared" si="291"/>
        <v>0</v>
      </c>
    </row>
    <row r="323" spans="1:62" x14ac:dyDescent="0.2">
      <c r="A323" s="5" t="s">
        <v>286</v>
      </c>
      <c r="B323" s="5" t="s">
        <v>1477</v>
      </c>
      <c r="C323" s="135" t="s">
        <v>2712</v>
      </c>
      <c r="D323" s="136"/>
      <c r="E323" s="136"/>
      <c r="F323" s="136"/>
      <c r="G323" s="136"/>
      <c r="H323" s="5" t="s">
        <v>3615</v>
      </c>
      <c r="I323" s="18">
        <v>219.07</v>
      </c>
      <c r="J323" s="18">
        <v>0</v>
      </c>
      <c r="K323" s="18">
        <f t="shared" si="272"/>
        <v>0</v>
      </c>
      <c r="L323" s="28" t="s">
        <v>3635</v>
      </c>
      <c r="Z323" s="34">
        <f t="shared" si="273"/>
        <v>0</v>
      </c>
      <c r="AB323" s="34">
        <f t="shared" si="274"/>
        <v>0</v>
      </c>
      <c r="AC323" s="34">
        <f t="shared" si="275"/>
        <v>0</v>
      </c>
      <c r="AD323" s="34">
        <f t="shared" si="276"/>
        <v>0</v>
      </c>
      <c r="AE323" s="34">
        <f t="shared" si="277"/>
        <v>0</v>
      </c>
      <c r="AF323" s="34">
        <f t="shared" si="278"/>
        <v>0</v>
      </c>
      <c r="AG323" s="34">
        <f t="shared" si="279"/>
        <v>0</v>
      </c>
      <c r="AH323" s="34">
        <f t="shared" si="280"/>
        <v>0</v>
      </c>
      <c r="AI323" s="27" t="s">
        <v>3645</v>
      </c>
      <c r="AJ323" s="18">
        <f t="shared" si="281"/>
        <v>0</v>
      </c>
      <c r="AK323" s="18">
        <f t="shared" si="282"/>
        <v>0</v>
      </c>
      <c r="AL323" s="18">
        <f t="shared" si="283"/>
        <v>0</v>
      </c>
      <c r="AN323" s="34">
        <v>21</v>
      </c>
      <c r="AO323" s="34">
        <f>J323*0</f>
        <v>0</v>
      </c>
      <c r="AP323" s="34">
        <f>J323*(1-0)</f>
        <v>0</v>
      </c>
      <c r="AQ323" s="28" t="s">
        <v>13</v>
      </c>
      <c r="AV323" s="34">
        <f t="shared" si="284"/>
        <v>0</v>
      </c>
      <c r="AW323" s="34">
        <f t="shared" si="285"/>
        <v>0</v>
      </c>
      <c r="AX323" s="34">
        <f t="shared" si="286"/>
        <v>0</v>
      </c>
      <c r="AY323" s="35" t="s">
        <v>3677</v>
      </c>
      <c r="AZ323" s="35" t="s">
        <v>3713</v>
      </c>
      <c r="BA323" s="27" t="s">
        <v>3729</v>
      </c>
      <c r="BC323" s="34">
        <f t="shared" si="287"/>
        <v>0</v>
      </c>
      <c r="BD323" s="34">
        <f t="shared" si="288"/>
        <v>0</v>
      </c>
      <c r="BE323" s="34">
        <v>0</v>
      </c>
      <c r="BF323" s="34">
        <f>323</f>
        <v>323</v>
      </c>
      <c r="BH323" s="18">
        <f t="shared" si="289"/>
        <v>0</v>
      </c>
      <c r="BI323" s="18">
        <f t="shared" si="290"/>
        <v>0</v>
      </c>
      <c r="BJ323" s="18">
        <f t="shared" si="291"/>
        <v>0</v>
      </c>
    </row>
    <row r="324" spans="1:62" x14ac:dyDescent="0.2">
      <c r="A324" s="6" t="s">
        <v>287</v>
      </c>
      <c r="B324" s="6" t="s">
        <v>1478</v>
      </c>
      <c r="C324" s="137" t="s">
        <v>2713</v>
      </c>
      <c r="D324" s="138"/>
      <c r="E324" s="138"/>
      <c r="F324" s="138"/>
      <c r="G324" s="138"/>
      <c r="H324" s="6" t="s">
        <v>3615</v>
      </c>
      <c r="I324" s="19">
        <v>230.02350000000001</v>
      </c>
      <c r="J324" s="19">
        <v>0</v>
      </c>
      <c r="K324" s="19">
        <f t="shared" si="272"/>
        <v>0</v>
      </c>
      <c r="L324" s="29" t="s">
        <v>3635</v>
      </c>
      <c r="Z324" s="34">
        <f t="shared" si="273"/>
        <v>0</v>
      </c>
      <c r="AB324" s="34">
        <f t="shared" si="274"/>
        <v>0</v>
      </c>
      <c r="AC324" s="34">
        <f t="shared" si="275"/>
        <v>0</v>
      </c>
      <c r="AD324" s="34">
        <f t="shared" si="276"/>
        <v>0</v>
      </c>
      <c r="AE324" s="34">
        <f t="shared" si="277"/>
        <v>0</v>
      </c>
      <c r="AF324" s="34">
        <f t="shared" si="278"/>
        <v>0</v>
      </c>
      <c r="AG324" s="34">
        <f t="shared" si="279"/>
        <v>0</v>
      </c>
      <c r="AH324" s="34">
        <f t="shared" si="280"/>
        <v>0</v>
      </c>
      <c r="AI324" s="27" t="s">
        <v>3645</v>
      </c>
      <c r="AJ324" s="19">
        <f t="shared" si="281"/>
        <v>0</v>
      </c>
      <c r="AK324" s="19">
        <f t="shared" si="282"/>
        <v>0</v>
      </c>
      <c r="AL324" s="19">
        <f t="shared" si="283"/>
        <v>0</v>
      </c>
      <c r="AN324" s="34">
        <v>21</v>
      </c>
      <c r="AO324" s="34">
        <f>J324*1</f>
        <v>0</v>
      </c>
      <c r="AP324" s="34">
        <f>J324*(1-1)</f>
        <v>0</v>
      </c>
      <c r="AQ324" s="29" t="s">
        <v>13</v>
      </c>
      <c r="AV324" s="34">
        <f t="shared" si="284"/>
        <v>0</v>
      </c>
      <c r="AW324" s="34">
        <f t="shared" si="285"/>
        <v>0</v>
      </c>
      <c r="AX324" s="34">
        <f t="shared" si="286"/>
        <v>0</v>
      </c>
      <c r="AY324" s="35" t="s">
        <v>3677</v>
      </c>
      <c r="AZ324" s="35" t="s">
        <v>3713</v>
      </c>
      <c r="BA324" s="27" t="s">
        <v>3729</v>
      </c>
      <c r="BC324" s="34">
        <f t="shared" si="287"/>
        <v>0</v>
      </c>
      <c r="BD324" s="34">
        <f t="shared" si="288"/>
        <v>0</v>
      </c>
      <c r="BE324" s="34">
        <v>0</v>
      </c>
      <c r="BF324" s="34">
        <f>324</f>
        <v>324</v>
      </c>
      <c r="BH324" s="19">
        <f t="shared" si="289"/>
        <v>0</v>
      </c>
      <c r="BI324" s="19">
        <f t="shared" si="290"/>
        <v>0</v>
      </c>
      <c r="BJ324" s="19">
        <f t="shared" si="291"/>
        <v>0</v>
      </c>
    </row>
    <row r="325" spans="1:62" x14ac:dyDescent="0.2">
      <c r="A325" s="5" t="s">
        <v>288</v>
      </c>
      <c r="B325" s="5" t="s">
        <v>1479</v>
      </c>
      <c r="C325" s="135" t="s">
        <v>2714</v>
      </c>
      <c r="D325" s="136"/>
      <c r="E325" s="136"/>
      <c r="F325" s="136"/>
      <c r="G325" s="136"/>
      <c r="H325" s="5" t="s">
        <v>3615</v>
      </c>
      <c r="I325" s="18">
        <v>333</v>
      </c>
      <c r="J325" s="18">
        <v>0</v>
      </c>
      <c r="K325" s="18">
        <f t="shared" si="272"/>
        <v>0</v>
      </c>
      <c r="L325" s="28" t="s">
        <v>3635</v>
      </c>
      <c r="Z325" s="34">
        <f t="shared" si="273"/>
        <v>0</v>
      </c>
      <c r="AB325" s="34">
        <f t="shared" si="274"/>
        <v>0</v>
      </c>
      <c r="AC325" s="34">
        <f t="shared" si="275"/>
        <v>0</v>
      </c>
      <c r="AD325" s="34">
        <f t="shared" si="276"/>
        <v>0</v>
      </c>
      <c r="AE325" s="34">
        <f t="shared" si="277"/>
        <v>0</v>
      </c>
      <c r="AF325" s="34">
        <f t="shared" si="278"/>
        <v>0</v>
      </c>
      <c r="AG325" s="34">
        <f t="shared" si="279"/>
        <v>0</v>
      </c>
      <c r="AH325" s="34">
        <f t="shared" si="280"/>
        <v>0</v>
      </c>
      <c r="AI325" s="27" t="s">
        <v>3645</v>
      </c>
      <c r="AJ325" s="18">
        <f t="shared" si="281"/>
        <v>0</v>
      </c>
      <c r="AK325" s="18">
        <f t="shared" si="282"/>
        <v>0</v>
      </c>
      <c r="AL325" s="18">
        <f t="shared" si="283"/>
        <v>0</v>
      </c>
      <c r="AN325" s="34">
        <v>21</v>
      </c>
      <c r="AO325" s="34">
        <f>J325*0</f>
        <v>0</v>
      </c>
      <c r="AP325" s="34">
        <f>J325*(1-0)</f>
        <v>0</v>
      </c>
      <c r="AQ325" s="28" t="s">
        <v>13</v>
      </c>
      <c r="AV325" s="34">
        <f t="shared" si="284"/>
        <v>0</v>
      </c>
      <c r="AW325" s="34">
        <f t="shared" si="285"/>
        <v>0</v>
      </c>
      <c r="AX325" s="34">
        <f t="shared" si="286"/>
        <v>0</v>
      </c>
      <c r="AY325" s="35" t="s">
        <v>3677</v>
      </c>
      <c r="AZ325" s="35" t="s">
        <v>3713</v>
      </c>
      <c r="BA325" s="27" t="s">
        <v>3729</v>
      </c>
      <c r="BC325" s="34">
        <f t="shared" si="287"/>
        <v>0</v>
      </c>
      <c r="BD325" s="34">
        <f t="shared" si="288"/>
        <v>0</v>
      </c>
      <c r="BE325" s="34">
        <v>0</v>
      </c>
      <c r="BF325" s="34">
        <f>325</f>
        <v>325</v>
      </c>
      <c r="BH325" s="18">
        <f t="shared" si="289"/>
        <v>0</v>
      </c>
      <c r="BI325" s="18">
        <f t="shared" si="290"/>
        <v>0</v>
      </c>
      <c r="BJ325" s="18">
        <f t="shared" si="291"/>
        <v>0</v>
      </c>
    </row>
    <row r="326" spans="1:62" x14ac:dyDescent="0.2">
      <c r="A326" s="6" t="s">
        <v>289</v>
      </c>
      <c r="B326" s="6" t="s">
        <v>1480</v>
      </c>
      <c r="C326" s="137" t="s">
        <v>2715</v>
      </c>
      <c r="D326" s="138"/>
      <c r="E326" s="138"/>
      <c r="F326" s="138"/>
      <c r="G326" s="138"/>
      <c r="H326" s="6" t="s">
        <v>3615</v>
      </c>
      <c r="I326" s="19">
        <v>349.65</v>
      </c>
      <c r="J326" s="19">
        <v>0</v>
      </c>
      <c r="K326" s="19">
        <f t="shared" si="272"/>
        <v>0</v>
      </c>
      <c r="L326" s="29" t="s">
        <v>3635</v>
      </c>
      <c r="Z326" s="34">
        <f t="shared" si="273"/>
        <v>0</v>
      </c>
      <c r="AB326" s="34">
        <f t="shared" si="274"/>
        <v>0</v>
      </c>
      <c r="AC326" s="34">
        <f t="shared" si="275"/>
        <v>0</v>
      </c>
      <c r="AD326" s="34">
        <f t="shared" si="276"/>
        <v>0</v>
      </c>
      <c r="AE326" s="34">
        <f t="shared" si="277"/>
        <v>0</v>
      </c>
      <c r="AF326" s="34">
        <f t="shared" si="278"/>
        <v>0</v>
      </c>
      <c r="AG326" s="34">
        <f t="shared" si="279"/>
        <v>0</v>
      </c>
      <c r="AH326" s="34">
        <f t="shared" si="280"/>
        <v>0</v>
      </c>
      <c r="AI326" s="27" t="s">
        <v>3645</v>
      </c>
      <c r="AJ326" s="19">
        <f t="shared" si="281"/>
        <v>0</v>
      </c>
      <c r="AK326" s="19">
        <f t="shared" si="282"/>
        <v>0</v>
      </c>
      <c r="AL326" s="19">
        <f t="shared" si="283"/>
        <v>0</v>
      </c>
      <c r="AN326" s="34">
        <v>21</v>
      </c>
      <c r="AO326" s="34">
        <f>J326*1</f>
        <v>0</v>
      </c>
      <c r="AP326" s="34">
        <f>J326*(1-1)</f>
        <v>0</v>
      </c>
      <c r="AQ326" s="29" t="s">
        <v>13</v>
      </c>
      <c r="AV326" s="34">
        <f t="shared" si="284"/>
        <v>0</v>
      </c>
      <c r="AW326" s="34">
        <f t="shared" si="285"/>
        <v>0</v>
      </c>
      <c r="AX326" s="34">
        <f t="shared" si="286"/>
        <v>0</v>
      </c>
      <c r="AY326" s="35" t="s">
        <v>3677</v>
      </c>
      <c r="AZ326" s="35" t="s">
        <v>3713</v>
      </c>
      <c r="BA326" s="27" t="s">
        <v>3729</v>
      </c>
      <c r="BC326" s="34">
        <f t="shared" si="287"/>
        <v>0</v>
      </c>
      <c r="BD326" s="34">
        <f t="shared" si="288"/>
        <v>0</v>
      </c>
      <c r="BE326" s="34">
        <v>0</v>
      </c>
      <c r="BF326" s="34">
        <f>326</f>
        <v>326</v>
      </c>
      <c r="BH326" s="19">
        <f t="shared" si="289"/>
        <v>0</v>
      </c>
      <c r="BI326" s="19">
        <f t="shared" si="290"/>
        <v>0</v>
      </c>
      <c r="BJ326" s="19">
        <f t="shared" si="291"/>
        <v>0</v>
      </c>
    </row>
    <row r="327" spans="1:62" x14ac:dyDescent="0.2">
      <c r="A327" s="5" t="s">
        <v>290</v>
      </c>
      <c r="B327" s="5" t="s">
        <v>1481</v>
      </c>
      <c r="C327" s="135" t="s">
        <v>2716</v>
      </c>
      <c r="D327" s="136"/>
      <c r="E327" s="136"/>
      <c r="F327" s="136"/>
      <c r="G327" s="136"/>
      <c r="H327" s="5" t="s">
        <v>3615</v>
      </c>
      <c r="I327" s="18">
        <v>462.94</v>
      </c>
      <c r="J327" s="18">
        <v>0</v>
      </c>
      <c r="K327" s="18">
        <f t="shared" si="272"/>
        <v>0</v>
      </c>
      <c r="L327" s="28" t="s">
        <v>3635</v>
      </c>
      <c r="Z327" s="34">
        <f t="shared" si="273"/>
        <v>0</v>
      </c>
      <c r="AB327" s="34">
        <f t="shared" si="274"/>
        <v>0</v>
      </c>
      <c r="AC327" s="34">
        <f t="shared" si="275"/>
        <v>0</v>
      </c>
      <c r="AD327" s="34">
        <f t="shared" si="276"/>
        <v>0</v>
      </c>
      <c r="AE327" s="34">
        <f t="shared" si="277"/>
        <v>0</v>
      </c>
      <c r="AF327" s="34">
        <f t="shared" si="278"/>
        <v>0</v>
      </c>
      <c r="AG327" s="34">
        <f t="shared" si="279"/>
        <v>0</v>
      </c>
      <c r="AH327" s="34">
        <f t="shared" si="280"/>
        <v>0</v>
      </c>
      <c r="AI327" s="27" t="s">
        <v>3645</v>
      </c>
      <c r="AJ327" s="18">
        <f t="shared" si="281"/>
        <v>0</v>
      </c>
      <c r="AK327" s="18">
        <f t="shared" si="282"/>
        <v>0</v>
      </c>
      <c r="AL327" s="18">
        <f t="shared" si="283"/>
        <v>0</v>
      </c>
      <c r="AN327" s="34">
        <v>21</v>
      </c>
      <c r="AO327" s="34">
        <f>J327*0</f>
        <v>0</v>
      </c>
      <c r="AP327" s="34">
        <f>J327*(1-0)</f>
        <v>0</v>
      </c>
      <c r="AQ327" s="28" t="s">
        <v>13</v>
      </c>
      <c r="AV327" s="34">
        <f t="shared" si="284"/>
        <v>0</v>
      </c>
      <c r="AW327" s="34">
        <f t="shared" si="285"/>
        <v>0</v>
      </c>
      <c r="AX327" s="34">
        <f t="shared" si="286"/>
        <v>0</v>
      </c>
      <c r="AY327" s="35" t="s">
        <v>3677</v>
      </c>
      <c r="AZ327" s="35" t="s">
        <v>3713</v>
      </c>
      <c r="BA327" s="27" t="s">
        <v>3729</v>
      </c>
      <c r="BC327" s="34">
        <f t="shared" si="287"/>
        <v>0</v>
      </c>
      <c r="BD327" s="34">
        <f t="shared" si="288"/>
        <v>0</v>
      </c>
      <c r="BE327" s="34">
        <v>0</v>
      </c>
      <c r="BF327" s="34">
        <f>327</f>
        <v>327</v>
      </c>
      <c r="BH327" s="18">
        <f t="shared" si="289"/>
        <v>0</v>
      </c>
      <c r="BI327" s="18">
        <f t="shared" si="290"/>
        <v>0</v>
      </c>
      <c r="BJ327" s="18">
        <f t="shared" si="291"/>
        <v>0</v>
      </c>
    </row>
    <row r="328" spans="1:62" x14ac:dyDescent="0.2">
      <c r="A328" s="6" t="s">
        <v>291</v>
      </c>
      <c r="B328" s="6" t="s">
        <v>1480</v>
      </c>
      <c r="C328" s="137" t="s">
        <v>2715</v>
      </c>
      <c r="D328" s="138"/>
      <c r="E328" s="138"/>
      <c r="F328" s="138"/>
      <c r="G328" s="138"/>
      <c r="H328" s="6" t="s">
        <v>3615</v>
      </c>
      <c r="I328" s="19">
        <v>972.17399999999998</v>
      </c>
      <c r="J328" s="19">
        <v>0</v>
      </c>
      <c r="K328" s="19">
        <f t="shared" si="272"/>
        <v>0</v>
      </c>
      <c r="L328" s="29" t="s">
        <v>3635</v>
      </c>
      <c r="Z328" s="34">
        <f t="shared" si="273"/>
        <v>0</v>
      </c>
      <c r="AB328" s="34">
        <f t="shared" si="274"/>
        <v>0</v>
      </c>
      <c r="AC328" s="34">
        <f t="shared" si="275"/>
        <v>0</v>
      </c>
      <c r="AD328" s="34">
        <f t="shared" si="276"/>
        <v>0</v>
      </c>
      <c r="AE328" s="34">
        <f t="shared" si="277"/>
        <v>0</v>
      </c>
      <c r="AF328" s="34">
        <f t="shared" si="278"/>
        <v>0</v>
      </c>
      <c r="AG328" s="34">
        <f t="shared" si="279"/>
        <v>0</v>
      </c>
      <c r="AH328" s="34">
        <f t="shared" si="280"/>
        <v>0</v>
      </c>
      <c r="AI328" s="27" t="s">
        <v>3645</v>
      </c>
      <c r="AJ328" s="19">
        <f t="shared" si="281"/>
        <v>0</v>
      </c>
      <c r="AK328" s="19">
        <f t="shared" si="282"/>
        <v>0</v>
      </c>
      <c r="AL328" s="19">
        <f t="shared" si="283"/>
        <v>0</v>
      </c>
      <c r="AN328" s="34">
        <v>21</v>
      </c>
      <c r="AO328" s="34">
        <f>J328*1</f>
        <v>0</v>
      </c>
      <c r="AP328" s="34">
        <f>J328*(1-1)</f>
        <v>0</v>
      </c>
      <c r="AQ328" s="29" t="s">
        <v>13</v>
      </c>
      <c r="AV328" s="34">
        <f t="shared" si="284"/>
        <v>0</v>
      </c>
      <c r="AW328" s="34">
        <f t="shared" si="285"/>
        <v>0</v>
      </c>
      <c r="AX328" s="34">
        <f t="shared" si="286"/>
        <v>0</v>
      </c>
      <c r="AY328" s="35" t="s">
        <v>3677</v>
      </c>
      <c r="AZ328" s="35" t="s">
        <v>3713</v>
      </c>
      <c r="BA328" s="27" t="s">
        <v>3729</v>
      </c>
      <c r="BC328" s="34">
        <f t="shared" si="287"/>
        <v>0</v>
      </c>
      <c r="BD328" s="34">
        <f t="shared" si="288"/>
        <v>0</v>
      </c>
      <c r="BE328" s="34">
        <v>0</v>
      </c>
      <c r="BF328" s="34">
        <f>328</f>
        <v>328</v>
      </c>
      <c r="BH328" s="19">
        <f t="shared" si="289"/>
        <v>0</v>
      </c>
      <c r="BI328" s="19">
        <f t="shared" si="290"/>
        <v>0</v>
      </c>
      <c r="BJ328" s="19">
        <f t="shared" si="291"/>
        <v>0</v>
      </c>
    </row>
    <row r="329" spans="1:62" x14ac:dyDescent="0.2">
      <c r="A329" s="5" t="s">
        <v>292</v>
      </c>
      <c r="B329" s="5" t="s">
        <v>1482</v>
      </c>
      <c r="C329" s="135" t="s">
        <v>2717</v>
      </c>
      <c r="D329" s="136"/>
      <c r="E329" s="136"/>
      <c r="F329" s="136"/>
      <c r="G329" s="136"/>
      <c r="H329" s="5" t="s">
        <v>3615</v>
      </c>
      <c r="I329" s="18">
        <v>89.13</v>
      </c>
      <c r="J329" s="18">
        <v>0</v>
      </c>
      <c r="K329" s="18">
        <f t="shared" si="272"/>
        <v>0</v>
      </c>
      <c r="L329" s="28" t="s">
        <v>3635</v>
      </c>
      <c r="Z329" s="34">
        <f t="shared" si="273"/>
        <v>0</v>
      </c>
      <c r="AB329" s="34">
        <f t="shared" si="274"/>
        <v>0</v>
      </c>
      <c r="AC329" s="34">
        <f t="shared" si="275"/>
        <v>0</v>
      </c>
      <c r="AD329" s="34">
        <f t="shared" si="276"/>
        <v>0</v>
      </c>
      <c r="AE329" s="34">
        <f t="shared" si="277"/>
        <v>0</v>
      </c>
      <c r="AF329" s="34">
        <f t="shared" si="278"/>
        <v>0</v>
      </c>
      <c r="AG329" s="34">
        <f t="shared" si="279"/>
        <v>0</v>
      </c>
      <c r="AH329" s="34">
        <f t="shared" si="280"/>
        <v>0</v>
      </c>
      <c r="AI329" s="27" t="s">
        <v>3645</v>
      </c>
      <c r="AJ329" s="18">
        <f t="shared" si="281"/>
        <v>0</v>
      </c>
      <c r="AK329" s="18">
        <f t="shared" si="282"/>
        <v>0</v>
      </c>
      <c r="AL329" s="18">
        <f t="shared" si="283"/>
        <v>0</v>
      </c>
      <c r="AN329" s="34">
        <v>21</v>
      </c>
      <c r="AO329" s="34">
        <f>J329*0.160062894393909</f>
        <v>0</v>
      </c>
      <c r="AP329" s="34">
        <f>J329*(1-0.160062894393909)</f>
        <v>0</v>
      </c>
      <c r="AQ329" s="28" t="s">
        <v>13</v>
      </c>
      <c r="AV329" s="34">
        <f t="shared" si="284"/>
        <v>0</v>
      </c>
      <c r="AW329" s="34">
        <f t="shared" si="285"/>
        <v>0</v>
      </c>
      <c r="AX329" s="34">
        <f t="shared" si="286"/>
        <v>0</v>
      </c>
      <c r="AY329" s="35" t="s">
        <v>3677</v>
      </c>
      <c r="AZ329" s="35" t="s">
        <v>3713</v>
      </c>
      <c r="BA329" s="27" t="s">
        <v>3729</v>
      </c>
      <c r="BC329" s="34">
        <f t="shared" si="287"/>
        <v>0</v>
      </c>
      <c r="BD329" s="34">
        <f t="shared" si="288"/>
        <v>0</v>
      </c>
      <c r="BE329" s="34">
        <v>0</v>
      </c>
      <c r="BF329" s="34">
        <f>329</f>
        <v>329</v>
      </c>
      <c r="BH329" s="18">
        <f t="shared" si="289"/>
        <v>0</v>
      </c>
      <c r="BI329" s="18">
        <f t="shared" si="290"/>
        <v>0</v>
      </c>
      <c r="BJ329" s="18">
        <f t="shared" si="291"/>
        <v>0</v>
      </c>
    </row>
    <row r="330" spans="1:62" x14ac:dyDescent="0.2">
      <c r="A330" s="5" t="s">
        <v>293</v>
      </c>
      <c r="B330" s="5" t="s">
        <v>1483</v>
      </c>
      <c r="C330" s="135" t="s">
        <v>2718</v>
      </c>
      <c r="D330" s="136"/>
      <c r="E330" s="136"/>
      <c r="F330" s="136"/>
      <c r="G330" s="136"/>
      <c r="H330" s="5" t="s">
        <v>3615</v>
      </c>
      <c r="I330" s="18">
        <v>511.63099999999997</v>
      </c>
      <c r="J330" s="18">
        <v>0</v>
      </c>
      <c r="K330" s="18">
        <f t="shared" si="272"/>
        <v>0</v>
      </c>
      <c r="L330" s="28" t="s">
        <v>3635</v>
      </c>
      <c r="Z330" s="34">
        <f t="shared" si="273"/>
        <v>0</v>
      </c>
      <c r="AB330" s="34">
        <f t="shared" si="274"/>
        <v>0</v>
      </c>
      <c r="AC330" s="34">
        <f t="shared" si="275"/>
        <v>0</v>
      </c>
      <c r="AD330" s="34">
        <f t="shared" si="276"/>
        <v>0</v>
      </c>
      <c r="AE330" s="34">
        <f t="shared" si="277"/>
        <v>0</v>
      </c>
      <c r="AF330" s="34">
        <f t="shared" si="278"/>
        <v>0</v>
      </c>
      <c r="AG330" s="34">
        <f t="shared" si="279"/>
        <v>0</v>
      </c>
      <c r="AH330" s="34">
        <f t="shared" si="280"/>
        <v>0</v>
      </c>
      <c r="AI330" s="27" t="s">
        <v>3645</v>
      </c>
      <c r="AJ330" s="18">
        <f t="shared" si="281"/>
        <v>0</v>
      </c>
      <c r="AK330" s="18">
        <f t="shared" si="282"/>
        <v>0</v>
      </c>
      <c r="AL330" s="18">
        <f t="shared" si="283"/>
        <v>0</v>
      </c>
      <c r="AN330" s="34">
        <v>21</v>
      </c>
      <c r="AO330" s="34">
        <f>J330*0.332713688847316</f>
        <v>0</v>
      </c>
      <c r="AP330" s="34">
        <f>J330*(1-0.332713688847316)</f>
        <v>0</v>
      </c>
      <c r="AQ330" s="28" t="s">
        <v>13</v>
      </c>
      <c r="AV330" s="34">
        <f t="shared" si="284"/>
        <v>0</v>
      </c>
      <c r="AW330" s="34">
        <f t="shared" si="285"/>
        <v>0</v>
      </c>
      <c r="AX330" s="34">
        <f t="shared" si="286"/>
        <v>0</v>
      </c>
      <c r="AY330" s="35" t="s">
        <v>3677</v>
      </c>
      <c r="AZ330" s="35" t="s">
        <v>3713</v>
      </c>
      <c r="BA330" s="27" t="s">
        <v>3729</v>
      </c>
      <c r="BC330" s="34">
        <f t="shared" si="287"/>
        <v>0</v>
      </c>
      <c r="BD330" s="34">
        <f t="shared" si="288"/>
        <v>0</v>
      </c>
      <c r="BE330" s="34">
        <v>0</v>
      </c>
      <c r="BF330" s="34">
        <f>330</f>
        <v>330</v>
      </c>
      <c r="BH330" s="18">
        <f t="shared" si="289"/>
        <v>0</v>
      </c>
      <c r="BI330" s="18">
        <f t="shared" si="290"/>
        <v>0</v>
      </c>
      <c r="BJ330" s="18">
        <f t="shared" si="291"/>
        <v>0</v>
      </c>
    </row>
    <row r="331" spans="1:62" x14ac:dyDescent="0.2">
      <c r="A331" s="6" t="s">
        <v>294</v>
      </c>
      <c r="B331" s="6" t="s">
        <v>1484</v>
      </c>
      <c r="C331" s="137" t="s">
        <v>2719</v>
      </c>
      <c r="D331" s="138"/>
      <c r="E331" s="138"/>
      <c r="F331" s="138"/>
      <c r="G331" s="138"/>
      <c r="H331" s="6" t="s">
        <v>3615</v>
      </c>
      <c r="I331" s="19">
        <v>395.64</v>
      </c>
      <c r="J331" s="19">
        <v>0</v>
      </c>
      <c r="K331" s="19">
        <f t="shared" si="272"/>
        <v>0</v>
      </c>
      <c r="L331" s="29" t="s">
        <v>3635</v>
      </c>
      <c r="Z331" s="34">
        <f t="shared" si="273"/>
        <v>0</v>
      </c>
      <c r="AB331" s="34">
        <f t="shared" si="274"/>
        <v>0</v>
      </c>
      <c r="AC331" s="34">
        <f t="shared" si="275"/>
        <v>0</v>
      </c>
      <c r="AD331" s="34">
        <f t="shared" si="276"/>
        <v>0</v>
      </c>
      <c r="AE331" s="34">
        <f t="shared" si="277"/>
        <v>0</v>
      </c>
      <c r="AF331" s="34">
        <f t="shared" si="278"/>
        <v>0</v>
      </c>
      <c r="AG331" s="34">
        <f t="shared" si="279"/>
        <v>0</v>
      </c>
      <c r="AH331" s="34">
        <f t="shared" si="280"/>
        <v>0</v>
      </c>
      <c r="AI331" s="27" t="s">
        <v>3645</v>
      </c>
      <c r="AJ331" s="19">
        <f t="shared" si="281"/>
        <v>0</v>
      </c>
      <c r="AK331" s="19">
        <f t="shared" si="282"/>
        <v>0</v>
      </c>
      <c r="AL331" s="19">
        <f t="shared" si="283"/>
        <v>0</v>
      </c>
      <c r="AN331" s="34">
        <v>21</v>
      </c>
      <c r="AO331" s="34">
        <f>J331*1</f>
        <v>0</v>
      </c>
      <c r="AP331" s="34">
        <f>J331*(1-1)</f>
        <v>0</v>
      </c>
      <c r="AQ331" s="29" t="s">
        <v>13</v>
      </c>
      <c r="AV331" s="34">
        <f t="shared" si="284"/>
        <v>0</v>
      </c>
      <c r="AW331" s="34">
        <f t="shared" si="285"/>
        <v>0</v>
      </c>
      <c r="AX331" s="34">
        <f t="shared" si="286"/>
        <v>0</v>
      </c>
      <c r="AY331" s="35" t="s">
        <v>3677</v>
      </c>
      <c r="AZ331" s="35" t="s">
        <v>3713</v>
      </c>
      <c r="BA331" s="27" t="s">
        <v>3729</v>
      </c>
      <c r="BC331" s="34">
        <f t="shared" si="287"/>
        <v>0</v>
      </c>
      <c r="BD331" s="34">
        <f t="shared" si="288"/>
        <v>0</v>
      </c>
      <c r="BE331" s="34">
        <v>0</v>
      </c>
      <c r="BF331" s="34">
        <f>331</f>
        <v>331</v>
      </c>
      <c r="BH331" s="19">
        <f t="shared" si="289"/>
        <v>0</v>
      </c>
      <c r="BI331" s="19">
        <f t="shared" si="290"/>
        <v>0</v>
      </c>
      <c r="BJ331" s="19">
        <f t="shared" si="291"/>
        <v>0</v>
      </c>
    </row>
    <row r="332" spans="1:62" x14ac:dyDescent="0.2">
      <c r="A332" s="6" t="s">
        <v>295</v>
      </c>
      <c r="B332" s="6" t="s">
        <v>1485</v>
      </c>
      <c r="C332" s="137" t="s">
        <v>2720</v>
      </c>
      <c r="D332" s="138"/>
      <c r="E332" s="138"/>
      <c r="F332" s="138"/>
      <c r="G332" s="138"/>
      <c r="H332" s="6" t="s">
        <v>3615</v>
      </c>
      <c r="I332" s="19">
        <v>678.78510000000006</v>
      </c>
      <c r="J332" s="19">
        <v>0</v>
      </c>
      <c r="K332" s="19">
        <f t="shared" si="272"/>
        <v>0</v>
      </c>
      <c r="L332" s="29" t="s">
        <v>3635</v>
      </c>
      <c r="Z332" s="34">
        <f t="shared" si="273"/>
        <v>0</v>
      </c>
      <c r="AB332" s="34">
        <f t="shared" si="274"/>
        <v>0</v>
      </c>
      <c r="AC332" s="34">
        <f t="shared" si="275"/>
        <v>0</v>
      </c>
      <c r="AD332" s="34">
        <f t="shared" si="276"/>
        <v>0</v>
      </c>
      <c r="AE332" s="34">
        <f t="shared" si="277"/>
        <v>0</v>
      </c>
      <c r="AF332" s="34">
        <f t="shared" si="278"/>
        <v>0</v>
      </c>
      <c r="AG332" s="34">
        <f t="shared" si="279"/>
        <v>0</v>
      </c>
      <c r="AH332" s="34">
        <f t="shared" si="280"/>
        <v>0</v>
      </c>
      <c r="AI332" s="27" t="s">
        <v>3645</v>
      </c>
      <c r="AJ332" s="19">
        <f t="shared" si="281"/>
        <v>0</v>
      </c>
      <c r="AK332" s="19">
        <f t="shared" si="282"/>
        <v>0</v>
      </c>
      <c r="AL332" s="19">
        <f t="shared" si="283"/>
        <v>0</v>
      </c>
      <c r="AN332" s="34">
        <v>21</v>
      </c>
      <c r="AO332" s="34">
        <f>J332*1</f>
        <v>0</v>
      </c>
      <c r="AP332" s="34">
        <f>J332*(1-1)</f>
        <v>0</v>
      </c>
      <c r="AQ332" s="29" t="s">
        <v>13</v>
      </c>
      <c r="AV332" s="34">
        <f t="shared" si="284"/>
        <v>0</v>
      </c>
      <c r="AW332" s="34">
        <f t="shared" si="285"/>
        <v>0</v>
      </c>
      <c r="AX332" s="34">
        <f t="shared" si="286"/>
        <v>0</v>
      </c>
      <c r="AY332" s="35" t="s">
        <v>3677</v>
      </c>
      <c r="AZ332" s="35" t="s">
        <v>3713</v>
      </c>
      <c r="BA332" s="27" t="s">
        <v>3729</v>
      </c>
      <c r="BC332" s="34">
        <f t="shared" si="287"/>
        <v>0</v>
      </c>
      <c r="BD332" s="34">
        <f t="shared" si="288"/>
        <v>0</v>
      </c>
      <c r="BE332" s="34">
        <v>0</v>
      </c>
      <c r="BF332" s="34">
        <f>332</f>
        <v>332</v>
      </c>
      <c r="BH332" s="19">
        <f t="shared" si="289"/>
        <v>0</v>
      </c>
      <c r="BI332" s="19">
        <f t="shared" si="290"/>
        <v>0</v>
      </c>
      <c r="BJ332" s="19">
        <f t="shared" si="291"/>
        <v>0</v>
      </c>
    </row>
    <row r="333" spans="1:62" x14ac:dyDescent="0.2">
      <c r="A333" s="5" t="s">
        <v>296</v>
      </c>
      <c r="B333" s="5" t="s">
        <v>1486</v>
      </c>
      <c r="C333" s="135" t="s">
        <v>2721</v>
      </c>
      <c r="D333" s="136"/>
      <c r="E333" s="136"/>
      <c r="F333" s="136"/>
      <c r="G333" s="136"/>
      <c r="H333" s="5" t="s">
        <v>3615</v>
      </c>
      <c r="I333" s="18">
        <v>75.156000000000006</v>
      </c>
      <c r="J333" s="18">
        <v>0</v>
      </c>
      <c r="K333" s="18">
        <f t="shared" si="272"/>
        <v>0</v>
      </c>
      <c r="L333" s="28" t="s">
        <v>3635</v>
      </c>
      <c r="Z333" s="34">
        <f t="shared" si="273"/>
        <v>0</v>
      </c>
      <c r="AB333" s="34">
        <f t="shared" si="274"/>
        <v>0</v>
      </c>
      <c r="AC333" s="34">
        <f t="shared" si="275"/>
        <v>0</v>
      </c>
      <c r="AD333" s="34">
        <f t="shared" si="276"/>
        <v>0</v>
      </c>
      <c r="AE333" s="34">
        <f t="shared" si="277"/>
        <v>0</v>
      </c>
      <c r="AF333" s="34">
        <f t="shared" si="278"/>
        <v>0</v>
      </c>
      <c r="AG333" s="34">
        <f t="shared" si="279"/>
        <v>0</v>
      </c>
      <c r="AH333" s="34">
        <f t="shared" si="280"/>
        <v>0</v>
      </c>
      <c r="AI333" s="27" t="s">
        <v>3645</v>
      </c>
      <c r="AJ333" s="18">
        <f t="shared" si="281"/>
        <v>0</v>
      </c>
      <c r="AK333" s="18">
        <f t="shared" si="282"/>
        <v>0</v>
      </c>
      <c r="AL333" s="18">
        <f t="shared" si="283"/>
        <v>0</v>
      </c>
      <c r="AN333" s="34">
        <v>21</v>
      </c>
      <c r="AO333" s="34">
        <f>J333*0.372295163174294</f>
        <v>0</v>
      </c>
      <c r="AP333" s="34">
        <f>J333*(1-0.372295163174294)</f>
        <v>0</v>
      </c>
      <c r="AQ333" s="28" t="s">
        <v>13</v>
      </c>
      <c r="AV333" s="34">
        <f t="shared" si="284"/>
        <v>0</v>
      </c>
      <c r="AW333" s="34">
        <f t="shared" si="285"/>
        <v>0</v>
      </c>
      <c r="AX333" s="34">
        <f t="shared" si="286"/>
        <v>0</v>
      </c>
      <c r="AY333" s="35" t="s">
        <v>3677</v>
      </c>
      <c r="AZ333" s="35" t="s">
        <v>3713</v>
      </c>
      <c r="BA333" s="27" t="s">
        <v>3729</v>
      </c>
      <c r="BC333" s="34">
        <f t="shared" si="287"/>
        <v>0</v>
      </c>
      <c r="BD333" s="34">
        <f t="shared" si="288"/>
        <v>0</v>
      </c>
      <c r="BE333" s="34">
        <v>0</v>
      </c>
      <c r="BF333" s="34">
        <f>333</f>
        <v>333</v>
      </c>
      <c r="BH333" s="18">
        <f t="shared" si="289"/>
        <v>0</v>
      </c>
      <c r="BI333" s="18">
        <f t="shared" si="290"/>
        <v>0</v>
      </c>
      <c r="BJ333" s="18">
        <f t="shared" si="291"/>
        <v>0</v>
      </c>
    </row>
    <row r="334" spans="1:62" x14ac:dyDescent="0.2">
      <c r="A334" s="6" t="s">
        <v>297</v>
      </c>
      <c r="B334" s="6" t="s">
        <v>1487</v>
      </c>
      <c r="C334" s="137" t="s">
        <v>2722</v>
      </c>
      <c r="D334" s="138"/>
      <c r="E334" s="138"/>
      <c r="F334" s="138"/>
      <c r="G334" s="138"/>
      <c r="H334" s="6" t="s">
        <v>3615</v>
      </c>
      <c r="I334" s="19">
        <v>157.82759999999999</v>
      </c>
      <c r="J334" s="19">
        <v>0</v>
      </c>
      <c r="K334" s="19">
        <f t="shared" si="272"/>
        <v>0</v>
      </c>
      <c r="L334" s="29" t="s">
        <v>3635</v>
      </c>
      <c r="Z334" s="34">
        <f t="shared" si="273"/>
        <v>0</v>
      </c>
      <c r="AB334" s="34">
        <f t="shared" si="274"/>
        <v>0</v>
      </c>
      <c r="AC334" s="34">
        <f t="shared" si="275"/>
        <v>0</v>
      </c>
      <c r="AD334" s="34">
        <f t="shared" si="276"/>
        <v>0</v>
      </c>
      <c r="AE334" s="34">
        <f t="shared" si="277"/>
        <v>0</v>
      </c>
      <c r="AF334" s="34">
        <f t="shared" si="278"/>
        <v>0</v>
      </c>
      <c r="AG334" s="34">
        <f t="shared" si="279"/>
        <v>0</v>
      </c>
      <c r="AH334" s="34">
        <f t="shared" si="280"/>
        <v>0</v>
      </c>
      <c r="AI334" s="27" t="s">
        <v>3645</v>
      </c>
      <c r="AJ334" s="19">
        <f t="shared" si="281"/>
        <v>0</v>
      </c>
      <c r="AK334" s="19">
        <f t="shared" si="282"/>
        <v>0</v>
      </c>
      <c r="AL334" s="19">
        <f t="shared" si="283"/>
        <v>0</v>
      </c>
      <c r="AN334" s="34">
        <v>21</v>
      </c>
      <c r="AO334" s="34">
        <f>J334*1</f>
        <v>0</v>
      </c>
      <c r="AP334" s="34">
        <f>J334*(1-1)</f>
        <v>0</v>
      </c>
      <c r="AQ334" s="29" t="s">
        <v>13</v>
      </c>
      <c r="AV334" s="34">
        <f t="shared" si="284"/>
        <v>0</v>
      </c>
      <c r="AW334" s="34">
        <f t="shared" si="285"/>
        <v>0</v>
      </c>
      <c r="AX334" s="34">
        <f t="shared" si="286"/>
        <v>0</v>
      </c>
      <c r="AY334" s="35" t="s">
        <v>3677</v>
      </c>
      <c r="AZ334" s="35" t="s">
        <v>3713</v>
      </c>
      <c r="BA334" s="27" t="s">
        <v>3729</v>
      </c>
      <c r="BC334" s="34">
        <f t="shared" si="287"/>
        <v>0</v>
      </c>
      <c r="BD334" s="34">
        <f t="shared" si="288"/>
        <v>0</v>
      </c>
      <c r="BE334" s="34">
        <v>0</v>
      </c>
      <c r="BF334" s="34">
        <f>334</f>
        <v>334</v>
      </c>
      <c r="BH334" s="19">
        <f t="shared" si="289"/>
        <v>0</v>
      </c>
      <c r="BI334" s="19">
        <f t="shared" si="290"/>
        <v>0</v>
      </c>
      <c r="BJ334" s="19">
        <f t="shared" si="291"/>
        <v>0</v>
      </c>
    </row>
    <row r="335" spans="1:62" x14ac:dyDescent="0.2">
      <c r="A335" s="5" t="s">
        <v>298</v>
      </c>
      <c r="B335" s="5" t="s">
        <v>1488</v>
      </c>
      <c r="C335" s="135" t="s">
        <v>2723</v>
      </c>
      <c r="D335" s="136"/>
      <c r="E335" s="136"/>
      <c r="F335" s="136"/>
      <c r="G335" s="136"/>
      <c r="H335" s="5" t="s">
        <v>3615</v>
      </c>
      <c r="I335" s="18">
        <v>75.156000000000006</v>
      </c>
      <c r="J335" s="18">
        <v>0</v>
      </c>
      <c r="K335" s="18">
        <f t="shared" si="272"/>
        <v>0</v>
      </c>
      <c r="L335" s="28" t="s">
        <v>3635</v>
      </c>
      <c r="Z335" s="34">
        <f t="shared" si="273"/>
        <v>0</v>
      </c>
      <c r="AB335" s="34">
        <f t="shared" si="274"/>
        <v>0</v>
      </c>
      <c r="AC335" s="34">
        <f t="shared" si="275"/>
        <v>0</v>
      </c>
      <c r="AD335" s="34">
        <f t="shared" si="276"/>
        <v>0</v>
      </c>
      <c r="AE335" s="34">
        <f t="shared" si="277"/>
        <v>0</v>
      </c>
      <c r="AF335" s="34">
        <f t="shared" si="278"/>
        <v>0</v>
      </c>
      <c r="AG335" s="34">
        <f t="shared" si="279"/>
        <v>0</v>
      </c>
      <c r="AH335" s="34">
        <f t="shared" si="280"/>
        <v>0</v>
      </c>
      <c r="AI335" s="27" t="s">
        <v>3645</v>
      </c>
      <c r="AJ335" s="18">
        <f t="shared" si="281"/>
        <v>0</v>
      </c>
      <c r="AK335" s="18">
        <f t="shared" si="282"/>
        <v>0</v>
      </c>
      <c r="AL335" s="18">
        <f t="shared" si="283"/>
        <v>0</v>
      </c>
      <c r="AN335" s="34">
        <v>21</v>
      </c>
      <c r="AO335" s="34">
        <f>J335*0.372302404238686</f>
        <v>0</v>
      </c>
      <c r="AP335" s="34">
        <f>J335*(1-0.372302404238686)</f>
        <v>0</v>
      </c>
      <c r="AQ335" s="28" t="s">
        <v>13</v>
      </c>
      <c r="AV335" s="34">
        <f t="shared" si="284"/>
        <v>0</v>
      </c>
      <c r="AW335" s="34">
        <f t="shared" si="285"/>
        <v>0</v>
      </c>
      <c r="AX335" s="34">
        <f t="shared" si="286"/>
        <v>0</v>
      </c>
      <c r="AY335" s="35" t="s">
        <v>3677</v>
      </c>
      <c r="AZ335" s="35" t="s">
        <v>3713</v>
      </c>
      <c r="BA335" s="27" t="s">
        <v>3729</v>
      </c>
      <c r="BC335" s="34">
        <f t="shared" si="287"/>
        <v>0</v>
      </c>
      <c r="BD335" s="34">
        <f t="shared" si="288"/>
        <v>0</v>
      </c>
      <c r="BE335" s="34">
        <v>0</v>
      </c>
      <c r="BF335" s="34">
        <f>335</f>
        <v>335</v>
      </c>
      <c r="BH335" s="18">
        <f t="shared" si="289"/>
        <v>0</v>
      </c>
      <c r="BI335" s="18">
        <f t="shared" si="290"/>
        <v>0</v>
      </c>
      <c r="BJ335" s="18">
        <f t="shared" si="291"/>
        <v>0</v>
      </c>
    </row>
    <row r="336" spans="1:62" x14ac:dyDescent="0.2">
      <c r="A336" s="5" t="s">
        <v>299</v>
      </c>
      <c r="B336" s="5" t="s">
        <v>1489</v>
      </c>
      <c r="C336" s="135" t="s">
        <v>2724</v>
      </c>
      <c r="D336" s="136"/>
      <c r="E336" s="136"/>
      <c r="F336" s="136"/>
      <c r="G336" s="136"/>
      <c r="H336" s="5" t="s">
        <v>3615</v>
      </c>
      <c r="I336" s="18">
        <v>12.718</v>
      </c>
      <c r="J336" s="18">
        <v>0</v>
      </c>
      <c r="K336" s="18">
        <f t="shared" si="272"/>
        <v>0</v>
      </c>
      <c r="L336" s="28" t="s">
        <v>3635</v>
      </c>
      <c r="Z336" s="34">
        <f t="shared" si="273"/>
        <v>0</v>
      </c>
      <c r="AB336" s="34">
        <f t="shared" si="274"/>
        <v>0</v>
      </c>
      <c r="AC336" s="34">
        <f t="shared" si="275"/>
        <v>0</v>
      </c>
      <c r="AD336" s="34">
        <f t="shared" si="276"/>
        <v>0</v>
      </c>
      <c r="AE336" s="34">
        <f t="shared" si="277"/>
        <v>0</v>
      </c>
      <c r="AF336" s="34">
        <f t="shared" si="278"/>
        <v>0</v>
      </c>
      <c r="AG336" s="34">
        <f t="shared" si="279"/>
        <v>0</v>
      </c>
      <c r="AH336" s="34">
        <f t="shared" si="280"/>
        <v>0</v>
      </c>
      <c r="AI336" s="27" t="s">
        <v>3645</v>
      </c>
      <c r="AJ336" s="18">
        <f t="shared" si="281"/>
        <v>0</v>
      </c>
      <c r="AK336" s="18">
        <f t="shared" si="282"/>
        <v>0</v>
      </c>
      <c r="AL336" s="18">
        <f t="shared" si="283"/>
        <v>0</v>
      </c>
      <c r="AN336" s="34">
        <v>21</v>
      </c>
      <c r="AO336" s="34">
        <f>J336*0.372299088992699</f>
        <v>0</v>
      </c>
      <c r="AP336" s="34">
        <f>J336*(1-0.372299088992699)</f>
        <v>0</v>
      </c>
      <c r="AQ336" s="28" t="s">
        <v>13</v>
      </c>
      <c r="AV336" s="34">
        <f t="shared" si="284"/>
        <v>0</v>
      </c>
      <c r="AW336" s="34">
        <f t="shared" si="285"/>
        <v>0</v>
      </c>
      <c r="AX336" s="34">
        <f t="shared" si="286"/>
        <v>0</v>
      </c>
      <c r="AY336" s="35" t="s">
        <v>3677</v>
      </c>
      <c r="AZ336" s="35" t="s">
        <v>3713</v>
      </c>
      <c r="BA336" s="27" t="s">
        <v>3729</v>
      </c>
      <c r="BC336" s="34">
        <f t="shared" si="287"/>
        <v>0</v>
      </c>
      <c r="BD336" s="34">
        <f t="shared" si="288"/>
        <v>0</v>
      </c>
      <c r="BE336" s="34">
        <v>0</v>
      </c>
      <c r="BF336" s="34">
        <f>336</f>
        <v>336</v>
      </c>
      <c r="BH336" s="18">
        <f t="shared" si="289"/>
        <v>0</v>
      </c>
      <c r="BI336" s="18">
        <f t="shared" si="290"/>
        <v>0</v>
      </c>
      <c r="BJ336" s="18">
        <f t="shared" si="291"/>
        <v>0</v>
      </c>
    </row>
    <row r="337" spans="1:62" x14ac:dyDescent="0.2">
      <c r="A337" s="5" t="s">
        <v>300</v>
      </c>
      <c r="B337" s="5" t="s">
        <v>1490</v>
      </c>
      <c r="C337" s="135" t="s">
        <v>2725</v>
      </c>
      <c r="D337" s="136"/>
      <c r="E337" s="136"/>
      <c r="F337" s="136"/>
      <c r="G337" s="136"/>
      <c r="H337" s="5" t="s">
        <v>3616</v>
      </c>
      <c r="I337" s="18">
        <v>25.095300000000002</v>
      </c>
      <c r="J337" s="18">
        <v>0</v>
      </c>
      <c r="K337" s="18">
        <f t="shared" si="272"/>
        <v>0</v>
      </c>
      <c r="L337" s="28" t="s">
        <v>3635</v>
      </c>
      <c r="Z337" s="34">
        <f t="shared" si="273"/>
        <v>0</v>
      </c>
      <c r="AB337" s="34">
        <f t="shared" si="274"/>
        <v>0</v>
      </c>
      <c r="AC337" s="34">
        <f t="shared" si="275"/>
        <v>0</v>
      </c>
      <c r="AD337" s="34">
        <f t="shared" si="276"/>
        <v>0</v>
      </c>
      <c r="AE337" s="34">
        <f t="shared" si="277"/>
        <v>0</v>
      </c>
      <c r="AF337" s="34">
        <f t="shared" si="278"/>
        <v>0</v>
      </c>
      <c r="AG337" s="34">
        <f t="shared" si="279"/>
        <v>0</v>
      </c>
      <c r="AH337" s="34">
        <f t="shared" si="280"/>
        <v>0</v>
      </c>
      <c r="AI337" s="27" t="s">
        <v>3645</v>
      </c>
      <c r="AJ337" s="18">
        <f t="shared" si="281"/>
        <v>0</v>
      </c>
      <c r="AK337" s="18">
        <f t="shared" si="282"/>
        <v>0</v>
      </c>
      <c r="AL337" s="18">
        <f t="shared" si="283"/>
        <v>0</v>
      </c>
      <c r="AN337" s="34">
        <v>21</v>
      </c>
      <c r="AO337" s="34">
        <f>J337*0</f>
        <v>0</v>
      </c>
      <c r="AP337" s="34">
        <f>J337*(1-0)</f>
        <v>0</v>
      </c>
      <c r="AQ337" s="28" t="s">
        <v>11</v>
      </c>
      <c r="AV337" s="34">
        <f t="shared" si="284"/>
        <v>0</v>
      </c>
      <c r="AW337" s="34">
        <f t="shared" si="285"/>
        <v>0</v>
      </c>
      <c r="AX337" s="34">
        <f t="shared" si="286"/>
        <v>0</v>
      </c>
      <c r="AY337" s="35" t="s">
        <v>3677</v>
      </c>
      <c r="AZ337" s="35" t="s">
        <v>3713</v>
      </c>
      <c r="BA337" s="27" t="s">
        <v>3729</v>
      </c>
      <c r="BC337" s="34">
        <f t="shared" si="287"/>
        <v>0</v>
      </c>
      <c r="BD337" s="34">
        <f t="shared" si="288"/>
        <v>0</v>
      </c>
      <c r="BE337" s="34">
        <v>0</v>
      </c>
      <c r="BF337" s="34">
        <f>337</f>
        <v>337</v>
      </c>
      <c r="BH337" s="18">
        <f t="shared" si="289"/>
        <v>0</v>
      </c>
      <c r="BI337" s="18">
        <f t="shared" si="290"/>
        <v>0</v>
      </c>
      <c r="BJ337" s="18">
        <f t="shared" si="291"/>
        <v>0</v>
      </c>
    </row>
    <row r="338" spans="1:62" x14ac:dyDescent="0.2">
      <c r="A338" s="4"/>
      <c r="B338" s="14" t="s">
        <v>727</v>
      </c>
      <c r="C338" s="133" t="s">
        <v>2726</v>
      </c>
      <c r="D338" s="134"/>
      <c r="E338" s="134"/>
      <c r="F338" s="134"/>
      <c r="G338" s="134"/>
      <c r="H338" s="4" t="s">
        <v>6</v>
      </c>
      <c r="I338" s="4" t="s">
        <v>6</v>
      </c>
      <c r="J338" s="4" t="s">
        <v>6</v>
      </c>
      <c r="K338" s="37">
        <f>SUM(K339:K413)</f>
        <v>0</v>
      </c>
      <c r="L338" s="27"/>
      <c r="AI338" s="27" t="s">
        <v>3645</v>
      </c>
      <c r="AS338" s="37">
        <f>SUM(AJ339:AJ413)</f>
        <v>0</v>
      </c>
      <c r="AT338" s="37">
        <f>SUM(AK339:AK413)</f>
        <v>0</v>
      </c>
      <c r="AU338" s="37">
        <f>SUM(AL339:AL413)</f>
        <v>0</v>
      </c>
    </row>
    <row r="339" spans="1:62" x14ac:dyDescent="0.2">
      <c r="A339" s="5" t="s">
        <v>301</v>
      </c>
      <c r="B339" s="5" t="s">
        <v>1491</v>
      </c>
      <c r="C339" s="135" t="s">
        <v>2727</v>
      </c>
      <c r="D339" s="136"/>
      <c r="E339" s="136"/>
      <c r="F339" s="136"/>
      <c r="G339" s="136"/>
      <c r="H339" s="5" t="s">
        <v>3614</v>
      </c>
      <c r="I339" s="18">
        <v>43.5</v>
      </c>
      <c r="J339" s="18">
        <v>0</v>
      </c>
      <c r="K339" s="18">
        <f t="shared" ref="K339:K370" si="292">I339*J339</f>
        <v>0</v>
      </c>
      <c r="L339" s="28" t="s">
        <v>3635</v>
      </c>
      <c r="Z339" s="34">
        <f t="shared" ref="Z339:Z370" si="293">IF(AQ339="5",BJ339,0)</f>
        <v>0</v>
      </c>
      <c r="AB339" s="34">
        <f t="shared" ref="AB339:AB370" si="294">IF(AQ339="1",BH339,0)</f>
        <v>0</v>
      </c>
      <c r="AC339" s="34">
        <f t="shared" ref="AC339:AC370" si="295">IF(AQ339="1",BI339,0)</f>
        <v>0</v>
      </c>
      <c r="AD339" s="34">
        <f t="shared" ref="AD339:AD370" si="296">IF(AQ339="7",BH339,0)</f>
        <v>0</v>
      </c>
      <c r="AE339" s="34">
        <f t="shared" ref="AE339:AE370" si="297">IF(AQ339="7",BI339,0)</f>
        <v>0</v>
      </c>
      <c r="AF339" s="34">
        <f t="shared" ref="AF339:AF370" si="298">IF(AQ339="2",BH339,0)</f>
        <v>0</v>
      </c>
      <c r="AG339" s="34">
        <f t="shared" ref="AG339:AG370" si="299">IF(AQ339="2",BI339,0)</f>
        <v>0</v>
      </c>
      <c r="AH339" s="34">
        <f t="shared" ref="AH339:AH370" si="300">IF(AQ339="0",BJ339,0)</f>
        <v>0</v>
      </c>
      <c r="AI339" s="27" t="s">
        <v>3645</v>
      </c>
      <c r="AJ339" s="18">
        <f t="shared" ref="AJ339:AJ370" si="301">IF(AN339=0,K339,0)</f>
        <v>0</v>
      </c>
      <c r="AK339" s="18">
        <f t="shared" ref="AK339:AK370" si="302">IF(AN339=15,K339,0)</f>
        <v>0</v>
      </c>
      <c r="AL339" s="18">
        <f t="shared" ref="AL339:AL370" si="303">IF(AN339=21,K339,0)</f>
        <v>0</v>
      </c>
      <c r="AN339" s="34">
        <v>21</v>
      </c>
      <c r="AO339" s="34">
        <f t="shared" ref="AO339:AO370" si="304">J339*0</f>
        <v>0</v>
      </c>
      <c r="AP339" s="34">
        <f t="shared" ref="AP339:AP370" si="305">J339*(1-0)</f>
        <v>0</v>
      </c>
      <c r="AQ339" s="28" t="s">
        <v>13</v>
      </c>
      <c r="AV339" s="34">
        <f t="shared" ref="AV339:AV370" si="306">AW339+AX339</f>
        <v>0</v>
      </c>
      <c r="AW339" s="34">
        <f t="shared" ref="AW339:AW370" si="307">I339*AO339</f>
        <v>0</v>
      </c>
      <c r="AX339" s="34">
        <f t="shared" ref="AX339:AX370" si="308">I339*AP339</f>
        <v>0</v>
      </c>
      <c r="AY339" s="35" t="s">
        <v>3678</v>
      </c>
      <c r="AZ339" s="35" t="s">
        <v>3714</v>
      </c>
      <c r="BA339" s="27" t="s">
        <v>3729</v>
      </c>
      <c r="BC339" s="34">
        <f t="shared" ref="BC339:BC370" si="309">AW339+AX339</f>
        <v>0</v>
      </c>
      <c r="BD339" s="34">
        <f t="shared" ref="BD339:BD370" si="310">J339/(100-BE339)*100</f>
        <v>0</v>
      </c>
      <c r="BE339" s="34">
        <v>0</v>
      </c>
      <c r="BF339" s="34">
        <f>339</f>
        <v>339</v>
      </c>
      <c r="BH339" s="18">
        <f t="shared" ref="BH339:BH370" si="311">I339*AO339</f>
        <v>0</v>
      </c>
      <c r="BI339" s="18">
        <f t="shared" ref="BI339:BI370" si="312">I339*AP339</f>
        <v>0</v>
      </c>
      <c r="BJ339" s="18">
        <f t="shared" ref="BJ339:BJ370" si="313">I339*J339</f>
        <v>0</v>
      </c>
    </row>
    <row r="340" spans="1:62" x14ac:dyDescent="0.2">
      <c r="A340" s="5" t="s">
        <v>302</v>
      </c>
      <c r="B340" s="5" t="s">
        <v>1492</v>
      </c>
      <c r="C340" s="135" t="s">
        <v>2728</v>
      </c>
      <c r="D340" s="136"/>
      <c r="E340" s="136"/>
      <c r="F340" s="136"/>
      <c r="G340" s="136"/>
      <c r="H340" s="5" t="s">
        <v>3614</v>
      </c>
      <c r="I340" s="18">
        <v>44.7</v>
      </c>
      <c r="J340" s="18">
        <v>0</v>
      </c>
      <c r="K340" s="18">
        <f t="shared" si="292"/>
        <v>0</v>
      </c>
      <c r="L340" s="28" t="s">
        <v>3635</v>
      </c>
      <c r="Z340" s="34">
        <f t="shared" si="293"/>
        <v>0</v>
      </c>
      <c r="AB340" s="34">
        <f t="shared" si="294"/>
        <v>0</v>
      </c>
      <c r="AC340" s="34">
        <f t="shared" si="295"/>
        <v>0</v>
      </c>
      <c r="AD340" s="34">
        <f t="shared" si="296"/>
        <v>0</v>
      </c>
      <c r="AE340" s="34">
        <f t="shared" si="297"/>
        <v>0</v>
      </c>
      <c r="AF340" s="34">
        <f t="shared" si="298"/>
        <v>0</v>
      </c>
      <c r="AG340" s="34">
        <f t="shared" si="299"/>
        <v>0</v>
      </c>
      <c r="AH340" s="34">
        <f t="shared" si="300"/>
        <v>0</v>
      </c>
      <c r="AI340" s="27" t="s">
        <v>3645</v>
      </c>
      <c r="AJ340" s="18">
        <f t="shared" si="301"/>
        <v>0</v>
      </c>
      <c r="AK340" s="18">
        <f t="shared" si="302"/>
        <v>0</v>
      </c>
      <c r="AL340" s="18">
        <f t="shared" si="303"/>
        <v>0</v>
      </c>
      <c r="AN340" s="34">
        <v>21</v>
      </c>
      <c r="AO340" s="34">
        <f t="shared" si="304"/>
        <v>0</v>
      </c>
      <c r="AP340" s="34">
        <f t="shared" si="305"/>
        <v>0</v>
      </c>
      <c r="AQ340" s="28" t="s">
        <v>13</v>
      </c>
      <c r="AV340" s="34">
        <f t="shared" si="306"/>
        <v>0</v>
      </c>
      <c r="AW340" s="34">
        <f t="shared" si="307"/>
        <v>0</v>
      </c>
      <c r="AX340" s="34">
        <f t="shared" si="308"/>
        <v>0</v>
      </c>
      <c r="AY340" s="35" t="s">
        <v>3678</v>
      </c>
      <c r="AZ340" s="35" t="s">
        <v>3714</v>
      </c>
      <c r="BA340" s="27" t="s">
        <v>3729</v>
      </c>
      <c r="BC340" s="34">
        <f t="shared" si="309"/>
        <v>0</v>
      </c>
      <c r="BD340" s="34">
        <f t="shared" si="310"/>
        <v>0</v>
      </c>
      <c r="BE340" s="34">
        <v>0</v>
      </c>
      <c r="BF340" s="34">
        <f>340</f>
        <v>340</v>
      </c>
      <c r="BH340" s="18">
        <f t="shared" si="311"/>
        <v>0</v>
      </c>
      <c r="BI340" s="18">
        <f t="shared" si="312"/>
        <v>0</v>
      </c>
      <c r="BJ340" s="18">
        <f t="shared" si="313"/>
        <v>0</v>
      </c>
    </row>
    <row r="341" spans="1:62" x14ac:dyDescent="0.2">
      <c r="A341" s="5" t="s">
        <v>303</v>
      </c>
      <c r="B341" s="5" t="s">
        <v>1493</v>
      </c>
      <c r="C341" s="135" t="s">
        <v>2729</v>
      </c>
      <c r="D341" s="136"/>
      <c r="E341" s="136"/>
      <c r="F341" s="136"/>
      <c r="G341" s="136"/>
      <c r="H341" s="5" t="s">
        <v>3612</v>
      </c>
      <c r="I341" s="18">
        <v>1</v>
      </c>
      <c r="J341" s="18">
        <v>0</v>
      </c>
      <c r="K341" s="18">
        <f t="shared" si="292"/>
        <v>0</v>
      </c>
      <c r="L341" s="28" t="s">
        <v>3635</v>
      </c>
      <c r="Z341" s="34">
        <f t="shared" si="293"/>
        <v>0</v>
      </c>
      <c r="AB341" s="34">
        <f t="shared" si="294"/>
        <v>0</v>
      </c>
      <c r="AC341" s="34">
        <f t="shared" si="295"/>
        <v>0</v>
      </c>
      <c r="AD341" s="34">
        <f t="shared" si="296"/>
        <v>0</v>
      </c>
      <c r="AE341" s="34">
        <f t="shared" si="297"/>
        <v>0</v>
      </c>
      <c r="AF341" s="34">
        <f t="shared" si="298"/>
        <v>0</v>
      </c>
      <c r="AG341" s="34">
        <f t="shared" si="299"/>
        <v>0</v>
      </c>
      <c r="AH341" s="34">
        <f t="shared" si="300"/>
        <v>0</v>
      </c>
      <c r="AI341" s="27" t="s">
        <v>3645</v>
      </c>
      <c r="AJ341" s="18">
        <f t="shared" si="301"/>
        <v>0</v>
      </c>
      <c r="AK341" s="18">
        <f t="shared" si="302"/>
        <v>0</v>
      </c>
      <c r="AL341" s="18">
        <f t="shared" si="303"/>
        <v>0</v>
      </c>
      <c r="AN341" s="34">
        <v>21</v>
      </c>
      <c r="AO341" s="34">
        <f t="shared" si="304"/>
        <v>0</v>
      </c>
      <c r="AP341" s="34">
        <f t="shared" si="305"/>
        <v>0</v>
      </c>
      <c r="AQ341" s="28" t="s">
        <v>13</v>
      </c>
      <c r="AV341" s="34">
        <f t="shared" si="306"/>
        <v>0</v>
      </c>
      <c r="AW341" s="34">
        <f t="shared" si="307"/>
        <v>0</v>
      </c>
      <c r="AX341" s="34">
        <f t="shared" si="308"/>
        <v>0</v>
      </c>
      <c r="AY341" s="35" t="s">
        <v>3678</v>
      </c>
      <c r="AZ341" s="35" t="s">
        <v>3714</v>
      </c>
      <c r="BA341" s="27" t="s">
        <v>3729</v>
      </c>
      <c r="BC341" s="34">
        <f t="shared" si="309"/>
        <v>0</v>
      </c>
      <c r="BD341" s="34">
        <f t="shared" si="310"/>
        <v>0</v>
      </c>
      <c r="BE341" s="34">
        <v>0</v>
      </c>
      <c r="BF341" s="34">
        <f>341</f>
        <v>341</v>
      </c>
      <c r="BH341" s="18">
        <f t="shared" si="311"/>
        <v>0</v>
      </c>
      <c r="BI341" s="18">
        <f t="shared" si="312"/>
        <v>0</v>
      </c>
      <c r="BJ341" s="18">
        <f t="shared" si="313"/>
        <v>0</v>
      </c>
    </row>
    <row r="342" spans="1:62" x14ac:dyDescent="0.2">
      <c r="A342" s="5" t="s">
        <v>304</v>
      </c>
      <c r="B342" s="5" t="s">
        <v>1494</v>
      </c>
      <c r="C342" s="135" t="s">
        <v>2730</v>
      </c>
      <c r="D342" s="136"/>
      <c r="E342" s="136"/>
      <c r="F342" s="136"/>
      <c r="G342" s="136"/>
      <c r="H342" s="5" t="s">
        <v>3614</v>
      </c>
      <c r="I342" s="18">
        <v>68</v>
      </c>
      <c r="J342" s="18">
        <v>0</v>
      </c>
      <c r="K342" s="18">
        <f t="shared" si="292"/>
        <v>0</v>
      </c>
      <c r="L342" s="28" t="s">
        <v>3635</v>
      </c>
      <c r="Z342" s="34">
        <f t="shared" si="293"/>
        <v>0</v>
      </c>
      <c r="AB342" s="34">
        <f t="shared" si="294"/>
        <v>0</v>
      </c>
      <c r="AC342" s="34">
        <f t="shared" si="295"/>
        <v>0</v>
      </c>
      <c r="AD342" s="34">
        <f t="shared" si="296"/>
        <v>0</v>
      </c>
      <c r="AE342" s="34">
        <f t="shared" si="297"/>
        <v>0</v>
      </c>
      <c r="AF342" s="34">
        <f t="shared" si="298"/>
        <v>0</v>
      </c>
      <c r="AG342" s="34">
        <f t="shared" si="299"/>
        <v>0</v>
      </c>
      <c r="AH342" s="34">
        <f t="shared" si="300"/>
        <v>0</v>
      </c>
      <c r="AI342" s="27" t="s">
        <v>3645</v>
      </c>
      <c r="AJ342" s="18">
        <f t="shared" si="301"/>
        <v>0</v>
      </c>
      <c r="AK342" s="18">
        <f t="shared" si="302"/>
        <v>0</v>
      </c>
      <c r="AL342" s="18">
        <f t="shared" si="303"/>
        <v>0</v>
      </c>
      <c r="AN342" s="34">
        <v>21</v>
      </c>
      <c r="AO342" s="34">
        <f t="shared" si="304"/>
        <v>0</v>
      </c>
      <c r="AP342" s="34">
        <f t="shared" si="305"/>
        <v>0</v>
      </c>
      <c r="AQ342" s="28" t="s">
        <v>13</v>
      </c>
      <c r="AV342" s="34">
        <f t="shared" si="306"/>
        <v>0</v>
      </c>
      <c r="AW342" s="34">
        <f t="shared" si="307"/>
        <v>0</v>
      </c>
      <c r="AX342" s="34">
        <f t="shared" si="308"/>
        <v>0</v>
      </c>
      <c r="AY342" s="35" t="s">
        <v>3678</v>
      </c>
      <c r="AZ342" s="35" t="s">
        <v>3714</v>
      </c>
      <c r="BA342" s="27" t="s">
        <v>3729</v>
      </c>
      <c r="BC342" s="34">
        <f t="shared" si="309"/>
        <v>0</v>
      </c>
      <c r="BD342" s="34">
        <f t="shared" si="310"/>
        <v>0</v>
      </c>
      <c r="BE342" s="34">
        <v>0</v>
      </c>
      <c r="BF342" s="34">
        <f>342</f>
        <v>342</v>
      </c>
      <c r="BH342" s="18">
        <f t="shared" si="311"/>
        <v>0</v>
      </c>
      <c r="BI342" s="18">
        <f t="shared" si="312"/>
        <v>0</v>
      </c>
      <c r="BJ342" s="18">
        <f t="shared" si="313"/>
        <v>0</v>
      </c>
    </row>
    <row r="343" spans="1:62" x14ac:dyDescent="0.2">
      <c r="A343" s="5" t="s">
        <v>305</v>
      </c>
      <c r="B343" s="5" t="s">
        <v>1495</v>
      </c>
      <c r="C343" s="135" t="s">
        <v>2731</v>
      </c>
      <c r="D343" s="136"/>
      <c r="E343" s="136"/>
      <c r="F343" s="136"/>
      <c r="G343" s="136"/>
      <c r="H343" s="5" t="s">
        <v>3612</v>
      </c>
      <c r="I343" s="18">
        <v>5</v>
      </c>
      <c r="J343" s="18">
        <v>0</v>
      </c>
      <c r="K343" s="18">
        <f t="shared" si="292"/>
        <v>0</v>
      </c>
      <c r="L343" s="28" t="s">
        <v>3635</v>
      </c>
      <c r="Z343" s="34">
        <f t="shared" si="293"/>
        <v>0</v>
      </c>
      <c r="AB343" s="34">
        <f t="shared" si="294"/>
        <v>0</v>
      </c>
      <c r="AC343" s="34">
        <f t="shared" si="295"/>
        <v>0</v>
      </c>
      <c r="AD343" s="34">
        <f t="shared" si="296"/>
        <v>0</v>
      </c>
      <c r="AE343" s="34">
        <f t="shared" si="297"/>
        <v>0</v>
      </c>
      <c r="AF343" s="34">
        <f t="shared" si="298"/>
        <v>0</v>
      </c>
      <c r="AG343" s="34">
        <f t="shared" si="299"/>
        <v>0</v>
      </c>
      <c r="AH343" s="34">
        <f t="shared" si="300"/>
        <v>0</v>
      </c>
      <c r="AI343" s="27" t="s">
        <v>3645</v>
      </c>
      <c r="AJ343" s="18">
        <f t="shared" si="301"/>
        <v>0</v>
      </c>
      <c r="AK343" s="18">
        <f t="shared" si="302"/>
        <v>0</v>
      </c>
      <c r="AL343" s="18">
        <f t="shared" si="303"/>
        <v>0</v>
      </c>
      <c r="AN343" s="34">
        <v>21</v>
      </c>
      <c r="AO343" s="34">
        <f t="shared" si="304"/>
        <v>0</v>
      </c>
      <c r="AP343" s="34">
        <f t="shared" si="305"/>
        <v>0</v>
      </c>
      <c r="AQ343" s="28" t="s">
        <v>13</v>
      </c>
      <c r="AV343" s="34">
        <f t="shared" si="306"/>
        <v>0</v>
      </c>
      <c r="AW343" s="34">
        <f t="shared" si="307"/>
        <v>0</v>
      </c>
      <c r="AX343" s="34">
        <f t="shared" si="308"/>
        <v>0</v>
      </c>
      <c r="AY343" s="35" t="s">
        <v>3678</v>
      </c>
      <c r="AZ343" s="35" t="s">
        <v>3714</v>
      </c>
      <c r="BA343" s="27" t="s">
        <v>3729</v>
      </c>
      <c r="BC343" s="34">
        <f t="shared" si="309"/>
        <v>0</v>
      </c>
      <c r="BD343" s="34">
        <f t="shared" si="310"/>
        <v>0</v>
      </c>
      <c r="BE343" s="34">
        <v>0</v>
      </c>
      <c r="BF343" s="34">
        <f>343</f>
        <v>343</v>
      </c>
      <c r="BH343" s="18">
        <f t="shared" si="311"/>
        <v>0</v>
      </c>
      <c r="BI343" s="18">
        <f t="shared" si="312"/>
        <v>0</v>
      </c>
      <c r="BJ343" s="18">
        <f t="shared" si="313"/>
        <v>0</v>
      </c>
    </row>
    <row r="344" spans="1:62" x14ac:dyDescent="0.2">
      <c r="A344" s="5" t="s">
        <v>306</v>
      </c>
      <c r="B344" s="5" t="s">
        <v>1496</v>
      </c>
      <c r="C344" s="135" t="s">
        <v>2732</v>
      </c>
      <c r="D344" s="136"/>
      <c r="E344" s="136"/>
      <c r="F344" s="136"/>
      <c r="G344" s="136"/>
      <c r="H344" s="5" t="s">
        <v>3612</v>
      </c>
      <c r="I344" s="18">
        <v>5</v>
      </c>
      <c r="J344" s="18">
        <v>0</v>
      </c>
      <c r="K344" s="18">
        <f t="shared" si="292"/>
        <v>0</v>
      </c>
      <c r="L344" s="28" t="s">
        <v>3635</v>
      </c>
      <c r="Z344" s="34">
        <f t="shared" si="293"/>
        <v>0</v>
      </c>
      <c r="AB344" s="34">
        <f t="shared" si="294"/>
        <v>0</v>
      </c>
      <c r="AC344" s="34">
        <f t="shared" si="295"/>
        <v>0</v>
      </c>
      <c r="AD344" s="34">
        <f t="shared" si="296"/>
        <v>0</v>
      </c>
      <c r="AE344" s="34">
        <f t="shared" si="297"/>
        <v>0</v>
      </c>
      <c r="AF344" s="34">
        <f t="shared" si="298"/>
        <v>0</v>
      </c>
      <c r="AG344" s="34">
        <f t="shared" si="299"/>
        <v>0</v>
      </c>
      <c r="AH344" s="34">
        <f t="shared" si="300"/>
        <v>0</v>
      </c>
      <c r="AI344" s="27" t="s">
        <v>3645</v>
      </c>
      <c r="AJ344" s="18">
        <f t="shared" si="301"/>
        <v>0</v>
      </c>
      <c r="AK344" s="18">
        <f t="shared" si="302"/>
        <v>0</v>
      </c>
      <c r="AL344" s="18">
        <f t="shared" si="303"/>
        <v>0</v>
      </c>
      <c r="AN344" s="34">
        <v>21</v>
      </c>
      <c r="AO344" s="34">
        <f t="shared" si="304"/>
        <v>0</v>
      </c>
      <c r="AP344" s="34">
        <f t="shared" si="305"/>
        <v>0</v>
      </c>
      <c r="AQ344" s="28" t="s">
        <v>13</v>
      </c>
      <c r="AV344" s="34">
        <f t="shared" si="306"/>
        <v>0</v>
      </c>
      <c r="AW344" s="34">
        <f t="shared" si="307"/>
        <v>0</v>
      </c>
      <c r="AX344" s="34">
        <f t="shared" si="308"/>
        <v>0</v>
      </c>
      <c r="AY344" s="35" t="s">
        <v>3678</v>
      </c>
      <c r="AZ344" s="35" t="s">
        <v>3714</v>
      </c>
      <c r="BA344" s="27" t="s">
        <v>3729</v>
      </c>
      <c r="BC344" s="34">
        <f t="shared" si="309"/>
        <v>0</v>
      </c>
      <c r="BD344" s="34">
        <f t="shared" si="310"/>
        <v>0</v>
      </c>
      <c r="BE344" s="34">
        <v>0</v>
      </c>
      <c r="BF344" s="34">
        <f>344</f>
        <v>344</v>
      </c>
      <c r="BH344" s="18">
        <f t="shared" si="311"/>
        <v>0</v>
      </c>
      <c r="BI344" s="18">
        <f t="shared" si="312"/>
        <v>0</v>
      </c>
      <c r="BJ344" s="18">
        <f t="shared" si="313"/>
        <v>0</v>
      </c>
    </row>
    <row r="345" spans="1:62" x14ac:dyDescent="0.2">
      <c r="A345" s="5" t="s">
        <v>307</v>
      </c>
      <c r="B345" s="5" t="s">
        <v>1497</v>
      </c>
      <c r="C345" s="135" t="s">
        <v>2733</v>
      </c>
      <c r="D345" s="136"/>
      <c r="E345" s="136"/>
      <c r="F345" s="136"/>
      <c r="G345" s="136"/>
      <c r="H345" s="5" t="s">
        <v>3612</v>
      </c>
      <c r="I345" s="18">
        <v>3</v>
      </c>
      <c r="J345" s="18">
        <v>0</v>
      </c>
      <c r="K345" s="18">
        <f t="shared" si="292"/>
        <v>0</v>
      </c>
      <c r="L345" s="28" t="s">
        <v>3635</v>
      </c>
      <c r="Z345" s="34">
        <f t="shared" si="293"/>
        <v>0</v>
      </c>
      <c r="AB345" s="34">
        <f t="shared" si="294"/>
        <v>0</v>
      </c>
      <c r="AC345" s="34">
        <f t="shared" si="295"/>
        <v>0</v>
      </c>
      <c r="AD345" s="34">
        <f t="shared" si="296"/>
        <v>0</v>
      </c>
      <c r="AE345" s="34">
        <f t="shared" si="297"/>
        <v>0</v>
      </c>
      <c r="AF345" s="34">
        <f t="shared" si="298"/>
        <v>0</v>
      </c>
      <c r="AG345" s="34">
        <f t="shared" si="299"/>
        <v>0</v>
      </c>
      <c r="AH345" s="34">
        <f t="shared" si="300"/>
        <v>0</v>
      </c>
      <c r="AI345" s="27" t="s">
        <v>3645</v>
      </c>
      <c r="AJ345" s="18">
        <f t="shared" si="301"/>
        <v>0</v>
      </c>
      <c r="AK345" s="18">
        <f t="shared" si="302"/>
        <v>0</v>
      </c>
      <c r="AL345" s="18">
        <f t="shared" si="303"/>
        <v>0</v>
      </c>
      <c r="AN345" s="34">
        <v>21</v>
      </c>
      <c r="AO345" s="34">
        <f t="shared" si="304"/>
        <v>0</v>
      </c>
      <c r="AP345" s="34">
        <f t="shared" si="305"/>
        <v>0</v>
      </c>
      <c r="AQ345" s="28" t="s">
        <v>13</v>
      </c>
      <c r="AV345" s="34">
        <f t="shared" si="306"/>
        <v>0</v>
      </c>
      <c r="AW345" s="34">
        <f t="shared" si="307"/>
        <v>0</v>
      </c>
      <c r="AX345" s="34">
        <f t="shared" si="308"/>
        <v>0</v>
      </c>
      <c r="AY345" s="35" t="s">
        <v>3678</v>
      </c>
      <c r="AZ345" s="35" t="s">
        <v>3714</v>
      </c>
      <c r="BA345" s="27" t="s">
        <v>3729</v>
      </c>
      <c r="BC345" s="34">
        <f t="shared" si="309"/>
        <v>0</v>
      </c>
      <c r="BD345" s="34">
        <f t="shared" si="310"/>
        <v>0</v>
      </c>
      <c r="BE345" s="34">
        <v>0</v>
      </c>
      <c r="BF345" s="34">
        <f>345</f>
        <v>345</v>
      </c>
      <c r="BH345" s="18">
        <f t="shared" si="311"/>
        <v>0</v>
      </c>
      <c r="BI345" s="18">
        <f t="shared" si="312"/>
        <v>0</v>
      </c>
      <c r="BJ345" s="18">
        <f t="shared" si="313"/>
        <v>0</v>
      </c>
    </row>
    <row r="346" spans="1:62" x14ac:dyDescent="0.2">
      <c r="A346" s="5" t="s">
        <v>308</v>
      </c>
      <c r="B346" s="5" t="s">
        <v>1498</v>
      </c>
      <c r="C346" s="135" t="s">
        <v>2734</v>
      </c>
      <c r="D346" s="136"/>
      <c r="E346" s="136"/>
      <c r="F346" s="136"/>
      <c r="G346" s="136"/>
      <c r="H346" s="5" t="s">
        <v>3612</v>
      </c>
      <c r="I346" s="18">
        <v>1</v>
      </c>
      <c r="J346" s="18">
        <v>0</v>
      </c>
      <c r="K346" s="18">
        <f t="shared" si="292"/>
        <v>0</v>
      </c>
      <c r="L346" s="28" t="s">
        <v>3635</v>
      </c>
      <c r="Z346" s="34">
        <f t="shared" si="293"/>
        <v>0</v>
      </c>
      <c r="AB346" s="34">
        <f t="shared" si="294"/>
        <v>0</v>
      </c>
      <c r="AC346" s="34">
        <f t="shared" si="295"/>
        <v>0</v>
      </c>
      <c r="AD346" s="34">
        <f t="shared" si="296"/>
        <v>0</v>
      </c>
      <c r="AE346" s="34">
        <f t="shared" si="297"/>
        <v>0</v>
      </c>
      <c r="AF346" s="34">
        <f t="shared" si="298"/>
        <v>0</v>
      </c>
      <c r="AG346" s="34">
        <f t="shared" si="299"/>
        <v>0</v>
      </c>
      <c r="AH346" s="34">
        <f t="shared" si="300"/>
        <v>0</v>
      </c>
      <c r="AI346" s="27" t="s">
        <v>3645</v>
      </c>
      <c r="AJ346" s="18">
        <f t="shared" si="301"/>
        <v>0</v>
      </c>
      <c r="AK346" s="18">
        <f t="shared" si="302"/>
        <v>0</v>
      </c>
      <c r="AL346" s="18">
        <f t="shared" si="303"/>
        <v>0</v>
      </c>
      <c r="AN346" s="34">
        <v>21</v>
      </c>
      <c r="AO346" s="34">
        <f t="shared" si="304"/>
        <v>0</v>
      </c>
      <c r="AP346" s="34">
        <f t="shared" si="305"/>
        <v>0</v>
      </c>
      <c r="AQ346" s="28" t="s">
        <v>13</v>
      </c>
      <c r="AV346" s="34">
        <f t="shared" si="306"/>
        <v>0</v>
      </c>
      <c r="AW346" s="34">
        <f t="shared" si="307"/>
        <v>0</v>
      </c>
      <c r="AX346" s="34">
        <f t="shared" si="308"/>
        <v>0</v>
      </c>
      <c r="AY346" s="35" t="s">
        <v>3678</v>
      </c>
      <c r="AZ346" s="35" t="s">
        <v>3714</v>
      </c>
      <c r="BA346" s="27" t="s">
        <v>3729</v>
      </c>
      <c r="BC346" s="34">
        <f t="shared" si="309"/>
        <v>0</v>
      </c>
      <c r="BD346" s="34">
        <f t="shared" si="310"/>
        <v>0</v>
      </c>
      <c r="BE346" s="34">
        <v>0</v>
      </c>
      <c r="BF346" s="34">
        <f>346</f>
        <v>346</v>
      </c>
      <c r="BH346" s="18">
        <f t="shared" si="311"/>
        <v>0</v>
      </c>
      <c r="BI346" s="18">
        <f t="shared" si="312"/>
        <v>0</v>
      </c>
      <c r="BJ346" s="18">
        <f t="shared" si="313"/>
        <v>0</v>
      </c>
    </row>
    <row r="347" spans="1:62" x14ac:dyDescent="0.2">
      <c r="A347" s="5" t="s">
        <v>309</v>
      </c>
      <c r="B347" s="5" t="s">
        <v>1499</v>
      </c>
      <c r="C347" s="135" t="s">
        <v>2735</v>
      </c>
      <c r="D347" s="136"/>
      <c r="E347" s="136"/>
      <c r="F347" s="136"/>
      <c r="G347" s="136"/>
      <c r="H347" s="5" t="s">
        <v>3612</v>
      </c>
      <c r="I347" s="18">
        <v>1</v>
      </c>
      <c r="J347" s="18">
        <v>0</v>
      </c>
      <c r="K347" s="18">
        <f t="shared" si="292"/>
        <v>0</v>
      </c>
      <c r="L347" s="28" t="s">
        <v>3635</v>
      </c>
      <c r="Z347" s="34">
        <f t="shared" si="293"/>
        <v>0</v>
      </c>
      <c r="AB347" s="34">
        <f t="shared" si="294"/>
        <v>0</v>
      </c>
      <c r="AC347" s="34">
        <f t="shared" si="295"/>
        <v>0</v>
      </c>
      <c r="AD347" s="34">
        <f t="shared" si="296"/>
        <v>0</v>
      </c>
      <c r="AE347" s="34">
        <f t="shared" si="297"/>
        <v>0</v>
      </c>
      <c r="AF347" s="34">
        <f t="shared" si="298"/>
        <v>0</v>
      </c>
      <c r="AG347" s="34">
        <f t="shared" si="299"/>
        <v>0</v>
      </c>
      <c r="AH347" s="34">
        <f t="shared" si="300"/>
        <v>0</v>
      </c>
      <c r="AI347" s="27" t="s">
        <v>3645</v>
      </c>
      <c r="AJ347" s="18">
        <f t="shared" si="301"/>
        <v>0</v>
      </c>
      <c r="AK347" s="18">
        <f t="shared" si="302"/>
        <v>0</v>
      </c>
      <c r="AL347" s="18">
        <f t="shared" si="303"/>
        <v>0</v>
      </c>
      <c r="AN347" s="34">
        <v>21</v>
      </c>
      <c r="AO347" s="34">
        <f t="shared" si="304"/>
        <v>0</v>
      </c>
      <c r="AP347" s="34">
        <f t="shared" si="305"/>
        <v>0</v>
      </c>
      <c r="AQ347" s="28" t="s">
        <v>13</v>
      </c>
      <c r="AV347" s="34">
        <f t="shared" si="306"/>
        <v>0</v>
      </c>
      <c r="AW347" s="34">
        <f t="shared" si="307"/>
        <v>0</v>
      </c>
      <c r="AX347" s="34">
        <f t="shared" si="308"/>
        <v>0</v>
      </c>
      <c r="AY347" s="35" t="s">
        <v>3678</v>
      </c>
      <c r="AZ347" s="35" t="s">
        <v>3714</v>
      </c>
      <c r="BA347" s="27" t="s">
        <v>3729</v>
      </c>
      <c r="BC347" s="34">
        <f t="shared" si="309"/>
        <v>0</v>
      </c>
      <c r="BD347" s="34">
        <f t="shared" si="310"/>
        <v>0</v>
      </c>
      <c r="BE347" s="34">
        <v>0</v>
      </c>
      <c r="BF347" s="34">
        <f>347</f>
        <v>347</v>
      </c>
      <c r="BH347" s="18">
        <f t="shared" si="311"/>
        <v>0</v>
      </c>
      <c r="BI347" s="18">
        <f t="shared" si="312"/>
        <v>0</v>
      </c>
      <c r="BJ347" s="18">
        <f t="shared" si="313"/>
        <v>0</v>
      </c>
    </row>
    <row r="348" spans="1:62" x14ac:dyDescent="0.2">
      <c r="A348" s="5" t="s">
        <v>310</v>
      </c>
      <c r="B348" s="5" t="s">
        <v>1500</v>
      </c>
      <c r="C348" s="135" t="s">
        <v>2736</v>
      </c>
      <c r="D348" s="136"/>
      <c r="E348" s="136"/>
      <c r="F348" s="136"/>
      <c r="G348" s="136"/>
      <c r="H348" s="5" t="s">
        <v>3612</v>
      </c>
      <c r="I348" s="18">
        <v>1</v>
      </c>
      <c r="J348" s="18">
        <v>0</v>
      </c>
      <c r="K348" s="18">
        <f t="shared" si="292"/>
        <v>0</v>
      </c>
      <c r="L348" s="28" t="s">
        <v>3635</v>
      </c>
      <c r="Z348" s="34">
        <f t="shared" si="293"/>
        <v>0</v>
      </c>
      <c r="AB348" s="34">
        <f t="shared" si="294"/>
        <v>0</v>
      </c>
      <c r="AC348" s="34">
        <f t="shared" si="295"/>
        <v>0</v>
      </c>
      <c r="AD348" s="34">
        <f t="shared" si="296"/>
        <v>0</v>
      </c>
      <c r="AE348" s="34">
        <f t="shared" si="297"/>
        <v>0</v>
      </c>
      <c r="AF348" s="34">
        <f t="shared" si="298"/>
        <v>0</v>
      </c>
      <c r="AG348" s="34">
        <f t="shared" si="299"/>
        <v>0</v>
      </c>
      <c r="AH348" s="34">
        <f t="shared" si="300"/>
        <v>0</v>
      </c>
      <c r="AI348" s="27" t="s">
        <v>3645</v>
      </c>
      <c r="AJ348" s="18">
        <f t="shared" si="301"/>
        <v>0</v>
      </c>
      <c r="AK348" s="18">
        <f t="shared" si="302"/>
        <v>0</v>
      </c>
      <c r="AL348" s="18">
        <f t="shared" si="303"/>
        <v>0</v>
      </c>
      <c r="AN348" s="34">
        <v>21</v>
      </c>
      <c r="AO348" s="34">
        <f t="shared" si="304"/>
        <v>0</v>
      </c>
      <c r="AP348" s="34">
        <f t="shared" si="305"/>
        <v>0</v>
      </c>
      <c r="AQ348" s="28" t="s">
        <v>13</v>
      </c>
      <c r="AV348" s="34">
        <f t="shared" si="306"/>
        <v>0</v>
      </c>
      <c r="AW348" s="34">
        <f t="shared" si="307"/>
        <v>0</v>
      </c>
      <c r="AX348" s="34">
        <f t="shared" si="308"/>
        <v>0</v>
      </c>
      <c r="AY348" s="35" t="s">
        <v>3678</v>
      </c>
      <c r="AZ348" s="35" t="s">
        <v>3714</v>
      </c>
      <c r="BA348" s="27" t="s">
        <v>3729</v>
      </c>
      <c r="BC348" s="34">
        <f t="shared" si="309"/>
        <v>0</v>
      </c>
      <c r="BD348" s="34">
        <f t="shared" si="310"/>
        <v>0</v>
      </c>
      <c r="BE348" s="34">
        <v>0</v>
      </c>
      <c r="BF348" s="34">
        <f>348</f>
        <v>348</v>
      </c>
      <c r="BH348" s="18">
        <f t="shared" si="311"/>
        <v>0</v>
      </c>
      <c r="BI348" s="18">
        <f t="shared" si="312"/>
        <v>0</v>
      </c>
      <c r="BJ348" s="18">
        <f t="shared" si="313"/>
        <v>0</v>
      </c>
    </row>
    <row r="349" spans="1:62" x14ac:dyDescent="0.2">
      <c r="A349" s="5" t="s">
        <v>311</v>
      </c>
      <c r="B349" s="5" t="s">
        <v>1501</v>
      </c>
      <c r="C349" s="135" t="s">
        <v>2737</v>
      </c>
      <c r="D349" s="136"/>
      <c r="E349" s="136"/>
      <c r="F349" s="136"/>
      <c r="G349" s="136"/>
      <c r="H349" s="5" t="s">
        <v>3612</v>
      </c>
      <c r="I349" s="18">
        <v>1</v>
      </c>
      <c r="J349" s="18">
        <v>0</v>
      </c>
      <c r="K349" s="18">
        <f t="shared" si="292"/>
        <v>0</v>
      </c>
      <c r="L349" s="28" t="s">
        <v>3635</v>
      </c>
      <c r="Z349" s="34">
        <f t="shared" si="293"/>
        <v>0</v>
      </c>
      <c r="AB349" s="34">
        <f t="shared" si="294"/>
        <v>0</v>
      </c>
      <c r="AC349" s="34">
        <f t="shared" si="295"/>
        <v>0</v>
      </c>
      <c r="AD349" s="34">
        <f t="shared" si="296"/>
        <v>0</v>
      </c>
      <c r="AE349" s="34">
        <f t="shared" si="297"/>
        <v>0</v>
      </c>
      <c r="AF349" s="34">
        <f t="shared" si="298"/>
        <v>0</v>
      </c>
      <c r="AG349" s="34">
        <f t="shared" si="299"/>
        <v>0</v>
      </c>
      <c r="AH349" s="34">
        <f t="shared" si="300"/>
        <v>0</v>
      </c>
      <c r="AI349" s="27" t="s">
        <v>3645</v>
      </c>
      <c r="AJ349" s="18">
        <f t="shared" si="301"/>
        <v>0</v>
      </c>
      <c r="AK349" s="18">
        <f t="shared" si="302"/>
        <v>0</v>
      </c>
      <c r="AL349" s="18">
        <f t="shared" si="303"/>
        <v>0</v>
      </c>
      <c r="AN349" s="34">
        <v>21</v>
      </c>
      <c r="AO349" s="34">
        <f t="shared" si="304"/>
        <v>0</v>
      </c>
      <c r="AP349" s="34">
        <f t="shared" si="305"/>
        <v>0</v>
      </c>
      <c r="AQ349" s="28" t="s">
        <v>13</v>
      </c>
      <c r="AV349" s="34">
        <f t="shared" si="306"/>
        <v>0</v>
      </c>
      <c r="AW349" s="34">
        <f t="shared" si="307"/>
        <v>0</v>
      </c>
      <c r="AX349" s="34">
        <f t="shared" si="308"/>
        <v>0</v>
      </c>
      <c r="AY349" s="35" t="s">
        <v>3678</v>
      </c>
      <c r="AZ349" s="35" t="s">
        <v>3714</v>
      </c>
      <c r="BA349" s="27" t="s">
        <v>3729</v>
      </c>
      <c r="BC349" s="34">
        <f t="shared" si="309"/>
        <v>0</v>
      </c>
      <c r="BD349" s="34">
        <f t="shared" si="310"/>
        <v>0</v>
      </c>
      <c r="BE349" s="34">
        <v>0</v>
      </c>
      <c r="BF349" s="34">
        <f>349</f>
        <v>349</v>
      </c>
      <c r="BH349" s="18">
        <f t="shared" si="311"/>
        <v>0</v>
      </c>
      <c r="BI349" s="18">
        <f t="shared" si="312"/>
        <v>0</v>
      </c>
      <c r="BJ349" s="18">
        <f t="shared" si="313"/>
        <v>0</v>
      </c>
    </row>
    <row r="350" spans="1:62" x14ac:dyDescent="0.2">
      <c r="A350" s="5" t="s">
        <v>312</v>
      </c>
      <c r="B350" s="5" t="s">
        <v>1502</v>
      </c>
      <c r="C350" s="135" t="s">
        <v>2738</v>
      </c>
      <c r="D350" s="136"/>
      <c r="E350" s="136"/>
      <c r="F350" s="136"/>
      <c r="G350" s="136"/>
      <c r="H350" s="5" t="s">
        <v>3612</v>
      </c>
      <c r="I350" s="18">
        <v>1</v>
      </c>
      <c r="J350" s="18">
        <v>0</v>
      </c>
      <c r="K350" s="18">
        <f t="shared" si="292"/>
        <v>0</v>
      </c>
      <c r="L350" s="28" t="s">
        <v>3635</v>
      </c>
      <c r="Z350" s="34">
        <f t="shared" si="293"/>
        <v>0</v>
      </c>
      <c r="AB350" s="34">
        <f t="shared" si="294"/>
        <v>0</v>
      </c>
      <c r="AC350" s="34">
        <f t="shared" si="295"/>
        <v>0</v>
      </c>
      <c r="AD350" s="34">
        <f t="shared" si="296"/>
        <v>0</v>
      </c>
      <c r="AE350" s="34">
        <f t="shared" si="297"/>
        <v>0</v>
      </c>
      <c r="AF350" s="34">
        <f t="shared" si="298"/>
        <v>0</v>
      </c>
      <c r="AG350" s="34">
        <f t="shared" si="299"/>
        <v>0</v>
      </c>
      <c r="AH350" s="34">
        <f t="shared" si="300"/>
        <v>0</v>
      </c>
      <c r="AI350" s="27" t="s">
        <v>3645</v>
      </c>
      <c r="AJ350" s="18">
        <f t="shared" si="301"/>
        <v>0</v>
      </c>
      <c r="AK350" s="18">
        <f t="shared" si="302"/>
        <v>0</v>
      </c>
      <c r="AL350" s="18">
        <f t="shared" si="303"/>
        <v>0</v>
      </c>
      <c r="AN350" s="34">
        <v>21</v>
      </c>
      <c r="AO350" s="34">
        <f t="shared" si="304"/>
        <v>0</v>
      </c>
      <c r="AP350" s="34">
        <f t="shared" si="305"/>
        <v>0</v>
      </c>
      <c r="AQ350" s="28" t="s">
        <v>13</v>
      </c>
      <c r="AV350" s="34">
        <f t="shared" si="306"/>
        <v>0</v>
      </c>
      <c r="AW350" s="34">
        <f t="shared" si="307"/>
        <v>0</v>
      </c>
      <c r="AX350" s="34">
        <f t="shared" si="308"/>
        <v>0</v>
      </c>
      <c r="AY350" s="35" t="s">
        <v>3678</v>
      </c>
      <c r="AZ350" s="35" t="s">
        <v>3714</v>
      </c>
      <c r="BA350" s="27" t="s">
        <v>3729</v>
      </c>
      <c r="BC350" s="34">
        <f t="shared" si="309"/>
        <v>0</v>
      </c>
      <c r="BD350" s="34">
        <f t="shared" si="310"/>
        <v>0</v>
      </c>
      <c r="BE350" s="34">
        <v>0</v>
      </c>
      <c r="BF350" s="34">
        <f>350</f>
        <v>350</v>
      </c>
      <c r="BH350" s="18">
        <f t="shared" si="311"/>
        <v>0</v>
      </c>
      <c r="BI350" s="18">
        <f t="shared" si="312"/>
        <v>0</v>
      </c>
      <c r="BJ350" s="18">
        <f t="shared" si="313"/>
        <v>0</v>
      </c>
    </row>
    <row r="351" spans="1:62" x14ac:dyDescent="0.2">
      <c r="A351" s="5" t="s">
        <v>313</v>
      </c>
      <c r="B351" s="5" t="s">
        <v>1503</v>
      </c>
      <c r="C351" s="135" t="s">
        <v>2739</v>
      </c>
      <c r="D351" s="136"/>
      <c r="E351" s="136"/>
      <c r="F351" s="136"/>
      <c r="G351" s="136"/>
      <c r="H351" s="5" t="s">
        <v>3612</v>
      </c>
      <c r="I351" s="18">
        <v>1</v>
      </c>
      <c r="J351" s="18">
        <v>0</v>
      </c>
      <c r="K351" s="18">
        <f t="shared" si="292"/>
        <v>0</v>
      </c>
      <c r="L351" s="28" t="s">
        <v>3635</v>
      </c>
      <c r="Z351" s="34">
        <f t="shared" si="293"/>
        <v>0</v>
      </c>
      <c r="AB351" s="34">
        <f t="shared" si="294"/>
        <v>0</v>
      </c>
      <c r="AC351" s="34">
        <f t="shared" si="295"/>
        <v>0</v>
      </c>
      <c r="AD351" s="34">
        <f t="shared" si="296"/>
        <v>0</v>
      </c>
      <c r="AE351" s="34">
        <f t="shared" si="297"/>
        <v>0</v>
      </c>
      <c r="AF351" s="34">
        <f t="shared" si="298"/>
        <v>0</v>
      </c>
      <c r="AG351" s="34">
        <f t="shared" si="299"/>
        <v>0</v>
      </c>
      <c r="AH351" s="34">
        <f t="shared" si="300"/>
        <v>0</v>
      </c>
      <c r="AI351" s="27" t="s">
        <v>3645</v>
      </c>
      <c r="AJ351" s="18">
        <f t="shared" si="301"/>
        <v>0</v>
      </c>
      <c r="AK351" s="18">
        <f t="shared" si="302"/>
        <v>0</v>
      </c>
      <c r="AL351" s="18">
        <f t="shared" si="303"/>
        <v>0</v>
      </c>
      <c r="AN351" s="34">
        <v>21</v>
      </c>
      <c r="AO351" s="34">
        <f t="shared" si="304"/>
        <v>0</v>
      </c>
      <c r="AP351" s="34">
        <f t="shared" si="305"/>
        <v>0</v>
      </c>
      <c r="AQ351" s="28" t="s">
        <v>13</v>
      </c>
      <c r="AV351" s="34">
        <f t="shared" si="306"/>
        <v>0</v>
      </c>
      <c r="AW351" s="34">
        <f t="shared" si="307"/>
        <v>0</v>
      </c>
      <c r="AX351" s="34">
        <f t="shared" si="308"/>
        <v>0</v>
      </c>
      <c r="AY351" s="35" t="s">
        <v>3678</v>
      </c>
      <c r="AZ351" s="35" t="s">
        <v>3714</v>
      </c>
      <c r="BA351" s="27" t="s">
        <v>3729</v>
      </c>
      <c r="BC351" s="34">
        <f t="shared" si="309"/>
        <v>0</v>
      </c>
      <c r="BD351" s="34">
        <f t="shared" si="310"/>
        <v>0</v>
      </c>
      <c r="BE351" s="34">
        <v>0</v>
      </c>
      <c r="BF351" s="34">
        <f>351</f>
        <v>351</v>
      </c>
      <c r="BH351" s="18">
        <f t="shared" si="311"/>
        <v>0</v>
      </c>
      <c r="BI351" s="18">
        <f t="shared" si="312"/>
        <v>0</v>
      </c>
      <c r="BJ351" s="18">
        <f t="shared" si="313"/>
        <v>0</v>
      </c>
    </row>
    <row r="352" spans="1:62" x14ac:dyDescent="0.2">
      <c r="A352" s="5" t="s">
        <v>314</v>
      </c>
      <c r="B352" s="5" t="s">
        <v>1504</v>
      </c>
      <c r="C352" s="135" t="s">
        <v>2740</v>
      </c>
      <c r="D352" s="136"/>
      <c r="E352" s="136"/>
      <c r="F352" s="136"/>
      <c r="G352" s="136"/>
      <c r="H352" s="5" t="s">
        <v>3614</v>
      </c>
      <c r="I352" s="18">
        <v>63</v>
      </c>
      <c r="J352" s="18">
        <v>0</v>
      </c>
      <c r="K352" s="18">
        <f t="shared" si="292"/>
        <v>0</v>
      </c>
      <c r="L352" s="28" t="s">
        <v>3635</v>
      </c>
      <c r="Z352" s="34">
        <f t="shared" si="293"/>
        <v>0</v>
      </c>
      <c r="AB352" s="34">
        <f t="shared" si="294"/>
        <v>0</v>
      </c>
      <c r="AC352" s="34">
        <f t="shared" si="295"/>
        <v>0</v>
      </c>
      <c r="AD352" s="34">
        <f t="shared" si="296"/>
        <v>0</v>
      </c>
      <c r="AE352" s="34">
        <f t="shared" si="297"/>
        <v>0</v>
      </c>
      <c r="AF352" s="34">
        <f t="shared" si="298"/>
        <v>0</v>
      </c>
      <c r="AG352" s="34">
        <f t="shared" si="299"/>
        <v>0</v>
      </c>
      <c r="AH352" s="34">
        <f t="shared" si="300"/>
        <v>0</v>
      </c>
      <c r="AI352" s="27" t="s">
        <v>3645</v>
      </c>
      <c r="AJ352" s="18">
        <f t="shared" si="301"/>
        <v>0</v>
      </c>
      <c r="AK352" s="18">
        <f t="shared" si="302"/>
        <v>0</v>
      </c>
      <c r="AL352" s="18">
        <f t="shared" si="303"/>
        <v>0</v>
      </c>
      <c r="AN352" s="34">
        <v>21</v>
      </c>
      <c r="AO352" s="34">
        <f t="shared" si="304"/>
        <v>0</v>
      </c>
      <c r="AP352" s="34">
        <f t="shared" si="305"/>
        <v>0</v>
      </c>
      <c r="AQ352" s="28" t="s">
        <v>13</v>
      </c>
      <c r="AV352" s="34">
        <f t="shared" si="306"/>
        <v>0</v>
      </c>
      <c r="AW352" s="34">
        <f t="shared" si="307"/>
        <v>0</v>
      </c>
      <c r="AX352" s="34">
        <f t="shared" si="308"/>
        <v>0</v>
      </c>
      <c r="AY352" s="35" t="s">
        <v>3678</v>
      </c>
      <c r="AZ352" s="35" t="s">
        <v>3714</v>
      </c>
      <c r="BA352" s="27" t="s">
        <v>3729</v>
      </c>
      <c r="BC352" s="34">
        <f t="shared" si="309"/>
        <v>0</v>
      </c>
      <c r="BD352" s="34">
        <f t="shared" si="310"/>
        <v>0</v>
      </c>
      <c r="BE352" s="34">
        <v>0</v>
      </c>
      <c r="BF352" s="34">
        <f>352</f>
        <v>352</v>
      </c>
      <c r="BH352" s="18">
        <f t="shared" si="311"/>
        <v>0</v>
      </c>
      <c r="BI352" s="18">
        <f t="shared" si="312"/>
        <v>0</v>
      </c>
      <c r="BJ352" s="18">
        <f t="shared" si="313"/>
        <v>0</v>
      </c>
    </row>
    <row r="353" spans="1:62" x14ac:dyDescent="0.2">
      <c r="A353" s="5" t="s">
        <v>315</v>
      </c>
      <c r="B353" s="5" t="s">
        <v>1505</v>
      </c>
      <c r="C353" s="135" t="s">
        <v>2741</v>
      </c>
      <c r="D353" s="136"/>
      <c r="E353" s="136"/>
      <c r="F353" s="136"/>
      <c r="G353" s="136"/>
      <c r="H353" s="5" t="s">
        <v>3614</v>
      </c>
      <c r="I353" s="18">
        <v>45</v>
      </c>
      <c r="J353" s="18">
        <v>0</v>
      </c>
      <c r="K353" s="18">
        <f t="shared" si="292"/>
        <v>0</v>
      </c>
      <c r="L353" s="28" t="s">
        <v>3635</v>
      </c>
      <c r="Z353" s="34">
        <f t="shared" si="293"/>
        <v>0</v>
      </c>
      <c r="AB353" s="34">
        <f t="shared" si="294"/>
        <v>0</v>
      </c>
      <c r="AC353" s="34">
        <f t="shared" si="295"/>
        <v>0</v>
      </c>
      <c r="AD353" s="34">
        <f t="shared" si="296"/>
        <v>0</v>
      </c>
      <c r="AE353" s="34">
        <f t="shared" si="297"/>
        <v>0</v>
      </c>
      <c r="AF353" s="34">
        <f t="shared" si="298"/>
        <v>0</v>
      </c>
      <c r="AG353" s="34">
        <f t="shared" si="299"/>
        <v>0</v>
      </c>
      <c r="AH353" s="34">
        <f t="shared" si="300"/>
        <v>0</v>
      </c>
      <c r="AI353" s="27" t="s">
        <v>3645</v>
      </c>
      <c r="AJ353" s="18">
        <f t="shared" si="301"/>
        <v>0</v>
      </c>
      <c r="AK353" s="18">
        <f t="shared" si="302"/>
        <v>0</v>
      </c>
      <c r="AL353" s="18">
        <f t="shared" si="303"/>
        <v>0</v>
      </c>
      <c r="AN353" s="34">
        <v>21</v>
      </c>
      <c r="AO353" s="34">
        <f t="shared" si="304"/>
        <v>0</v>
      </c>
      <c r="AP353" s="34">
        <f t="shared" si="305"/>
        <v>0</v>
      </c>
      <c r="AQ353" s="28" t="s">
        <v>13</v>
      </c>
      <c r="AV353" s="34">
        <f t="shared" si="306"/>
        <v>0</v>
      </c>
      <c r="AW353" s="34">
        <f t="shared" si="307"/>
        <v>0</v>
      </c>
      <c r="AX353" s="34">
        <f t="shared" si="308"/>
        <v>0</v>
      </c>
      <c r="AY353" s="35" t="s">
        <v>3678</v>
      </c>
      <c r="AZ353" s="35" t="s">
        <v>3714</v>
      </c>
      <c r="BA353" s="27" t="s">
        <v>3729</v>
      </c>
      <c r="BC353" s="34">
        <f t="shared" si="309"/>
        <v>0</v>
      </c>
      <c r="BD353" s="34">
        <f t="shared" si="310"/>
        <v>0</v>
      </c>
      <c r="BE353" s="34">
        <v>0</v>
      </c>
      <c r="BF353" s="34">
        <f>353</f>
        <v>353</v>
      </c>
      <c r="BH353" s="18">
        <f t="shared" si="311"/>
        <v>0</v>
      </c>
      <c r="BI353" s="18">
        <f t="shared" si="312"/>
        <v>0</v>
      </c>
      <c r="BJ353" s="18">
        <f t="shared" si="313"/>
        <v>0</v>
      </c>
    </row>
    <row r="354" spans="1:62" x14ac:dyDescent="0.2">
      <c r="A354" s="5" t="s">
        <v>316</v>
      </c>
      <c r="B354" s="5" t="s">
        <v>1506</v>
      </c>
      <c r="C354" s="135" t="s">
        <v>2742</v>
      </c>
      <c r="D354" s="136"/>
      <c r="E354" s="136"/>
      <c r="F354" s="136"/>
      <c r="G354" s="136"/>
      <c r="H354" s="5" t="s">
        <v>3614</v>
      </c>
      <c r="I354" s="18">
        <v>8.5</v>
      </c>
      <c r="J354" s="18">
        <v>0</v>
      </c>
      <c r="K354" s="18">
        <f t="shared" si="292"/>
        <v>0</v>
      </c>
      <c r="L354" s="28" t="s">
        <v>3635</v>
      </c>
      <c r="Z354" s="34">
        <f t="shared" si="293"/>
        <v>0</v>
      </c>
      <c r="AB354" s="34">
        <f t="shared" si="294"/>
        <v>0</v>
      </c>
      <c r="AC354" s="34">
        <f t="shared" si="295"/>
        <v>0</v>
      </c>
      <c r="AD354" s="34">
        <f t="shared" si="296"/>
        <v>0</v>
      </c>
      <c r="AE354" s="34">
        <f t="shared" si="297"/>
        <v>0</v>
      </c>
      <c r="AF354" s="34">
        <f t="shared" si="298"/>
        <v>0</v>
      </c>
      <c r="AG354" s="34">
        <f t="shared" si="299"/>
        <v>0</v>
      </c>
      <c r="AH354" s="34">
        <f t="shared" si="300"/>
        <v>0</v>
      </c>
      <c r="AI354" s="27" t="s">
        <v>3645</v>
      </c>
      <c r="AJ354" s="18">
        <f t="shared" si="301"/>
        <v>0</v>
      </c>
      <c r="AK354" s="18">
        <f t="shared" si="302"/>
        <v>0</v>
      </c>
      <c r="AL354" s="18">
        <f t="shared" si="303"/>
        <v>0</v>
      </c>
      <c r="AN354" s="34">
        <v>21</v>
      </c>
      <c r="AO354" s="34">
        <f t="shared" si="304"/>
        <v>0</v>
      </c>
      <c r="AP354" s="34">
        <f t="shared" si="305"/>
        <v>0</v>
      </c>
      <c r="AQ354" s="28" t="s">
        <v>13</v>
      </c>
      <c r="AV354" s="34">
        <f t="shared" si="306"/>
        <v>0</v>
      </c>
      <c r="AW354" s="34">
        <f t="shared" si="307"/>
        <v>0</v>
      </c>
      <c r="AX354" s="34">
        <f t="shared" si="308"/>
        <v>0</v>
      </c>
      <c r="AY354" s="35" t="s">
        <v>3678</v>
      </c>
      <c r="AZ354" s="35" t="s">
        <v>3714</v>
      </c>
      <c r="BA354" s="27" t="s">
        <v>3729</v>
      </c>
      <c r="BC354" s="34">
        <f t="shared" si="309"/>
        <v>0</v>
      </c>
      <c r="BD354" s="34">
        <f t="shared" si="310"/>
        <v>0</v>
      </c>
      <c r="BE354" s="34">
        <v>0</v>
      </c>
      <c r="BF354" s="34">
        <f>354</f>
        <v>354</v>
      </c>
      <c r="BH354" s="18">
        <f t="shared" si="311"/>
        <v>0</v>
      </c>
      <c r="BI354" s="18">
        <f t="shared" si="312"/>
        <v>0</v>
      </c>
      <c r="BJ354" s="18">
        <f t="shared" si="313"/>
        <v>0</v>
      </c>
    </row>
    <row r="355" spans="1:62" x14ac:dyDescent="0.2">
      <c r="A355" s="5" t="s">
        <v>317</v>
      </c>
      <c r="B355" s="5" t="s">
        <v>1507</v>
      </c>
      <c r="C355" s="135" t="s">
        <v>2743</v>
      </c>
      <c r="D355" s="136"/>
      <c r="E355" s="136"/>
      <c r="F355" s="136"/>
      <c r="G355" s="136"/>
      <c r="H355" s="5" t="s">
        <v>3614</v>
      </c>
      <c r="I355" s="18">
        <v>69</v>
      </c>
      <c r="J355" s="18">
        <v>0</v>
      </c>
      <c r="K355" s="18">
        <f t="shared" si="292"/>
        <v>0</v>
      </c>
      <c r="L355" s="28" t="s">
        <v>3635</v>
      </c>
      <c r="Z355" s="34">
        <f t="shared" si="293"/>
        <v>0</v>
      </c>
      <c r="AB355" s="34">
        <f t="shared" si="294"/>
        <v>0</v>
      </c>
      <c r="AC355" s="34">
        <f t="shared" si="295"/>
        <v>0</v>
      </c>
      <c r="AD355" s="34">
        <f t="shared" si="296"/>
        <v>0</v>
      </c>
      <c r="AE355" s="34">
        <f t="shared" si="297"/>
        <v>0</v>
      </c>
      <c r="AF355" s="34">
        <f t="shared" si="298"/>
        <v>0</v>
      </c>
      <c r="AG355" s="34">
        <f t="shared" si="299"/>
        <v>0</v>
      </c>
      <c r="AH355" s="34">
        <f t="shared" si="300"/>
        <v>0</v>
      </c>
      <c r="AI355" s="27" t="s">
        <v>3645</v>
      </c>
      <c r="AJ355" s="18">
        <f t="shared" si="301"/>
        <v>0</v>
      </c>
      <c r="AK355" s="18">
        <f t="shared" si="302"/>
        <v>0</v>
      </c>
      <c r="AL355" s="18">
        <f t="shared" si="303"/>
        <v>0</v>
      </c>
      <c r="AN355" s="34">
        <v>21</v>
      </c>
      <c r="AO355" s="34">
        <f t="shared" si="304"/>
        <v>0</v>
      </c>
      <c r="AP355" s="34">
        <f t="shared" si="305"/>
        <v>0</v>
      </c>
      <c r="AQ355" s="28" t="s">
        <v>13</v>
      </c>
      <c r="AV355" s="34">
        <f t="shared" si="306"/>
        <v>0</v>
      </c>
      <c r="AW355" s="34">
        <f t="shared" si="307"/>
        <v>0</v>
      </c>
      <c r="AX355" s="34">
        <f t="shared" si="308"/>
        <v>0</v>
      </c>
      <c r="AY355" s="35" t="s">
        <v>3678</v>
      </c>
      <c r="AZ355" s="35" t="s">
        <v>3714</v>
      </c>
      <c r="BA355" s="27" t="s">
        <v>3729</v>
      </c>
      <c r="BC355" s="34">
        <f t="shared" si="309"/>
        <v>0</v>
      </c>
      <c r="BD355" s="34">
        <f t="shared" si="310"/>
        <v>0</v>
      </c>
      <c r="BE355" s="34">
        <v>0</v>
      </c>
      <c r="BF355" s="34">
        <f>355</f>
        <v>355</v>
      </c>
      <c r="BH355" s="18">
        <f t="shared" si="311"/>
        <v>0</v>
      </c>
      <c r="BI355" s="18">
        <f t="shared" si="312"/>
        <v>0</v>
      </c>
      <c r="BJ355" s="18">
        <f t="shared" si="313"/>
        <v>0</v>
      </c>
    </row>
    <row r="356" spans="1:62" x14ac:dyDescent="0.2">
      <c r="A356" s="5" t="s">
        <v>318</v>
      </c>
      <c r="B356" s="5" t="s">
        <v>1508</v>
      </c>
      <c r="C356" s="135" t="s">
        <v>2744</v>
      </c>
      <c r="D356" s="136"/>
      <c r="E356" s="136"/>
      <c r="F356" s="136"/>
      <c r="G356" s="136"/>
      <c r="H356" s="5" t="s">
        <v>3614</v>
      </c>
      <c r="I356" s="18">
        <v>97</v>
      </c>
      <c r="J356" s="18">
        <v>0</v>
      </c>
      <c r="K356" s="18">
        <f t="shared" si="292"/>
        <v>0</v>
      </c>
      <c r="L356" s="28" t="s">
        <v>3635</v>
      </c>
      <c r="Z356" s="34">
        <f t="shared" si="293"/>
        <v>0</v>
      </c>
      <c r="AB356" s="34">
        <f t="shared" si="294"/>
        <v>0</v>
      </c>
      <c r="AC356" s="34">
        <f t="shared" si="295"/>
        <v>0</v>
      </c>
      <c r="AD356" s="34">
        <f t="shared" si="296"/>
        <v>0</v>
      </c>
      <c r="AE356" s="34">
        <f t="shared" si="297"/>
        <v>0</v>
      </c>
      <c r="AF356" s="34">
        <f t="shared" si="298"/>
        <v>0</v>
      </c>
      <c r="AG356" s="34">
        <f t="shared" si="299"/>
        <v>0</v>
      </c>
      <c r="AH356" s="34">
        <f t="shared" si="300"/>
        <v>0</v>
      </c>
      <c r="AI356" s="27" t="s">
        <v>3645</v>
      </c>
      <c r="AJ356" s="18">
        <f t="shared" si="301"/>
        <v>0</v>
      </c>
      <c r="AK356" s="18">
        <f t="shared" si="302"/>
        <v>0</v>
      </c>
      <c r="AL356" s="18">
        <f t="shared" si="303"/>
        <v>0</v>
      </c>
      <c r="AN356" s="34">
        <v>21</v>
      </c>
      <c r="AO356" s="34">
        <f t="shared" si="304"/>
        <v>0</v>
      </c>
      <c r="AP356" s="34">
        <f t="shared" si="305"/>
        <v>0</v>
      </c>
      <c r="AQ356" s="28" t="s">
        <v>13</v>
      </c>
      <c r="AV356" s="34">
        <f t="shared" si="306"/>
        <v>0</v>
      </c>
      <c r="AW356" s="34">
        <f t="shared" si="307"/>
        <v>0</v>
      </c>
      <c r="AX356" s="34">
        <f t="shared" si="308"/>
        <v>0</v>
      </c>
      <c r="AY356" s="35" t="s">
        <v>3678</v>
      </c>
      <c r="AZ356" s="35" t="s">
        <v>3714</v>
      </c>
      <c r="BA356" s="27" t="s">
        <v>3729</v>
      </c>
      <c r="BC356" s="34">
        <f t="shared" si="309"/>
        <v>0</v>
      </c>
      <c r="BD356" s="34">
        <f t="shared" si="310"/>
        <v>0</v>
      </c>
      <c r="BE356" s="34">
        <v>0</v>
      </c>
      <c r="BF356" s="34">
        <f>356</f>
        <v>356</v>
      </c>
      <c r="BH356" s="18">
        <f t="shared" si="311"/>
        <v>0</v>
      </c>
      <c r="BI356" s="18">
        <f t="shared" si="312"/>
        <v>0</v>
      </c>
      <c r="BJ356" s="18">
        <f t="shared" si="313"/>
        <v>0</v>
      </c>
    </row>
    <row r="357" spans="1:62" x14ac:dyDescent="0.2">
      <c r="A357" s="5" t="s">
        <v>319</v>
      </c>
      <c r="B357" s="5" t="s">
        <v>1509</v>
      </c>
      <c r="C357" s="135" t="s">
        <v>2745</v>
      </c>
      <c r="D357" s="136"/>
      <c r="E357" s="136"/>
      <c r="F357" s="136"/>
      <c r="G357" s="136"/>
      <c r="H357" s="5" t="s">
        <v>3614</v>
      </c>
      <c r="I357" s="18">
        <v>67</v>
      </c>
      <c r="J357" s="18">
        <v>0</v>
      </c>
      <c r="K357" s="18">
        <f t="shared" si="292"/>
        <v>0</v>
      </c>
      <c r="L357" s="28" t="s">
        <v>3635</v>
      </c>
      <c r="Z357" s="34">
        <f t="shared" si="293"/>
        <v>0</v>
      </c>
      <c r="AB357" s="34">
        <f t="shared" si="294"/>
        <v>0</v>
      </c>
      <c r="AC357" s="34">
        <f t="shared" si="295"/>
        <v>0</v>
      </c>
      <c r="AD357" s="34">
        <f t="shared" si="296"/>
        <v>0</v>
      </c>
      <c r="AE357" s="34">
        <f t="shared" si="297"/>
        <v>0</v>
      </c>
      <c r="AF357" s="34">
        <f t="shared" si="298"/>
        <v>0</v>
      </c>
      <c r="AG357" s="34">
        <f t="shared" si="299"/>
        <v>0</v>
      </c>
      <c r="AH357" s="34">
        <f t="shared" si="300"/>
        <v>0</v>
      </c>
      <c r="AI357" s="27" t="s">
        <v>3645</v>
      </c>
      <c r="AJ357" s="18">
        <f t="shared" si="301"/>
        <v>0</v>
      </c>
      <c r="AK357" s="18">
        <f t="shared" si="302"/>
        <v>0</v>
      </c>
      <c r="AL357" s="18">
        <f t="shared" si="303"/>
        <v>0</v>
      </c>
      <c r="AN357" s="34">
        <v>21</v>
      </c>
      <c r="AO357" s="34">
        <f t="shared" si="304"/>
        <v>0</v>
      </c>
      <c r="AP357" s="34">
        <f t="shared" si="305"/>
        <v>0</v>
      </c>
      <c r="AQ357" s="28" t="s">
        <v>13</v>
      </c>
      <c r="AV357" s="34">
        <f t="shared" si="306"/>
        <v>0</v>
      </c>
      <c r="AW357" s="34">
        <f t="shared" si="307"/>
        <v>0</v>
      </c>
      <c r="AX357" s="34">
        <f t="shared" si="308"/>
        <v>0</v>
      </c>
      <c r="AY357" s="35" t="s">
        <v>3678</v>
      </c>
      <c r="AZ357" s="35" t="s">
        <v>3714</v>
      </c>
      <c r="BA357" s="27" t="s">
        <v>3729</v>
      </c>
      <c r="BC357" s="34">
        <f t="shared" si="309"/>
        <v>0</v>
      </c>
      <c r="BD357" s="34">
        <f t="shared" si="310"/>
        <v>0</v>
      </c>
      <c r="BE357" s="34">
        <v>0</v>
      </c>
      <c r="BF357" s="34">
        <f>357</f>
        <v>357</v>
      </c>
      <c r="BH357" s="18">
        <f t="shared" si="311"/>
        <v>0</v>
      </c>
      <c r="BI357" s="18">
        <f t="shared" si="312"/>
        <v>0</v>
      </c>
      <c r="BJ357" s="18">
        <f t="shared" si="313"/>
        <v>0</v>
      </c>
    </row>
    <row r="358" spans="1:62" x14ac:dyDescent="0.2">
      <c r="A358" s="5" t="s">
        <v>320</v>
      </c>
      <c r="B358" s="5" t="s">
        <v>1510</v>
      </c>
      <c r="C358" s="135" t="s">
        <v>2746</v>
      </c>
      <c r="D358" s="136"/>
      <c r="E358" s="136"/>
      <c r="F358" s="136"/>
      <c r="G358" s="136"/>
      <c r="H358" s="5" t="s">
        <v>3614</v>
      </c>
      <c r="I358" s="18">
        <v>78</v>
      </c>
      <c r="J358" s="18">
        <v>0</v>
      </c>
      <c r="K358" s="18">
        <f t="shared" si="292"/>
        <v>0</v>
      </c>
      <c r="L358" s="28" t="s">
        <v>3635</v>
      </c>
      <c r="Z358" s="34">
        <f t="shared" si="293"/>
        <v>0</v>
      </c>
      <c r="AB358" s="34">
        <f t="shared" si="294"/>
        <v>0</v>
      </c>
      <c r="AC358" s="34">
        <f t="shared" si="295"/>
        <v>0</v>
      </c>
      <c r="AD358" s="34">
        <f t="shared" si="296"/>
        <v>0</v>
      </c>
      <c r="AE358" s="34">
        <f t="shared" si="297"/>
        <v>0</v>
      </c>
      <c r="AF358" s="34">
        <f t="shared" si="298"/>
        <v>0</v>
      </c>
      <c r="AG358" s="34">
        <f t="shared" si="299"/>
        <v>0</v>
      </c>
      <c r="AH358" s="34">
        <f t="shared" si="300"/>
        <v>0</v>
      </c>
      <c r="AI358" s="27" t="s">
        <v>3645</v>
      </c>
      <c r="AJ358" s="18">
        <f t="shared" si="301"/>
        <v>0</v>
      </c>
      <c r="AK358" s="18">
        <f t="shared" si="302"/>
        <v>0</v>
      </c>
      <c r="AL358" s="18">
        <f t="shared" si="303"/>
        <v>0</v>
      </c>
      <c r="AN358" s="34">
        <v>21</v>
      </c>
      <c r="AO358" s="34">
        <f t="shared" si="304"/>
        <v>0</v>
      </c>
      <c r="AP358" s="34">
        <f t="shared" si="305"/>
        <v>0</v>
      </c>
      <c r="AQ358" s="28" t="s">
        <v>13</v>
      </c>
      <c r="AV358" s="34">
        <f t="shared" si="306"/>
        <v>0</v>
      </c>
      <c r="AW358" s="34">
        <f t="shared" si="307"/>
        <v>0</v>
      </c>
      <c r="AX358" s="34">
        <f t="shared" si="308"/>
        <v>0</v>
      </c>
      <c r="AY358" s="35" t="s">
        <v>3678</v>
      </c>
      <c r="AZ358" s="35" t="s">
        <v>3714</v>
      </c>
      <c r="BA358" s="27" t="s">
        <v>3729</v>
      </c>
      <c r="BC358" s="34">
        <f t="shared" si="309"/>
        <v>0</v>
      </c>
      <c r="BD358" s="34">
        <f t="shared" si="310"/>
        <v>0</v>
      </c>
      <c r="BE358" s="34">
        <v>0</v>
      </c>
      <c r="BF358" s="34">
        <f>358</f>
        <v>358</v>
      </c>
      <c r="BH358" s="18">
        <f t="shared" si="311"/>
        <v>0</v>
      </c>
      <c r="BI358" s="18">
        <f t="shared" si="312"/>
        <v>0</v>
      </c>
      <c r="BJ358" s="18">
        <f t="shared" si="313"/>
        <v>0</v>
      </c>
    </row>
    <row r="359" spans="1:62" x14ac:dyDescent="0.2">
      <c r="A359" s="5" t="s">
        <v>321</v>
      </c>
      <c r="B359" s="5" t="s">
        <v>1511</v>
      </c>
      <c r="C359" s="135" t="s">
        <v>2747</v>
      </c>
      <c r="D359" s="136"/>
      <c r="E359" s="136"/>
      <c r="F359" s="136"/>
      <c r="G359" s="136"/>
      <c r="H359" s="5" t="s">
        <v>3614</v>
      </c>
      <c r="I359" s="18">
        <v>8</v>
      </c>
      <c r="J359" s="18">
        <v>0</v>
      </c>
      <c r="K359" s="18">
        <f t="shared" si="292"/>
        <v>0</v>
      </c>
      <c r="L359" s="28" t="s">
        <v>3635</v>
      </c>
      <c r="Z359" s="34">
        <f t="shared" si="293"/>
        <v>0</v>
      </c>
      <c r="AB359" s="34">
        <f t="shared" si="294"/>
        <v>0</v>
      </c>
      <c r="AC359" s="34">
        <f t="shared" si="295"/>
        <v>0</v>
      </c>
      <c r="AD359" s="34">
        <f t="shared" si="296"/>
        <v>0</v>
      </c>
      <c r="AE359" s="34">
        <f t="shared" si="297"/>
        <v>0</v>
      </c>
      <c r="AF359" s="34">
        <f t="shared" si="298"/>
        <v>0</v>
      </c>
      <c r="AG359" s="34">
        <f t="shared" si="299"/>
        <v>0</v>
      </c>
      <c r="AH359" s="34">
        <f t="shared" si="300"/>
        <v>0</v>
      </c>
      <c r="AI359" s="27" t="s">
        <v>3645</v>
      </c>
      <c r="AJ359" s="18">
        <f t="shared" si="301"/>
        <v>0</v>
      </c>
      <c r="AK359" s="18">
        <f t="shared" si="302"/>
        <v>0</v>
      </c>
      <c r="AL359" s="18">
        <f t="shared" si="303"/>
        <v>0</v>
      </c>
      <c r="AN359" s="34">
        <v>21</v>
      </c>
      <c r="AO359" s="34">
        <f t="shared" si="304"/>
        <v>0</v>
      </c>
      <c r="AP359" s="34">
        <f t="shared" si="305"/>
        <v>0</v>
      </c>
      <c r="AQ359" s="28" t="s">
        <v>13</v>
      </c>
      <c r="AV359" s="34">
        <f t="shared" si="306"/>
        <v>0</v>
      </c>
      <c r="AW359" s="34">
        <f t="shared" si="307"/>
        <v>0</v>
      </c>
      <c r="AX359" s="34">
        <f t="shared" si="308"/>
        <v>0</v>
      </c>
      <c r="AY359" s="35" t="s">
        <v>3678</v>
      </c>
      <c r="AZ359" s="35" t="s">
        <v>3714</v>
      </c>
      <c r="BA359" s="27" t="s">
        <v>3729</v>
      </c>
      <c r="BC359" s="34">
        <f t="shared" si="309"/>
        <v>0</v>
      </c>
      <c r="BD359" s="34">
        <f t="shared" si="310"/>
        <v>0</v>
      </c>
      <c r="BE359" s="34">
        <v>0</v>
      </c>
      <c r="BF359" s="34">
        <f>359</f>
        <v>359</v>
      </c>
      <c r="BH359" s="18">
        <f t="shared" si="311"/>
        <v>0</v>
      </c>
      <c r="BI359" s="18">
        <f t="shared" si="312"/>
        <v>0</v>
      </c>
      <c r="BJ359" s="18">
        <f t="shared" si="313"/>
        <v>0</v>
      </c>
    </row>
    <row r="360" spans="1:62" x14ac:dyDescent="0.2">
      <c r="A360" s="5" t="s">
        <v>322</v>
      </c>
      <c r="B360" s="5" t="s">
        <v>1512</v>
      </c>
      <c r="C360" s="135" t="s">
        <v>2748</v>
      </c>
      <c r="D360" s="136"/>
      <c r="E360" s="136"/>
      <c r="F360" s="136"/>
      <c r="G360" s="136"/>
      <c r="H360" s="5" t="s">
        <v>3612</v>
      </c>
      <c r="I360" s="18">
        <v>62</v>
      </c>
      <c r="J360" s="18">
        <v>0</v>
      </c>
      <c r="K360" s="18">
        <f t="shared" si="292"/>
        <v>0</v>
      </c>
      <c r="L360" s="28" t="s">
        <v>3635</v>
      </c>
      <c r="Z360" s="34">
        <f t="shared" si="293"/>
        <v>0</v>
      </c>
      <c r="AB360" s="34">
        <f t="shared" si="294"/>
        <v>0</v>
      </c>
      <c r="AC360" s="34">
        <f t="shared" si="295"/>
        <v>0</v>
      </c>
      <c r="AD360" s="34">
        <f t="shared" si="296"/>
        <v>0</v>
      </c>
      <c r="AE360" s="34">
        <f t="shared" si="297"/>
        <v>0</v>
      </c>
      <c r="AF360" s="34">
        <f t="shared" si="298"/>
        <v>0</v>
      </c>
      <c r="AG360" s="34">
        <f t="shared" si="299"/>
        <v>0</v>
      </c>
      <c r="AH360" s="34">
        <f t="shared" si="300"/>
        <v>0</v>
      </c>
      <c r="AI360" s="27" t="s">
        <v>3645</v>
      </c>
      <c r="AJ360" s="18">
        <f t="shared" si="301"/>
        <v>0</v>
      </c>
      <c r="AK360" s="18">
        <f t="shared" si="302"/>
        <v>0</v>
      </c>
      <c r="AL360" s="18">
        <f t="shared" si="303"/>
        <v>0</v>
      </c>
      <c r="AN360" s="34">
        <v>21</v>
      </c>
      <c r="AO360" s="34">
        <f t="shared" si="304"/>
        <v>0</v>
      </c>
      <c r="AP360" s="34">
        <f t="shared" si="305"/>
        <v>0</v>
      </c>
      <c r="AQ360" s="28" t="s">
        <v>13</v>
      </c>
      <c r="AV360" s="34">
        <f t="shared" si="306"/>
        <v>0</v>
      </c>
      <c r="AW360" s="34">
        <f t="shared" si="307"/>
        <v>0</v>
      </c>
      <c r="AX360" s="34">
        <f t="shared" si="308"/>
        <v>0</v>
      </c>
      <c r="AY360" s="35" t="s">
        <v>3678</v>
      </c>
      <c r="AZ360" s="35" t="s">
        <v>3714</v>
      </c>
      <c r="BA360" s="27" t="s">
        <v>3729</v>
      </c>
      <c r="BC360" s="34">
        <f t="shared" si="309"/>
        <v>0</v>
      </c>
      <c r="BD360" s="34">
        <f t="shared" si="310"/>
        <v>0</v>
      </c>
      <c r="BE360" s="34">
        <v>0</v>
      </c>
      <c r="BF360" s="34">
        <f>360</f>
        <v>360</v>
      </c>
      <c r="BH360" s="18">
        <f t="shared" si="311"/>
        <v>0</v>
      </c>
      <c r="BI360" s="18">
        <f t="shared" si="312"/>
        <v>0</v>
      </c>
      <c r="BJ360" s="18">
        <f t="shared" si="313"/>
        <v>0</v>
      </c>
    </row>
    <row r="361" spans="1:62" x14ac:dyDescent="0.2">
      <c r="A361" s="5" t="s">
        <v>323</v>
      </c>
      <c r="B361" s="5" t="s">
        <v>1513</v>
      </c>
      <c r="C361" s="135" t="s">
        <v>2749</v>
      </c>
      <c r="D361" s="136"/>
      <c r="E361" s="136"/>
      <c r="F361" s="136"/>
      <c r="G361" s="136"/>
      <c r="H361" s="5" t="s">
        <v>3612</v>
      </c>
      <c r="I361" s="18">
        <v>5</v>
      </c>
      <c r="J361" s="18">
        <v>0</v>
      </c>
      <c r="K361" s="18">
        <f t="shared" si="292"/>
        <v>0</v>
      </c>
      <c r="L361" s="28" t="s">
        <v>3635</v>
      </c>
      <c r="Z361" s="34">
        <f t="shared" si="293"/>
        <v>0</v>
      </c>
      <c r="AB361" s="34">
        <f t="shared" si="294"/>
        <v>0</v>
      </c>
      <c r="AC361" s="34">
        <f t="shared" si="295"/>
        <v>0</v>
      </c>
      <c r="AD361" s="34">
        <f t="shared" si="296"/>
        <v>0</v>
      </c>
      <c r="AE361" s="34">
        <f t="shared" si="297"/>
        <v>0</v>
      </c>
      <c r="AF361" s="34">
        <f t="shared" si="298"/>
        <v>0</v>
      </c>
      <c r="AG361" s="34">
        <f t="shared" si="299"/>
        <v>0</v>
      </c>
      <c r="AH361" s="34">
        <f t="shared" si="300"/>
        <v>0</v>
      </c>
      <c r="AI361" s="27" t="s">
        <v>3645</v>
      </c>
      <c r="AJ361" s="18">
        <f t="shared" si="301"/>
        <v>0</v>
      </c>
      <c r="AK361" s="18">
        <f t="shared" si="302"/>
        <v>0</v>
      </c>
      <c r="AL361" s="18">
        <f t="shared" si="303"/>
        <v>0</v>
      </c>
      <c r="AN361" s="34">
        <v>21</v>
      </c>
      <c r="AO361" s="34">
        <f t="shared" si="304"/>
        <v>0</v>
      </c>
      <c r="AP361" s="34">
        <f t="shared" si="305"/>
        <v>0</v>
      </c>
      <c r="AQ361" s="28" t="s">
        <v>13</v>
      </c>
      <c r="AV361" s="34">
        <f t="shared" si="306"/>
        <v>0</v>
      </c>
      <c r="AW361" s="34">
        <f t="shared" si="307"/>
        <v>0</v>
      </c>
      <c r="AX361" s="34">
        <f t="shared" si="308"/>
        <v>0</v>
      </c>
      <c r="AY361" s="35" t="s">
        <v>3678</v>
      </c>
      <c r="AZ361" s="35" t="s">
        <v>3714</v>
      </c>
      <c r="BA361" s="27" t="s">
        <v>3729</v>
      </c>
      <c r="BC361" s="34">
        <f t="shared" si="309"/>
        <v>0</v>
      </c>
      <c r="BD361" s="34">
        <f t="shared" si="310"/>
        <v>0</v>
      </c>
      <c r="BE361" s="34">
        <v>0</v>
      </c>
      <c r="BF361" s="34">
        <f>361</f>
        <v>361</v>
      </c>
      <c r="BH361" s="18">
        <f t="shared" si="311"/>
        <v>0</v>
      </c>
      <c r="BI361" s="18">
        <f t="shared" si="312"/>
        <v>0</v>
      </c>
      <c r="BJ361" s="18">
        <f t="shared" si="313"/>
        <v>0</v>
      </c>
    </row>
    <row r="362" spans="1:62" x14ac:dyDescent="0.2">
      <c r="A362" s="5" t="s">
        <v>324</v>
      </c>
      <c r="B362" s="5" t="s">
        <v>1514</v>
      </c>
      <c r="C362" s="135" t="s">
        <v>2750</v>
      </c>
      <c r="D362" s="136"/>
      <c r="E362" s="136"/>
      <c r="F362" s="136"/>
      <c r="G362" s="136"/>
      <c r="H362" s="5" t="s">
        <v>3612</v>
      </c>
      <c r="I362" s="18">
        <v>7</v>
      </c>
      <c r="J362" s="18">
        <v>0</v>
      </c>
      <c r="K362" s="18">
        <f t="shared" si="292"/>
        <v>0</v>
      </c>
      <c r="L362" s="28" t="s">
        <v>3635</v>
      </c>
      <c r="Z362" s="34">
        <f t="shared" si="293"/>
        <v>0</v>
      </c>
      <c r="AB362" s="34">
        <f t="shared" si="294"/>
        <v>0</v>
      </c>
      <c r="AC362" s="34">
        <f t="shared" si="295"/>
        <v>0</v>
      </c>
      <c r="AD362" s="34">
        <f t="shared" si="296"/>
        <v>0</v>
      </c>
      <c r="AE362" s="34">
        <f t="shared" si="297"/>
        <v>0</v>
      </c>
      <c r="AF362" s="34">
        <f t="shared" si="298"/>
        <v>0</v>
      </c>
      <c r="AG362" s="34">
        <f t="shared" si="299"/>
        <v>0</v>
      </c>
      <c r="AH362" s="34">
        <f t="shared" si="300"/>
        <v>0</v>
      </c>
      <c r="AI362" s="27" t="s">
        <v>3645</v>
      </c>
      <c r="AJ362" s="18">
        <f t="shared" si="301"/>
        <v>0</v>
      </c>
      <c r="AK362" s="18">
        <f t="shared" si="302"/>
        <v>0</v>
      </c>
      <c r="AL362" s="18">
        <f t="shared" si="303"/>
        <v>0</v>
      </c>
      <c r="AN362" s="34">
        <v>21</v>
      </c>
      <c r="AO362" s="34">
        <f t="shared" si="304"/>
        <v>0</v>
      </c>
      <c r="AP362" s="34">
        <f t="shared" si="305"/>
        <v>0</v>
      </c>
      <c r="AQ362" s="28" t="s">
        <v>13</v>
      </c>
      <c r="AV362" s="34">
        <f t="shared" si="306"/>
        <v>0</v>
      </c>
      <c r="AW362" s="34">
        <f t="shared" si="307"/>
        <v>0</v>
      </c>
      <c r="AX362" s="34">
        <f t="shared" si="308"/>
        <v>0</v>
      </c>
      <c r="AY362" s="35" t="s">
        <v>3678</v>
      </c>
      <c r="AZ362" s="35" t="s">
        <v>3714</v>
      </c>
      <c r="BA362" s="27" t="s">
        <v>3729</v>
      </c>
      <c r="BC362" s="34">
        <f t="shared" si="309"/>
        <v>0</v>
      </c>
      <c r="BD362" s="34">
        <f t="shared" si="310"/>
        <v>0</v>
      </c>
      <c r="BE362" s="34">
        <v>0</v>
      </c>
      <c r="BF362" s="34">
        <f>362</f>
        <v>362</v>
      </c>
      <c r="BH362" s="18">
        <f t="shared" si="311"/>
        <v>0</v>
      </c>
      <c r="BI362" s="18">
        <f t="shared" si="312"/>
        <v>0</v>
      </c>
      <c r="BJ362" s="18">
        <f t="shared" si="313"/>
        <v>0</v>
      </c>
    </row>
    <row r="363" spans="1:62" x14ac:dyDescent="0.2">
      <c r="A363" s="5" t="s">
        <v>325</v>
      </c>
      <c r="B363" s="5" t="s">
        <v>1515</v>
      </c>
      <c r="C363" s="135" t="s">
        <v>2751</v>
      </c>
      <c r="D363" s="136"/>
      <c r="E363" s="136"/>
      <c r="F363" s="136"/>
      <c r="G363" s="136"/>
      <c r="H363" s="5" t="s">
        <v>3612</v>
      </c>
      <c r="I363" s="18">
        <v>1</v>
      </c>
      <c r="J363" s="18">
        <v>0</v>
      </c>
      <c r="K363" s="18">
        <f t="shared" si="292"/>
        <v>0</v>
      </c>
      <c r="L363" s="28" t="s">
        <v>3635</v>
      </c>
      <c r="Z363" s="34">
        <f t="shared" si="293"/>
        <v>0</v>
      </c>
      <c r="AB363" s="34">
        <f t="shared" si="294"/>
        <v>0</v>
      </c>
      <c r="AC363" s="34">
        <f t="shared" si="295"/>
        <v>0</v>
      </c>
      <c r="AD363" s="34">
        <f t="shared" si="296"/>
        <v>0</v>
      </c>
      <c r="AE363" s="34">
        <f t="shared" si="297"/>
        <v>0</v>
      </c>
      <c r="AF363" s="34">
        <f t="shared" si="298"/>
        <v>0</v>
      </c>
      <c r="AG363" s="34">
        <f t="shared" si="299"/>
        <v>0</v>
      </c>
      <c r="AH363" s="34">
        <f t="shared" si="300"/>
        <v>0</v>
      </c>
      <c r="AI363" s="27" t="s">
        <v>3645</v>
      </c>
      <c r="AJ363" s="18">
        <f t="shared" si="301"/>
        <v>0</v>
      </c>
      <c r="AK363" s="18">
        <f t="shared" si="302"/>
        <v>0</v>
      </c>
      <c r="AL363" s="18">
        <f t="shared" si="303"/>
        <v>0</v>
      </c>
      <c r="AN363" s="34">
        <v>21</v>
      </c>
      <c r="AO363" s="34">
        <f t="shared" si="304"/>
        <v>0</v>
      </c>
      <c r="AP363" s="34">
        <f t="shared" si="305"/>
        <v>0</v>
      </c>
      <c r="AQ363" s="28" t="s">
        <v>13</v>
      </c>
      <c r="AV363" s="34">
        <f t="shared" si="306"/>
        <v>0</v>
      </c>
      <c r="AW363" s="34">
        <f t="shared" si="307"/>
        <v>0</v>
      </c>
      <c r="AX363" s="34">
        <f t="shared" si="308"/>
        <v>0</v>
      </c>
      <c r="AY363" s="35" t="s">
        <v>3678</v>
      </c>
      <c r="AZ363" s="35" t="s">
        <v>3714</v>
      </c>
      <c r="BA363" s="27" t="s">
        <v>3729</v>
      </c>
      <c r="BC363" s="34">
        <f t="shared" si="309"/>
        <v>0</v>
      </c>
      <c r="BD363" s="34">
        <f t="shared" si="310"/>
        <v>0</v>
      </c>
      <c r="BE363" s="34">
        <v>0</v>
      </c>
      <c r="BF363" s="34">
        <f>363</f>
        <v>363</v>
      </c>
      <c r="BH363" s="18">
        <f t="shared" si="311"/>
        <v>0</v>
      </c>
      <c r="BI363" s="18">
        <f t="shared" si="312"/>
        <v>0</v>
      </c>
      <c r="BJ363" s="18">
        <f t="shared" si="313"/>
        <v>0</v>
      </c>
    </row>
    <row r="364" spans="1:62" x14ac:dyDescent="0.2">
      <c r="A364" s="5" t="s">
        <v>326</v>
      </c>
      <c r="B364" s="5" t="s">
        <v>1516</v>
      </c>
      <c r="C364" s="135" t="s">
        <v>2752</v>
      </c>
      <c r="D364" s="136"/>
      <c r="E364" s="136"/>
      <c r="F364" s="136"/>
      <c r="G364" s="136"/>
      <c r="H364" s="5" t="s">
        <v>3612</v>
      </c>
      <c r="I364" s="18">
        <v>13</v>
      </c>
      <c r="J364" s="18">
        <v>0</v>
      </c>
      <c r="K364" s="18">
        <f t="shared" si="292"/>
        <v>0</v>
      </c>
      <c r="L364" s="28" t="s">
        <v>3635</v>
      </c>
      <c r="Z364" s="34">
        <f t="shared" si="293"/>
        <v>0</v>
      </c>
      <c r="AB364" s="34">
        <f t="shared" si="294"/>
        <v>0</v>
      </c>
      <c r="AC364" s="34">
        <f t="shared" si="295"/>
        <v>0</v>
      </c>
      <c r="AD364" s="34">
        <f t="shared" si="296"/>
        <v>0</v>
      </c>
      <c r="AE364" s="34">
        <f t="shared" si="297"/>
        <v>0</v>
      </c>
      <c r="AF364" s="34">
        <f t="shared" si="298"/>
        <v>0</v>
      </c>
      <c r="AG364" s="34">
        <f t="shared" si="299"/>
        <v>0</v>
      </c>
      <c r="AH364" s="34">
        <f t="shared" si="300"/>
        <v>0</v>
      </c>
      <c r="AI364" s="27" t="s">
        <v>3645</v>
      </c>
      <c r="AJ364" s="18">
        <f t="shared" si="301"/>
        <v>0</v>
      </c>
      <c r="AK364" s="18">
        <f t="shared" si="302"/>
        <v>0</v>
      </c>
      <c r="AL364" s="18">
        <f t="shared" si="303"/>
        <v>0</v>
      </c>
      <c r="AN364" s="34">
        <v>21</v>
      </c>
      <c r="AO364" s="34">
        <f t="shared" si="304"/>
        <v>0</v>
      </c>
      <c r="AP364" s="34">
        <f t="shared" si="305"/>
        <v>0</v>
      </c>
      <c r="AQ364" s="28" t="s">
        <v>13</v>
      </c>
      <c r="AV364" s="34">
        <f t="shared" si="306"/>
        <v>0</v>
      </c>
      <c r="AW364" s="34">
        <f t="shared" si="307"/>
        <v>0</v>
      </c>
      <c r="AX364" s="34">
        <f t="shared" si="308"/>
        <v>0</v>
      </c>
      <c r="AY364" s="35" t="s">
        <v>3678</v>
      </c>
      <c r="AZ364" s="35" t="s">
        <v>3714</v>
      </c>
      <c r="BA364" s="27" t="s">
        <v>3729</v>
      </c>
      <c r="BC364" s="34">
        <f t="shared" si="309"/>
        <v>0</v>
      </c>
      <c r="BD364" s="34">
        <f t="shared" si="310"/>
        <v>0</v>
      </c>
      <c r="BE364" s="34">
        <v>0</v>
      </c>
      <c r="BF364" s="34">
        <f>364</f>
        <v>364</v>
      </c>
      <c r="BH364" s="18">
        <f t="shared" si="311"/>
        <v>0</v>
      </c>
      <c r="BI364" s="18">
        <f t="shared" si="312"/>
        <v>0</v>
      </c>
      <c r="BJ364" s="18">
        <f t="shared" si="313"/>
        <v>0</v>
      </c>
    </row>
    <row r="365" spans="1:62" x14ac:dyDescent="0.2">
      <c r="A365" s="5" t="s">
        <v>327</v>
      </c>
      <c r="B365" s="5" t="s">
        <v>1517</v>
      </c>
      <c r="C365" s="135" t="s">
        <v>2753</v>
      </c>
      <c r="D365" s="136"/>
      <c r="E365" s="136"/>
      <c r="F365" s="136"/>
      <c r="G365" s="136"/>
      <c r="H365" s="5" t="s">
        <v>3612</v>
      </c>
      <c r="I365" s="18">
        <v>3</v>
      </c>
      <c r="J365" s="18">
        <v>0</v>
      </c>
      <c r="K365" s="18">
        <f t="shared" si="292"/>
        <v>0</v>
      </c>
      <c r="L365" s="28" t="s">
        <v>3635</v>
      </c>
      <c r="Z365" s="34">
        <f t="shared" si="293"/>
        <v>0</v>
      </c>
      <c r="AB365" s="34">
        <f t="shared" si="294"/>
        <v>0</v>
      </c>
      <c r="AC365" s="34">
        <f t="shared" si="295"/>
        <v>0</v>
      </c>
      <c r="AD365" s="34">
        <f t="shared" si="296"/>
        <v>0</v>
      </c>
      <c r="AE365" s="34">
        <f t="shared" si="297"/>
        <v>0</v>
      </c>
      <c r="AF365" s="34">
        <f t="shared" si="298"/>
        <v>0</v>
      </c>
      <c r="AG365" s="34">
        <f t="shared" si="299"/>
        <v>0</v>
      </c>
      <c r="AH365" s="34">
        <f t="shared" si="300"/>
        <v>0</v>
      </c>
      <c r="AI365" s="27" t="s">
        <v>3645</v>
      </c>
      <c r="AJ365" s="18">
        <f t="shared" si="301"/>
        <v>0</v>
      </c>
      <c r="AK365" s="18">
        <f t="shared" si="302"/>
        <v>0</v>
      </c>
      <c r="AL365" s="18">
        <f t="shared" si="303"/>
        <v>0</v>
      </c>
      <c r="AN365" s="34">
        <v>21</v>
      </c>
      <c r="AO365" s="34">
        <f t="shared" si="304"/>
        <v>0</v>
      </c>
      <c r="AP365" s="34">
        <f t="shared" si="305"/>
        <v>0</v>
      </c>
      <c r="AQ365" s="28" t="s">
        <v>13</v>
      </c>
      <c r="AV365" s="34">
        <f t="shared" si="306"/>
        <v>0</v>
      </c>
      <c r="AW365" s="34">
        <f t="shared" si="307"/>
        <v>0</v>
      </c>
      <c r="AX365" s="34">
        <f t="shared" si="308"/>
        <v>0</v>
      </c>
      <c r="AY365" s="35" t="s">
        <v>3678</v>
      </c>
      <c r="AZ365" s="35" t="s">
        <v>3714</v>
      </c>
      <c r="BA365" s="27" t="s">
        <v>3729</v>
      </c>
      <c r="BC365" s="34">
        <f t="shared" si="309"/>
        <v>0</v>
      </c>
      <c r="BD365" s="34">
        <f t="shared" si="310"/>
        <v>0</v>
      </c>
      <c r="BE365" s="34">
        <v>0</v>
      </c>
      <c r="BF365" s="34">
        <f>365</f>
        <v>365</v>
      </c>
      <c r="BH365" s="18">
        <f t="shared" si="311"/>
        <v>0</v>
      </c>
      <c r="BI365" s="18">
        <f t="shared" si="312"/>
        <v>0</v>
      </c>
      <c r="BJ365" s="18">
        <f t="shared" si="313"/>
        <v>0</v>
      </c>
    </row>
    <row r="366" spans="1:62" x14ac:dyDescent="0.2">
      <c r="A366" s="5" t="s">
        <v>328</v>
      </c>
      <c r="B366" s="5" t="s">
        <v>1518</v>
      </c>
      <c r="C366" s="135" t="s">
        <v>2754</v>
      </c>
      <c r="D366" s="136"/>
      <c r="E366" s="136"/>
      <c r="F366" s="136"/>
      <c r="G366" s="136"/>
      <c r="H366" s="5" t="s">
        <v>3612</v>
      </c>
      <c r="I366" s="18">
        <v>4</v>
      </c>
      <c r="J366" s="18">
        <v>0</v>
      </c>
      <c r="K366" s="18">
        <f t="shared" si="292"/>
        <v>0</v>
      </c>
      <c r="L366" s="28" t="s">
        <v>3635</v>
      </c>
      <c r="Z366" s="34">
        <f t="shared" si="293"/>
        <v>0</v>
      </c>
      <c r="AB366" s="34">
        <f t="shared" si="294"/>
        <v>0</v>
      </c>
      <c r="AC366" s="34">
        <f t="shared" si="295"/>
        <v>0</v>
      </c>
      <c r="AD366" s="34">
        <f t="shared" si="296"/>
        <v>0</v>
      </c>
      <c r="AE366" s="34">
        <f t="shared" si="297"/>
        <v>0</v>
      </c>
      <c r="AF366" s="34">
        <f t="shared" si="298"/>
        <v>0</v>
      </c>
      <c r="AG366" s="34">
        <f t="shared" si="299"/>
        <v>0</v>
      </c>
      <c r="AH366" s="34">
        <f t="shared" si="300"/>
        <v>0</v>
      </c>
      <c r="AI366" s="27" t="s">
        <v>3645</v>
      </c>
      <c r="AJ366" s="18">
        <f t="shared" si="301"/>
        <v>0</v>
      </c>
      <c r="AK366" s="18">
        <f t="shared" si="302"/>
        <v>0</v>
      </c>
      <c r="AL366" s="18">
        <f t="shared" si="303"/>
        <v>0</v>
      </c>
      <c r="AN366" s="34">
        <v>21</v>
      </c>
      <c r="AO366" s="34">
        <f t="shared" si="304"/>
        <v>0</v>
      </c>
      <c r="AP366" s="34">
        <f t="shared" si="305"/>
        <v>0</v>
      </c>
      <c r="AQ366" s="28" t="s">
        <v>13</v>
      </c>
      <c r="AV366" s="34">
        <f t="shared" si="306"/>
        <v>0</v>
      </c>
      <c r="AW366" s="34">
        <f t="shared" si="307"/>
        <v>0</v>
      </c>
      <c r="AX366" s="34">
        <f t="shared" si="308"/>
        <v>0</v>
      </c>
      <c r="AY366" s="35" t="s">
        <v>3678</v>
      </c>
      <c r="AZ366" s="35" t="s">
        <v>3714</v>
      </c>
      <c r="BA366" s="27" t="s">
        <v>3729</v>
      </c>
      <c r="BC366" s="34">
        <f t="shared" si="309"/>
        <v>0</v>
      </c>
      <c r="BD366" s="34">
        <f t="shared" si="310"/>
        <v>0</v>
      </c>
      <c r="BE366" s="34">
        <v>0</v>
      </c>
      <c r="BF366" s="34">
        <f>366</f>
        <v>366</v>
      </c>
      <c r="BH366" s="18">
        <f t="shared" si="311"/>
        <v>0</v>
      </c>
      <c r="BI366" s="18">
        <f t="shared" si="312"/>
        <v>0</v>
      </c>
      <c r="BJ366" s="18">
        <f t="shared" si="313"/>
        <v>0</v>
      </c>
    </row>
    <row r="367" spans="1:62" x14ac:dyDescent="0.2">
      <c r="A367" s="5" t="s">
        <v>329</v>
      </c>
      <c r="B367" s="5" t="s">
        <v>1519</v>
      </c>
      <c r="C367" s="135" t="s">
        <v>2755</v>
      </c>
      <c r="D367" s="136"/>
      <c r="E367" s="136"/>
      <c r="F367" s="136"/>
      <c r="G367" s="136"/>
      <c r="H367" s="5" t="s">
        <v>3612</v>
      </c>
      <c r="I367" s="18">
        <v>5</v>
      </c>
      <c r="J367" s="18">
        <v>0</v>
      </c>
      <c r="K367" s="18">
        <f t="shared" si="292"/>
        <v>0</v>
      </c>
      <c r="L367" s="28" t="s">
        <v>3635</v>
      </c>
      <c r="Z367" s="34">
        <f t="shared" si="293"/>
        <v>0</v>
      </c>
      <c r="AB367" s="34">
        <f t="shared" si="294"/>
        <v>0</v>
      </c>
      <c r="AC367" s="34">
        <f t="shared" si="295"/>
        <v>0</v>
      </c>
      <c r="AD367" s="34">
        <f t="shared" si="296"/>
        <v>0</v>
      </c>
      <c r="AE367" s="34">
        <f t="shared" si="297"/>
        <v>0</v>
      </c>
      <c r="AF367" s="34">
        <f t="shared" si="298"/>
        <v>0</v>
      </c>
      <c r="AG367" s="34">
        <f t="shared" si="299"/>
        <v>0</v>
      </c>
      <c r="AH367" s="34">
        <f t="shared" si="300"/>
        <v>0</v>
      </c>
      <c r="AI367" s="27" t="s">
        <v>3645</v>
      </c>
      <c r="AJ367" s="18">
        <f t="shared" si="301"/>
        <v>0</v>
      </c>
      <c r="AK367" s="18">
        <f t="shared" si="302"/>
        <v>0</v>
      </c>
      <c r="AL367" s="18">
        <f t="shared" si="303"/>
        <v>0</v>
      </c>
      <c r="AN367" s="34">
        <v>21</v>
      </c>
      <c r="AO367" s="34">
        <f t="shared" si="304"/>
        <v>0</v>
      </c>
      <c r="AP367" s="34">
        <f t="shared" si="305"/>
        <v>0</v>
      </c>
      <c r="AQ367" s="28" t="s">
        <v>13</v>
      </c>
      <c r="AV367" s="34">
        <f t="shared" si="306"/>
        <v>0</v>
      </c>
      <c r="AW367" s="34">
        <f t="shared" si="307"/>
        <v>0</v>
      </c>
      <c r="AX367" s="34">
        <f t="shared" si="308"/>
        <v>0</v>
      </c>
      <c r="AY367" s="35" t="s">
        <v>3678</v>
      </c>
      <c r="AZ367" s="35" t="s">
        <v>3714</v>
      </c>
      <c r="BA367" s="27" t="s">
        <v>3729</v>
      </c>
      <c r="BC367" s="34">
        <f t="shared" si="309"/>
        <v>0</v>
      </c>
      <c r="BD367" s="34">
        <f t="shared" si="310"/>
        <v>0</v>
      </c>
      <c r="BE367" s="34">
        <v>0</v>
      </c>
      <c r="BF367" s="34">
        <f>367</f>
        <v>367</v>
      </c>
      <c r="BH367" s="18">
        <f t="shared" si="311"/>
        <v>0</v>
      </c>
      <c r="BI367" s="18">
        <f t="shared" si="312"/>
        <v>0</v>
      </c>
      <c r="BJ367" s="18">
        <f t="shared" si="313"/>
        <v>0</v>
      </c>
    </row>
    <row r="368" spans="1:62" x14ac:dyDescent="0.2">
      <c r="A368" s="5" t="s">
        <v>330</v>
      </c>
      <c r="B368" s="5" t="s">
        <v>1520</v>
      </c>
      <c r="C368" s="135" t="s">
        <v>2756</v>
      </c>
      <c r="D368" s="136"/>
      <c r="E368" s="136"/>
      <c r="F368" s="136"/>
      <c r="G368" s="136"/>
      <c r="H368" s="5" t="s">
        <v>3614</v>
      </c>
      <c r="I368" s="18">
        <v>11.5</v>
      </c>
      <c r="J368" s="18">
        <v>0</v>
      </c>
      <c r="K368" s="18">
        <f t="shared" si="292"/>
        <v>0</v>
      </c>
      <c r="L368" s="28" t="s">
        <v>3635</v>
      </c>
      <c r="Z368" s="34">
        <f t="shared" si="293"/>
        <v>0</v>
      </c>
      <c r="AB368" s="34">
        <f t="shared" si="294"/>
        <v>0</v>
      </c>
      <c r="AC368" s="34">
        <f t="shared" si="295"/>
        <v>0</v>
      </c>
      <c r="AD368" s="34">
        <f t="shared" si="296"/>
        <v>0</v>
      </c>
      <c r="AE368" s="34">
        <f t="shared" si="297"/>
        <v>0</v>
      </c>
      <c r="AF368" s="34">
        <f t="shared" si="298"/>
        <v>0</v>
      </c>
      <c r="AG368" s="34">
        <f t="shared" si="299"/>
        <v>0</v>
      </c>
      <c r="AH368" s="34">
        <f t="shared" si="300"/>
        <v>0</v>
      </c>
      <c r="AI368" s="27" t="s">
        <v>3645</v>
      </c>
      <c r="AJ368" s="18">
        <f t="shared" si="301"/>
        <v>0</v>
      </c>
      <c r="AK368" s="18">
        <f t="shared" si="302"/>
        <v>0</v>
      </c>
      <c r="AL368" s="18">
        <f t="shared" si="303"/>
        <v>0</v>
      </c>
      <c r="AN368" s="34">
        <v>21</v>
      </c>
      <c r="AO368" s="34">
        <f t="shared" si="304"/>
        <v>0</v>
      </c>
      <c r="AP368" s="34">
        <f t="shared" si="305"/>
        <v>0</v>
      </c>
      <c r="AQ368" s="28" t="s">
        <v>13</v>
      </c>
      <c r="AV368" s="34">
        <f t="shared" si="306"/>
        <v>0</v>
      </c>
      <c r="AW368" s="34">
        <f t="shared" si="307"/>
        <v>0</v>
      </c>
      <c r="AX368" s="34">
        <f t="shared" si="308"/>
        <v>0</v>
      </c>
      <c r="AY368" s="35" t="s">
        <v>3678</v>
      </c>
      <c r="AZ368" s="35" t="s">
        <v>3714</v>
      </c>
      <c r="BA368" s="27" t="s">
        <v>3729</v>
      </c>
      <c r="BC368" s="34">
        <f t="shared" si="309"/>
        <v>0</v>
      </c>
      <c r="BD368" s="34">
        <f t="shared" si="310"/>
        <v>0</v>
      </c>
      <c r="BE368" s="34">
        <v>0</v>
      </c>
      <c r="BF368" s="34">
        <f>368</f>
        <v>368</v>
      </c>
      <c r="BH368" s="18">
        <f t="shared" si="311"/>
        <v>0</v>
      </c>
      <c r="BI368" s="18">
        <f t="shared" si="312"/>
        <v>0</v>
      </c>
      <c r="BJ368" s="18">
        <f t="shared" si="313"/>
        <v>0</v>
      </c>
    </row>
    <row r="369" spans="1:62" x14ac:dyDescent="0.2">
      <c r="A369" s="5" t="s">
        <v>331</v>
      </c>
      <c r="B369" s="5" t="s">
        <v>1521</v>
      </c>
      <c r="C369" s="135" t="s">
        <v>2757</v>
      </c>
      <c r="D369" s="136"/>
      <c r="E369" s="136"/>
      <c r="F369" s="136"/>
      <c r="G369" s="136"/>
      <c r="H369" s="5" t="s">
        <v>3614</v>
      </c>
      <c r="I369" s="18">
        <v>5.5</v>
      </c>
      <c r="J369" s="18">
        <v>0</v>
      </c>
      <c r="K369" s="18">
        <f t="shared" si="292"/>
        <v>0</v>
      </c>
      <c r="L369" s="28" t="s">
        <v>3635</v>
      </c>
      <c r="Z369" s="34">
        <f t="shared" si="293"/>
        <v>0</v>
      </c>
      <c r="AB369" s="34">
        <f t="shared" si="294"/>
        <v>0</v>
      </c>
      <c r="AC369" s="34">
        <f t="shared" si="295"/>
        <v>0</v>
      </c>
      <c r="AD369" s="34">
        <f t="shared" si="296"/>
        <v>0</v>
      </c>
      <c r="AE369" s="34">
        <f t="shared" si="297"/>
        <v>0</v>
      </c>
      <c r="AF369" s="34">
        <f t="shared" si="298"/>
        <v>0</v>
      </c>
      <c r="AG369" s="34">
        <f t="shared" si="299"/>
        <v>0</v>
      </c>
      <c r="AH369" s="34">
        <f t="shared" si="300"/>
        <v>0</v>
      </c>
      <c r="AI369" s="27" t="s">
        <v>3645</v>
      </c>
      <c r="AJ369" s="18">
        <f t="shared" si="301"/>
        <v>0</v>
      </c>
      <c r="AK369" s="18">
        <f t="shared" si="302"/>
        <v>0</v>
      </c>
      <c r="AL369" s="18">
        <f t="shared" si="303"/>
        <v>0</v>
      </c>
      <c r="AN369" s="34">
        <v>21</v>
      </c>
      <c r="AO369" s="34">
        <f t="shared" si="304"/>
        <v>0</v>
      </c>
      <c r="AP369" s="34">
        <f t="shared" si="305"/>
        <v>0</v>
      </c>
      <c r="AQ369" s="28" t="s">
        <v>13</v>
      </c>
      <c r="AV369" s="34">
        <f t="shared" si="306"/>
        <v>0</v>
      </c>
      <c r="AW369" s="34">
        <f t="shared" si="307"/>
        <v>0</v>
      </c>
      <c r="AX369" s="34">
        <f t="shared" si="308"/>
        <v>0</v>
      </c>
      <c r="AY369" s="35" t="s">
        <v>3678</v>
      </c>
      <c r="AZ369" s="35" t="s">
        <v>3714</v>
      </c>
      <c r="BA369" s="27" t="s">
        <v>3729</v>
      </c>
      <c r="BC369" s="34">
        <f t="shared" si="309"/>
        <v>0</v>
      </c>
      <c r="BD369" s="34">
        <f t="shared" si="310"/>
        <v>0</v>
      </c>
      <c r="BE369" s="34">
        <v>0</v>
      </c>
      <c r="BF369" s="34">
        <f>369</f>
        <v>369</v>
      </c>
      <c r="BH369" s="18">
        <f t="shared" si="311"/>
        <v>0</v>
      </c>
      <c r="BI369" s="18">
        <f t="shared" si="312"/>
        <v>0</v>
      </c>
      <c r="BJ369" s="18">
        <f t="shared" si="313"/>
        <v>0</v>
      </c>
    </row>
    <row r="370" spans="1:62" x14ac:dyDescent="0.2">
      <c r="A370" s="5" t="s">
        <v>332</v>
      </c>
      <c r="B370" s="5" t="s">
        <v>1522</v>
      </c>
      <c r="C370" s="135" t="s">
        <v>2758</v>
      </c>
      <c r="D370" s="136"/>
      <c r="E370" s="136"/>
      <c r="F370" s="136"/>
      <c r="G370" s="136"/>
      <c r="H370" s="5" t="s">
        <v>3612</v>
      </c>
      <c r="I370" s="18">
        <v>7</v>
      </c>
      <c r="J370" s="18">
        <v>0</v>
      </c>
      <c r="K370" s="18">
        <f t="shared" si="292"/>
        <v>0</v>
      </c>
      <c r="L370" s="28" t="s">
        <v>3635</v>
      </c>
      <c r="Z370" s="34">
        <f t="shared" si="293"/>
        <v>0</v>
      </c>
      <c r="AB370" s="34">
        <f t="shared" si="294"/>
        <v>0</v>
      </c>
      <c r="AC370" s="34">
        <f t="shared" si="295"/>
        <v>0</v>
      </c>
      <c r="AD370" s="34">
        <f t="shared" si="296"/>
        <v>0</v>
      </c>
      <c r="AE370" s="34">
        <f t="shared" si="297"/>
        <v>0</v>
      </c>
      <c r="AF370" s="34">
        <f t="shared" si="298"/>
        <v>0</v>
      </c>
      <c r="AG370" s="34">
        <f t="shared" si="299"/>
        <v>0</v>
      </c>
      <c r="AH370" s="34">
        <f t="shared" si="300"/>
        <v>0</v>
      </c>
      <c r="AI370" s="27" t="s">
        <v>3645</v>
      </c>
      <c r="AJ370" s="18">
        <f t="shared" si="301"/>
        <v>0</v>
      </c>
      <c r="AK370" s="18">
        <f t="shared" si="302"/>
        <v>0</v>
      </c>
      <c r="AL370" s="18">
        <f t="shared" si="303"/>
        <v>0</v>
      </c>
      <c r="AN370" s="34">
        <v>21</v>
      </c>
      <c r="AO370" s="34">
        <f t="shared" si="304"/>
        <v>0</v>
      </c>
      <c r="AP370" s="34">
        <f t="shared" si="305"/>
        <v>0</v>
      </c>
      <c r="AQ370" s="28" t="s">
        <v>13</v>
      </c>
      <c r="AV370" s="34">
        <f t="shared" si="306"/>
        <v>0</v>
      </c>
      <c r="AW370" s="34">
        <f t="shared" si="307"/>
        <v>0</v>
      </c>
      <c r="AX370" s="34">
        <f t="shared" si="308"/>
        <v>0</v>
      </c>
      <c r="AY370" s="35" t="s">
        <v>3678</v>
      </c>
      <c r="AZ370" s="35" t="s">
        <v>3714</v>
      </c>
      <c r="BA370" s="27" t="s">
        <v>3729</v>
      </c>
      <c r="BC370" s="34">
        <f t="shared" si="309"/>
        <v>0</v>
      </c>
      <c r="BD370" s="34">
        <f t="shared" si="310"/>
        <v>0</v>
      </c>
      <c r="BE370" s="34">
        <v>0</v>
      </c>
      <c r="BF370" s="34">
        <f>370</f>
        <v>370</v>
      </c>
      <c r="BH370" s="18">
        <f t="shared" si="311"/>
        <v>0</v>
      </c>
      <c r="BI370" s="18">
        <f t="shared" si="312"/>
        <v>0</v>
      </c>
      <c r="BJ370" s="18">
        <f t="shared" si="313"/>
        <v>0</v>
      </c>
    </row>
    <row r="371" spans="1:62" x14ac:dyDescent="0.2">
      <c r="A371" s="5" t="s">
        <v>333</v>
      </c>
      <c r="B371" s="5" t="s">
        <v>1523</v>
      </c>
      <c r="C371" s="135" t="s">
        <v>2759</v>
      </c>
      <c r="D371" s="136"/>
      <c r="E371" s="136"/>
      <c r="F371" s="136"/>
      <c r="G371" s="136"/>
      <c r="H371" s="5" t="s">
        <v>3612</v>
      </c>
      <c r="I371" s="18">
        <v>4</v>
      </c>
      <c r="J371" s="18">
        <v>0</v>
      </c>
      <c r="K371" s="18">
        <f t="shared" ref="K371:K402" si="314">I371*J371</f>
        <v>0</v>
      </c>
      <c r="L371" s="28" t="s">
        <v>3635</v>
      </c>
      <c r="Z371" s="34">
        <f t="shared" ref="Z371:Z402" si="315">IF(AQ371="5",BJ371,0)</f>
        <v>0</v>
      </c>
      <c r="AB371" s="34">
        <f t="shared" ref="AB371:AB402" si="316">IF(AQ371="1",BH371,0)</f>
        <v>0</v>
      </c>
      <c r="AC371" s="34">
        <f t="shared" ref="AC371:AC402" si="317">IF(AQ371="1",BI371,0)</f>
        <v>0</v>
      </c>
      <c r="AD371" s="34">
        <f t="shared" ref="AD371:AD402" si="318">IF(AQ371="7",BH371,0)</f>
        <v>0</v>
      </c>
      <c r="AE371" s="34">
        <f t="shared" ref="AE371:AE402" si="319">IF(AQ371="7",BI371,0)</f>
        <v>0</v>
      </c>
      <c r="AF371" s="34">
        <f t="shared" ref="AF371:AF402" si="320">IF(AQ371="2",BH371,0)</f>
        <v>0</v>
      </c>
      <c r="AG371" s="34">
        <f t="shared" ref="AG371:AG402" si="321">IF(AQ371="2",BI371,0)</f>
        <v>0</v>
      </c>
      <c r="AH371" s="34">
        <f t="shared" ref="AH371:AH402" si="322">IF(AQ371="0",BJ371,0)</f>
        <v>0</v>
      </c>
      <c r="AI371" s="27" t="s">
        <v>3645</v>
      </c>
      <c r="AJ371" s="18">
        <f t="shared" ref="AJ371:AJ402" si="323">IF(AN371=0,K371,0)</f>
        <v>0</v>
      </c>
      <c r="AK371" s="18">
        <f t="shared" ref="AK371:AK402" si="324">IF(AN371=15,K371,0)</f>
        <v>0</v>
      </c>
      <c r="AL371" s="18">
        <f t="shared" ref="AL371:AL402" si="325">IF(AN371=21,K371,0)</f>
        <v>0</v>
      </c>
      <c r="AN371" s="34">
        <v>21</v>
      </c>
      <c r="AO371" s="34">
        <f t="shared" ref="AO371:AO402" si="326">J371*0</f>
        <v>0</v>
      </c>
      <c r="AP371" s="34">
        <f t="shared" ref="AP371:AP402" si="327">J371*(1-0)</f>
        <v>0</v>
      </c>
      <c r="AQ371" s="28" t="s">
        <v>13</v>
      </c>
      <c r="AV371" s="34">
        <f t="shared" ref="AV371:AV402" si="328">AW371+AX371</f>
        <v>0</v>
      </c>
      <c r="AW371" s="34">
        <f t="shared" ref="AW371:AW402" si="329">I371*AO371</f>
        <v>0</v>
      </c>
      <c r="AX371" s="34">
        <f t="shared" ref="AX371:AX402" si="330">I371*AP371</f>
        <v>0</v>
      </c>
      <c r="AY371" s="35" t="s">
        <v>3678</v>
      </c>
      <c r="AZ371" s="35" t="s">
        <v>3714</v>
      </c>
      <c r="BA371" s="27" t="s">
        <v>3729</v>
      </c>
      <c r="BC371" s="34">
        <f t="shared" ref="BC371:BC402" si="331">AW371+AX371</f>
        <v>0</v>
      </c>
      <c r="BD371" s="34">
        <f t="shared" ref="BD371:BD402" si="332">J371/(100-BE371)*100</f>
        <v>0</v>
      </c>
      <c r="BE371" s="34">
        <v>0</v>
      </c>
      <c r="BF371" s="34">
        <f>371</f>
        <v>371</v>
      </c>
      <c r="BH371" s="18">
        <f t="shared" ref="BH371:BH402" si="333">I371*AO371</f>
        <v>0</v>
      </c>
      <c r="BI371" s="18">
        <f t="shared" ref="BI371:BI402" si="334">I371*AP371</f>
        <v>0</v>
      </c>
      <c r="BJ371" s="18">
        <f t="shared" ref="BJ371:BJ402" si="335">I371*J371</f>
        <v>0</v>
      </c>
    </row>
    <row r="372" spans="1:62" x14ac:dyDescent="0.2">
      <c r="A372" s="5" t="s">
        <v>334</v>
      </c>
      <c r="B372" s="5" t="s">
        <v>1524</v>
      </c>
      <c r="C372" s="135" t="s">
        <v>2760</v>
      </c>
      <c r="D372" s="136"/>
      <c r="E372" s="136"/>
      <c r="F372" s="136"/>
      <c r="G372" s="136"/>
      <c r="H372" s="5" t="s">
        <v>3612</v>
      </c>
      <c r="I372" s="18">
        <v>12</v>
      </c>
      <c r="J372" s="18">
        <v>0</v>
      </c>
      <c r="K372" s="18">
        <f t="shared" si="314"/>
        <v>0</v>
      </c>
      <c r="L372" s="28" t="s">
        <v>3635</v>
      </c>
      <c r="Z372" s="34">
        <f t="shared" si="315"/>
        <v>0</v>
      </c>
      <c r="AB372" s="34">
        <f t="shared" si="316"/>
        <v>0</v>
      </c>
      <c r="AC372" s="34">
        <f t="shared" si="317"/>
        <v>0</v>
      </c>
      <c r="AD372" s="34">
        <f t="shared" si="318"/>
        <v>0</v>
      </c>
      <c r="AE372" s="34">
        <f t="shared" si="319"/>
        <v>0</v>
      </c>
      <c r="AF372" s="34">
        <f t="shared" si="320"/>
        <v>0</v>
      </c>
      <c r="AG372" s="34">
        <f t="shared" si="321"/>
        <v>0</v>
      </c>
      <c r="AH372" s="34">
        <f t="shared" si="322"/>
        <v>0</v>
      </c>
      <c r="AI372" s="27" t="s">
        <v>3645</v>
      </c>
      <c r="AJ372" s="18">
        <f t="shared" si="323"/>
        <v>0</v>
      </c>
      <c r="AK372" s="18">
        <f t="shared" si="324"/>
        <v>0</v>
      </c>
      <c r="AL372" s="18">
        <f t="shared" si="325"/>
        <v>0</v>
      </c>
      <c r="AN372" s="34">
        <v>21</v>
      </c>
      <c r="AO372" s="34">
        <f t="shared" si="326"/>
        <v>0</v>
      </c>
      <c r="AP372" s="34">
        <f t="shared" si="327"/>
        <v>0</v>
      </c>
      <c r="AQ372" s="28" t="s">
        <v>13</v>
      </c>
      <c r="AV372" s="34">
        <f t="shared" si="328"/>
        <v>0</v>
      </c>
      <c r="AW372" s="34">
        <f t="shared" si="329"/>
        <v>0</v>
      </c>
      <c r="AX372" s="34">
        <f t="shared" si="330"/>
        <v>0</v>
      </c>
      <c r="AY372" s="35" t="s">
        <v>3678</v>
      </c>
      <c r="AZ372" s="35" t="s">
        <v>3714</v>
      </c>
      <c r="BA372" s="27" t="s">
        <v>3729</v>
      </c>
      <c r="BC372" s="34">
        <f t="shared" si="331"/>
        <v>0</v>
      </c>
      <c r="BD372" s="34">
        <f t="shared" si="332"/>
        <v>0</v>
      </c>
      <c r="BE372" s="34">
        <v>0</v>
      </c>
      <c r="BF372" s="34">
        <f>372</f>
        <v>372</v>
      </c>
      <c r="BH372" s="18">
        <f t="shared" si="333"/>
        <v>0</v>
      </c>
      <c r="BI372" s="18">
        <f t="shared" si="334"/>
        <v>0</v>
      </c>
      <c r="BJ372" s="18">
        <f t="shared" si="335"/>
        <v>0</v>
      </c>
    </row>
    <row r="373" spans="1:62" x14ac:dyDescent="0.2">
      <c r="A373" s="5" t="s">
        <v>335</v>
      </c>
      <c r="B373" s="5" t="s">
        <v>1525</v>
      </c>
      <c r="C373" s="135" t="s">
        <v>2761</v>
      </c>
      <c r="D373" s="136"/>
      <c r="E373" s="136"/>
      <c r="F373" s="136"/>
      <c r="G373" s="136"/>
      <c r="H373" s="5" t="s">
        <v>3612</v>
      </c>
      <c r="I373" s="18">
        <v>5</v>
      </c>
      <c r="J373" s="18">
        <v>0</v>
      </c>
      <c r="K373" s="18">
        <f t="shared" si="314"/>
        <v>0</v>
      </c>
      <c r="L373" s="28" t="s">
        <v>3635</v>
      </c>
      <c r="Z373" s="34">
        <f t="shared" si="315"/>
        <v>0</v>
      </c>
      <c r="AB373" s="34">
        <f t="shared" si="316"/>
        <v>0</v>
      </c>
      <c r="AC373" s="34">
        <f t="shared" si="317"/>
        <v>0</v>
      </c>
      <c r="AD373" s="34">
        <f t="shared" si="318"/>
        <v>0</v>
      </c>
      <c r="AE373" s="34">
        <f t="shared" si="319"/>
        <v>0</v>
      </c>
      <c r="AF373" s="34">
        <f t="shared" si="320"/>
        <v>0</v>
      </c>
      <c r="AG373" s="34">
        <f t="shared" si="321"/>
        <v>0</v>
      </c>
      <c r="AH373" s="34">
        <f t="shared" si="322"/>
        <v>0</v>
      </c>
      <c r="AI373" s="27" t="s">
        <v>3645</v>
      </c>
      <c r="AJ373" s="18">
        <f t="shared" si="323"/>
        <v>0</v>
      </c>
      <c r="AK373" s="18">
        <f t="shared" si="324"/>
        <v>0</v>
      </c>
      <c r="AL373" s="18">
        <f t="shared" si="325"/>
        <v>0</v>
      </c>
      <c r="AN373" s="34">
        <v>21</v>
      </c>
      <c r="AO373" s="34">
        <f t="shared" si="326"/>
        <v>0</v>
      </c>
      <c r="AP373" s="34">
        <f t="shared" si="327"/>
        <v>0</v>
      </c>
      <c r="AQ373" s="28" t="s">
        <v>13</v>
      </c>
      <c r="AV373" s="34">
        <f t="shared" si="328"/>
        <v>0</v>
      </c>
      <c r="AW373" s="34">
        <f t="shared" si="329"/>
        <v>0</v>
      </c>
      <c r="AX373" s="34">
        <f t="shared" si="330"/>
        <v>0</v>
      </c>
      <c r="AY373" s="35" t="s">
        <v>3678</v>
      </c>
      <c r="AZ373" s="35" t="s">
        <v>3714</v>
      </c>
      <c r="BA373" s="27" t="s">
        <v>3729</v>
      </c>
      <c r="BC373" s="34">
        <f t="shared" si="331"/>
        <v>0</v>
      </c>
      <c r="BD373" s="34">
        <f t="shared" si="332"/>
        <v>0</v>
      </c>
      <c r="BE373" s="34">
        <v>0</v>
      </c>
      <c r="BF373" s="34">
        <f>373</f>
        <v>373</v>
      </c>
      <c r="BH373" s="18">
        <f t="shared" si="333"/>
        <v>0</v>
      </c>
      <c r="BI373" s="18">
        <f t="shared" si="334"/>
        <v>0</v>
      </c>
      <c r="BJ373" s="18">
        <f t="shared" si="335"/>
        <v>0</v>
      </c>
    </row>
    <row r="374" spans="1:62" x14ac:dyDescent="0.2">
      <c r="A374" s="5" t="s">
        <v>336</v>
      </c>
      <c r="B374" s="5" t="s">
        <v>1526</v>
      </c>
      <c r="C374" s="135" t="s">
        <v>2762</v>
      </c>
      <c r="D374" s="136"/>
      <c r="E374" s="136"/>
      <c r="F374" s="136"/>
      <c r="G374" s="136"/>
      <c r="H374" s="5" t="s">
        <v>3612</v>
      </c>
      <c r="I374" s="18">
        <v>3</v>
      </c>
      <c r="J374" s="18">
        <v>0</v>
      </c>
      <c r="K374" s="18">
        <f t="shared" si="314"/>
        <v>0</v>
      </c>
      <c r="L374" s="28" t="s">
        <v>3635</v>
      </c>
      <c r="Z374" s="34">
        <f t="shared" si="315"/>
        <v>0</v>
      </c>
      <c r="AB374" s="34">
        <f t="shared" si="316"/>
        <v>0</v>
      </c>
      <c r="AC374" s="34">
        <f t="shared" si="317"/>
        <v>0</v>
      </c>
      <c r="AD374" s="34">
        <f t="shared" si="318"/>
        <v>0</v>
      </c>
      <c r="AE374" s="34">
        <f t="shared" si="319"/>
        <v>0</v>
      </c>
      <c r="AF374" s="34">
        <f t="shared" si="320"/>
        <v>0</v>
      </c>
      <c r="AG374" s="34">
        <f t="shared" si="321"/>
        <v>0</v>
      </c>
      <c r="AH374" s="34">
        <f t="shared" si="322"/>
        <v>0</v>
      </c>
      <c r="AI374" s="27" t="s">
        <v>3645</v>
      </c>
      <c r="AJ374" s="18">
        <f t="shared" si="323"/>
        <v>0</v>
      </c>
      <c r="AK374" s="18">
        <f t="shared" si="324"/>
        <v>0</v>
      </c>
      <c r="AL374" s="18">
        <f t="shared" si="325"/>
        <v>0</v>
      </c>
      <c r="AN374" s="34">
        <v>21</v>
      </c>
      <c r="AO374" s="34">
        <f t="shared" si="326"/>
        <v>0</v>
      </c>
      <c r="AP374" s="34">
        <f t="shared" si="327"/>
        <v>0</v>
      </c>
      <c r="AQ374" s="28" t="s">
        <v>13</v>
      </c>
      <c r="AV374" s="34">
        <f t="shared" si="328"/>
        <v>0</v>
      </c>
      <c r="AW374" s="34">
        <f t="shared" si="329"/>
        <v>0</v>
      </c>
      <c r="AX374" s="34">
        <f t="shared" si="330"/>
        <v>0</v>
      </c>
      <c r="AY374" s="35" t="s">
        <v>3678</v>
      </c>
      <c r="AZ374" s="35" t="s">
        <v>3714</v>
      </c>
      <c r="BA374" s="27" t="s">
        <v>3729</v>
      </c>
      <c r="BC374" s="34">
        <f t="shared" si="331"/>
        <v>0</v>
      </c>
      <c r="BD374" s="34">
        <f t="shared" si="332"/>
        <v>0</v>
      </c>
      <c r="BE374" s="34">
        <v>0</v>
      </c>
      <c r="BF374" s="34">
        <f>374</f>
        <v>374</v>
      </c>
      <c r="BH374" s="18">
        <f t="shared" si="333"/>
        <v>0</v>
      </c>
      <c r="BI374" s="18">
        <f t="shared" si="334"/>
        <v>0</v>
      </c>
      <c r="BJ374" s="18">
        <f t="shared" si="335"/>
        <v>0</v>
      </c>
    </row>
    <row r="375" spans="1:62" x14ac:dyDescent="0.2">
      <c r="A375" s="5" t="s">
        <v>337</v>
      </c>
      <c r="B375" s="5" t="s">
        <v>1527</v>
      </c>
      <c r="C375" s="135" t="s">
        <v>2763</v>
      </c>
      <c r="D375" s="136"/>
      <c r="E375" s="136"/>
      <c r="F375" s="136"/>
      <c r="G375" s="136"/>
      <c r="H375" s="5" t="s">
        <v>3612</v>
      </c>
      <c r="I375" s="18">
        <v>1</v>
      </c>
      <c r="J375" s="18">
        <v>0</v>
      </c>
      <c r="K375" s="18">
        <f t="shared" si="314"/>
        <v>0</v>
      </c>
      <c r="L375" s="28" t="s">
        <v>3635</v>
      </c>
      <c r="Z375" s="34">
        <f t="shared" si="315"/>
        <v>0</v>
      </c>
      <c r="AB375" s="34">
        <f t="shared" si="316"/>
        <v>0</v>
      </c>
      <c r="AC375" s="34">
        <f t="shared" si="317"/>
        <v>0</v>
      </c>
      <c r="AD375" s="34">
        <f t="shared" si="318"/>
        <v>0</v>
      </c>
      <c r="AE375" s="34">
        <f t="shared" si="319"/>
        <v>0</v>
      </c>
      <c r="AF375" s="34">
        <f t="shared" si="320"/>
        <v>0</v>
      </c>
      <c r="AG375" s="34">
        <f t="shared" si="321"/>
        <v>0</v>
      </c>
      <c r="AH375" s="34">
        <f t="shared" si="322"/>
        <v>0</v>
      </c>
      <c r="AI375" s="27" t="s">
        <v>3645</v>
      </c>
      <c r="AJ375" s="18">
        <f t="shared" si="323"/>
        <v>0</v>
      </c>
      <c r="AK375" s="18">
        <f t="shared" si="324"/>
        <v>0</v>
      </c>
      <c r="AL375" s="18">
        <f t="shared" si="325"/>
        <v>0</v>
      </c>
      <c r="AN375" s="34">
        <v>21</v>
      </c>
      <c r="AO375" s="34">
        <f t="shared" si="326"/>
        <v>0</v>
      </c>
      <c r="AP375" s="34">
        <f t="shared" si="327"/>
        <v>0</v>
      </c>
      <c r="AQ375" s="28" t="s">
        <v>13</v>
      </c>
      <c r="AV375" s="34">
        <f t="shared" si="328"/>
        <v>0</v>
      </c>
      <c r="AW375" s="34">
        <f t="shared" si="329"/>
        <v>0</v>
      </c>
      <c r="AX375" s="34">
        <f t="shared" si="330"/>
        <v>0</v>
      </c>
      <c r="AY375" s="35" t="s">
        <v>3678</v>
      </c>
      <c r="AZ375" s="35" t="s">
        <v>3714</v>
      </c>
      <c r="BA375" s="27" t="s">
        <v>3729</v>
      </c>
      <c r="BC375" s="34">
        <f t="shared" si="331"/>
        <v>0</v>
      </c>
      <c r="BD375" s="34">
        <f t="shared" si="332"/>
        <v>0</v>
      </c>
      <c r="BE375" s="34">
        <v>0</v>
      </c>
      <c r="BF375" s="34">
        <f>375</f>
        <v>375</v>
      </c>
      <c r="BH375" s="18">
        <f t="shared" si="333"/>
        <v>0</v>
      </c>
      <c r="BI375" s="18">
        <f t="shared" si="334"/>
        <v>0</v>
      </c>
      <c r="BJ375" s="18">
        <f t="shared" si="335"/>
        <v>0</v>
      </c>
    </row>
    <row r="376" spans="1:62" x14ac:dyDescent="0.2">
      <c r="A376" s="5" t="s">
        <v>338</v>
      </c>
      <c r="B376" s="5" t="s">
        <v>1528</v>
      </c>
      <c r="C376" s="135" t="s">
        <v>2764</v>
      </c>
      <c r="D376" s="136"/>
      <c r="E376" s="136"/>
      <c r="F376" s="136"/>
      <c r="G376" s="136"/>
      <c r="H376" s="5" t="s">
        <v>3612</v>
      </c>
      <c r="I376" s="18">
        <v>3</v>
      </c>
      <c r="J376" s="18">
        <v>0</v>
      </c>
      <c r="K376" s="18">
        <f t="shared" si="314"/>
        <v>0</v>
      </c>
      <c r="L376" s="28" t="s">
        <v>3635</v>
      </c>
      <c r="Z376" s="34">
        <f t="shared" si="315"/>
        <v>0</v>
      </c>
      <c r="AB376" s="34">
        <f t="shared" si="316"/>
        <v>0</v>
      </c>
      <c r="AC376" s="34">
        <f t="shared" si="317"/>
        <v>0</v>
      </c>
      <c r="AD376" s="34">
        <f t="shared" si="318"/>
        <v>0</v>
      </c>
      <c r="AE376" s="34">
        <f t="shared" si="319"/>
        <v>0</v>
      </c>
      <c r="AF376" s="34">
        <f t="shared" si="320"/>
        <v>0</v>
      </c>
      <c r="AG376" s="34">
        <f t="shared" si="321"/>
        <v>0</v>
      </c>
      <c r="AH376" s="34">
        <f t="shared" si="322"/>
        <v>0</v>
      </c>
      <c r="AI376" s="27" t="s">
        <v>3645</v>
      </c>
      <c r="AJ376" s="18">
        <f t="shared" si="323"/>
        <v>0</v>
      </c>
      <c r="AK376" s="18">
        <f t="shared" si="324"/>
        <v>0</v>
      </c>
      <c r="AL376" s="18">
        <f t="shared" si="325"/>
        <v>0</v>
      </c>
      <c r="AN376" s="34">
        <v>21</v>
      </c>
      <c r="AO376" s="34">
        <f t="shared" si="326"/>
        <v>0</v>
      </c>
      <c r="AP376" s="34">
        <f t="shared" si="327"/>
        <v>0</v>
      </c>
      <c r="AQ376" s="28" t="s">
        <v>13</v>
      </c>
      <c r="AV376" s="34">
        <f t="shared" si="328"/>
        <v>0</v>
      </c>
      <c r="AW376" s="34">
        <f t="shared" si="329"/>
        <v>0</v>
      </c>
      <c r="AX376" s="34">
        <f t="shared" si="330"/>
        <v>0</v>
      </c>
      <c r="AY376" s="35" t="s">
        <v>3678</v>
      </c>
      <c r="AZ376" s="35" t="s">
        <v>3714</v>
      </c>
      <c r="BA376" s="27" t="s">
        <v>3729</v>
      </c>
      <c r="BC376" s="34">
        <f t="shared" si="331"/>
        <v>0</v>
      </c>
      <c r="BD376" s="34">
        <f t="shared" si="332"/>
        <v>0</v>
      </c>
      <c r="BE376" s="34">
        <v>0</v>
      </c>
      <c r="BF376" s="34">
        <f>376</f>
        <v>376</v>
      </c>
      <c r="BH376" s="18">
        <f t="shared" si="333"/>
        <v>0</v>
      </c>
      <c r="BI376" s="18">
        <f t="shared" si="334"/>
        <v>0</v>
      </c>
      <c r="BJ376" s="18">
        <f t="shared" si="335"/>
        <v>0</v>
      </c>
    </row>
    <row r="377" spans="1:62" x14ac:dyDescent="0.2">
      <c r="A377" s="5" t="s">
        <v>339</v>
      </c>
      <c r="B377" s="5" t="s">
        <v>1529</v>
      </c>
      <c r="C377" s="135" t="s">
        <v>2765</v>
      </c>
      <c r="D377" s="136"/>
      <c r="E377" s="136"/>
      <c r="F377" s="136"/>
      <c r="G377" s="136"/>
      <c r="H377" s="5" t="s">
        <v>3612</v>
      </c>
      <c r="I377" s="18">
        <v>1</v>
      </c>
      <c r="J377" s="18">
        <v>0</v>
      </c>
      <c r="K377" s="18">
        <f t="shared" si="314"/>
        <v>0</v>
      </c>
      <c r="L377" s="28" t="s">
        <v>3635</v>
      </c>
      <c r="Z377" s="34">
        <f t="shared" si="315"/>
        <v>0</v>
      </c>
      <c r="AB377" s="34">
        <f t="shared" si="316"/>
        <v>0</v>
      </c>
      <c r="AC377" s="34">
        <f t="shared" si="317"/>
        <v>0</v>
      </c>
      <c r="AD377" s="34">
        <f t="shared" si="318"/>
        <v>0</v>
      </c>
      <c r="AE377" s="34">
        <f t="shared" si="319"/>
        <v>0</v>
      </c>
      <c r="AF377" s="34">
        <f t="shared" si="320"/>
        <v>0</v>
      </c>
      <c r="AG377" s="34">
        <f t="shared" si="321"/>
        <v>0</v>
      </c>
      <c r="AH377" s="34">
        <f t="shared" si="322"/>
        <v>0</v>
      </c>
      <c r="AI377" s="27" t="s">
        <v>3645</v>
      </c>
      <c r="AJ377" s="18">
        <f t="shared" si="323"/>
        <v>0</v>
      </c>
      <c r="AK377" s="18">
        <f t="shared" si="324"/>
        <v>0</v>
      </c>
      <c r="AL377" s="18">
        <f t="shared" si="325"/>
        <v>0</v>
      </c>
      <c r="AN377" s="34">
        <v>21</v>
      </c>
      <c r="AO377" s="34">
        <f t="shared" si="326"/>
        <v>0</v>
      </c>
      <c r="AP377" s="34">
        <f t="shared" si="327"/>
        <v>0</v>
      </c>
      <c r="AQ377" s="28" t="s">
        <v>13</v>
      </c>
      <c r="AV377" s="34">
        <f t="shared" si="328"/>
        <v>0</v>
      </c>
      <c r="AW377" s="34">
        <f t="shared" si="329"/>
        <v>0</v>
      </c>
      <c r="AX377" s="34">
        <f t="shared" si="330"/>
        <v>0</v>
      </c>
      <c r="AY377" s="35" t="s">
        <v>3678</v>
      </c>
      <c r="AZ377" s="35" t="s">
        <v>3714</v>
      </c>
      <c r="BA377" s="27" t="s">
        <v>3729</v>
      </c>
      <c r="BC377" s="34">
        <f t="shared" si="331"/>
        <v>0</v>
      </c>
      <c r="BD377" s="34">
        <f t="shared" si="332"/>
        <v>0</v>
      </c>
      <c r="BE377" s="34">
        <v>0</v>
      </c>
      <c r="BF377" s="34">
        <f>377</f>
        <v>377</v>
      </c>
      <c r="BH377" s="18">
        <f t="shared" si="333"/>
        <v>0</v>
      </c>
      <c r="BI377" s="18">
        <f t="shared" si="334"/>
        <v>0</v>
      </c>
      <c r="BJ377" s="18">
        <f t="shared" si="335"/>
        <v>0</v>
      </c>
    </row>
    <row r="378" spans="1:62" x14ac:dyDescent="0.2">
      <c r="A378" s="5" t="s">
        <v>340</v>
      </c>
      <c r="B378" s="5" t="s">
        <v>1530</v>
      </c>
      <c r="C378" s="135" t="s">
        <v>2766</v>
      </c>
      <c r="D378" s="136"/>
      <c r="E378" s="136"/>
      <c r="F378" s="136"/>
      <c r="G378" s="136"/>
      <c r="H378" s="5" t="s">
        <v>3612</v>
      </c>
      <c r="I378" s="18">
        <v>4</v>
      </c>
      <c r="J378" s="18">
        <v>0</v>
      </c>
      <c r="K378" s="18">
        <f t="shared" si="314"/>
        <v>0</v>
      </c>
      <c r="L378" s="28" t="s">
        <v>3635</v>
      </c>
      <c r="Z378" s="34">
        <f t="shared" si="315"/>
        <v>0</v>
      </c>
      <c r="AB378" s="34">
        <f t="shared" si="316"/>
        <v>0</v>
      </c>
      <c r="AC378" s="34">
        <f t="shared" si="317"/>
        <v>0</v>
      </c>
      <c r="AD378" s="34">
        <f t="shared" si="318"/>
        <v>0</v>
      </c>
      <c r="AE378" s="34">
        <f t="shared" si="319"/>
        <v>0</v>
      </c>
      <c r="AF378" s="34">
        <f t="shared" si="320"/>
        <v>0</v>
      </c>
      <c r="AG378" s="34">
        <f t="shared" si="321"/>
        <v>0</v>
      </c>
      <c r="AH378" s="34">
        <f t="shared" si="322"/>
        <v>0</v>
      </c>
      <c r="AI378" s="27" t="s">
        <v>3645</v>
      </c>
      <c r="AJ378" s="18">
        <f t="shared" si="323"/>
        <v>0</v>
      </c>
      <c r="AK378" s="18">
        <f t="shared" si="324"/>
        <v>0</v>
      </c>
      <c r="AL378" s="18">
        <f t="shared" si="325"/>
        <v>0</v>
      </c>
      <c r="AN378" s="34">
        <v>21</v>
      </c>
      <c r="AO378" s="34">
        <f t="shared" si="326"/>
        <v>0</v>
      </c>
      <c r="AP378" s="34">
        <f t="shared" si="327"/>
        <v>0</v>
      </c>
      <c r="AQ378" s="28" t="s">
        <v>13</v>
      </c>
      <c r="AV378" s="34">
        <f t="shared" si="328"/>
        <v>0</v>
      </c>
      <c r="AW378" s="34">
        <f t="shared" si="329"/>
        <v>0</v>
      </c>
      <c r="AX378" s="34">
        <f t="shared" si="330"/>
        <v>0</v>
      </c>
      <c r="AY378" s="35" t="s">
        <v>3678</v>
      </c>
      <c r="AZ378" s="35" t="s">
        <v>3714</v>
      </c>
      <c r="BA378" s="27" t="s">
        <v>3729</v>
      </c>
      <c r="BC378" s="34">
        <f t="shared" si="331"/>
        <v>0</v>
      </c>
      <c r="BD378" s="34">
        <f t="shared" si="332"/>
        <v>0</v>
      </c>
      <c r="BE378" s="34">
        <v>0</v>
      </c>
      <c r="BF378" s="34">
        <f>378</f>
        <v>378</v>
      </c>
      <c r="BH378" s="18">
        <f t="shared" si="333"/>
        <v>0</v>
      </c>
      <c r="BI378" s="18">
        <f t="shared" si="334"/>
        <v>0</v>
      </c>
      <c r="BJ378" s="18">
        <f t="shared" si="335"/>
        <v>0</v>
      </c>
    </row>
    <row r="379" spans="1:62" x14ac:dyDescent="0.2">
      <c r="A379" s="5" t="s">
        <v>341</v>
      </c>
      <c r="B379" s="5" t="s">
        <v>1531</v>
      </c>
      <c r="C379" s="135" t="s">
        <v>2767</v>
      </c>
      <c r="D379" s="136"/>
      <c r="E379" s="136"/>
      <c r="F379" s="136"/>
      <c r="G379" s="136"/>
      <c r="H379" s="5" t="s">
        <v>3612</v>
      </c>
      <c r="I379" s="18">
        <v>1</v>
      </c>
      <c r="J379" s="18">
        <v>0</v>
      </c>
      <c r="K379" s="18">
        <f t="shared" si="314"/>
        <v>0</v>
      </c>
      <c r="L379" s="28" t="s">
        <v>3635</v>
      </c>
      <c r="Z379" s="34">
        <f t="shared" si="315"/>
        <v>0</v>
      </c>
      <c r="AB379" s="34">
        <f t="shared" si="316"/>
        <v>0</v>
      </c>
      <c r="AC379" s="34">
        <f t="shared" si="317"/>
        <v>0</v>
      </c>
      <c r="AD379" s="34">
        <f t="shared" si="318"/>
        <v>0</v>
      </c>
      <c r="AE379" s="34">
        <f t="shared" si="319"/>
        <v>0</v>
      </c>
      <c r="AF379" s="34">
        <f t="shared" si="320"/>
        <v>0</v>
      </c>
      <c r="AG379" s="34">
        <f t="shared" si="321"/>
        <v>0</v>
      </c>
      <c r="AH379" s="34">
        <f t="shared" si="322"/>
        <v>0</v>
      </c>
      <c r="AI379" s="27" t="s">
        <v>3645</v>
      </c>
      <c r="AJ379" s="18">
        <f t="shared" si="323"/>
        <v>0</v>
      </c>
      <c r="AK379" s="18">
        <f t="shared" si="324"/>
        <v>0</v>
      </c>
      <c r="AL379" s="18">
        <f t="shared" si="325"/>
        <v>0</v>
      </c>
      <c r="AN379" s="34">
        <v>21</v>
      </c>
      <c r="AO379" s="34">
        <f t="shared" si="326"/>
        <v>0</v>
      </c>
      <c r="AP379" s="34">
        <f t="shared" si="327"/>
        <v>0</v>
      </c>
      <c r="AQ379" s="28" t="s">
        <v>13</v>
      </c>
      <c r="AV379" s="34">
        <f t="shared" si="328"/>
        <v>0</v>
      </c>
      <c r="AW379" s="34">
        <f t="shared" si="329"/>
        <v>0</v>
      </c>
      <c r="AX379" s="34">
        <f t="shared" si="330"/>
        <v>0</v>
      </c>
      <c r="AY379" s="35" t="s">
        <v>3678</v>
      </c>
      <c r="AZ379" s="35" t="s">
        <v>3714</v>
      </c>
      <c r="BA379" s="27" t="s">
        <v>3729</v>
      </c>
      <c r="BC379" s="34">
        <f t="shared" si="331"/>
        <v>0</v>
      </c>
      <c r="BD379" s="34">
        <f t="shared" si="332"/>
        <v>0</v>
      </c>
      <c r="BE379" s="34">
        <v>0</v>
      </c>
      <c r="BF379" s="34">
        <f>379</f>
        <v>379</v>
      </c>
      <c r="BH379" s="18">
        <f t="shared" si="333"/>
        <v>0</v>
      </c>
      <c r="BI379" s="18">
        <f t="shared" si="334"/>
        <v>0</v>
      </c>
      <c r="BJ379" s="18">
        <f t="shared" si="335"/>
        <v>0</v>
      </c>
    </row>
    <row r="380" spans="1:62" x14ac:dyDescent="0.2">
      <c r="A380" s="5" t="s">
        <v>342</v>
      </c>
      <c r="B380" s="5" t="s">
        <v>1532</v>
      </c>
      <c r="C380" s="135" t="s">
        <v>2768</v>
      </c>
      <c r="D380" s="136"/>
      <c r="E380" s="136"/>
      <c r="F380" s="136"/>
      <c r="G380" s="136"/>
      <c r="H380" s="5" t="s">
        <v>3612</v>
      </c>
      <c r="I380" s="18">
        <v>1</v>
      </c>
      <c r="J380" s="18">
        <v>0</v>
      </c>
      <c r="K380" s="18">
        <f t="shared" si="314"/>
        <v>0</v>
      </c>
      <c r="L380" s="28" t="s">
        <v>3635</v>
      </c>
      <c r="Z380" s="34">
        <f t="shared" si="315"/>
        <v>0</v>
      </c>
      <c r="AB380" s="34">
        <f t="shared" si="316"/>
        <v>0</v>
      </c>
      <c r="AC380" s="34">
        <f t="shared" si="317"/>
        <v>0</v>
      </c>
      <c r="AD380" s="34">
        <f t="shared" si="318"/>
        <v>0</v>
      </c>
      <c r="AE380" s="34">
        <f t="shared" si="319"/>
        <v>0</v>
      </c>
      <c r="AF380" s="34">
        <f t="shared" si="320"/>
        <v>0</v>
      </c>
      <c r="AG380" s="34">
        <f t="shared" si="321"/>
        <v>0</v>
      </c>
      <c r="AH380" s="34">
        <f t="shared" si="322"/>
        <v>0</v>
      </c>
      <c r="AI380" s="27" t="s">
        <v>3645</v>
      </c>
      <c r="AJ380" s="18">
        <f t="shared" si="323"/>
        <v>0</v>
      </c>
      <c r="AK380" s="18">
        <f t="shared" si="324"/>
        <v>0</v>
      </c>
      <c r="AL380" s="18">
        <f t="shared" si="325"/>
        <v>0</v>
      </c>
      <c r="AN380" s="34">
        <v>21</v>
      </c>
      <c r="AO380" s="34">
        <f t="shared" si="326"/>
        <v>0</v>
      </c>
      <c r="AP380" s="34">
        <f t="shared" si="327"/>
        <v>0</v>
      </c>
      <c r="AQ380" s="28" t="s">
        <v>13</v>
      </c>
      <c r="AV380" s="34">
        <f t="shared" si="328"/>
        <v>0</v>
      </c>
      <c r="AW380" s="34">
        <f t="shared" si="329"/>
        <v>0</v>
      </c>
      <c r="AX380" s="34">
        <f t="shared" si="330"/>
        <v>0</v>
      </c>
      <c r="AY380" s="35" t="s">
        <v>3678</v>
      </c>
      <c r="AZ380" s="35" t="s">
        <v>3714</v>
      </c>
      <c r="BA380" s="27" t="s">
        <v>3729</v>
      </c>
      <c r="BC380" s="34">
        <f t="shared" si="331"/>
        <v>0</v>
      </c>
      <c r="BD380" s="34">
        <f t="shared" si="332"/>
        <v>0</v>
      </c>
      <c r="BE380" s="34">
        <v>0</v>
      </c>
      <c r="BF380" s="34">
        <f>380</f>
        <v>380</v>
      </c>
      <c r="BH380" s="18">
        <f t="shared" si="333"/>
        <v>0</v>
      </c>
      <c r="BI380" s="18">
        <f t="shared" si="334"/>
        <v>0</v>
      </c>
      <c r="BJ380" s="18">
        <f t="shared" si="335"/>
        <v>0</v>
      </c>
    </row>
    <row r="381" spans="1:62" x14ac:dyDescent="0.2">
      <c r="A381" s="5" t="s">
        <v>343</v>
      </c>
      <c r="B381" s="5" t="s">
        <v>1533</v>
      </c>
      <c r="C381" s="135" t="s">
        <v>2769</v>
      </c>
      <c r="D381" s="136"/>
      <c r="E381" s="136"/>
      <c r="F381" s="136"/>
      <c r="G381" s="136"/>
      <c r="H381" s="5" t="s">
        <v>3612</v>
      </c>
      <c r="I381" s="18">
        <v>3</v>
      </c>
      <c r="J381" s="18">
        <v>0</v>
      </c>
      <c r="K381" s="18">
        <f t="shared" si="314"/>
        <v>0</v>
      </c>
      <c r="L381" s="28" t="s">
        <v>3635</v>
      </c>
      <c r="Z381" s="34">
        <f t="shared" si="315"/>
        <v>0</v>
      </c>
      <c r="AB381" s="34">
        <f t="shared" si="316"/>
        <v>0</v>
      </c>
      <c r="AC381" s="34">
        <f t="shared" si="317"/>
        <v>0</v>
      </c>
      <c r="AD381" s="34">
        <f t="shared" si="318"/>
        <v>0</v>
      </c>
      <c r="AE381" s="34">
        <f t="shared" si="319"/>
        <v>0</v>
      </c>
      <c r="AF381" s="34">
        <f t="shared" si="320"/>
        <v>0</v>
      </c>
      <c r="AG381" s="34">
        <f t="shared" si="321"/>
        <v>0</v>
      </c>
      <c r="AH381" s="34">
        <f t="shared" si="322"/>
        <v>0</v>
      </c>
      <c r="AI381" s="27" t="s">
        <v>3645</v>
      </c>
      <c r="AJ381" s="18">
        <f t="shared" si="323"/>
        <v>0</v>
      </c>
      <c r="AK381" s="18">
        <f t="shared" si="324"/>
        <v>0</v>
      </c>
      <c r="AL381" s="18">
        <f t="shared" si="325"/>
        <v>0</v>
      </c>
      <c r="AN381" s="34">
        <v>21</v>
      </c>
      <c r="AO381" s="34">
        <f t="shared" si="326"/>
        <v>0</v>
      </c>
      <c r="AP381" s="34">
        <f t="shared" si="327"/>
        <v>0</v>
      </c>
      <c r="AQ381" s="28" t="s">
        <v>13</v>
      </c>
      <c r="AV381" s="34">
        <f t="shared" si="328"/>
        <v>0</v>
      </c>
      <c r="AW381" s="34">
        <f t="shared" si="329"/>
        <v>0</v>
      </c>
      <c r="AX381" s="34">
        <f t="shared" si="330"/>
        <v>0</v>
      </c>
      <c r="AY381" s="35" t="s">
        <v>3678</v>
      </c>
      <c r="AZ381" s="35" t="s">
        <v>3714</v>
      </c>
      <c r="BA381" s="27" t="s">
        <v>3729</v>
      </c>
      <c r="BC381" s="34">
        <f t="shared" si="331"/>
        <v>0</v>
      </c>
      <c r="BD381" s="34">
        <f t="shared" si="332"/>
        <v>0</v>
      </c>
      <c r="BE381" s="34">
        <v>0</v>
      </c>
      <c r="BF381" s="34">
        <f>381</f>
        <v>381</v>
      </c>
      <c r="BH381" s="18">
        <f t="shared" si="333"/>
        <v>0</v>
      </c>
      <c r="BI381" s="18">
        <f t="shared" si="334"/>
        <v>0</v>
      </c>
      <c r="BJ381" s="18">
        <f t="shared" si="335"/>
        <v>0</v>
      </c>
    </row>
    <row r="382" spans="1:62" x14ac:dyDescent="0.2">
      <c r="A382" s="5" t="s">
        <v>344</v>
      </c>
      <c r="B382" s="5" t="s">
        <v>1534</v>
      </c>
      <c r="C382" s="135" t="s">
        <v>2770</v>
      </c>
      <c r="D382" s="136"/>
      <c r="E382" s="136"/>
      <c r="F382" s="136"/>
      <c r="G382" s="136"/>
      <c r="H382" s="5" t="s">
        <v>3612</v>
      </c>
      <c r="I382" s="18">
        <v>6</v>
      </c>
      <c r="J382" s="18">
        <v>0</v>
      </c>
      <c r="K382" s="18">
        <f t="shared" si="314"/>
        <v>0</v>
      </c>
      <c r="L382" s="28" t="s">
        <v>3635</v>
      </c>
      <c r="Z382" s="34">
        <f t="shared" si="315"/>
        <v>0</v>
      </c>
      <c r="AB382" s="34">
        <f t="shared" si="316"/>
        <v>0</v>
      </c>
      <c r="AC382" s="34">
        <f t="shared" si="317"/>
        <v>0</v>
      </c>
      <c r="AD382" s="34">
        <f t="shared" si="318"/>
        <v>0</v>
      </c>
      <c r="AE382" s="34">
        <f t="shared" si="319"/>
        <v>0</v>
      </c>
      <c r="AF382" s="34">
        <f t="shared" si="320"/>
        <v>0</v>
      </c>
      <c r="AG382" s="34">
        <f t="shared" si="321"/>
        <v>0</v>
      </c>
      <c r="AH382" s="34">
        <f t="shared" si="322"/>
        <v>0</v>
      </c>
      <c r="AI382" s="27" t="s">
        <v>3645</v>
      </c>
      <c r="AJ382" s="18">
        <f t="shared" si="323"/>
        <v>0</v>
      </c>
      <c r="AK382" s="18">
        <f t="shared" si="324"/>
        <v>0</v>
      </c>
      <c r="AL382" s="18">
        <f t="shared" si="325"/>
        <v>0</v>
      </c>
      <c r="AN382" s="34">
        <v>21</v>
      </c>
      <c r="AO382" s="34">
        <f t="shared" si="326"/>
        <v>0</v>
      </c>
      <c r="AP382" s="34">
        <f t="shared" si="327"/>
        <v>0</v>
      </c>
      <c r="AQ382" s="28" t="s">
        <v>13</v>
      </c>
      <c r="AV382" s="34">
        <f t="shared" si="328"/>
        <v>0</v>
      </c>
      <c r="AW382" s="34">
        <f t="shared" si="329"/>
        <v>0</v>
      </c>
      <c r="AX382" s="34">
        <f t="shared" si="330"/>
        <v>0</v>
      </c>
      <c r="AY382" s="35" t="s">
        <v>3678</v>
      </c>
      <c r="AZ382" s="35" t="s">
        <v>3714</v>
      </c>
      <c r="BA382" s="27" t="s">
        <v>3729</v>
      </c>
      <c r="BC382" s="34">
        <f t="shared" si="331"/>
        <v>0</v>
      </c>
      <c r="BD382" s="34">
        <f t="shared" si="332"/>
        <v>0</v>
      </c>
      <c r="BE382" s="34">
        <v>0</v>
      </c>
      <c r="BF382" s="34">
        <f>382</f>
        <v>382</v>
      </c>
      <c r="BH382" s="18">
        <f t="shared" si="333"/>
        <v>0</v>
      </c>
      <c r="BI382" s="18">
        <f t="shared" si="334"/>
        <v>0</v>
      </c>
      <c r="BJ382" s="18">
        <f t="shared" si="335"/>
        <v>0</v>
      </c>
    </row>
    <row r="383" spans="1:62" x14ac:dyDescent="0.2">
      <c r="A383" s="5" t="s">
        <v>345</v>
      </c>
      <c r="B383" s="5" t="s">
        <v>1535</v>
      </c>
      <c r="C383" s="135" t="s">
        <v>2771</v>
      </c>
      <c r="D383" s="136"/>
      <c r="E383" s="136"/>
      <c r="F383" s="136"/>
      <c r="G383" s="136"/>
      <c r="H383" s="5" t="s">
        <v>3612</v>
      </c>
      <c r="I383" s="18">
        <v>1</v>
      </c>
      <c r="J383" s="18">
        <v>0</v>
      </c>
      <c r="K383" s="18">
        <f t="shared" si="314"/>
        <v>0</v>
      </c>
      <c r="L383" s="28" t="s">
        <v>3635</v>
      </c>
      <c r="Z383" s="34">
        <f t="shared" si="315"/>
        <v>0</v>
      </c>
      <c r="AB383" s="34">
        <f t="shared" si="316"/>
        <v>0</v>
      </c>
      <c r="AC383" s="34">
        <f t="shared" si="317"/>
        <v>0</v>
      </c>
      <c r="AD383" s="34">
        <f t="shared" si="318"/>
        <v>0</v>
      </c>
      <c r="AE383" s="34">
        <f t="shared" si="319"/>
        <v>0</v>
      </c>
      <c r="AF383" s="34">
        <f t="shared" si="320"/>
        <v>0</v>
      </c>
      <c r="AG383" s="34">
        <f t="shared" si="321"/>
        <v>0</v>
      </c>
      <c r="AH383" s="34">
        <f t="shared" si="322"/>
        <v>0</v>
      </c>
      <c r="AI383" s="27" t="s">
        <v>3645</v>
      </c>
      <c r="AJ383" s="18">
        <f t="shared" si="323"/>
        <v>0</v>
      </c>
      <c r="AK383" s="18">
        <f t="shared" si="324"/>
        <v>0</v>
      </c>
      <c r="AL383" s="18">
        <f t="shared" si="325"/>
        <v>0</v>
      </c>
      <c r="AN383" s="34">
        <v>21</v>
      </c>
      <c r="AO383" s="34">
        <f t="shared" si="326"/>
        <v>0</v>
      </c>
      <c r="AP383" s="34">
        <f t="shared" si="327"/>
        <v>0</v>
      </c>
      <c r="AQ383" s="28" t="s">
        <v>13</v>
      </c>
      <c r="AV383" s="34">
        <f t="shared" si="328"/>
        <v>0</v>
      </c>
      <c r="AW383" s="34">
        <f t="shared" si="329"/>
        <v>0</v>
      </c>
      <c r="AX383" s="34">
        <f t="shared" si="330"/>
        <v>0</v>
      </c>
      <c r="AY383" s="35" t="s">
        <v>3678</v>
      </c>
      <c r="AZ383" s="35" t="s">
        <v>3714</v>
      </c>
      <c r="BA383" s="27" t="s">
        <v>3729</v>
      </c>
      <c r="BC383" s="34">
        <f t="shared" si="331"/>
        <v>0</v>
      </c>
      <c r="BD383" s="34">
        <f t="shared" si="332"/>
        <v>0</v>
      </c>
      <c r="BE383" s="34">
        <v>0</v>
      </c>
      <c r="BF383" s="34">
        <f>383</f>
        <v>383</v>
      </c>
      <c r="BH383" s="18">
        <f t="shared" si="333"/>
        <v>0</v>
      </c>
      <c r="BI383" s="18">
        <f t="shared" si="334"/>
        <v>0</v>
      </c>
      <c r="BJ383" s="18">
        <f t="shared" si="335"/>
        <v>0</v>
      </c>
    </row>
    <row r="384" spans="1:62" x14ac:dyDescent="0.2">
      <c r="A384" s="5" t="s">
        <v>346</v>
      </c>
      <c r="B384" s="5" t="s">
        <v>1536</v>
      </c>
      <c r="C384" s="135" t="s">
        <v>2772</v>
      </c>
      <c r="D384" s="136"/>
      <c r="E384" s="136"/>
      <c r="F384" s="136"/>
      <c r="G384" s="136"/>
      <c r="H384" s="5" t="s">
        <v>3612</v>
      </c>
      <c r="I384" s="18">
        <v>2</v>
      </c>
      <c r="J384" s="18">
        <v>0</v>
      </c>
      <c r="K384" s="18">
        <f t="shared" si="314"/>
        <v>0</v>
      </c>
      <c r="L384" s="28" t="s">
        <v>3635</v>
      </c>
      <c r="Z384" s="34">
        <f t="shared" si="315"/>
        <v>0</v>
      </c>
      <c r="AB384" s="34">
        <f t="shared" si="316"/>
        <v>0</v>
      </c>
      <c r="AC384" s="34">
        <f t="shared" si="317"/>
        <v>0</v>
      </c>
      <c r="AD384" s="34">
        <f t="shared" si="318"/>
        <v>0</v>
      </c>
      <c r="AE384" s="34">
        <f t="shared" si="319"/>
        <v>0</v>
      </c>
      <c r="AF384" s="34">
        <f t="shared" si="320"/>
        <v>0</v>
      </c>
      <c r="AG384" s="34">
        <f t="shared" si="321"/>
        <v>0</v>
      </c>
      <c r="AH384" s="34">
        <f t="shared" si="322"/>
        <v>0</v>
      </c>
      <c r="AI384" s="27" t="s">
        <v>3645</v>
      </c>
      <c r="AJ384" s="18">
        <f t="shared" si="323"/>
        <v>0</v>
      </c>
      <c r="AK384" s="18">
        <f t="shared" si="324"/>
        <v>0</v>
      </c>
      <c r="AL384" s="18">
        <f t="shared" si="325"/>
        <v>0</v>
      </c>
      <c r="AN384" s="34">
        <v>21</v>
      </c>
      <c r="AO384" s="34">
        <f t="shared" si="326"/>
        <v>0</v>
      </c>
      <c r="AP384" s="34">
        <f t="shared" si="327"/>
        <v>0</v>
      </c>
      <c r="AQ384" s="28" t="s">
        <v>13</v>
      </c>
      <c r="AV384" s="34">
        <f t="shared" si="328"/>
        <v>0</v>
      </c>
      <c r="AW384" s="34">
        <f t="shared" si="329"/>
        <v>0</v>
      </c>
      <c r="AX384" s="34">
        <f t="shared" si="330"/>
        <v>0</v>
      </c>
      <c r="AY384" s="35" t="s">
        <v>3678</v>
      </c>
      <c r="AZ384" s="35" t="s">
        <v>3714</v>
      </c>
      <c r="BA384" s="27" t="s">
        <v>3729</v>
      </c>
      <c r="BC384" s="34">
        <f t="shared" si="331"/>
        <v>0</v>
      </c>
      <c r="BD384" s="34">
        <f t="shared" si="332"/>
        <v>0</v>
      </c>
      <c r="BE384" s="34">
        <v>0</v>
      </c>
      <c r="BF384" s="34">
        <f>384</f>
        <v>384</v>
      </c>
      <c r="BH384" s="18">
        <f t="shared" si="333"/>
        <v>0</v>
      </c>
      <c r="BI384" s="18">
        <f t="shared" si="334"/>
        <v>0</v>
      </c>
      <c r="BJ384" s="18">
        <f t="shared" si="335"/>
        <v>0</v>
      </c>
    </row>
    <row r="385" spans="1:62" x14ac:dyDescent="0.2">
      <c r="A385" s="5" t="s">
        <v>347</v>
      </c>
      <c r="B385" s="5" t="s">
        <v>1537</v>
      </c>
      <c r="C385" s="135" t="s">
        <v>2773</v>
      </c>
      <c r="D385" s="136"/>
      <c r="E385" s="136"/>
      <c r="F385" s="136"/>
      <c r="G385" s="136"/>
      <c r="H385" s="5" t="s">
        <v>3612</v>
      </c>
      <c r="I385" s="18">
        <v>4</v>
      </c>
      <c r="J385" s="18">
        <v>0</v>
      </c>
      <c r="K385" s="18">
        <f t="shared" si="314"/>
        <v>0</v>
      </c>
      <c r="L385" s="28" t="s">
        <v>3635</v>
      </c>
      <c r="Z385" s="34">
        <f t="shared" si="315"/>
        <v>0</v>
      </c>
      <c r="AB385" s="34">
        <f t="shared" si="316"/>
        <v>0</v>
      </c>
      <c r="AC385" s="34">
        <f t="shared" si="317"/>
        <v>0</v>
      </c>
      <c r="AD385" s="34">
        <f t="shared" si="318"/>
        <v>0</v>
      </c>
      <c r="AE385" s="34">
        <f t="shared" si="319"/>
        <v>0</v>
      </c>
      <c r="AF385" s="34">
        <f t="shared" si="320"/>
        <v>0</v>
      </c>
      <c r="AG385" s="34">
        <f t="shared" si="321"/>
        <v>0</v>
      </c>
      <c r="AH385" s="34">
        <f t="shared" si="322"/>
        <v>0</v>
      </c>
      <c r="AI385" s="27" t="s">
        <v>3645</v>
      </c>
      <c r="AJ385" s="18">
        <f t="shared" si="323"/>
        <v>0</v>
      </c>
      <c r="AK385" s="18">
        <f t="shared" si="324"/>
        <v>0</v>
      </c>
      <c r="AL385" s="18">
        <f t="shared" si="325"/>
        <v>0</v>
      </c>
      <c r="AN385" s="34">
        <v>21</v>
      </c>
      <c r="AO385" s="34">
        <f t="shared" si="326"/>
        <v>0</v>
      </c>
      <c r="AP385" s="34">
        <f t="shared" si="327"/>
        <v>0</v>
      </c>
      <c r="AQ385" s="28" t="s">
        <v>13</v>
      </c>
      <c r="AV385" s="34">
        <f t="shared" si="328"/>
        <v>0</v>
      </c>
      <c r="AW385" s="34">
        <f t="shared" si="329"/>
        <v>0</v>
      </c>
      <c r="AX385" s="34">
        <f t="shared" si="330"/>
        <v>0</v>
      </c>
      <c r="AY385" s="35" t="s">
        <v>3678</v>
      </c>
      <c r="AZ385" s="35" t="s">
        <v>3714</v>
      </c>
      <c r="BA385" s="27" t="s">
        <v>3729</v>
      </c>
      <c r="BC385" s="34">
        <f t="shared" si="331"/>
        <v>0</v>
      </c>
      <c r="BD385" s="34">
        <f t="shared" si="332"/>
        <v>0</v>
      </c>
      <c r="BE385" s="34">
        <v>0</v>
      </c>
      <c r="BF385" s="34">
        <f>385</f>
        <v>385</v>
      </c>
      <c r="BH385" s="18">
        <f t="shared" si="333"/>
        <v>0</v>
      </c>
      <c r="BI385" s="18">
        <f t="shared" si="334"/>
        <v>0</v>
      </c>
      <c r="BJ385" s="18">
        <f t="shared" si="335"/>
        <v>0</v>
      </c>
    </row>
    <row r="386" spans="1:62" x14ac:dyDescent="0.2">
      <c r="A386" s="5" t="s">
        <v>348</v>
      </c>
      <c r="B386" s="5" t="s">
        <v>1538</v>
      </c>
      <c r="C386" s="135" t="s">
        <v>2774</v>
      </c>
      <c r="D386" s="136"/>
      <c r="E386" s="136"/>
      <c r="F386" s="136"/>
      <c r="G386" s="136"/>
      <c r="H386" s="5" t="s">
        <v>3612</v>
      </c>
      <c r="I386" s="18">
        <v>1</v>
      </c>
      <c r="J386" s="18">
        <v>0</v>
      </c>
      <c r="K386" s="18">
        <f t="shared" si="314"/>
        <v>0</v>
      </c>
      <c r="L386" s="28" t="s">
        <v>3635</v>
      </c>
      <c r="Z386" s="34">
        <f t="shared" si="315"/>
        <v>0</v>
      </c>
      <c r="AB386" s="34">
        <f t="shared" si="316"/>
        <v>0</v>
      </c>
      <c r="AC386" s="34">
        <f t="shared" si="317"/>
        <v>0</v>
      </c>
      <c r="AD386" s="34">
        <f t="shared" si="318"/>
        <v>0</v>
      </c>
      <c r="AE386" s="34">
        <f t="shared" si="319"/>
        <v>0</v>
      </c>
      <c r="AF386" s="34">
        <f t="shared" si="320"/>
        <v>0</v>
      </c>
      <c r="AG386" s="34">
        <f t="shared" si="321"/>
        <v>0</v>
      </c>
      <c r="AH386" s="34">
        <f t="shared" si="322"/>
        <v>0</v>
      </c>
      <c r="AI386" s="27" t="s">
        <v>3645</v>
      </c>
      <c r="AJ386" s="18">
        <f t="shared" si="323"/>
        <v>0</v>
      </c>
      <c r="AK386" s="18">
        <f t="shared" si="324"/>
        <v>0</v>
      </c>
      <c r="AL386" s="18">
        <f t="shared" si="325"/>
        <v>0</v>
      </c>
      <c r="AN386" s="34">
        <v>21</v>
      </c>
      <c r="AO386" s="34">
        <f t="shared" si="326"/>
        <v>0</v>
      </c>
      <c r="AP386" s="34">
        <f t="shared" si="327"/>
        <v>0</v>
      </c>
      <c r="AQ386" s="28" t="s">
        <v>13</v>
      </c>
      <c r="AV386" s="34">
        <f t="shared" si="328"/>
        <v>0</v>
      </c>
      <c r="AW386" s="34">
        <f t="shared" si="329"/>
        <v>0</v>
      </c>
      <c r="AX386" s="34">
        <f t="shared" si="330"/>
        <v>0</v>
      </c>
      <c r="AY386" s="35" t="s">
        <v>3678</v>
      </c>
      <c r="AZ386" s="35" t="s">
        <v>3714</v>
      </c>
      <c r="BA386" s="27" t="s">
        <v>3729</v>
      </c>
      <c r="BC386" s="34">
        <f t="shared" si="331"/>
        <v>0</v>
      </c>
      <c r="BD386" s="34">
        <f t="shared" si="332"/>
        <v>0</v>
      </c>
      <c r="BE386" s="34">
        <v>0</v>
      </c>
      <c r="BF386" s="34">
        <f>386</f>
        <v>386</v>
      </c>
      <c r="BH386" s="18">
        <f t="shared" si="333"/>
        <v>0</v>
      </c>
      <c r="BI386" s="18">
        <f t="shared" si="334"/>
        <v>0</v>
      </c>
      <c r="BJ386" s="18">
        <f t="shared" si="335"/>
        <v>0</v>
      </c>
    </row>
    <row r="387" spans="1:62" x14ac:dyDescent="0.2">
      <c r="A387" s="5" t="s">
        <v>349</v>
      </c>
      <c r="B387" s="5" t="s">
        <v>1539</v>
      </c>
      <c r="C387" s="135" t="s">
        <v>2775</v>
      </c>
      <c r="D387" s="136"/>
      <c r="E387" s="136"/>
      <c r="F387" s="136"/>
      <c r="G387" s="136"/>
      <c r="H387" s="5" t="s">
        <v>3612</v>
      </c>
      <c r="I387" s="18">
        <v>1</v>
      </c>
      <c r="J387" s="18">
        <v>0</v>
      </c>
      <c r="K387" s="18">
        <f t="shared" si="314"/>
        <v>0</v>
      </c>
      <c r="L387" s="28" t="s">
        <v>3635</v>
      </c>
      <c r="Z387" s="34">
        <f t="shared" si="315"/>
        <v>0</v>
      </c>
      <c r="AB387" s="34">
        <f t="shared" si="316"/>
        <v>0</v>
      </c>
      <c r="AC387" s="34">
        <f t="shared" si="317"/>
        <v>0</v>
      </c>
      <c r="AD387" s="34">
        <f t="shared" si="318"/>
        <v>0</v>
      </c>
      <c r="AE387" s="34">
        <f t="shared" si="319"/>
        <v>0</v>
      </c>
      <c r="AF387" s="34">
        <f t="shared" si="320"/>
        <v>0</v>
      </c>
      <c r="AG387" s="34">
        <f t="shared" si="321"/>
        <v>0</v>
      </c>
      <c r="AH387" s="34">
        <f t="shared" si="322"/>
        <v>0</v>
      </c>
      <c r="AI387" s="27" t="s">
        <v>3645</v>
      </c>
      <c r="AJ387" s="18">
        <f t="shared" si="323"/>
        <v>0</v>
      </c>
      <c r="AK387" s="18">
        <f t="shared" si="324"/>
        <v>0</v>
      </c>
      <c r="AL387" s="18">
        <f t="shared" si="325"/>
        <v>0</v>
      </c>
      <c r="AN387" s="34">
        <v>21</v>
      </c>
      <c r="AO387" s="34">
        <f t="shared" si="326"/>
        <v>0</v>
      </c>
      <c r="AP387" s="34">
        <f t="shared" si="327"/>
        <v>0</v>
      </c>
      <c r="AQ387" s="28" t="s">
        <v>13</v>
      </c>
      <c r="AV387" s="34">
        <f t="shared" si="328"/>
        <v>0</v>
      </c>
      <c r="AW387" s="34">
        <f t="shared" si="329"/>
        <v>0</v>
      </c>
      <c r="AX387" s="34">
        <f t="shared" si="330"/>
        <v>0</v>
      </c>
      <c r="AY387" s="35" t="s">
        <v>3678</v>
      </c>
      <c r="AZ387" s="35" t="s">
        <v>3714</v>
      </c>
      <c r="BA387" s="27" t="s">
        <v>3729</v>
      </c>
      <c r="BC387" s="34">
        <f t="shared" si="331"/>
        <v>0</v>
      </c>
      <c r="BD387" s="34">
        <f t="shared" si="332"/>
        <v>0</v>
      </c>
      <c r="BE387" s="34">
        <v>0</v>
      </c>
      <c r="BF387" s="34">
        <f>387</f>
        <v>387</v>
      </c>
      <c r="BH387" s="18">
        <f t="shared" si="333"/>
        <v>0</v>
      </c>
      <c r="BI387" s="18">
        <f t="shared" si="334"/>
        <v>0</v>
      </c>
      <c r="BJ387" s="18">
        <f t="shared" si="335"/>
        <v>0</v>
      </c>
    </row>
    <row r="388" spans="1:62" x14ac:dyDescent="0.2">
      <c r="A388" s="5" t="s">
        <v>350</v>
      </c>
      <c r="B388" s="5" t="s">
        <v>1540</v>
      </c>
      <c r="C388" s="135" t="s">
        <v>2776</v>
      </c>
      <c r="D388" s="136"/>
      <c r="E388" s="136"/>
      <c r="F388" s="136"/>
      <c r="G388" s="136"/>
      <c r="H388" s="5" t="s">
        <v>3612</v>
      </c>
      <c r="I388" s="18">
        <v>1</v>
      </c>
      <c r="J388" s="18">
        <v>0</v>
      </c>
      <c r="K388" s="18">
        <f t="shared" si="314"/>
        <v>0</v>
      </c>
      <c r="L388" s="28" t="s">
        <v>3635</v>
      </c>
      <c r="Z388" s="34">
        <f t="shared" si="315"/>
        <v>0</v>
      </c>
      <c r="AB388" s="34">
        <f t="shared" si="316"/>
        <v>0</v>
      </c>
      <c r="AC388" s="34">
        <f t="shared" si="317"/>
        <v>0</v>
      </c>
      <c r="AD388" s="34">
        <f t="shared" si="318"/>
        <v>0</v>
      </c>
      <c r="AE388" s="34">
        <f t="shared" si="319"/>
        <v>0</v>
      </c>
      <c r="AF388" s="34">
        <f t="shared" si="320"/>
        <v>0</v>
      </c>
      <c r="AG388" s="34">
        <f t="shared" si="321"/>
        <v>0</v>
      </c>
      <c r="AH388" s="34">
        <f t="shared" si="322"/>
        <v>0</v>
      </c>
      <c r="AI388" s="27" t="s">
        <v>3645</v>
      </c>
      <c r="AJ388" s="18">
        <f t="shared" si="323"/>
        <v>0</v>
      </c>
      <c r="AK388" s="18">
        <f t="shared" si="324"/>
        <v>0</v>
      </c>
      <c r="AL388" s="18">
        <f t="shared" si="325"/>
        <v>0</v>
      </c>
      <c r="AN388" s="34">
        <v>21</v>
      </c>
      <c r="AO388" s="34">
        <f t="shared" si="326"/>
        <v>0</v>
      </c>
      <c r="AP388" s="34">
        <f t="shared" si="327"/>
        <v>0</v>
      </c>
      <c r="AQ388" s="28" t="s">
        <v>13</v>
      </c>
      <c r="AV388" s="34">
        <f t="shared" si="328"/>
        <v>0</v>
      </c>
      <c r="AW388" s="34">
        <f t="shared" si="329"/>
        <v>0</v>
      </c>
      <c r="AX388" s="34">
        <f t="shared" si="330"/>
        <v>0</v>
      </c>
      <c r="AY388" s="35" t="s">
        <v>3678</v>
      </c>
      <c r="AZ388" s="35" t="s">
        <v>3714</v>
      </c>
      <c r="BA388" s="27" t="s">
        <v>3729</v>
      </c>
      <c r="BC388" s="34">
        <f t="shared" si="331"/>
        <v>0</v>
      </c>
      <c r="BD388" s="34">
        <f t="shared" si="332"/>
        <v>0</v>
      </c>
      <c r="BE388" s="34">
        <v>0</v>
      </c>
      <c r="BF388" s="34">
        <f>388</f>
        <v>388</v>
      </c>
      <c r="BH388" s="18">
        <f t="shared" si="333"/>
        <v>0</v>
      </c>
      <c r="BI388" s="18">
        <f t="shared" si="334"/>
        <v>0</v>
      </c>
      <c r="BJ388" s="18">
        <f t="shared" si="335"/>
        <v>0</v>
      </c>
    </row>
    <row r="389" spans="1:62" x14ac:dyDescent="0.2">
      <c r="A389" s="5" t="s">
        <v>351</v>
      </c>
      <c r="B389" s="5" t="s">
        <v>1541</v>
      </c>
      <c r="C389" s="135" t="s">
        <v>2777</v>
      </c>
      <c r="D389" s="136"/>
      <c r="E389" s="136"/>
      <c r="F389" s="136"/>
      <c r="G389" s="136"/>
      <c r="H389" s="5" t="s">
        <v>3612</v>
      </c>
      <c r="I389" s="18">
        <v>1</v>
      </c>
      <c r="J389" s="18">
        <v>0</v>
      </c>
      <c r="K389" s="18">
        <f t="shared" si="314"/>
        <v>0</v>
      </c>
      <c r="L389" s="28" t="s">
        <v>3635</v>
      </c>
      <c r="Z389" s="34">
        <f t="shared" si="315"/>
        <v>0</v>
      </c>
      <c r="AB389" s="34">
        <f t="shared" si="316"/>
        <v>0</v>
      </c>
      <c r="AC389" s="34">
        <f t="shared" si="317"/>
        <v>0</v>
      </c>
      <c r="AD389" s="34">
        <f t="shared" si="318"/>
        <v>0</v>
      </c>
      <c r="AE389" s="34">
        <f t="shared" si="319"/>
        <v>0</v>
      </c>
      <c r="AF389" s="34">
        <f t="shared" si="320"/>
        <v>0</v>
      </c>
      <c r="AG389" s="34">
        <f t="shared" si="321"/>
        <v>0</v>
      </c>
      <c r="AH389" s="34">
        <f t="shared" si="322"/>
        <v>0</v>
      </c>
      <c r="AI389" s="27" t="s">
        <v>3645</v>
      </c>
      <c r="AJ389" s="18">
        <f t="shared" si="323"/>
        <v>0</v>
      </c>
      <c r="AK389" s="18">
        <f t="shared" si="324"/>
        <v>0</v>
      </c>
      <c r="AL389" s="18">
        <f t="shared" si="325"/>
        <v>0</v>
      </c>
      <c r="AN389" s="34">
        <v>21</v>
      </c>
      <c r="AO389" s="34">
        <f t="shared" si="326"/>
        <v>0</v>
      </c>
      <c r="AP389" s="34">
        <f t="shared" si="327"/>
        <v>0</v>
      </c>
      <c r="AQ389" s="28" t="s">
        <v>13</v>
      </c>
      <c r="AV389" s="34">
        <f t="shared" si="328"/>
        <v>0</v>
      </c>
      <c r="AW389" s="34">
        <f t="shared" si="329"/>
        <v>0</v>
      </c>
      <c r="AX389" s="34">
        <f t="shared" si="330"/>
        <v>0</v>
      </c>
      <c r="AY389" s="35" t="s">
        <v>3678</v>
      </c>
      <c r="AZ389" s="35" t="s">
        <v>3714</v>
      </c>
      <c r="BA389" s="27" t="s">
        <v>3729</v>
      </c>
      <c r="BC389" s="34">
        <f t="shared" si="331"/>
        <v>0</v>
      </c>
      <c r="BD389" s="34">
        <f t="shared" si="332"/>
        <v>0</v>
      </c>
      <c r="BE389" s="34">
        <v>0</v>
      </c>
      <c r="BF389" s="34">
        <f>389</f>
        <v>389</v>
      </c>
      <c r="BH389" s="18">
        <f t="shared" si="333"/>
        <v>0</v>
      </c>
      <c r="BI389" s="18">
        <f t="shared" si="334"/>
        <v>0</v>
      </c>
      <c r="BJ389" s="18">
        <f t="shared" si="335"/>
        <v>0</v>
      </c>
    </row>
    <row r="390" spans="1:62" x14ac:dyDescent="0.2">
      <c r="A390" s="5" t="s">
        <v>352</v>
      </c>
      <c r="B390" s="5" t="s">
        <v>1542</v>
      </c>
      <c r="C390" s="135" t="s">
        <v>2778</v>
      </c>
      <c r="D390" s="136"/>
      <c r="E390" s="136"/>
      <c r="F390" s="136"/>
      <c r="G390" s="136"/>
      <c r="H390" s="5" t="s">
        <v>3612</v>
      </c>
      <c r="I390" s="18">
        <v>10</v>
      </c>
      <c r="J390" s="18">
        <v>0</v>
      </c>
      <c r="K390" s="18">
        <f t="shared" si="314"/>
        <v>0</v>
      </c>
      <c r="L390" s="28" t="s">
        <v>3635</v>
      </c>
      <c r="Z390" s="34">
        <f t="shared" si="315"/>
        <v>0</v>
      </c>
      <c r="AB390" s="34">
        <f t="shared" si="316"/>
        <v>0</v>
      </c>
      <c r="AC390" s="34">
        <f t="shared" si="317"/>
        <v>0</v>
      </c>
      <c r="AD390" s="34">
        <f t="shared" si="318"/>
        <v>0</v>
      </c>
      <c r="AE390" s="34">
        <f t="shared" si="319"/>
        <v>0</v>
      </c>
      <c r="AF390" s="34">
        <f t="shared" si="320"/>
        <v>0</v>
      </c>
      <c r="AG390" s="34">
        <f t="shared" si="321"/>
        <v>0</v>
      </c>
      <c r="AH390" s="34">
        <f t="shared" si="322"/>
        <v>0</v>
      </c>
      <c r="AI390" s="27" t="s">
        <v>3645</v>
      </c>
      <c r="AJ390" s="18">
        <f t="shared" si="323"/>
        <v>0</v>
      </c>
      <c r="AK390" s="18">
        <f t="shared" si="324"/>
        <v>0</v>
      </c>
      <c r="AL390" s="18">
        <f t="shared" si="325"/>
        <v>0</v>
      </c>
      <c r="AN390" s="34">
        <v>21</v>
      </c>
      <c r="AO390" s="34">
        <f t="shared" si="326"/>
        <v>0</v>
      </c>
      <c r="AP390" s="34">
        <f t="shared" si="327"/>
        <v>0</v>
      </c>
      <c r="AQ390" s="28" t="s">
        <v>13</v>
      </c>
      <c r="AV390" s="34">
        <f t="shared" si="328"/>
        <v>0</v>
      </c>
      <c r="AW390" s="34">
        <f t="shared" si="329"/>
        <v>0</v>
      </c>
      <c r="AX390" s="34">
        <f t="shared" si="330"/>
        <v>0</v>
      </c>
      <c r="AY390" s="35" t="s">
        <v>3678</v>
      </c>
      <c r="AZ390" s="35" t="s">
        <v>3714</v>
      </c>
      <c r="BA390" s="27" t="s">
        <v>3729</v>
      </c>
      <c r="BC390" s="34">
        <f t="shared" si="331"/>
        <v>0</v>
      </c>
      <c r="BD390" s="34">
        <f t="shared" si="332"/>
        <v>0</v>
      </c>
      <c r="BE390" s="34">
        <v>0</v>
      </c>
      <c r="BF390" s="34">
        <f>390</f>
        <v>390</v>
      </c>
      <c r="BH390" s="18">
        <f t="shared" si="333"/>
        <v>0</v>
      </c>
      <c r="BI390" s="18">
        <f t="shared" si="334"/>
        <v>0</v>
      </c>
      <c r="BJ390" s="18">
        <f t="shared" si="335"/>
        <v>0</v>
      </c>
    </row>
    <row r="391" spans="1:62" x14ac:dyDescent="0.2">
      <c r="A391" s="5" t="s">
        <v>353</v>
      </c>
      <c r="B391" s="5" t="s">
        <v>1543</v>
      </c>
      <c r="C391" s="135" t="s">
        <v>2779</v>
      </c>
      <c r="D391" s="136"/>
      <c r="E391" s="136"/>
      <c r="F391" s="136"/>
      <c r="G391" s="136"/>
      <c r="H391" s="5" t="s">
        <v>3612</v>
      </c>
      <c r="I391" s="18">
        <v>2</v>
      </c>
      <c r="J391" s="18">
        <v>0</v>
      </c>
      <c r="K391" s="18">
        <f t="shared" si="314"/>
        <v>0</v>
      </c>
      <c r="L391" s="28" t="s">
        <v>3635</v>
      </c>
      <c r="Z391" s="34">
        <f t="shared" si="315"/>
        <v>0</v>
      </c>
      <c r="AB391" s="34">
        <f t="shared" si="316"/>
        <v>0</v>
      </c>
      <c r="AC391" s="34">
        <f t="shared" si="317"/>
        <v>0</v>
      </c>
      <c r="AD391" s="34">
        <f t="shared" si="318"/>
        <v>0</v>
      </c>
      <c r="AE391" s="34">
        <f t="shared" si="319"/>
        <v>0</v>
      </c>
      <c r="AF391" s="34">
        <f t="shared" si="320"/>
        <v>0</v>
      </c>
      <c r="AG391" s="34">
        <f t="shared" si="321"/>
        <v>0</v>
      </c>
      <c r="AH391" s="34">
        <f t="shared" si="322"/>
        <v>0</v>
      </c>
      <c r="AI391" s="27" t="s">
        <v>3645</v>
      </c>
      <c r="AJ391" s="18">
        <f t="shared" si="323"/>
        <v>0</v>
      </c>
      <c r="AK391" s="18">
        <f t="shared" si="324"/>
        <v>0</v>
      </c>
      <c r="AL391" s="18">
        <f t="shared" si="325"/>
        <v>0</v>
      </c>
      <c r="AN391" s="34">
        <v>21</v>
      </c>
      <c r="AO391" s="34">
        <f t="shared" si="326"/>
        <v>0</v>
      </c>
      <c r="AP391" s="34">
        <f t="shared" si="327"/>
        <v>0</v>
      </c>
      <c r="AQ391" s="28" t="s">
        <v>13</v>
      </c>
      <c r="AV391" s="34">
        <f t="shared" si="328"/>
        <v>0</v>
      </c>
      <c r="AW391" s="34">
        <f t="shared" si="329"/>
        <v>0</v>
      </c>
      <c r="AX391" s="34">
        <f t="shared" si="330"/>
        <v>0</v>
      </c>
      <c r="AY391" s="35" t="s">
        <v>3678</v>
      </c>
      <c r="AZ391" s="35" t="s">
        <v>3714</v>
      </c>
      <c r="BA391" s="27" t="s">
        <v>3729</v>
      </c>
      <c r="BC391" s="34">
        <f t="shared" si="331"/>
        <v>0</v>
      </c>
      <c r="BD391" s="34">
        <f t="shared" si="332"/>
        <v>0</v>
      </c>
      <c r="BE391" s="34">
        <v>0</v>
      </c>
      <c r="BF391" s="34">
        <f>391</f>
        <v>391</v>
      </c>
      <c r="BH391" s="18">
        <f t="shared" si="333"/>
        <v>0</v>
      </c>
      <c r="BI391" s="18">
        <f t="shared" si="334"/>
        <v>0</v>
      </c>
      <c r="BJ391" s="18">
        <f t="shared" si="335"/>
        <v>0</v>
      </c>
    </row>
    <row r="392" spans="1:62" x14ac:dyDescent="0.2">
      <c r="A392" s="5" t="s">
        <v>354</v>
      </c>
      <c r="B392" s="5" t="s">
        <v>1544</v>
      </c>
      <c r="C392" s="135" t="s">
        <v>2780</v>
      </c>
      <c r="D392" s="136"/>
      <c r="E392" s="136"/>
      <c r="F392" s="136"/>
      <c r="G392" s="136"/>
      <c r="H392" s="5" t="s">
        <v>3612</v>
      </c>
      <c r="I392" s="18">
        <v>2</v>
      </c>
      <c r="J392" s="18">
        <v>0</v>
      </c>
      <c r="K392" s="18">
        <f t="shared" si="314"/>
        <v>0</v>
      </c>
      <c r="L392" s="28" t="s">
        <v>3635</v>
      </c>
      <c r="Z392" s="34">
        <f t="shared" si="315"/>
        <v>0</v>
      </c>
      <c r="AB392" s="34">
        <f t="shared" si="316"/>
        <v>0</v>
      </c>
      <c r="AC392" s="34">
        <f t="shared" si="317"/>
        <v>0</v>
      </c>
      <c r="AD392" s="34">
        <f t="shared" si="318"/>
        <v>0</v>
      </c>
      <c r="AE392" s="34">
        <f t="shared" si="319"/>
        <v>0</v>
      </c>
      <c r="AF392" s="34">
        <f t="shared" si="320"/>
        <v>0</v>
      </c>
      <c r="AG392" s="34">
        <f t="shared" si="321"/>
        <v>0</v>
      </c>
      <c r="AH392" s="34">
        <f t="shared" si="322"/>
        <v>0</v>
      </c>
      <c r="AI392" s="27" t="s">
        <v>3645</v>
      </c>
      <c r="AJ392" s="18">
        <f t="shared" si="323"/>
        <v>0</v>
      </c>
      <c r="AK392" s="18">
        <f t="shared" si="324"/>
        <v>0</v>
      </c>
      <c r="AL392" s="18">
        <f t="shared" si="325"/>
        <v>0</v>
      </c>
      <c r="AN392" s="34">
        <v>21</v>
      </c>
      <c r="AO392" s="34">
        <f t="shared" si="326"/>
        <v>0</v>
      </c>
      <c r="AP392" s="34">
        <f t="shared" si="327"/>
        <v>0</v>
      </c>
      <c r="AQ392" s="28" t="s">
        <v>13</v>
      </c>
      <c r="AV392" s="34">
        <f t="shared" si="328"/>
        <v>0</v>
      </c>
      <c r="AW392" s="34">
        <f t="shared" si="329"/>
        <v>0</v>
      </c>
      <c r="AX392" s="34">
        <f t="shared" si="330"/>
        <v>0</v>
      </c>
      <c r="AY392" s="35" t="s">
        <v>3678</v>
      </c>
      <c r="AZ392" s="35" t="s">
        <v>3714</v>
      </c>
      <c r="BA392" s="27" t="s">
        <v>3729</v>
      </c>
      <c r="BC392" s="34">
        <f t="shared" si="331"/>
        <v>0</v>
      </c>
      <c r="BD392" s="34">
        <f t="shared" si="332"/>
        <v>0</v>
      </c>
      <c r="BE392" s="34">
        <v>0</v>
      </c>
      <c r="BF392" s="34">
        <f>392</f>
        <v>392</v>
      </c>
      <c r="BH392" s="18">
        <f t="shared" si="333"/>
        <v>0</v>
      </c>
      <c r="BI392" s="18">
        <f t="shared" si="334"/>
        <v>0</v>
      </c>
      <c r="BJ392" s="18">
        <f t="shared" si="335"/>
        <v>0</v>
      </c>
    </row>
    <row r="393" spans="1:62" x14ac:dyDescent="0.2">
      <c r="A393" s="5" t="s">
        <v>355</v>
      </c>
      <c r="B393" s="5" t="s">
        <v>1545</v>
      </c>
      <c r="C393" s="135" t="s">
        <v>2781</v>
      </c>
      <c r="D393" s="136"/>
      <c r="E393" s="136"/>
      <c r="F393" s="136"/>
      <c r="G393" s="136"/>
      <c r="H393" s="5" t="s">
        <v>3612</v>
      </c>
      <c r="I393" s="18">
        <v>5</v>
      </c>
      <c r="J393" s="18">
        <v>0</v>
      </c>
      <c r="K393" s="18">
        <f t="shared" si="314"/>
        <v>0</v>
      </c>
      <c r="L393" s="28" t="s">
        <v>3635</v>
      </c>
      <c r="Z393" s="34">
        <f t="shared" si="315"/>
        <v>0</v>
      </c>
      <c r="AB393" s="34">
        <f t="shared" si="316"/>
        <v>0</v>
      </c>
      <c r="AC393" s="34">
        <f t="shared" si="317"/>
        <v>0</v>
      </c>
      <c r="AD393" s="34">
        <f t="shared" si="318"/>
        <v>0</v>
      </c>
      <c r="AE393" s="34">
        <f t="shared" si="319"/>
        <v>0</v>
      </c>
      <c r="AF393" s="34">
        <f t="shared" si="320"/>
        <v>0</v>
      </c>
      <c r="AG393" s="34">
        <f t="shared" si="321"/>
        <v>0</v>
      </c>
      <c r="AH393" s="34">
        <f t="shared" si="322"/>
        <v>0</v>
      </c>
      <c r="AI393" s="27" t="s">
        <v>3645</v>
      </c>
      <c r="AJ393" s="18">
        <f t="shared" si="323"/>
        <v>0</v>
      </c>
      <c r="AK393" s="18">
        <f t="shared" si="324"/>
        <v>0</v>
      </c>
      <c r="AL393" s="18">
        <f t="shared" si="325"/>
        <v>0</v>
      </c>
      <c r="AN393" s="34">
        <v>21</v>
      </c>
      <c r="AO393" s="34">
        <f t="shared" si="326"/>
        <v>0</v>
      </c>
      <c r="AP393" s="34">
        <f t="shared" si="327"/>
        <v>0</v>
      </c>
      <c r="AQ393" s="28" t="s">
        <v>13</v>
      </c>
      <c r="AV393" s="34">
        <f t="shared" si="328"/>
        <v>0</v>
      </c>
      <c r="AW393" s="34">
        <f t="shared" si="329"/>
        <v>0</v>
      </c>
      <c r="AX393" s="34">
        <f t="shared" si="330"/>
        <v>0</v>
      </c>
      <c r="AY393" s="35" t="s">
        <v>3678</v>
      </c>
      <c r="AZ393" s="35" t="s">
        <v>3714</v>
      </c>
      <c r="BA393" s="27" t="s">
        <v>3729</v>
      </c>
      <c r="BC393" s="34">
        <f t="shared" si="331"/>
        <v>0</v>
      </c>
      <c r="BD393" s="34">
        <f t="shared" si="332"/>
        <v>0</v>
      </c>
      <c r="BE393" s="34">
        <v>0</v>
      </c>
      <c r="BF393" s="34">
        <f>393</f>
        <v>393</v>
      </c>
      <c r="BH393" s="18">
        <f t="shared" si="333"/>
        <v>0</v>
      </c>
      <c r="BI393" s="18">
        <f t="shared" si="334"/>
        <v>0</v>
      </c>
      <c r="BJ393" s="18">
        <f t="shared" si="335"/>
        <v>0</v>
      </c>
    </row>
    <row r="394" spans="1:62" x14ac:dyDescent="0.2">
      <c r="A394" s="5" t="s">
        <v>356</v>
      </c>
      <c r="B394" s="5" t="s">
        <v>1546</v>
      </c>
      <c r="C394" s="135" t="s">
        <v>2782</v>
      </c>
      <c r="D394" s="136"/>
      <c r="E394" s="136"/>
      <c r="F394" s="136"/>
      <c r="G394" s="136"/>
      <c r="H394" s="5" t="s">
        <v>3612</v>
      </c>
      <c r="I394" s="18">
        <v>4</v>
      </c>
      <c r="J394" s="18">
        <v>0</v>
      </c>
      <c r="K394" s="18">
        <f t="shared" si="314"/>
        <v>0</v>
      </c>
      <c r="L394" s="28" t="s">
        <v>3635</v>
      </c>
      <c r="Z394" s="34">
        <f t="shared" si="315"/>
        <v>0</v>
      </c>
      <c r="AB394" s="34">
        <f t="shared" si="316"/>
        <v>0</v>
      </c>
      <c r="AC394" s="34">
        <f t="shared" si="317"/>
        <v>0</v>
      </c>
      <c r="AD394" s="34">
        <f t="shared" si="318"/>
        <v>0</v>
      </c>
      <c r="AE394" s="34">
        <f t="shared" si="319"/>
        <v>0</v>
      </c>
      <c r="AF394" s="34">
        <f t="shared" si="320"/>
        <v>0</v>
      </c>
      <c r="AG394" s="34">
        <f t="shared" si="321"/>
        <v>0</v>
      </c>
      <c r="AH394" s="34">
        <f t="shared" si="322"/>
        <v>0</v>
      </c>
      <c r="AI394" s="27" t="s">
        <v>3645</v>
      </c>
      <c r="AJ394" s="18">
        <f t="shared" si="323"/>
        <v>0</v>
      </c>
      <c r="AK394" s="18">
        <f t="shared" si="324"/>
        <v>0</v>
      </c>
      <c r="AL394" s="18">
        <f t="shared" si="325"/>
        <v>0</v>
      </c>
      <c r="AN394" s="34">
        <v>21</v>
      </c>
      <c r="AO394" s="34">
        <f t="shared" si="326"/>
        <v>0</v>
      </c>
      <c r="AP394" s="34">
        <f t="shared" si="327"/>
        <v>0</v>
      </c>
      <c r="AQ394" s="28" t="s">
        <v>13</v>
      </c>
      <c r="AV394" s="34">
        <f t="shared" si="328"/>
        <v>0</v>
      </c>
      <c r="AW394" s="34">
        <f t="shared" si="329"/>
        <v>0</v>
      </c>
      <c r="AX394" s="34">
        <f t="shared" si="330"/>
        <v>0</v>
      </c>
      <c r="AY394" s="35" t="s">
        <v>3678</v>
      </c>
      <c r="AZ394" s="35" t="s">
        <v>3714</v>
      </c>
      <c r="BA394" s="27" t="s">
        <v>3729</v>
      </c>
      <c r="BC394" s="34">
        <f t="shared" si="331"/>
        <v>0</v>
      </c>
      <c r="BD394" s="34">
        <f t="shared" si="332"/>
        <v>0</v>
      </c>
      <c r="BE394" s="34">
        <v>0</v>
      </c>
      <c r="BF394" s="34">
        <f>394</f>
        <v>394</v>
      </c>
      <c r="BH394" s="18">
        <f t="shared" si="333"/>
        <v>0</v>
      </c>
      <c r="BI394" s="18">
        <f t="shared" si="334"/>
        <v>0</v>
      </c>
      <c r="BJ394" s="18">
        <f t="shared" si="335"/>
        <v>0</v>
      </c>
    </row>
    <row r="395" spans="1:62" x14ac:dyDescent="0.2">
      <c r="A395" s="5" t="s">
        <v>357</v>
      </c>
      <c r="B395" s="5" t="s">
        <v>1547</v>
      </c>
      <c r="C395" s="135" t="s">
        <v>2783</v>
      </c>
      <c r="D395" s="136"/>
      <c r="E395" s="136"/>
      <c r="F395" s="136"/>
      <c r="G395" s="136"/>
      <c r="H395" s="5" t="s">
        <v>3612</v>
      </c>
      <c r="I395" s="18">
        <v>4</v>
      </c>
      <c r="J395" s="18">
        <v>0</v>
      </c>
      <c r="K395" s="18">
        <f t="shared" si="314"/>
        <v>0</v>
      </c>
      <c r="L395" s="28" t="s">
        <v>3635</v>
      </c>
      <c r="Z395" s="34">
        <f t="shared" si="315"/>
        <v>0</v>
      </c>
      <c r="AB395" s="34">
        <f t="shared" si="316"/>
        <v>0</v>
      </c>
      <c r="AC395" s="34">
        <f t="shared" si="317"/>
        <v>0</v>
      </c>
      <c r="AD395" s="34">
        <f t="shared" si="318"/>
        <v>0</v>
      </c>
      <c r="AE395" s="34">
        <f t="shared" si="319"/>
        <v>0</v>
      </c>
      <c r="AF395" s="34">
        <f t="shared" si="320"/>
        <v>0</v>
      </c>
      <c r="AG395" s="34">
        <f t="shared" si="321"/>
        <v>0</v>
      </c>
      <c r="AH395" s="34">
        <f t="shared" si="322"/>
        <v>0</v>
      </c>
      <c r="AI395" s="27" t="s">
        <v>3645</v>
      </c>
      <c r="AJ395" s="18">
        <f t="shared" si="323"/>
        <v>0</v>
      </c>
      <c r="AK395" s="18">
        <f t="shared" si="324"/>
        <v>0</v>
      </c>
      <c r="AL395" s="18">
        <f t="shared" si="325"/>
        <v>0</v>
      </c>
      <c r="AN395" s="34">
        <v>21</v>
      </c>
      <c r="AO395" s="34">
        <f t="shared" si="326"/>
        <v>0</v>
      </c>
      <c r="AP395" s="34">
        <f t="shared" si="327"/>
        <v>0</v>
      </c>
      <c r="AQ395" s="28" t="s">
        <v>13</v>
      </c>
      <c r="AV395" s="34">
        <f t="shared" si="328"/>
        <v>0</v>
      </c>
      <c r="AW395" s="34">
        <f t="shared" si="329"/>
        <v>0</v>
      </c>
      <c r="AX395" s="34">
        <f t="shared" si="330"/>
        <v>0</v>
      </c>
      <c r="AY395" s="35" t="s">
        <v>3678</v>
      </c>
      <c r="AZ395" s="35" t="s">
        <v>3714</v>
      </c>
      <c r="BA395" s="27" t="s">
        <v>3729</v>
      </c>
      <c r="BC395" s="34">
        <f t="shared" si="331"/>
        <v>0</v>
      </c>
      <c r="BD395" s="34">
        <f t="shared" si="332"/>
        <v>0</v>
      </c>
      <c r="BE395" s="34">
        <v>0</v>
      </c>
      <c r="BF395" s="34">
        <f>395</f>
        <v>395</v>
      </c>
      <c r="BH395" s="18">
        <f t="shared" si="333"/>
        <v>0</v>
      </c>
      <c r="BI395" s="18">
        <f t="shared" si="334"/>
        <v>0</v>
      </c>
      <c r="BJ395" s="18">
        <f t="shared" si="335"/>
        <v>0</v>
      </c>
    </row>
    <row r="396" spans="1:62" x14ac:dyDescent="0.2">
      <c r="A396" s="5" t="s">
        <v>358</v>
      </c>
      <c r="B396" s="5" t="s">
        <v>1548</v>
      </c>
      <c r="C396" s="135" t="s">
        <v>2784</v>
      </c>
      <c r="D396" s="136"/>
      <c r="E396" s="136"/>
      <c r="F396" s="136"/>
      <c r="G396" s="136"/>
      <c r="H396" s="5" t="s">
        <v>3612</v>
      </c>
      <c r="I396" s="18">
        <v>4</v>
      </c>
      <c r="J396" s="18">
        <v>0</v>
      </c>
      <c r="K396" s="18">
        <f t="shared" si="314"/>
        <v>0</v>
      </c>
      <c r="L396" s="28" t="s">
        <v>3635</v>
      </c>
      <c r="Z396" s="34">
        <f t="shared" si="315"/>
        <v>0</v>
      </c>
      <c r="AB396" s="34">
        <f t="shared" si="316"/>
        <v>0</v>
      </c>
      <c r="AC396" s="34">
        <f t="shared" si="317"/>
        <v>0</v>
      </c>
      <c r="AD396" s="34">
        <f t="shared" si="318"/>
        <v>0</v>
      </c>
      <c r="AE396" s="34">
        <f t="shared" si="319"/>
        <v>0</v>
      </c>
      <c r="AF396" s="34">
        <f t="shared" si="320"/>
        <v>0</v>
      </c>
      <c r="AG396" s="34">
        <f t="shared" si="321"/>
        <v>0</v>
      </c>
      <c r="AH396" s="34">
        <f t="shared" si="322"/>
        <v>0</v>
      </c>
      <c r="AI396" s="27" t="s">
        <v>3645</v>
      </c>
      <c r="AJ396" s="18">
        <f t="shared" si="323"/>
        <v>0</v>
      </c>
      <c r="AK396" s="18">
        <f t="shared" si="324"/>
        <v>0</v>
      </c>
      <c r="AL396" s="18">
        <f t="shared" si="325"/>
        <v>0</v>
      </c>
      <c r="AN396" s="34">
        <v>21</v>
      </c>
      <c r="AO396" s="34">
        <f t="shared" si="326"/>
        <v>0</v>
      </c>
      <c r="AP396" s="34">
        <f t="shared" si="327"/>
        <v>0</v>
      </c>
      <c r="AQ396" s="28" t="s">
        <v>13</v>
      </c>
      <c r="AV396" s="34">
        <f t="shared" si="328"/>
        <v>0</v>
      </c>
      <c r="AW396" s="34">
        <f t="shared" si="329"/>
        <v>0</v>
      </c>
      <c r="AX396" s="34">
        <f t="shared" si="330"/>
        <v>0</v>
      </c>
      <c r="AY396" s="35" t="s">
        <v>3678</v>
      </c>
      <c r="AZ396" s="35" t="s">
        <v>3714</v>
      </c>
      <c r="BA396" s="27" t="s">
        <v>3729</v>
      </c>
      <c r="BC396" s="34">
        <f t="shared" si="331"/>
        <v>0</v>
      </c>
      <c r="BD396" s="34">
        <f t="shared" si="332"/>
        <v>0</v>
      </c>
      <c r="BE396" s="34">
        <v>0</v>
      </c>
      <c r="BF396" s="34">
        <f>396</f>
        <v>396</v>
      </c>
      <c r="BH396" s="18">
        <f t="shared" si="333"/>
        <v>0</v>
      </c>
      <c r="BI396" s="18">
        <f t="shared" si="334"/>
        <v>0</v>
      </c>
      <c r="BJ396" s="18">
        <f t="shared" si="335"/>
        <v>0</v>
      </c>
    </row>
    <row r="397" spans="1:62" x14ac:dyDescent="0.2">
      <c r="A397" s="5" t="s">
        <v>359</v>
      </c>
      <c r="B397" s="5" t="s">
        <v>1549</v>
      </c>
      <c r="C397" s="135" t="s">
        <v>2785</v>
      </c>
      <c r="D397" s="136"/>
      <c r="E397" s="136"/>
      <c r="F397" s="136"/>
      <c r="G397" s="136"/>
      <c r="H397" s="5" t="s">
        <v>3612</v>
      </c>
      <c r="I397" s="18">
        <v>13</v>
      </c>
      <c r="J397" s="18">
        <v>0</v>
      </c>
      <c r="K397" s="18">
        <f t="shared" si="314"/>
        <v>0</v>
      </c>
      <c r="L397" s="28" t="s">
        <v>3635</v>
      </c>
      <c r="Z397" s="34">
        <f t="shared" si="315"/>
        <v>0</v>
      </c>
      <c r="AB397" s="34">
        <f t="shared" si="316"/>
        <v>0</v>
      </c>
      <c r="AC397" s="34">
        <f t="shared" si="317"/>
        <v>0</v>
      </c>
      <c r="AD397" s="34">
        <f t="shared" si="318"/>
        <v>0</v>
      </c>
      <c r="AE397" s="34">
        <f t="shared" si="319"/>
        <v>0</v>
      </c>
      <c r="AF397" s="34">
        <f t="shared" si="320"/>
        <v>0</v>
      </c>
      <c r="AG397" s="34">
        <f t="shared" si="321"/>
        <v>0</v>
      </c>
      <c r="AH397" s="34">
        <f t="shared" si="322"/>
        <v>0</v>
      </c>
      <c r="AI397" s="27" t="s">
        <v>3645</v>
      </c>
      <c r="AJ397" s="18">
        <f t="shared" si="323"/>
        <v>0</v>
      </c>
      <c r="AK397" s="18">
        <f t="shared" si="324"/>
        <v>0</v>
      </c>
      <c r="AL397" s="18">
        <f t="shared" si="325"/>
        <v>0</v>
      </c>
      <c r="AN397" s="34">
        <v>21</v>
      </c>
      <c r="AO397" s="34">
        <f t="shared" si="326"/>
        <v>0</v>
      </c>
      <c r="AP397" s="34">
        <f t="shared" si="327"/>
        <v>0</v>
      </c>
      <c r="AQ397" s="28" t="s">
        <v>13</v>
      </c>
      <c r="AV397" s="34">
        <f t="shared" si="328"/>
        <v>0</v>
      </c>
      <c r="AW397" s="34">
        <f t="shared" si="329"/>
        <v>0</v>
      </c>
      <c r="AX397" s="34">
        <f t="shared" si="330"/>
        <v>0</v>
      </c>
      <c r="AY397" s="35" t="s">
        <v>3678</v>
      </c>
      <c r="AZ397" s="35" t="s">
        <v>3714</v>
      </c>
      <c r="BA397" s="27" t="s">
        <v>3729</v>
      </c>
      <c r="BC397" s="34">
        <f t="shared" si="331"/>
        <v>0</v>
      </c>
      <c r="BD397" s="34">
        <f t="shared" si="332"/>
        <v>0</v>
      </c>
      <c r="BE397" s="34">
        <v>0</v>
      </c>
      <c r="BF397" s="34">
        <f>397</f>
        <v>397</v>
      </c>
      <c r="BH397" s="18">
        <f t="shared" si="333"/>
        <v>0</v>
      </c>
      <c r="BI397" s="18">
        <f t="shared" si="334"/>
        <v>0</v>
      </c>
      <c r="BJ397" s="18">
        <f t="shared" si="335"/>
        <v>0</v>
      </c>
    </row>
    <row r="398" spans="1:62" x14ac:dyDescent="0.2">
      <c r="A398" s="5" t="s">
        <v>360</v>
      </c>
      <c r="B398" s="5" t="s">
        <v>1550</v>
      </c>
      <c r="C398" s="135" t="s">
        <v>2786</v>
      </c>
      <c r="D398" s="136"/>
      <c r="E398" s="136"/>
      <c r="F398" s="136"/>
      <c r="G398" s="136"/>
      <c r="H398" s="5" t="s">
        <v>3612</v>
      </c>
      <c r="I398" s="18">
        <v>18</v>
      </c>
      <c r="J398" s="18">
        <v>0</v>
      </c>
      <c r="K398" s="18">
        <f t="shared" si="314"/>
        <v>0</v>
      </c>
      <c r="L398" s="28" t="s">
        <v>3635</v>
      </c>
      <c r="Z398" s="34">
        <f t="shared" si="315"/>
        <v>0</v>
      </c>
      <c r="AB398" s="34">
        <f t="shared" si="316"/>
        <v>0</v>
      </c>
      <c r="AC398" s="34">
        <f t="shared" si="317"/>
        <v>0</v>
      </c>
      <c r="AD398" s="34">
        <f t="shared" si="318"/>
        <v>0</v>
      </c>
      <c r="AE398" s="34">
        <f t="shared" si="319"/>
        <v>0</v>
      </c>
      <c r="AF398" s="34">
        <f t="shared" si="320"/>
        <v>0</v>
      </c>
      <c r="AG398" s="34">
        <f t="shared" si="321"/>
        <v>0</v>
      </c>
      <c r="AH398" s="34">
        <f t="shared" si="322"/>
        <v>0</v>
      </c>
      <c r="AI398" s="27" t="s">
        <v>3645</v>
      </c>
      <c r="AJ398" s="18">
        <f t="shared" si="323"/>
        <v>0</v>
      </c>
      <c r="AK398" s="18">
        <f t="shared" si="324"/>
        <v>0</v>
      </c>
      <c r="AL398" s="18">
        <f t="shared" si="325"/>
        <v>0</v>
      </c>
      <c r="AN398" s="34">
        <v>21</v>
      </c>
      <c r="AO398" s="34">
        <f t="shared" si="326"/>
        <v>0</v>
      </c>
      <c r="AP398" s="34">
        <f t="shared" si="327"/>
        <v>0</v>
      </c>
      <c r="AQ398" s="28" t="s">
        <v>13</v>
      </c>
      <c r="AV398" s="34">
        <f t="shared" si="328"/>
        <v>0</v>
      </c>
      <c r="AW398" s="34">
        <f t="shared" si="329"/>
        <v>0</v>
      </c>
      <c r="AX398" s="34">
        <f t="shared" si="330"/>
        <v>0</v>
      </c>
      <c r="AY398" s="35" t="s">
        <v>3678</v>
      </c>
      <c r="AZ398" s="35" t="s">
        <v>3714</v>
      </c>
      <c r="BA398" s="27" t="s">
        <v>3729</v>
      </c>
      <c r="BC398" s="34">
        <f t="shared" si="331"/>
        <v>0</v>
      </c>
      <c r="BD398" s="34">
        <f t="shared" si="332"/>
        <v>0</v>
      </c>
      <c r="BE398" s="34">
        <v>0</v>
      </c>
      <c r="BF398" s="34">
        <f>398</f>
        <v>398</v>
      </c>
      <c r="BH398" s="18">
        <f t="shared" si="333"/>
        <v>0</v>
      </c>
      <c r="BI398" s="18">
        <f t="shared" si="334"/>
        <v>0</v>
      </c>
      <c r="BJ398" s="18">
        <f t="shared" si="335"/>
        <v>0</v>
      </c>
    </row>
    <row r="399" spans="1:62" x14ac:dyDescent="0.2">
      <c r="A399" s="5" t="s">
        <v>361</v>
      </c>
      <c r="B399" s="5" t="s">
        <v>1551</v>
      </c>
      <c r="C399" s="135" t="s">
        <v>2787</v>
      </c>
      <c r="D399" s="136"/>
      <c r="E399" s="136"/>
      <c r="F399" s="136"/>
      <c r="G399" s="136"/>
      <c r="H399" s="5" t="s">
        <v>3612</v>
      </c>
      <c r="I399" s="18">
        <v>18</v>
      </c>
      <c r="J399" s="18">
        <v>0</v>
      </c>
      <c r="K399" s="18">
        <f t="shared" si="314"/>
        <v>0</v>
      </c>
      <c r="L399" s="28" t="s">
        <v>3635</v>
      </c>
      <c r="Z399" s="34">
        <f t="shared" si="315"/>
        <v>0</v>
      </c>
      <c r="AB399" s="34">
        <f t="shared" si="316"/>
        <v>0</v>
      </c>
      <c r="AC399" s="34">
        <f t="shared" si="317"/>
        <v>0</v>
      </c>
      <c r="AD399" s="34">
        <f t="shared" si="318"/>
        <v>0</v>
      </c>
      <c r="AE399" s="34">
        <f t="shared" si="319"/>
        <v>0</v>
      </c>
      <c r="AF399" s="34">
        <f t="shared" si="320"/>
        <v>0</v>
      </c>
      <c r="AG399" s="34">
        <f t="shared" si="321"/>
        <v>0</v>
      </c>
      <c r="AH399" s="34">
        <f t="shared" si="322"/>
        <v>0</v>
      </c>
      <c r="AI399" s="27" t="s">
        <v>3645</v>
      </c>
      <c r="AJ399" s="18">
        <f t="shared" si="323"/>
        <v>0</v>
      </c>
      <c r="AK399" s="18">
        <f t="shared" si="324"/>
        <v>0</v>
      </c>
      <c r="AL399" s="18">
        <f t="shared" si="325"/>
        <v>0</v>
      </c>
      <c r="AN399" s="34">
        <v>21</v>
      </c>
      <c r="AO399" s="34">
        <f t="shared" si="326"/>
        <v>0</v>
      </c>
      <c r="AP399" s="34">
        <f t="shared" si="327"/>
        <v>0</v>
      </c>
      <c r="AQ399" s="28" t="s">
        <v>13</v>
      </c>
      <c r="AV399" s="34">
        <f t="shared" si="328"/>
        <v>0</v>
      </c>
      <c r="AW399" s="34">
        <f t="shared" si="329"/>
        <v>0</v>
      </c>
      <c r="AX399" s="34">
        <f t="shared" si="330"/>
        <v>0</v>
      </c>
      <c r="AY399" s="35" t="s">
        <v>3678</v>
      </c>
      <c r="AZ399" s="35" t="s">
        <v>3714</v>
      </c>
      <c r="BA399" s="27" t="s">
        <v>3729</v>
      </c>
      <c r="BC399" s="34">
        <f t="shared" si="331"/>
        <v>0</v>
      </c>
      <c r="BD399" s="34">
        <f t="shared" si="332"/>
        <v>0</v>
      </c>
      <c r="BE399" s="34">
        <v>0</v>
      </c>
      <c r="BF399" s="34">
        <f>399</f>
        <v>399</v>
      </c>
      <c r="BH399" s="18">
        <f t="shared" si="333"/>
        <v>0</v>
      </c>
      <c r="BI399" s="18">
        <f t="shared" si="334"/>
        <v>0</v>
      </c>
      <c r="BJ399" s="18">
        <f t="shared" si="335"/>
        <v>0</v>
      </c>
    </row>
    <row r="400" spans="1:62" x14ac:dyDescent="0.2">
      <c r="A400" s="5" t="s">
        <v>362</v>
      </c>
      <c r="B400" s="5" t="s">
        <v>1552</v>
      </c>
      <c r="C400" s="135" t="s">
        <v>2788</v>
      </c>
      <c r="D400" s="136"/>
      <c r="E400" s="136"/>
      <c r="F400" s="136"/>
      <c r="G400" s="136"/>
      <c r="H400" s="5" t="s">
        <v>3614</v>
      </c>
      <c r="I400" s="18">
        <v>166</v>
      </c>
      <c r="J400" s="18">
        <v>0</v>
      </c>
      <c r="K400" s="18">
        <f t="shared" si="314"/>
        <v>0</v>
      </c>
      <c r="L400" s="28" t="s">
        <v>3635</v>
      </c>
      <c r="Z400" s="34">
        <f t="shared" si="315"/>
        <v>0</v>
      </c>
      <c r="AB400" s="34">
        <f t="shared" si="316"/>
        <v>0</v>
      </c>
      <c r="AC400" s="34">
        <f t="shared" si="317"/>
        <v>0</v>
      </c>
      <c r="AD400" s="34">
        <f t="shared" si="318"/>
        <v>0</v>
      </c>
      <c r="AE400" s="34">
        <f t="shared" si="319"/>
        <v>0</v>
      </c>
      <c r="AF400" s="34">
        <f t="shared" si="320"/>
        <v>0</v>
      </c>
      <c r="AG400" s="34">
        <f t="shared" si="321"/>
        <v>0</v>
      </c>
      <c r="AH400" s="34">
        <f t="shared" si="322"/>
        <v>0</v>
      </c>
      <c r="AI400" s="27" t="s">
        <v>3645</v>
      </c>
      <c r="AJ400" s="18">
        <f t="shared" si="323"/>
        <v>0</v>
      </c>
      <c r="AK400" s="18">
        <f t="shared" si="324"/>
        <v>0</v>
      </c>
      <c r="AL400" s="18">
        <f t="shared" si="325"/>
        <v>0</v>
      </c>
      <c r="AN400" s="34">
        <v>21</v>
      </c>
      <c r="AO400" s="34">
        <f t="shared" si="326"/>
        <v>0</v>
      </c>
      <c r="AP400" s="34">
        <f t="shared" si="327"/>
        <v>0</v>
      </c>
      <c r="AQ400" s="28" t="s">
        <v>13</v>
      </c>
      <c r="AV400" s="34">
        <f t="shared" si="328"/>
        <v>0</v>
      </c>
      <c r="AW400" s="34">
        <f t="shared" si="329"/>
        <v>0</v>
      </c>
      <c r="AX400" s="34">
        <f t="shared" si="330"/>
        <v>0</v>
      </c>
      <c r="AY400" s="35" t="s">
        <v>3678</v>
      </c>
      <c r="AZ400" s="35" t="s">
        <v>3714</v>
      </c>
      <c r="BA400" s="27" t="s">
        <v>3729</v>
      </c>
      <c r="BC400" s="34">
        <f t="shared" si="331"/>
        <v>0</v>
      </c>
      <c r="BD400" s="34">
        <f t="shared" si="332"/>
        <v>0</v>
      </c>
      <c r="BE400" s="34">
        <v>0</v>
      </c>
      <c r="BF400" s="34">
        <f>400</f>
        <v>400</v>
      </c>
      <c r="BH400" s="18">
        <f t="shared" si="333"/>
        <v>0</v>
      </c>
      <c r="BI400" s="18">
        <f t="shared" si="334"/>
        <v>0</v>
      </c>
      <c r="BJ400" s="18">
        <f t="shared" si="335"/>
        <v>0</v>
      </c>
    </row>
    <row r="401" spans="1:62" x14ac:dyDescent="0.2">
      <c r="A401" s="5" t="s">
        <v>363</v>
      </c>
      <c r="B401" s="5" t="s">
        <v>1553</v>
      </c>
      <c r="C401" s="135" t="s">
        <v>2789</v>
      </c>
      <c r="D401" s="136"/>
      <c r="E401" s="136"/>
      <c r="F401" s="136"/>
      <c r="G401" s="136"/>
      <c r="H401" s="5" t="s">
        <v>3612</v>
      </c>
      <c r="I401" s="18">
        <v>19</v>
      </c>
      <c r="J401" s="18">
        <v>0</v>
      </c>
      <c r="K401" s="18">
        <f t="shared" si="314"/>
        <v>0</v>
      </c>
      <c r="L401" s="28" t="s">
        <v>3635</v>
      </c>
      <c r="Z401" s="34">
        <f t="shared" si="315"/>
        <v>0</v>
      </c>
      <c r="AB401" s="34">
        <f t="shared" si="316"/>
        <v>0</v>
      </c>
      <c r="AC401" s="34">
        <f t="shared" si="317"/>
        <v>0</v>
      </c>
      <c r="AD401" s="34">
        <f t="shared" si="318"/>
        <v>0</v>
      </c>
      <c r="AE401" s="34">
        <f t="shared" si="319"/>
        <v>0</v>
      </c>
      <c r="AF401" s="34">
        <f t="shared" si="320"/>
        <v>0</v>
      </c>
      <c r="AG401" s="34">
        <f t="shared" si="321"/>
        <v>0</v>
      </c>
      <c r="AH401" s="34">
        <f t="shared" si="322"/>
        <v>0</v>
      </c>
      <c r="AI401" s="27" t="s">
        <v>3645</v>
      </c>
      <c r="AJ401" s="18">
        <f t="shared" si="323"/>
        <v>0</v>
      </c>
      <c r="AK401" s="18">
        <f t="shared" si="324"/>
        <v>0</v>
      </c>
      <c r="AL401" s="18">
        <f t="shared" si="325"/>
        <v>0</v>
      </c>
      <c r="AN401" s="34">
        <v>21</v>
      </c>
      <c r="AO401" s="34">
        <f t="shared" si="326"/>
        <v>0</v>
      </c>
      <c r="AP401" s="34">
        <f t="shared" si="327"/>
        <v>0</v>
      </c>
      <c r="AQ401" s="28" t="s">
        <v>13</v>
      </c>
      <c r="AV401" s="34">
        <f t="shared" si="328"/>
        <v>0</v>
      </c>
      <c r="AW401" s="34">
        <f t="shared" si="329"/>
        <v>0</v>
      </c>
      <c r="AX401" s="34">
        <f t="shared" si="330"/>
        <v>0</v>
      </c>
      <c r="AY401" s="35" t="s">
        <v>3678</v>
      </c>
      <c r="AZ401" s="35" t="s">
        <v>3714</v>
      </c>
      <c r="BA401" s="27" t="s">
        <v>3729</v>
      </c>
      <c r="BC401" s="34">
        <f t="shared" si="331"/>
        <v>0</v>
      </c>
      <c r="BD401" s="34">
        <f t="shared" si="332"/>
        <v>0</v>
      </c>
      <c r="BE401" s="34">
        <v>0</v>
      </c>
      <c r="BF401" s="34">
        <f>401</f>
        <v>401</v>
      </c>
      <c r="BH401" s="18">
        <f t="shared" si="333"/>
        <v>0</v>
      </c>
      <c r="BI401" s="18">
        <f t="shared" si="334"/>
        <v>0</v>
      </c>
      <c r="BJ401" s="18">
        <f t="shared" si="335"/>
        <v>0</v>
      </c>
    </row>
    <row r="402" spans="1:62" x14ac:dyDescent="0.2">
      <c r="A402" s="5" t="s">
        <v>364</v>
      </c>
      <c r="B402" s="5" t="s">
        <v>1554</v>
      </c>
      <c r="C402" s="135" t="s">
        <v>2790</v>
      </c>
      <c r="D402" s="136"/>
      <c r="E402" s="136"/>
      <c r="F402" s="136"/>
      <c r="G402" s="136"/>
      <c r="H402" s="5" t="s">
        <v>3612</v>
      </c>
      <c r="I402" s="18">
        <v>8</v>
      </c>
      <c r="J402" s="18">
        <v>0</v>
      </c>
      <c r="K402" s="18">
        <f t="shared" si="314"/>
        <v>0</v>
      </c>
      <c r="L402" s="28" t="s">
        <v>3635</v>
      </c>
      <c r="Z402" s="34">
        <f t="shared" si="315"/>
        <v>0</v>
      </c>
      <c r="AB402" s="34">
        <f t="shared" si="316"/>
        <v>0</v>
      </c>
      <c r="AC402" s="34">
        <f t="shared" si="317"/>
        <v>0</v>
      </c>
      <c r="AD402" s="34">
        <f t="shared" si="318"/>
        <v>0</v>
      </c>
      <c r="AE402" s="34">
        <f t="shared" si="319"/>
        <v>0</v>
      </c>
      <c r="AF402" s="34">
        <f t="shared" si="320"/>
        <v>0</v>
      </c>
      <c r="AG402" s="34">
        <f t="shared" si="321"/>
        <v>0</v>
      </c>
      <c r="AH402" s="34">
        <f t="shared" si="322"/>
        <v>0</v>
      </c>
      <c r="AI402" s="27" t="s">
        <v>3645</v>
      </c>
      <c r="AJ402" s="18">
        <f t="shared" si="323"/>
        <v>0</v>
      </c>
      <c r="AK402" s="18">
        <f t="shared" si="324"/>
        <v>0</v>
      </c>
      <c r="AL402" s="18">
        <f t="shared" si="325"/>
        <v>0</v>
      </c>
      <c r="AN402" s="34">
        <v>21</v>
      </c>
      <c r="AO402" s="34">
        <f t="shared" si="326"/>
        <v>0</v>
      </c>
      <c r="AP402" s="34">
        <f t="shared" si="327"/>
        <v>0</v>
      </c>
      <c r="AQ402" s="28" t="s">
        <v>13</v>
      </c>
      <c r="AV402" s="34">
        <f t="shared" si="328"/>
        <v>0</v>
      </c>
      <c r="AW402" s="34">
        <f t="shared" si="329"/>
        <v>0</v>
      </c>
      <c r="AX402" s="34">
        <f t="shared" si="330"/>
        <v>0</v>
      </c>
      <c r="AY402" s="35" t="s">
        <v>3678</v>
      </c>
      <c r="AZ402" s="35" t="s">
        <v>3714</v>
      </c>
      <c r="BA402" s="27" t="s">
        <v>3729</v>
      </c>
      <c r="BC402" s="34">
        <f t="shared" si="331"/>
        <v>0</v>
      </c>
      <c r="BD402" s="34">
        <f t="shared" si="332"/>
        <v>0</v>
      </c>
      <c r="BE402" s="34">
        <v>0</v>
      </c>
      <c r="BF402" s="34">
        <f>402</f>
        <v>402</v>
      </c>
      <c r="BH402" s="18">
        <f t="shared" si="333"/>
        <v>0</v>
      </c>
      <c r="BI402" s="18">
        <f t="shared" si="334"/>
        <v>0</v>
      </c>
      <c r="BJ402" s="18">
        <f t="shared" si="335"/>
        <v>0</v>
      </c>
    </row>
    <row r="403" spans="1:62" x14ac:dyDescent="0.2">
      <c r="A403" s="5" t="s">
        <v>365</v>
      </c>
      <c r="B403" s="5" t="s">
        <v>1555</v>
      </c>
      <c r="C403" s="135" t="s">
        <v>2791</v>
      </c>
      <c r="D403" s="136"/>
      <c r="E403" s="136"/>
      <c r="F403" s="136"/>
      <c r="G403" s="136"/>
      <c r="H403" s="5" t="s">
        <v>3612</v>
      </c>
      <c r="I403" s="18">
        <v>7</v>
      </c>
      <c r="J403" s="18">
        <v>0</v>
      </c>
      <c r="K403" s="18">
        <f t="shared" ref="K403:K413" si="336">I403*J403</f>
        <v>0</v>
      </c>
      <c r="L403" s="28" t="s">
        <v>3635</v>
      </c>
      <c r="Z403" s="34">
        <f t="shared" ref="Z403:Z413" si="337">IF(AQ403="5",BJ403,0)</f>
        <v>0</v>
      </c>
      <c r="AB403" s="34">
        <f t="shared" ref="AB403:AB413" si="338">IF(AQ403="1",BH403,0)</f>
        <v>0</v>
      </c>
      <c r="AC403" s="34">
        <f t="shared" ref="AC403:AC413" si="339">IF(AQ403="1",BI403,0)</f>
        <v>0</v>
      </c>
      <c r="AD403" s="34">
        <f t="shared" ref="AD403:AD413" si="340">IF(AQ403="7",BH403,0)</f>
        <v>0</v>
      </c>
      <c r="AE403" s="34">
        <f t="shared" ref="AE403:AE413" si="341">IF(AQ403="7",BI403,0)</f>
        <v>0</v>
      </c>
      <c r="AF403" s="34">
        <f t="shared" ref="AF403:AF413" si="342">IF(AQ403="2",BH403,0)</f>
        <v>0</v>
      </c>
      <c r="AG403" s="34">
        <f t="shared" ref="AG403:AG413" si="343">IF(AQ403="2",BI403,0)</f>
        <v>0</v>
      </c>
      <c r="AH403" s="34">
        <f t="shared" ref="AH403:AH413" si="344">IF(AQ403="0",BJ403,0)</f>
        <v>0</v>
      </c>
      <c r="AI403" s="27" t="s">
        <v>3645</v>
      </c>
      <c r="AJ403" s="18">
        <f t="shared" ref="AJ403:AJ413" si="345">IF(AN403=0,K403,0)</f>
        <v>0</v>
      </c>
      <c r="AK403" s="18">
        <f t="shared" ref="AK403:AK413" si="346">IF(AN403=15,K403,0)</f>
        <v>0</v>
      </c>
      <c r="AL403" s="18">
        <f t="shared" ref="AL403:AL413" si="347">IF(AN403=21,K403,0)</f>
        <v>0</v>
      </c>
      <c r="AN403" s="34">
        <v>21</v>
      </c>
      <c r="AO403" s="34">
        <f t="shared" ref="AO403:AO413" si="348">J403*0</f>
        <v>0</v>
      </c>
      <c r="AP403" s="34">
        <f t="shared" ref="AP403:AP413" si="349">J403*(1-0)</f>
        <v>0</v>
      </c>
      <c r="AQ403" s="28" t="s">
        <v>13</v>
      </c>
      <c r="AV403" s="34">
        <f t="shared" ref="AV403:AV413" si="350">AW403+AX403</f>
        <v>0</v>
      </c>
      <c r="AW403" s="34">
        <f t="shared" ref="AW403:AW413" si="351">I403*AO403</f>
        <v>0</v>
      </c>
      <c r="AX403" s="34">
        <f t="shared" ref="AX403:AX413" si="352">I403*AP403</f>
        <v>0</v>
      </c>
      <c r="AY403" s="35" t="s">
        <v>3678</v>
      </c>
      <c r="AZ403" s="35" t="s">
        <v>3714</v>
      </c>
      <c r="BA403" s="27" t="s">
        <v>3729</v>
      </c>
      <c r="BC403" s="34">
        <f t="shared" ref="BC403:BC413" si="353">AW403+AX403</f>
        <v>0</v>
      </c>
      <c r="BD403" s="34">
        <f t="shared" ref="BD403:BD413" si="354">J403/(100-BE403)*100</f>
        <v>0</v>
      </c>
      <c r="BE403" s="34">
        <v>0</v>
      </c>
      <c r="BF403" s="34">
        <f>403</f>
        <v>403</v>
      </c>
      <c r="BH403" s="18">
        <f t="shared" ref="BH403:BH413" si="355">I403*AO403</f>
        <v>0</v>
      </c>
      <c r="BI403" s="18">
        <f t="shared" ref="BI403:BI413" si="356">I403*AP403</f>
        <v>0</v>
      </c>
      <c r="BJ403" s="18">
        <f t="shared" ref="BJ403:BJ413" si="357">I403*J403</f>
        <v>0</v>
      </c>
    </row>
    <row r="404" spans="1:62" x14ac:dyDescent="0.2">
      <c r="A404" s="5" t="s">
        <v>366</v>
      </c>
      <c r="B404" s="5" t="s">
        <v>1556</v>
      </c>
      <c r="C404" s="135" t="s">
        <v>2792</v>
      </c>
      <c r="D404" s="136"/>
      <c r="E404" s="136"/>
      <c r="F404" s="136"/>
      <c r="G404" s="136"/>
      <c r="H404" s="5" t="s">
        <v>3619</v>
      </c>
      <c r="I404" s="18">
        <v>45</v>
      </c>
      <c r="J404" s="18">
        <v>0</v>
      </c>
      <c r="K404" s="18">
        <f t="shared" si="336"/>
        <v>0</v>
      </c>
      <c r="L404" s="28" t="s">
        <v>3635</v>
      </c>
      <c r="Z404" s="34">
        <f t="shared" si="337"/>
        <v>0</v>
      </c>
      <c r="AB404" s="34">
        <f t="shared" si="338"/>
        <v>0</v>
      </c>
      <c r="AC404" s="34">
        <f t="shared" si="339"/>
        <v>0</v>
      </c>
      <c r="AD404" s="34">
        <f t="shared" si="340"/>
        <v>0</v>
      </c>
      <c r="AE404" s="34">
        <f t="shared" si="341"/>
        <v>0</v>
      </c>
      <c r="AF404" s="34">
        <f t="shared" si="342"/>
        <v>0</v>
      </c>
      <c r="AG404" s="34">
        <f t="shared" si="343"/>
        <v>0</v>
      </c>
      <c r="AH404" s="34">
        <f t="shared" si="344"/>
        <v>0</v>
      </c>
      <c r="AI404" s="27" t="s">
        <v>3645</v>
      </c>
      <c r="AJ404" s="18">
        <f t="shared" si="345"/>
        <v>0</v>
      </c>
      <c r="AK404" s="18">
        <f t="shared" si="346"/>
        <v>0</v>
      </c>
      <c r="AL404" s="18">
        <f t="shared" si="347"/>
        <v>0</v>
      </c>
      <c r="AN404" s="34">
        <v>21</v>
      </c>
      <c r="AO404" s="34">
        <f t="shared" si="348"/>
        <v>0</v>
      </c>
      <c r="AP404" s="34">
        <f t="shared" si="349"/>
        <v>0</v>
      </c>
      <c r="AQ404" s="28" t="s">
        <v>13</v>
      </c>
      <c r="AV404" s="34">
        <f t="shared" si="350"/>
        <v>0</v>
      </c>
      <c r="AW404" s="34">
        <f t="shared" si="351"/>
        <v>0</v>
      </c>
      <c r="AX404" s="34">
        <f t="shared" si="352"/>
        <v>0</v>
      </c>
      <c r="AY404" s="35" t="s">
        <v>3678</v>
      </c>
      <c r="AZ404" s="35" t="s">
        <v>3714</v>
      </c>
      <c r="BA404" s="27" t="s">
        <v>3729</v>
      </c>
      <c r="BC404" s="34">
        <f t="shared" si="353"/>
        <v>0</v>
      </c>
      <c r="BD404" s="34">
        <f t="shared" si="354"/>
        <v>0</v>
      </c>
      <c r="BE404" s="34">
        <v>0</v>
      </c>
      <c r="BF404" s="34">
        <f>404</f>
        <v>404</v>
      </c>
      <c r="BH404" s="18">
        <f t="shared" si="355"/>
        <v>0</v>
      </c>
      <c r="BI404" s="18">
        <f t="shared" si="356"/>
        <v>0</v>
      </c>
      <c r="BJ404" s="18">
        <f t="shared" si="357"/>
        <v>0</v>
      </c>
    </row>
    <row r="405" spans="1:62" x14ac:dyDescent="0.2">
      <c r="A405" s="5" t="s">
        <v>367</v>
      </c>
      <c r="B405" s="5" t="s">
        <v>1557</v>
      </c>
      <c r="C405" s="135" t="s">
        <v>2793</v>
      </c>
      <c r="D405" s="136"/>
      <c r="E405" s="136"/>
      <c r="F405" s="136"/>
      <c r="G405" s="136"/>
      <c r="H405" s="5" t="s">
        <v>3614</v>
      </c>
      <c r="I405" s="18">
        <v>435.5</v>
      </c>
      <c r="J405" s="18">
        <v>0</v>
      </c>
      <c r="K405" s="18">
        <f t="shared" si="336"/>
        <v>0</v>
      </c>
      <c r="L405" s="28" t="s">
        <v>3635</v>
      </c>
      <c r="Z405" s="34">
        <f t="shared" si="337"/>
        <v>0</v>
      </c>
      <c r="AB405" s="34">
        <f t="shared" si="338"/>
        <v>0</v>
      </c>
      <c r="AC405" s="34">
        <f t="shared" si="339"/>
        <v>0</v>
      </c>
      <c r="AD405" s="34">
        <f t="shared" si="340"/>
        <v>0</v>
      </c>
      <c r="AE405" s="34">
        <f t="shared" si="341"/>
        <v>0</v>
      </c>
      <c r="AF405" s="34">
        <f t="shared" si="342"/>
        <v>0</v>
      </c>
      <c r="AG405" s="34">
        <f t="shared" si="343"/>
        <v>0</v>
      </c>
      <c r="AH405" s="34">
        <f t="shared" si="344"/>
        <v>0</v>
      </c>
      <c r="AI405" s="27" t="s">
        <v>3645</v>
      </c>
      <c r="AJ405" s="18">
        <f t="shared" si="345"/>
        <v>0</v>
      </c>
      <c r="AK405" s="18">
        <f t="shared" si="346"/>
        <v>0</v>
      </c>
      <c r="AL405" s="18">
        <f t="shared" si="347"/>
        <v>0</v>
      </c>
      <c r="AN405" s="34">
        <v>21</v>
      </c>
      <c r="AO405" s="34">
        <f t="shared" si="348"/>
        <v>0</v>
      </c>
      <c r="AP405" s="34">
        <f t="shared" si="349"/>
        <v>0</v>
      </c>
      <c r="AQ405" s="28" t="s">
        <v>13</v>
      </c>
      <c r="AV405" s="34">
        <f t="shared" si="350"/>
        <v>0</v>
      </c>
      <c r="AW405" s="34">
        <f t="shared" si="351"/>
        <v>0</v>
      </c>
      <c r="AX405" s="34">
        <f t="shared" si="352"/>
        <v>0</v>
      </c>
      <c r="AY405" s="35" t="s">
        <v>3678</v>
      </c>
      <c r="AZ405" s="35" t="s">
        <v>3714</v>
      </c>
      <c r="BA405" s="27" t="s">
        <v>3729</v>
      </c>
      <c r="BC405" s="34">
        <f t="shared" si="353"/>
        <v>0</v>
      </c>
      <c r="BD405" s="34">
        <f t="shared" si="354"/>
        <v>0</v>
      </c>
      <c r="BE405" s="34">
        <v>0</v>
      </c>
      <c r="BF405" s="34">
        <f>405</f>
        <v>405</v>
      </c>
      <c r="BH405" s="18">
        <f t="shared" si="355"/>
        <v>0</v>
      </c>
      <c r="BI405" s="18">
        <f t="shared" si="356"/>
        <v>0</v>
      </c>
      <c r="BJ405" s="18">
        <f t="shared" si="357"/>
        <v>0</v>
      </c>
    </row>
    <row r="406" spans="1:62" x14ac:dyDescent="0.2">
      <c r="A406" s="5" t="s">
        <v>368</v>
      </c>
      <c r="B406" s="5" t="s">
        <v>1558</v>
      </c>
      <c r="C406" s="135" t="s">
        <v>2794</v>
      </c>
      <c r="D406" s="136"/>
      <c r="E406" s="136"/>
      <c r="F406" s="136"/>
      <c r="G406" s="136"/>
      <c r="H406" s="5" t="s">
        <v>3614</v>
      </c>
      <c r="I406" s="18">
        <v>435.5</v>
      </c>
      <c r="J406" s="18">
        <v>0</v>
      </c>
      <c r="K406" s="18">
        <f t="shared" si="336"/>
        <v>0</v>
      </c>
      <c r="L406" s="28" t="s">
        <v>3635</v>
      </c>
      <c r="Z406" s="34">
        <f t="shared" si="337"/>
        <v>0</v>
      </c>
      <c r="AB406" s="34">
        <f t="shared" si="338"/>
        <v>0</v>
      </c>
      <c r="AC406" s="34">
        <f t="shared" si="339"/>
        <v>0</v>
      </c>
      <c r="AD406" s="34">
        <f t="shared" si="340"/>
        <v>0</v>
      </c>
      <c r="AE406" s="34">
        <f t="shared" si="341"/>
        <v>0</v>
      </c>
      <c r="AF406" s="34">
        <f t="shared" si="342"/>
        <v>0</v>
      </c>
      <c r="AG406" s="34">
        <f t="shared" si="343"/>
        <v>0</v>
      </c>
      <c r="AH406" s="34">
        <f t="shared" si="344"/>
        <v>0</v>
      </c>
      <c r="AI406" s="27" t="s">
        <v>3645</v>
      </c>
      <c r="AJ406" s="18">
        <f t="shared" si="345"/>
        <v>0</v>
      </c>
      <c r="AK406" s="18">
        <f t="shared" si="346"/>
        <v>0</v>
      </c>
      <c r="AL406" s="18">
        <f t="shared" si="347"/>
        <v>0</v>
      </c>
      <c r="AN406" s="34">
        <v>21</v>
      </c>
      <c r="AO406" s="34">
        <f t="shared" si="348"/>
        <v>0</v>
      </c>
      <c r="AP406" s="34">
        <f t="shared" si="349"/>
        <v>0</v>
      </c>
      <c r="AQ406" s="28" t="s">
        <v>13</v>
      </c>
      <c r="AV406" s="34">
        <f t="shared" si="350"/>
        <v>0</v>
      </c>
      <c r="AW406" s="34">
        <f t="shared" si="351"/>
        <v>0</v>
      </c>
      <c r="AX406" s="34">
        <f t="shared" si="352"/>
        <v>0</v>
      </c>
      <c r="AY406" s="35" t="s">
        <v>3678</v>
      </c>
      <c r="AZ406" s="35" t="s">
        <v>3714</v>
      </c>
      <c r="BA406" s="27" t="s">
        <v>3729</v>
      </c>
      <c r="BC406" s="34">
        <f t="shared" si="353"/>
        <v>0</v>
      </c>
      <c r="BD406" s="34">
        <f t="shared" si="354"/>
        <v>0</v>
      </c>
      <c r="BE406" s="34">
        <v>0</v>
      </c>
      <c r="BF406" s="34">
        <f>406</f>
        <v>406</v>
      </c>
      <c r="BH406" s="18">
        <f t="shared" si="355"/>
        <v>0</v>
      </c>
      <c r="BI406" s="18">
        <f t="shared" si="356"/>
        <v>0</v>
      </c>
      <c r="BJ406" s="18">
        <f t="shared" si="357"/>
        <v>0</v>
      </c>
    </row>
    <row r="407" spans="1:62" x14ac:dyDescent="0.2">
      <c r="A407" s="5" t="s">
        <v>369</v>
      </c>
      <c r="B407" s="5" t="s">
        <v>1559</v>
      </c>
      <c r="C407" s="135" t="s">
        <v>2795</v>
      </c>
      <c r="D407" s="136"/>
      <c r="E407" s="136"/>
      <c r="F407" s="136"/>
      <c r="G407" s="136"/>
      <c r="H407" s="5" t="s">
        <v>3618</v>
      </c>
      <c r="I407" s="18">
        <v>1</v>
      </c>
      <c r="J407" s="18">
        <v>0</v>
      </c>
      <c r="K407" s="18">
        <f t="shared" si="336"/>
        <v>0</v>
      </c>
      <c r="L407" s="28" t="s">
        <v>3635</v>
      </c>
      <c r="Z407" s="34">
        <f t="shared" si="337"/>
        <v>0</v>
      </c>
      <c r="AB407" s="34">
        <f t="shared" si="338"/>
        <v>0</v>
      </c>
      <c r="AC407" s="34">
        <f t="shared" si="339"/>
        <v>0</v>
      </c>
      <c r="AD407" s="34">
        <f t="shared" si="340"/>
        <v>0</v>
      </c>
      <c r="AE407" s="34">
        <f t="shared" si="341"/>
        <v>0</v>
      </c>
      <c r="AF407" s="34">
        <f t="shared" si="342"/>
        <v>0</v>
      </c>
      <c r="AG407" s="34">
        <f t="shared" si="343"/>
        <v>0</v>
      </c>
      <c r="AH407" s="34">
        <f t="shared" si="344"/>
        <v>0</v>
      </c>
      <c r="AI407" s="27" t="s">
        <v>3645</v>
      </c>
      <c r="AJ407" s="18">
        <f t="shared" si="345"/>
        <v>0</v>
      </c>
      <c r="AK407" s="18">
        <f t="shared" si="346"/>
        <v>0</v>
      </c>
      <c r="AL407" s="18">
        <f t="shared" si="347"/>
        <v>0</v>
      </c>
      <c r="AN407" s="34">
        <v>21</v>
      </c>
      <c r="AO407" s="34">
        <f t="shared" si="348"/>
        <v>0</v>
      </c>
      <c r="AP407" s="34">
        <f t="shared" si="349"/>
        <v>0</v>
      </c>
      <c r="AQ407" s="28" t="s">
        <v>13</v>
      </c>
      <c r="AV407" s="34">
        <f t="shared" si="350"/>
        <v>0</v>
      </c>
      <c r="AW407" s="34">
        <f t="shared" si="351"/>
        <v>0</v>
      </c>
      <c r="AX407" s="34">
        <f t="shared" si="352"/>
        <v>0</v>
      </c>
      <c r="AY407" s="35" t="s">
        <v>3678</v>
      </c>
      <c r="AZ407" s="35" t="s">
        <v>3714</v>
      </c>
      <c r="BA407" s="27" t="s">
        <v>3729</v>
      </c>
      <c r="BC407" s="34">
        <f t="shared" si="353"/>
        <v>0</v>
      </c>
      <c r="BD407" s="34">
        <f t="shared" si="354"/>
        <v>0</v>
      </c>
      <c r="BE407" s="34">
        <v>0</v>
      </c>
      <c r="BF407" s="34">
        <f>407</f>
        <v>407</v>
      </c>
      <c r="BH407" s="18">
        <f t="shared" si="355"/>
        <v>0</v>
      </c>
      <c r="BI407" s="18">
        <f t="shared" si="356"/>
        <v>0</v>
      </c>
      <c r="BJ407" s="18">
        <f t="shared" si="357"/>
        <v>0</v>
      </c>
    </row>
    <row r="408" spans="1:62" x14ac:dyDescent="0.2">
      <c r="A408" s="5" t="s">
        <v>370</v>
      </c>
      <c r="B408" s="5" t="s">
        <v>1560</v>
      </c>
      <c r="C408" s="135" t="s">
        <v>2796</v>
      </c>
      <c r="D408" s="136"/>
      <c r="E408" s="136"/>
      <c r="F408" s="136"/>
      <c r="G408" s="136"/>
      <c r="H408" s="5" t="s">
        <v>3614</v>
      </c>
      <c r="I408" s="18">
        <v>435.5</v>
      </c>
      <c r="J408" s="18">
        <v>0</v>
      </c>
      <c r="K408" s="18">
        <f t="shared" si="336"/>
        <v>0</v>
      </c>
      <c r="L408" s="28" t="s">
        <v>3635</v>
      </c>
      <c r="Z408" s="34">
        <f t="shared" si="337"/>
        <v>0</v>
      </c>
      <c r="AB408" s="34">
        <f t="shared" si="338"/>
        <v>0</v>
      </c>
      <c r="AC408" s="34">
        <f t="shared" si="339"/>
        <v>0</v>
      </c>
      <c r="AD408" s="34">
        <f t="shared" si="340"/>
        <v>0</v>
      </c>
      <c r="AE408" s="34">
        <f t="shared" si="341"/>
        <v>0</v>
      </c>
      <c r="AF408" s="34">
        <f t="shared" si="342"/>
        <v>0</v>
      </c>
      <c r="AG408" s="34">
        <f t="shared" si="343"/>
        <v>0</v>
      </c>
      <c r="AH408" s="34">
        <f t="shared" si="344"/>
        <v>0</v>
      </c>
      <c r="AI408" s="27" t="s">
        <v>3645</v>
      </c>
      <c r="AJ408" s="18">
        <f t="shared" si="345"/>
        <v>0</v>
      </c>
      <c r="AK408" s="18">
        <f t="shared" si="346"/>
        <v>0</v>
      </c>
      <c r="AL408" s="18">
        <f t="shared" si="347"/>
        <v>0</v>
      </c>
      <c r="AN408" s="34">
        <v>21</v>
      </c>
      <c r="AO408" s="34">
        <f t="shared" si="348"/>
        <v>0</v>
      </c>
      <c r="AP408" s="34">
        <f t="shared" si="349"/>
        <v>0</v>
      </c>
      <c r="AQ408" s="28" t="s">
        <v>13</v>
      </c>
      <c r="AV408" s="34">
        <f t="shared" si="350"/>
        <v>0</v>
      </c>
      <c r="AW408" s="34">
        <f t="shared" si="351"/>
        <v>0</v>
      </c>
      <c r="AX408" s="34">
        <f t="shared" si="352"/>
        <v>0</v>
      </c>
      <c r="AY408" s="35" t="s">
        <v>3678</v>
      </c>
      <c r="AZ408" s="35" t="s">
        <v>3714</v>
      </c>
      <c r="BA408" s="27" t="s">
        <v>3729</v>
      </c>
      <c r="BC408" s="34">
        <f t="shared" si="353"/>
        <v>0</v>
      </c>
      <c r="BD408" s="34">
        <f t="shared" si="354"/>
        <v>0</v>
      </c>
      <c r="BE408" s="34">
        <v>0</v>
      </c>
      <c r="BF408" s="34">
        <f>408</f>
        <v>408</v>
      </c>
      <c r="BH408" s="18">
        <f t="shared" si="355"/>
        <v>0</v>
      </c>
      <c r="BI408" s="18">
        <f t="shared" si="356"/>
        <v>0</v>
      </c>
      <c r="BJ408" s="18">
        <f t="shared" si="357"/>
        <v>0</v>
      </c>
    </row>
    <row r="409" spans="1:62" x14ac:dyDescent="0.2">
      <c r="A409" s="5" t="s">
        <v>371</v>
      </c>
      <c r="B409" s="5" t="s">
        <v>1561</v>
      </c>
      <c r="C409" s="135" t="s">
        <v>2797</v>
      </c>
      <c r="D409" s="136"/>
      <c r="E409" s="136"/>
      <c r="F409" s="136"/>
      <c r="G409" s="136"/>
      <c r="H409" s="5" t="s">
        <v>3612</v>
      </c>
      <c r="I409" s="18">
        <v>2</v>
      </c>
      <c r="J409" s="18">
        <v>0</v>
      </c>
      <c r="K409" s="18">
        <f t="shared" si="336"/>
        <v>0</v>
      </c>
      <c r="L409" s="28" t="s">
        <v>3635</v>
      </c>
      <c r="Z409" s="34">
        <f t="shared" si="337"/>
        <v>0</v>
      </c>
      <c r="AB409" s="34">
        <f t="shared" si="338"/>
        <v>0</v>
      </c>
      <c r="AC409" s="34">
        <f t="shared" si="339"/>
        <v>0</v>
      </c>
      <c r="AD409" s="34">
        <f t="shared" si="340"/>
        <v>0</v>
      </c>
      <c r="AE409" s="34">
        <f t="shared" si="341"/>
        <v>0</v>
      </c>
      <c r="AF409" s="34">
        <f t="shared" si="342"/>
        <v>0</v>
      </c>
      <c r="AG409" s="34">
        <f t="shared" si="343"/>
        <v>0</v>
      </c>
      <c r="AH409" s="34">
        <f t="shared" si="344"/>
        <v>0</v>
      </c>
      <c r="AI409" s="27" t="s">
        <v>3645</v>
      </c>
      <c r="AJ409" s="18">
        <f t="shared" si="345"/>
        <v>0</v>
      </c>
      <c r="AK409" s="18">
        <f t="shared" si="346"/>
        <v>0</v>
      </c>
      <c r="AL409" s="18">
        <f t="shared" si="347"/>
        <v>0</v>
      </c>
      <c r="AN409" s="34">
        <v>21</v>
      </c>
      <c r="AO409" s="34">
        <f t="shared" si="348"/>
        <v>0</v>
      </c>
      <c r="AP409" s="34">
        <f t="shared" si="349"/>
        <v>0</v>
      </c>
      <c r="AQ409" s="28" t="s">
        <v>13</v>
      </c>
      <c r="AV409" s="34">
        <f t="shared" si="350"/>
        <v>0</v>
      </c>
      <c r="AW409" s="34">
        <f t="shared" si="351"/>
        <v>0</v>
      </c>
      <c r="AX409" s="34">
        <f t="shared" si="352"/>
        <v>0</v>
      </c>
      <c r="AY409" s="35" t="s">
        <v>3678</v>
      </c>
      <c r="AZ409" s="35" t="s">
        <v>3714</v>
      </c>
      <c r="BA409" s="27" t="s">
        <v>3729</v>
      </c>
      <c r="BC409" s="34">
        <f t="shared" si="353"/>
        <v>0</v>
      </c>
      <c r="BD409" s="34">
        <f t="shared" si="354"/>
        <v>0</v>
      </c>
      <c r="BE409" s="34">
        <v>0</v>
      </c>
      <c r="BF409" s="34">
        <f>409</f>
        <v>409</v>
      </c>
      <c r="BH409" s="18">
        <f t="shared" si="355"/>
        <v>0</v>
      </c>
      <c r="BI409" s="18">
        <f t="shared" si="356"/>
        <v>0</v>
      </c>
      <c r="BJ409" s="18">
        <f t="shared" si="357"/>
        <v>0</v>
      </c>
    </row>
    <row r="410" spans="1:62" x14ac:dyDescent="0.2">
      <c r="A410" s="5" t="s">
        <v>372</v>
      </c>
      <c r="B410" s="5" t="s">
        <v>1562</v>
      </c>
      <c r="C410" s="135" t="s">
        <v>2798</v>
      </c>
      <c r="D410" s="136"/>
      <c r="E410" s="136"/>
      <c r="F410" s="136"/>
      <c r="G410" s="136"/>
      <c r="H410" s="5" t="s">
        <v>3619</v>
      </c>
      <c r="I410" s="18">
        <v>30</v>
      </c>
      <c r="J410" s="18">
        <v>0</v>
      </c>
      <c r="K410" s="18">
        <f t="shared" si="336"/>
        <v>0</v>
      </c>
      <c r="L410" s="28" t="s">
        <v>3635</v>
      </c>
      <c r="Z410" s="34">
        <f t="shared" si="337"/>
        <v>0</v>
      </c>
      <c r="AB410" s="34">
        <f t="shared" si="338"/>
        <v>0</v>
      </c>
      <c r="AC410" s="34">
        <f t="shared" si="339"/>
        <v>0</v>
      </c>
      <c r="AD410" s="34">
        <f t="shared" si="340"/>
        <v>0</v>
      </c>
      <c r="AE410" s="34">
        <f t="shared" si="341"/>
        <v>0</v>
      </c>
      <c r="AF410" s="34">
        <f t="shared" si="342"/>
        <v>0</v>
      </c>
      <c r="AG410" s="34">
        <f t="shared" si="343"/>
        <v>0</v>
      </c>
      <c r="AH410" s="34">
        <f t="shared" si="344"/>
        <v>0</v>
      </c>
      <c r="AI410" s="27" t="s">
        <v>3645</v>
      </c>
      <c r="AJ410" s="18">
        <f t="shared" si="345"/>
        <v>0</v>
      </c>
      <c r="AK410" s="18">
        <f t="shared" si="346"/>
        <v>0</v>
      </c>
      <c r="AL410" s="18">
        <f t="shared" si="347"/>
        <v>0</v>
      </c>
      <c r="AN410" s="34">
        <v>21</v>
      </c>
      <c r="AO410" s="34">
        <f t="shared" si="348"/>
        <v>0</v>
      </c>
      <c r="AP410" s="34">
        <f t="shared" si="349"/>
        <v>0</v>
      </c>
      <c r="AQ410" s="28" t="s">
        <v>13</v>
      </c>
      <c r="AV410" s="34">
        <f t="shared" si="350"/>
        <v>0</v>
      </c>
      <c r="AW410" s="34">
        <f t="shared" si="351"/>
        <v>0</v>
      </c>
      <c r="AX410" s="34">
        <f t="shared" si="352"/>
        <v>0</v>
      </c>
      <c r="AY410" s="35" t="s">
        <v>3678</v>
      </c>
      <c r="AZ410" s="35" t="s">
        <v>3714</v>
      </c>
      <c r="BA410" s="27" t="s">
        <v>3729</v>
      </c>
      <c r="BC410" s="34">
        <f t="shared" si="353"/>
        <v>0</v>
      </c>
      <c r="BD410" s="34">
        <f t="shared" si="354"/>
        <v>0</v>
      </c>
      <c r="BE410" s="34">
        <v>0</v>
      </c>
      <c r="BF410" s="34">
        <f>410</f>
        <v>410</v>
      </c>
      <c r="BH410" s="18">
        <f t="shared" si="355"/>
        <v>0</v>
      </c>
      <c r="BI410" s="18">
        <f t="shared" si="356"/>
        <v>0</v>
      </c>
      <c r="BJ410" s="18">
        <f t="shared" si="357"/>
        <v>0</v>
      </c>
    </row>
    <row r="411" spans="1:62" x14ac:dyDescent="0.2">
      <c r="A411" s="5" t="s">
        <v>373</v>
      </c>
      <c r="B411" s="5" t="s">
        <v>1563</v>
      </c>
      <c r="C411" s="135" t="s">
        <v>2799</v>
      </c>
      <c r="D411" s="136"/>
      <c r="E411" s="136"/>
      <c r="F411" s="136"/>
      <c r="G411" s="136"/>
      <c r="H411" s="5" t="s">
        <v>3612</v>
      </c>
      <c r="I411" s="18">
        <v>1</v>
      </c>
      <c r="J411" s="18">
        <v>0</v>
      </c>
      <c r="K411" s="18">
        <f t="shared" si="336"/>
        <v>0</v>
      </c>
      <c r="L411" s="28" t="s">
        <v>3635</v>
      </c>
      <c r="Z411" s="34">
        <f t="shared" si="337"/>
        <v>0</v>
      </c>
      <c r="AB411" s="34">
        <f t="shared" si="338"/>
        <v>0</v>
      </c>
      <c r="AC411" s="34">
        <f t="shared" si="339"/>
        <v>0</v>
      </c>
      <c r="AD411" s="34">
        <f t="shared" si="340"/>
        <v>0</v>
      </c>
      <c r="AE411" s="34">
        <f t="shared" si="341"/>
        <v>0</v>
      </c>
      <c r="AF411" s="34">
        <f t="shared" si="342"/>
        <v>0</v>
      </c>
      <c r="AG411" s="34">
        <f t="shared" si="343"/>
        <v>0</v>
      </c>
      <c r="AH411" s="34">
        <f t="shared" si="344"/>
        <v>0</v>
      </c>
      <c r="AI411" s="27" t="s">
        <v>3645</v>
      </c>
      <c r="AJ411" s="18">
        <f t="shared" si="345"/>
        <v>0</v>
      </c>
      <c r="AK411" s="18">
        <f t="shared" si="346"/>
        <v>0</v>
      </c>
      <c r="AL411" s="18">
        <f t="shared" si="347"/>
        <v>0</v>
      </c>
      <c r="AN411" s="34">
        <v>21</v>
      </c>
      <c r="AO411" s="34">
        <f t="shared" si="348"/>
        <v>0</v>
      </c>
      <c r="AP411" s="34">
        <f t="shared" si="349"/>
        <v>0</v>
      </c>
      <c r="AQ411" s="28" t="s">
        <v>13</v>
      </c>
      <c r="AV411" s="34">
        <f t="shared" si="350"/>
        <v>0</v>
      </c>
      <c r="AW411" s="34">
        <f t="shared" si="351"/>
        <v>0</v>
      </c>
      <c r="AX411" s="34">
        <f t="shared" si="352"/>
        <v>0</v>
      </c>
      <c r="AY411" s="35" t="s">
        <v>3678</v>
      </c>
      <c r="AZ411" s="35" t="s">
        <v>3714</v>
      </c>
      <c r="BA411" s="27" t="s">
        <v>3729</v>
      </c>
      <c r="BC411" s="34">
        <f t="shared" si="353"/>
        <v>0</v>
      </c>
      <c r="BD411" s="34">
        <f t="shared" si="354"/>
        <v>0</v>
      </c>
      <c r="BE411" s="34">
        <v>0</v>
      </c>
      <c r="BF411" s="34">
        <f>411</f>
        <v>411</v>
      </c>
      <c r="BH411" s="18">
        <f t="shared" si="355"/>
        <v>0</v>
      </c>
      <c r="BI411" s="18">
        <f t="shared" si="356"/>
        <v>0</v>
      </c>
      <c r="BJ411" s="18">
        <f t="shared" si="357"/>
        <v>0</v>
      </c>
    </row>
    <row r="412" spans="1:62" x14ac:dyDescent="0.2">
      <c r="A412" s="5" t="s">
        <v>374</v>
      </c>
      <c r="B412" s="5" t="s">
        <v>1564</v>
      </c>
      <c r="C412" s="135" t="s">
        <v>2800</v>
      </c>
      <c r="D412" s="136"/>
      <c r="E412" s="136"/>
      <c r="F412" s="136"/>
      <c r="G412" s="136"/>
      <c r="H412" s="5" t="s">
        <v>3612</v>
      </c>
      <c r="I412" s="18">
        <v>1</v>
      </c>
      <c r="J412" s="18">
        <v>0</v>
      </c>
      <c r="K412" s="18">
        <f t="shared" si="336"/>
        <v>0</v>
      </c>
      <c r="L412" s="28" t="s">
        <v>3635</v>
      </c>
      <c r="Z412" s="34">
        <f t="shared" si="337"/>
        <v>0</v>
      </c>
      <c r="AB412" s="34">
        <f t="shared" si="338"/>
        <v>0</v>
      </c>
      <c r="AC412" s="34">
        <f t="shared" si="339"/>
        <v>0</v>
      </c>
      <c r="AD412" s="34">
        <f t="shared" si="340"/>
        <v>0</v>
      </c>
      <c r="AE412" s="34">
        <f t="shared" si="341"/>
        <v>0</v>
      </c>
      <c r="AF412" s="34">
        <f t="shared" si="342"/>
        <v>0</v>
      </c>
      <c r="AG412" s="34">
        <f t="shared" si="343"/>
        <v>0</v>
      </c>
      <c r="AH412" s="34">
        <f t="shared" si="344"/>
        <v>0</v>
      </c>
      <c r="AI412" s="27" t="s">
        <v>3645</v>
      </c>
      <c r="AJ412" s="18">
        <f t="shared" si="345"/>
        <v>0</v>
      </c>
      <c r="AK412" s="18">
        <f t="shared" si="346"/>
        <v>0</v>
      </c>
      <c r="AL412" s="18">
        <f t="shared" si="347"/>
        <v>0</v>
      </c>
      <c r="AN412" s="34">
        <v>21</v>
      </c>
      <c r="AO412" s="34">
        <f t="shared" si="348"/>
        <v>0</v>
      </c>
      <c r="AP412" s="34">
        <f t="shared" si="349"/>
        <v>0</v>
      </c>
      <c r="AQ412" s="28" t="s">
        <v>13</v>
      </c>
      <c r="AV412" s="34">
        <f t="shared" si="350"/>
        <v>0</v>
      </c>
      <c r="AW412" s="34">
        <f t="shared" si="351"/>
        <v>0</v>
      </c>
      <c r="AX412" s="34">
        <f t="shared" si="352"/>
        <v>0</v>
      </c>
      <c r="AY412" s="35" t="s">
        <v>3678</v>
      </c>
      <c r="AZ412" s="35" t="s">
        <v>3714</v>
      </c>
      <c r="BA412" s="27" t="s">
        <v>3729</v>
      </c>
      <c r="BC412" s="34">
        <f t="shared" si="353"/>
        <v>0</v>
      </c>
      <c r="BD412" s="34">
        <f t="shared" si="354"/>
        <v>0</v>
      </c>
      <c r="BE412" s="34">
        <v>0</v>
      </c>
      <c r="BF412" s="34">
        <f>412</f>
        <v>412</v>
      </c>
      <c r="BH412" s="18">
        <f t="shared" si="355"/>
        <v>0</v>
      </c>
      <c r="BI412" s="18">
        <f t="shared" si="356"/>
        <v>0</v>
      </c>
      <c r="BJ412" s="18">
        <f t="shared" si="357"/>
        <v>0</v>
      </c>
    </row>
    <row r="413" spans="1:62" x14ac:dyDescent="0.2">
      <c r="A413" s="5" t="s">
        <v>375</v>
      </c>
      <c r="B413" s="5" t="s">
        <v>1565</v>
      </c>
      <c r="C413" s="135" t="s">
        <v>2801</v>
      </c>
      <c r="D413" s="136"/>
      <c r="E413" s="136"/>
      <c r="F413" s="136"/>
      <c r="G413" s="136"/>
      <c r="H413" s="5" t="s">
        <v>3612</v>
      </c>
      <c r="I413" s="18">
        <v>1</v>
      </c>
      <c r="J413" s="18">
        <v>0</v>
      </c>
      <c r="K413" s="18">
        <f t="shared" si="336"/>
        <v>0</v>
      </c>
      <c r="L413" s="28" t="s">
        <v>3635</v>
      </c>
      <c r="Z413" s="34">
        <f t="shared" si="337"/>
        <v>0</v>
      </c>
      <c r="AB413" s="34">
        <f t="shared" si="338"/>
        <v>0</v>
      </c>
      <c r="AC413" s="34">
        <f t="shared" si="339"/>
        <v>0</v>
      </c>
      <c r="AD413" s="34">
        <f t="shared" si="340"/>
        <v>0</v>
      </c>
      <c r="AE413" s="34">
        <f t="shared" si="341"/>
        <v>0</v>
      </c>
      <c r="AF413" s="34">
        <f t="shared" si="342"/>
        <v>0</v>
      </c>
      <c r="AG413" s="34">
        <f t="shared" si="343"/>
        <v>0</v>
      </c>
      <c r="AH413" s="34">
        <f t="shared" si="344"/>
        <v>0</v>
      </c>
      <c r="AI413" s="27" t="s">
        <v>3645</v>
      </c>
      <c r="AJ413" s="18">
        <f t="shared" si="345"/>
        <v>0</v>
      </c>
      <c r="AK413" s="18">
        <f t="shared" si="346"/>
        <v>0</v>
      </c>
      <c r="AL413" s="18">
        <f t="shared" si="347"/>
        <v>0</v>
      </c>
      <c r="AN413" s="34">
        <v>21</v>
      </c>
      <c r="AO413" s="34">
        <f t="shared" si="348"/>
        <v>0</v>
      </c>
      <c r="AP413" s="34">
        <f t="shared" si="349"/>
        <v>0</v>
      </c>
      <c r="AQ413" s="28" t="s">
        <v>13</v>
      </c>
      <c r="AV413" s="34">
        <f t="shared" si="350"/>
        <v>0</v>
      </c>
      <c r="AW413" s="34">
        <f t="shared" si="351"/>
        <v>0</v>
      </c>
      <c r="AX413" s="34">
        <f t="shared" si="352"/>
        <v>0</v>
      </c>
      <c r="AY413" s="35" t="s">
        <v>3678</v>
      </c>
      <c r="AZ413" s="35" t="s">
        <v>3714</v>
      </c>
      <c r="BA413" s="27" t="s">
        <v>3729</v>
      </c>
      <c r="BC413" s="34">
        <f t="shared" si="353"/>
        <v>0</v>
      </c>
      <c r="BD413" s="34">
        <f t="shared" si="354"/>
        <v>0</v>
      </c>
      <c r="BE413" s="34">
        <v>0</v>
      </c>
      <c r="BF413" s="34">
        <f>413</f>
        <v>413</v>
      </c>
      <c r="BH413" s="18">
        <f t="shared" si="355"/>
        <v>0</v>
      </c>
      <c r="BI413" s="18">
        <f t="shared" si="356"/>
        <v>0</v>
      </c>
      <c r="BJ413" s="18">
        <f t="shared" si="357"/>
        <v>0</v>
      </c>
    </row>
    <row r="414" spans="1:62" x14ac:dyDescent="0.2">
      <c r="A414" s="4"/>
      <c r="B414" s="14" t="s">
        <v>728</v>
      </c>
      <c r="C414" s="133" t="s">
        <v>2802</v>
      </c>
      <c r="D414" s="134"/>
      <c r="E414" s="134"/>
      <c r="F414" s="134"/>
      <c r="G414" s="134"/>
      <c r="H414" s="4" t="s">
        <v>6</v>
      </c>
      <c r="I414" s="4" t="s">
        <v>6</v>
      </c>
      <c r="J414" s="4" t="s">
        <v>6</v>
      </c>
      <c r="K414" s="37">
        <f>SUM(K415:K499)</f>
        <v>0</v>
      </c>
      <c r="L414" s="27"/>
      <c r="AI414" s="27" t="s">
        <v>3645</v>
      </c>
      <c r="AS414" s="37">
        <f>SUM(AJ415:AJ499)</f>
        <v>0</v>
      </c>
      <c r="AT414" s="37">
        <f>SUM(AK415:AK499)</f>
        <v>0</v>
      </c>
      <c r="AU414" s="37">
        <f>SUM(AL415:AL499)</f>
        <v>0</v>
      </c>
    </row>
    <row r="415" spans="1:62" x14ac:dyDescent="0.2">
      <c r="A415" s="5" t="s">
        <v>376</v>
      </c>
      <c r="B415" s="5" t="s">
        <v>1566</v>
      </c>
      <c r="C415" s="135" t="s">
        <v>2803</v>
      </c>
      <c r="D415" s="136"/>
      <c r="E415" s="136"/>
      <c r="F415" s="136"/>
      <c r="G415" s="136"/>
      <c r="H415" s="5" t="s">
        <v>3614</v>
      </c>
      <c r="I415" s="18">
        <v>420</v>
      </c>
      <c r="J415" s="18">
        <v>0</v>
      </c>
      <c r="K415" s="18">
        <f t="shared" ref="K415:K446" si="358">I415*J415</f>
        <v>0</v>
      </c>
      <c r="L415" s="28" t="s">
        <v>3635</v>
      </c>
      <c r="Z415" s="34">
        <f t="shared" ref="Z415:Z446" si="359">IF(AQ415="5",BJ415,0)</f>
        <v>0</v>
      </c>
      <c r="AB415" s="34">
        <f t="shared" ref="AB415:AB446" si="360">IF(AQ415="1",BH415,0)</f>
        <v>0</v>
      </c>
      <c r="AC415" s="34">
        <f t="shared" ref="AC415:AC446" si="361">IF(AQ415="1",BI415,0)</f>
        <v>0</v>
      </c>
      <c r="AD415" s="34">
        <f t="shared" ref="AD415:AD446" si="362">IF(AQ415="7",BH415,0)</f>
        <v>0</v>
      </c>
      <c r="AE415" s="34">
        <f t="shared" ref="AE415:AE446" si="363">IF(AQ415="7",BI415,0)</f>
        <v>0</v>
      </c>
      <c r="AF415" s="34">
        <f t="shared" ref="AF415:AF446" si="364">IF(AQ415="2",BH415,0)</f>
        <v>0</v>
      </c>
      <c r="AG415" s="34">
        <f t="shared" ref="AG415:AG446" si="365">IF(AQ415="2",BI415,0)</f>
        <v>0</v>
      </c>
      <c r="AH415" s="34">
        <f t="shared" ref="AH415:AH446" si="366">IF(AQ415="0",BJ415,0)</f>
        <v>0</v>
      </c>
      <c r="AI415" s="27" t="s">
        <v>3645</v>
      </c>
      <c r="AJ415" s="18">
        <f t="shared" ref="AJ415:AJ446" si="367">IF(AN415=0,K415,0)</f>
        <v>0</v>
      </c>
      <c r="AK415" s="18">
        <f t="shared" ref="AK415:AK446" si="368">IF(AN415=15,K415,0)</f>
        <v>0</v>
      </c>
      <c r="AL415" s="18">
        <f t="shared" ref="AL415:AL446" si="369">IF(AN415=21,K415,0)</f>
        <v>0</v>
      </c>
      <c r="AN415" s="34">
        <v>21</v>
      </c>
      <c r="AO415" s="34">
        <f t="shared" ref="AO415:AO446" si="370">J415*0</f>
        <v>0</v>
      </c>
      <c r="AP415" s="34">
        <f t="shared" ref="AP415:AP446" si="371">J415*(1-0)</f>
        <v>0</v>
      </c>
      <c r="AQ415" s="28" t="s">
        <v>13</v>
      </c>
      <c r="AV415" s="34">
        <f t="shared" ref="AV415:AV446" si="372">AW415+AX415</f>
        <v>0</v>
      </c>
      <c r="AW415" s="34">
        <f t="shared" ref="AW415:AW446" si="373">I415*AO415</f>
        <v>0</v>
      </c>
      <c r="AX415" s="34">
        <f t="shared" ref="AX415:AX446" si="374">I415*AP415</f>
        <v>0</v>
      </c>
      <c r="AY415" s="35" t="s">
        <v>3679</v>
      </c>
      <c r="AZ415" s="35" t="s">
        <v>3714</v>
      </c>
      <c r="BA415" s="27" t="s">
        <v>3729</v>
      </c>
      <c r="BC415" s="34">
        <f t="shared" ref="BC415:BC446" si="375">AW415+AX415</f>
        <v>0</v>
      </c>
      <c r="BD415" s="34">
        <f t="shared" ref="BD415:BD446" si="376">J415/(100-BE415)*100</f>
        <v>0</v>
      </c>
      <c r="BE415" s="34">
        <v>0</v>
      </c>
      <c r="BF415" s="34">
        <f>415</f>
        <v>415</v>
      </c>
      <c r="BH415" s="18">
        <f t="shared" ref="BH415:BH446" si="377">I415*AO415</f>
        <v>0</v>
      </c>
      <c r="BI415" s="18">
        <f t="shared" ref="BI415:BI446" si="378">I415*AP415</f>
        <v>0</v>
      </c>
      <c r="BJ415" s="18">
        <f t="shared" ref="BJ415:BJ446" si="379">I415*J415</f>
        <v>0</v>
      </c>
    </row>
    <row r="416" spans="1:62" x14ac:dyDescent="0.2">
      <c r="A416" s="5" t="s">
        <v>377</v>
      </c>
      <c r="B416" s="5" t="s">
        <v>1567</v>
      </c>
      <c r="C416" s="135" t="s">
        <v>2804</v>
      </c>
      <c r="D416" s="136"/>
      <c r="E416" s="136"/>
      <c r="F416" s="136"/>
      <c r="G416" s="136"/>
      <c r="H416" s="5" t="s">
        <v>3614</v>
      </c>
      <c r="I416" s="18">
        <v>96</v>
      </c>
      <c r="J416" s="18">
        <v>0</v>
      </c>
      <c r="K416" s="18">
        <f t="shared" si="358"/>
        <v>0</v>
      </c>
      <c r="L416" s="28" t="s">
        <v>3635</v>
      </c>
      <c r="Z416" s="34">
        <f t="shared" si="359"/>
        <v>0</v>
      </c>
      <c r="AB416" s="34">
        <f t="shared" si="360"/>
        <v>0</v>
      </c>
      <c r="AC416" s="34">
        <f t="shared" si="361"/>
        <v>0</v>
      </c>
      <c r="AD416" s="34">
        <f t="shared" si="362"/>
        <v>0</v>
      </c>
      <c r="AE416" s="34">
        <f t="shared" si="363"/>
        <v>0</v>
      </c>
      <c r="AF416" s="34">
        <f t="shared" si="364"/>
        <v>0</v>
      </c>
      <c r="AG416" s="34">
        <f t="shared" si="365"/>
        <v>0</v>
      </c>
      <c r="AH416" s="34">
        <f t="shared" si="366"/>
        <v>0</v>
      </c>
      <c r="AI416" s="27" t="s">
        <v>3645</v>
      </c>
      <c r="AJ416" s="18">
        <f t="shared" si="367"/>
        <v>0</v>
      </c>
      <c r="AK416" s="18">
        <f t="shared" si="368"/>
        <v>0</v>
      </c>
      <c r="AL416" s="18">
        <f t="shared" si="369"/>
        <v>0</v>
      </c>
      <c r="AN416" s="34">
        <v>21</v>
      </c>
      <c r="AO416" s="34">
        <f t="shared" si="370"/>
        <v>0</v>
      </c>
      <c r="AP416" s="34">
        <f t="shared" si="371"/>
        <v>0</v>
      </c>
      <c r="AQ416" s="28" t="s">
        <v>13</v>
      </c>
      <c r="AV416" s="34">
        <f t="shared" si="372"/>
        <v>0</v>
      </c>
      <c r="AW416" s="34">
        <f t="shared" si="373"/>
        <v>0</v>
      </c>
      <c r="AX416" s="34">
        <f t="shared" si="374"/>
        <v>0</v>
      </c>
      <c r="AY416" s="35" t="s">
        <v>3679</v>
      </c>
      <c r="AZ416" s="35" t="s">
        <v>3714</v>
      </c>
      <c r="BA416" s="27" t="s">
        <v>3729</v>
      </c>
      <c r="BC416" s="34">
        <f t="shared" si="375"/>
        <v>0</v>
      </c>
      <c r="BD416" s="34">
        <f t="shared" si="376"/>
        <v>0</v>
      </c>
      <c r="BE416" s="34">
        <v>0</v>
      </c>
      <c r="BF416" s="34">
        <f>416</f>
        <v>416</v>
      </c>
      <c r="BH416" s="18">
        <f t="shared" si="377"/>
        <v>0</v>
      </c>
      <c r="BI416" s="18">
        <f t="shared" si="378"/>
        <v>0</v>
      </c>
      <c r="BJ416" s="18">
        <f t="shared" si="379"/>
        <v>0</v>
      </c>
    </row>
    <row r="417" spans="1:62" x14ac:dyDescent="0.2">
      <c r="A417" s="5" t="s">
        <v>378</v>
      </c>
      <c r="B417" s="5" t="s">
        <v>1568</v>
      </c>
      <c r="C417" s="135" t="s">
        <v>2805</v>
      </c>
      <c r="D417" s="136"/>
      <c r="E417" s="136"/>
      <c r="F417" s="136"/>
      <c r="G417" s="136"/>
      <c r="H417" s="5" t="s">
        <v>3612</v>
      </c>
      <c r="I417" s="18">
        <v>5</v>
      </c>
      <c r="J417" s="18">
        <v>0</v>
      </c>
      <c r="K417" s="18">
        <f t="shared" si="358"/>
        <v>0</v>
      </c>
      <c r="L417" s="28" t="s">
        <v>3635</v>
      </c>
      <c r="Z417" s="34">
        <f t="shared" si="359"/>
        <v>0</v>
      </c>
      <c r="AB417" s="34">
        <f t="shared" si="360"/>
        <v>0</v>
      </c>
      <c r="AC417" s="34">
        <f t="shared" si="361"/>
        <v>0</v>
      </c>
      <c r="AD417" s="34">
        <f t="shared" si="362"/>
        <v>0</v>
      </c>
      <c r="AE417" s="34">
        <f t="shared" si="363"/>
        <v>0</v>
      </c>
      <c r="AF417" s="34">
        <f t="shared" si="364"/>
        <v>0</v>
      </c>
      <c r="AG417" s="34">
        <f t="shared" si="365"/>
        <v>0</v>
      </c>
      <c r="AH417" s="34">
        <f t="shared" si="366"/>
        <v>0</v>
      </c>
      <c r="AI417" s="27" t="s">
        <v>3645</v>
      </c>
      <c r="AJ417" s="18">
        <f t="shared" si="367"/>
        <v>0</v>
      </c>
      <c r="AK417" s="18">
        <f t="shared" si="368"/>
        <v>0</v>
      </c>
      <c r="AL417" s="18">
        <f t="shared" si="369"/>
        <v>0</v>
      </c>
      <c r="AN417" s="34">
        <v>21</v>
      </c>
      <c r="AO417" s="34">
        <f t="shared" si="370"/>
        <v>0</v>
      </c>
      <c r="AP417" s="34">
        <f t="shared" si="371"/>
        <v>0</v>
      </c>
      <c r="AQ417" s="28" t="s">
        <v>13</v>
      </c>
      <c r="AV417" s="34">
        <f t="shared" si="372"/>
        <v>0</v>
      </c>
      <c r="AW417" s="34">
        <f t="shared" si="373"/>
        <v>0</v>
      </c>
      <c r="AX417" s="34">
        <f t="shared" si="374"/>
        <v>0</v>
      </c>
      <c r="AY417" s="35" t="s">
        <v>3679</v>
      </c>
      <c r="AZ417" s="35" t="s">
        <v>3714</v>
      </c>
      <c r="BA417" s="27" t="s">
        <v>3729</v>
      </c>
      <c r="BC417" s="34">
        <f t="shared" si="375"/>
        <v>0</v>
      </c>
      <c r="BD417" s="34">
        <f t="shared" si="376"/>
        <v>0</v>
      </c>
      <c r="BE417" s="34">
        <v>0</v>
      </c>
      <c r="BF417" s="34">
        <f>417</f>
        <v>417</v>
      </c>
      <c r="BH417" s="18">
        <f t="shared" si="377"/>
        <v>0</v>
      </c>
      <c r="BI417" s="18">
        <f t="shared" si="378"/>
        <v>0</v>
      </c>
      <c r="BJ417" s="18">
        <f t="shared" si="379"/>
        <v>0</v>
      </c>
    </row>
    <row r="418" spans="1:62" x14ac:dyDescent="0.2">
      <c r="A418" s="5" t="s">
        <v>379</v>
      </c>
      <c r="B418" s="5" t="s">
        <v>1569</v>
      </c>
      <c r="C418" s="135" t="s">
        <v>2806</v>
      </c>
      <c r="D418" s="136"/>
      <c r="E418" s="136"/>
      <c r="F418" s="136"/>
      <c r="G418" s="136"/>
      <c r="H418" s="5" t="s">
        <v>3612</v>
      </c>
      <c r="I418" s="18">
        <v>8</v>
      </c>
      <c r="J418" s="18">
        <v>0</v>
      </c>
      <c r="K418" s="18">
        <f t="shared" si="358"/>
        <v>0</v>
      </c>
      <c r="L418" s="28" t="s">
        <v>3635</v>
      </c>
      <c r="Z418" s="34">
        <f t="shared" si="359"/>
        <v>0</v>
      </c>
      <c r="AB418" s="34">
        <f t="shared" si="360"/>
        <v>0</v>
      </c>
      <c r="AC418" s="34">
        <f t="shared" si="361"/>
        <v>0</v>
      </c>
      <c r="AD418" s="34">
        <f t="shared" si="362"/>
        <v>0</v>
      </c>
      <c r="AE418" s="34">
        <f t="shared" si="363"/>
        <v>0</v>
      </c>
      <c r="AF418" s="34">
        <f t="shared" si="364"/>
        <v>0</v>
      </c>
      <c r="AG418" s="34">
        <f t="shared" si="365"/>
        <v>0</v>
      </c>
      <c r="AH418" s="34">
        <f t="shared" si="366"/>
        <v>0</v>
      </c>
      <c r="AI418" s="27" t="s">
        <v>3645</v>
      </c>
      <c r="AJ418" s="18">
        <f t="shared" si="367"/>
        <v>0</v>
      </c>
      <c r="AK418" s="18">
        <f t="shared" si="368"/>
        <v>0</v>
      </c>
      <c r="AL418" s="18">
        <f t="shared" si="369"/>
        <v>0</v>
      </c>
      <c r="AN418" s="34">
        <v>21</v>
      </c>
      <c r="AO418" s="34">
        <f t="shared" si="370"/>
        <v>0</v>
      </c>
      <c r="AP418" s="34">
        <f t="shared" si="371"/>
        <v>0</v>
      </c>
      <c r="AQ418" s="28" t="s">
        <v>13</v>
      </c>
      <c r="AV418" s="34">
        <f t="shared" si="372"/>
        <v>0</v>
      </c>
      <c r="AW418" s="34">
        <f t="shared" si="373"/>
        <v>0</v>
      </c>
      <c r="AX418" s="34">
        <f t="shared" si="374"/>
        <v>0</v>
      </c>
      <c r="AY418" s="35" t="s">
        <v>3679</v>
      </c>
      <c r="AZ418" s="35" t="s">
        <v>3714</v>
      </c>
      <c r="BA418" s="27" t="s">
        <v>3729</v>
      </c>
      <c r="BC418" s="34">
        <f t="shared" si="375"/>
        <v>0</v>
      </c>
      <c r="BD418" s="34">
        <f t="shared" si="376"/>
        <v>0</v>
      </c>
      <c r="BE418" s="34">
        <v>0</v>
      </c>
      <c r="BF418" s="34">
        <f>418</f>
        <v>418</v>
      </c>
      <c r="BH418" s="18">
        <f t="shared" si="377"/>
        <v>0</v>
      </c>
      <c r="BI418" s="18">
        <f t="shared" si="378"/>
        <v>0</v>
      </c>
      <c r="BJ418" s="18">
        <f t="shared" si="379"/>
        <v>0</v>
      </c>
    </row>
    <row r="419" spans="1:62" x14ac:dyDescent="0.2">
      <c r="A419" s="5" t="s">
        <v>380</v>
      </c>
      <c r="B419" s="5" t="s">
        <v>1570</v>
      </c>
      <c r="C419" s="135" t="s">
        <v>2807</v>
      </c>
      <c r="D419" s="136"/>
      <c r="E419" s="136"/>
      <c r="F419" s="136"/>
      <c r="G419" s="136"/>
      <c r="H419" s="5" t="s">
        <v>3612</v>
      </c>
      <c r="I419" s="18">
        <v>1</v>
      </c>
      <c r="J419" s="18">
        <v>0</v>
      </c>
      <c r="K419" s="18">
        <f t="shared" si="358"/>
        <v>0</v>
      </c>
      <c r="L419" s="28" t="s">
        <v>3635</v>
      </c>
      <c r="Z419" s="34">
        <f t="shared" si="359"/>
        <v>0</v>
      </c>
      <c r="AB419" s="34">
        <f t="shared" si="360"/>
        <v>0</v>
      </c>
      <c r="AC419" s="34">
        <f t="shared" si="361"/>
        <v>0</v>
      </c>
      <c r="AD419" s="34">
        <f t="shared" si="362"/>
        <v>0</v>
      </c>
      <c r="AE419" s="34">
        <f t="shared" si="363"/>
        <v>0</v>
      </c>
      <c r="AF419" s="34">
        <f t="shared" si="364"/>
        <v>0</v>
      </c>
      <c r="AG419" s="34">
        <f t="shared" si="365"/>
        <v>0</v>
      </c>
      <c r="AH419" s="34">
        <f t="shared" si="366"/>
        <v>0</v>
      </c>
      <c r="AI419" s="27" t="s">
        <v>3645</v>
      </c>
      <c r="AJ419" s="18">
        <f t="shared" si="367"/>
        <v>0</v>
      </c>
      <c r="AK419" s="18">
        <f t="shared" si="368"/>
        <v>0</v>
      </c>
      <c r="AL419" s="18">
        <f t="shared" si="369"/>
        <v>0</v>
      </c>
      <c r="AN419" s="34">
        <v>21</v>
      </c>
      <c r="AO419" s="34">
        <f t="shared" si="370"/>
        <v>0</v>
      </c>
      <c r="AP419" s="34">
        <f t="shared" si="371"/>
        <v>0</v>
      </c>
      <c r="AQ419" s="28" t="s">
        <v>13</v>
      </c>
      <c r="AV419" s="34">
        <f t="shared" si="372"/>
        <v>0</v>
      </c>
      <c r="AW419" s="34">
        <f t="shared" si="373"/>
        <v>0</v>
      </c>
      <c r="AX419" s="34">
        <f t="shared" si="374"/>
        <v>0</v>
      </c>
      <c r="AY419" s="35" t="s">
        <v>3679</v>
      </c>
      <c r="AZ419" s="35" t="s">
        <v>3714</v>
      </c>
      <c r="BA419" s="27" t="s">
        <v>3729</v>
      </c>
      <c r="BC419" s="34">
        <f t="shared" si="375"/>
        <v>0</v>
      </c>
      <c r="BD419" s="34">
        <f t="shared" si="376"/>
        <v>0</v>
      </c>
      <c r="BE419" s="34">
        <v>0</v>
      </c>
      <c r="BF419" s="34">
        <f>419</f>
        <v>419</v>
      </c>
      <c r="BH419" s="18">
        <f t="shared" si="377"/>
        <v>0</v>
      </c>
      <c r="BI419" s="18">
        <f t="shared" si="378"/>
        <v>0</v>
      </c>
      <c r="BJ419" s="18">
        <f t="shared" si="379"/>
        <v>0</v>
      </c>
    </row>
    <row r="420" spans="1:62" x14ac:dyDescent="0.2">
      <c r="A420" s="5" t="s">
        <v>381</v>
      </c>
      <c r="B420" s="5" t="s">
        <v>1571</v>
      </c>
      <c r="C420" s="135" t="s">
        <v>2808</v>
      </c>
      <c r="D420" s="136"/>
      <c r="E420" s="136"/>
      <c r="F420" s="136"/>
      <c r="G420" s="136"/>
      <c r="H420" s="5" t="s">
        <v>3612</v>
      </c>
      <c r="I420" s="18">
        <v>1</v>
      </c>
      <c r="J420" s="18">
        <v>0</v>
      </c>
      <c r="K420" s="18">
        <f t="shared" si="358"/>
        <v>0</v>
      </c>
      <c r="L420" s="28" t="s">
        <v>3635</v>
      </c>
      <c r="Z420" s="34">
        <f t="shared" si="359"/>
        <v>0</v>
      </c>
      <c r="AB420" s="34">
        <f t="shared" si="360"/>
        <v>0</v>
      </c>
      <c r="AC420" s="34">
        <f t="shared" si="361"/>
        <v>0</v>
      </c>
      <c r="AD420" s="34">
        <f t="shared" si="362"/>
        <v>0</v>
      </c>
      <c r="AE420" s="34">
        <f t="shared" si="363"/>
        <v>0</v>
      </c>
      <c r="AF420" s="34">
        <f t="shared" si="364"/>
        <v>0</v>
      </c>
      <c r="AG420" s="34">
        <f t="shared" si="365"/>
        <v>0</v>
      </c>
      <c r="AH420" s="34">
        <f t="shared" si="366"/>
        <v>0</v>
      </c>
      <c r="AI420" s="27" t="s">
        <v>3645</v>
      </c>
      <c r="AJ420" s="18">
        <f t="shared" si="367"/>
        <v>0</v>
      </c>
      <c r="AK420" s="18">
        <f t="shared" si="368"/>
        <v>0</v>
      </c>
      <c r="AL420" s="18">
        <f t="shared" si="369"/>
        <v>0</v>
      </c>
      <c r="AN420" s="34">
        <v>21</v>
      </c>
      <c r="AO420" s="34">
        <f t="shared" si="370"/>
        <v>0</v>
      </c>
      <c r="AP420" s="34">
        <f t="shared" si="371"/>
        <v>0</v>
      </c>
      <c r="AQ420" s="28" t="s">
        <v>13</v>
      </c>
      <c r="AV420" s="34">
        <f t="shared" si="372"/>
        <v>0</v>
      </c>
      <c r="AW420" s="34">
        <f t="shared" si="373"/>
        <v>0</v>
      </c>
      <c r="AX420" s="34">
        <f t="shared" si="374"/>
        <v>0</v>
      </c>
      <c r="AY420" s="35" t="s">
        <v>3679</v>
      </c>
      <c r="AZ420" s="35" t="s">
        <v>3714</v>
      </c>
      <c r="BA420" s="27" t="s">
        <v>3729</v>
      </c>
      <c r="BC420" s="34">
        <f t="shared" si="375"/>
        <v>0</v>
      </c>
      <c r="BD420" s="34">
        <f t="shared" si="376"/>
        <v>0</v>
      </c>
      <c r="BE420" s="34">
        <v>0</v>
      </c>
      <c r="BF420" s="34">
        <f>420</f>
        <v>420</v>
      </c>
      <c r="BH420" s="18">
        <f t="shared" si="377"/>
        <v>0</v>
      </c>
      <c r="BI420" s="18">
        <f t="shared" si="378"/>
        <v>0</v>
      </c>
      <c r="BJ420" s="18">
        <f t="shared" si="379"/>
        <v>0</v>
      </c>
    </row>
    <row r="421" spans="1:62" x14ac:dyDescent="0.2">
      <c r="A421" s="5" t="s">
        <v>382</v>
      </c>
      <c r="B421" s="5" t="s">
        <v>1572</v>
      </c>
      <c r="C421" s="135" t="s">
        <v>2809</v>
      </c>
      <c r="D421" s="136"/>
      <c r="E421" s="136"/>
      <c r="F421" s="136"/>
      <c r="G421" s="136"/>
      <c r="H421" s="5" t="s">
        <v>3612</v>
      </c>
      <c r="I421" s="18">
        <v>2</v>
      </c>
      <c r="J421" s="18">
        <v>0</v>
      </c>
      <c r="K421" s="18">
        <f t="shared" si="358"/>
        <v>0</v>
      </c>
      <c r="L421" s="28" t="s">
        <v>3635</v>
      </c>
      <c r="Z421" s="34">
        <f t="shared" si="359"/>
        <v>0</v>
      </c>
      <c r="AB421" s="34">
        <f t="shared" si="360"/>
        <v>0</v>
      </c>
      <c r="AC421" s="34">
        <f t="shared" si="361"/>
        <v>0</v>
      </c>
      <c r="AD421" s="34">
        <f t="shared" si="362"/>
        <v>0</v>
      </c>
      <c r="AE421" s="34">
        <f t="shared" si="363"/>
        <v>0</v>
      </c>
      <c r="AF421" s="34">
        <f t="shared" si="364"/>
        <v>0</v>
      </c>
      <c r="AG421" s="34">
        <f t="shared" si="365"/>
        <v>0</v>
      </c>
      <c r="AH421" s="34">
        <f t="shared" si="366"/>
        <v>0</v>
      </c>
      <c r="AI421" s="27" t="s">
        <v>3645</v>
      </c>
      <c r="AJ421" s="18">
        <f t="shared" si="367"/>
        <v>0</v>
      </c>
      <c r="AK421" s="18">
        <f t="shared" si="368"/>
        <v>0</v>
      </c>
      <c r="AL421" s="18">
        <f t="shared" si="369"/>
        <v>0</v>
      </c>
      <c r="AN421" s="34">
        <v>21</v>
      </c>
      <c r="AO421" s="34">
        <f t="shared" si="370"/>
        <v>0</v>
      </c>
      <c r="AP421" s="34">
        <f t="shared" si="371"/>
        <v>0</v>
      </c>
      <c r="AQ421" s="28" t="s">
        <v>13</v>
      </c>
      <c r="AV421" s="34">
        <f t="shared" si="372"/>
        <v>0</v>
      </c>
      <c r="AW421" s="34">
        <f t="shared" si="373"/>
        <v>0</v>
      </c>
      <c r="AX421" s="34">
        <f t="shared" si="374"/>
        <v>0</v>
      </c>
      <c r="AY421" s="35" t="s">
        <v>3679</v>
      </c>
      <c r="AZ421" s="35" t="s">
        <v>3714</v>
      </c>
      <c r="BA421" s="27" t="s">
        <v>3729</v>
      </c>
      <c r="BC421" s="34">
        <f t="shared" si="375"/>
        <v>0</v>
      </c>
      <c r="BD421" s="34">
        <f t="shared" si="376"/>
        <v>0</v>
      </c>
      <c r="BE421" s="34">
        <v>0</v>
      </c>
      <c r="BF421" s="34">
        <f>421</f>
        <v>421</v>
      </c>
      <c r="BH421" s="18">
        <f t="shared" si="377"/>
        <v>0</v>
      </c>
      <c r="BI421" s="18">
        <f t="shared" si="378"/>
        <v>0</v>
      </c>
      <c r="BJ421" s="18">
        <f t="shared" si="379"/>
        <v>0</v>
      </c>
    </row>
    <row r="422" spans="1:62" x14ac:dyDescent="0.2">
      <c r="A422" s="5" t="s">
        <v>383</v>
      </c>
      <c r="B422" s="5" t="s">
        <v>1573</v>
      </c>
      <c r="C422" s="135" t="s">
        <v>2810</v>
      </c>
      <c r="D422" s="136"/>
      <c r="E422" s="136"/>
      <c r="F422" s="136"/>
      <c r="G422" s="136"/>
      <c r="H422" s="5" t="s">
        <v>3612</v>
      </c>
      <c r="I422" s="18">
        <v>1</v>
      </c>
      <c r="J422" s="18">
        <v>0</v>
      </c>
      <c r="K422" s="18">
        <f t="shared" si="358"/>
        <v>0</v>
      </c>
      <c r="L422" s="28" t="s">
        <v>3635</v>
      </c>
      <c r="Z422" s="34">
        <f t="shared" si="359"/>
        <v>0</v>
      </c>
      <c r="AB422" s="34">
        <f t="shared" si="360"/>
        <v>0</v>
      </c>
      <c r="AC422" s="34">
        <f t="shared" si="361"/>
        <v>0</v>
      </c>
      <c r="AD422" s="34">
        <f t="shared" si="362"/>
        <v>0</v>
      </c>
      <c r="AE422" s="34">
        <f t="shared" si="363"/>
        <v>0</v>
      </c>
      <c r="AF422" s="34">
        <f t="shared" si="364"/>
        <v>0</v>
      </c>
      <c r="AG422" s="34">
        <f t="shared" si="365"/>
        <v>0</v>
      </c>
      <c r="AH422" s="34">
        <f t="shared" si="366"/>
        <v>0</v>
      </c>
      <c r="AI422" s="27" t="s">
        <v>3645</v>
      </c>
      <c r="AJ422" s="18">
        <f t="shared" si="367"/>
        <v>0</v>
      </c>
      <c r="AK422" s="18">
        <f t="shared" si="368"/>
        <v>0</v>
      </c>
      <c r="AL422" s="18">
        <f t="shared" si="369"/>
        <v>0</v>
      </c>
      <c r="AN422" s="34">
        <v>21</v>
      </c>
      <c r="AO422" s="34">
        <f t="shared" si="370"/>
        <v>0</v>
      </c>
      <c r="AP422" s="34">
        <f t="shared" si="371"/>
        <v>0</v>
      </c>
      <c r="AQ422" s="28" t="s">
        <v>13</v>
      </c>
      <c r="AV422" s="34">
        <f t="shared" si="372"/>
        <v>0</v>
      </c>
      <c r="AW422" s="34">
        <f t="shared" si="373"/>
        <v>0</v>
      </c>
      <c r="AX422" s="34">
        <f t="shared" si="374"/>
        <v>0</v>
      </c>
      <c r="AY422" s="35" t="s">
        <v>3679</v>
      </c>
      <c r="AZ422" s="35" t="s">
        <v>3714</v>
      </c>
      <c r="BA422" s="27" t="s">
        <v>3729</v>
      </c>
      <c r="BC422" s="34">
        <f t="shared" si="375"/>
        <v>0</v>
      </c>
      <c r="BD422" s="34">
        <f t="shared" si="376"/>
        <v>0</v>
      </c>
      <c r="BE422" s="34">
        <v>0</v>
      </c>
      <c r="BF422" s="34">
        <f>422</f>
        <v>422</v>
      </c>
      <c r="BH422" s="18">
        <f t="shared" si="377"/>
        <v>0</v>
      </c>
      <c r="BI422" s="18">
        <f t="shared" si="378"/>
        <v>0</v>
      </c>
      <c r="BJ422" s="18">
        <f t="shared" si="379"/>
        <v>0</v>
      </c>
    </row>
    <row r="423" spans="1:62" x14ac:dyDescent="0.2">
      <c r="A423" s="5" t="s">
        <v>384</v>
      </c>
      <c r="B423" s="5" t="s">
        <v>1574</v>
      </c>
      <c r="C423" s="135" t="s">
        <v>2811</v>
      </c>
      <c r="D423" s="136"/>
      <c r="E423" s="136"/>
      <c r="F423" s="136"/>
      <c r="G423" s="136"/>
      <c r="H423" s="5" t="s">
        <v>3612</v>
      </c>
      <c r="I423" s="18">
        <v>6</v>
      </c>
      <c r="J423" s="18">
        <v>0</v>
      </c>
      <c r="K423" s="18">
        <f t="shared" si="358"/>
        <v>0</v>
      </c>
      <c r="L423" s="28" t="s">
        <v>3635</v>
      </c>
      <c r="Z423" s="34">
        <f t="shared" si="359"/>
        <v>0</v>
      </c>
      <c r="AB423" s="34">
        <f t="shared" si="360"/>
        <v>0</v>
      </c>
      <c r="AC423" s="34">
        <f t="shared" si="361"/>
        <v>0</v>
      </c>
      <c r="AD423" s="34">
        <f t="shared" si="362"/>
        <v>0</v>
      </c>
      <c r="AE423" s="34">
        <f t="shared" si="363"/>
        <v>0</v>
      </c>
      <c r="AF423" s="34">
        <f t="shared" si="364"/>
        <v>0</v>
      </c>
      <c r="AG423" s="34">
        <f t="shared" si="365"/>
        <v>0</v>
      </c>
      <c r="AH423" s="34">
        <f t="shared" si="366"/>
        <v>0</v>
      </c>
      <c r="AI423" s="27" t="s">
        <v>3645</v>
      </c>
      <c r="AJ423" s="18">
        <f t="shared" si="367"/>
        <v>0</v>
      </c>
      <c r="AK423" s="18">
        <f t="shared" si="368"/>
        <v>0</v>
      </c>
      <c r="AL423" s="18">
        <f t="shared" si="369"/>
        <v>0</v>
      </c>
      <c r="AN423" s="34">
        <v>21</v>
      </c>
      <c r="AO423" s="34">
        <f t="shared" si="370"/>
        <v>0</v>
      </c>
      <c r="AP423" s="34">
        <f t="shared" si="371"/>
        <v>0</v>
      </c>
      <c r="AQ423" s="28" t="s">
        <v>13</v>
      </c>
      <c r="AV423" s="34">
        <f t="shared" si="372"/>
        <v>0</v>
      </c>
      <c r="AW423" s="34">
        <f t="shared" si="373"/>
        <v>0</v>
      </c>
      <c r="AX423" s="34">
        <f t="shared" si="374"/>
        <v>0</v>
      </c>
      <c r="AY423" s="35" t="s">
        <v>3679</v>
      </c>
      <c r="AZ423" s="35" t="s">
        <v>3714</v>
      </c>
      <c r="BA423" s="27" t="s">
        <v>3729</v>
      </c>
      <c r="BC423" s="34">
        <f t="shared" si="375"/>
        <v>0</v>
      </c>
      <c r="BD423" s="34">
        <f t="shared" si="376"/>
        <v>0</v>
      </c>
      <c r="BE423" s="34">
        <v>0</v>
      </c>
      <c r="BF423" s="34">
        <f>423</f>
        <v>423</v>
      </c>
      <c r="BH423" s="18">
        <f t="shared" si="377"/>
        <v>0</v>
      </c>
      <c r="BI423" s="18">
        <f t="shared" si="378"/>
        <v>0</v>
      </c>
      <c r="BJ423" s="18">
        <f t="shared" si="379"/>
        <v>0</v>
      </c>
    </row>
    <row r="424" spans="1:62" x14ac:dyDescent="0.2">
      <c r="A424" s="5" t="s">
        <v>385</v>
      </c>
      <c r="B424" s="5" t="s">
        <v>1575</v>
      </c>
      <c r="C424" s="135" t="s">
        <v>2812</v>
      </c>
      <c r="D424" s="136"/>
      <c r="E424" s="136"/>
      <c r="F424" s="136"/>
      <c r="G424" s="136"/>
      <c r="H424" s="5" t="s">
        <v>3612</v>
      </c>
      <c r="I424" s="18">
        <v>1</v>
      </c>
      <c r="J424" s="18">
        <v>0</v>
      </c>
      <c r="K424" s="18">
        <f t="shared" si="358"/>
        <v>0</v>
      </c>
      <c r="L424" s="28" t="s">
        <v>3635</v>
      </c>
      <c r="Z424" s="34">
        <f t="shared" si="359"/>
        <v>0</v>
      </c>
      <c r="AB424" s="34">
        <f t="shared" si="360"/>
        <v>0</v>
      </c>
      <c r="AC424" s="34">
        <f t="shared" si="361"/>
        <v>0</v>
      </c>
      <c r="AD424" s="34">
        <f t="shared" si="362"/>
        <v>0</v>
      </c>
      <c r="AE424" s="34">
        <f t="shared" si="363"/>
        <v>0</v>
      </c>
      <c r="AF424" s="34">
        <f t="shared" si="364"/>
        <v>0</v>
      </c>
      <c r="AG424" s="34">
        <f t="shared" si="365"/>
        <v>0</v>
      </c>
      <c r="AH424" s="34">
        <f t="shared" si="366"/>
        <v>0</v>
      </c>
      <c r="AI424" s="27" t="s">
        <v>3645</v>
      </c>
      <c r="AJ424" s="18">
        <f t="shared" si="367"/>
        <v>0</v>
      </c>
      <c r="AK424" s="18">
        <f t="shared" si="368"/>
        <v>0</v>
      </c>
      <c r="AL424" s="18">
        <f t="shared" si="369"/>
        <v>0</v>
      </c>
      <c r="AN424" s="34">
        <v>21</v>
      </c>
      <c r="AO424" s="34">
        <f t="shared" si="370"/>
        <v>0</v>
      </c>
      <c r="AP424" s="34">
        <f t="shared" si="371"/>
        <v>0</v>
      </c>
      <c r="AQ424" s="28" t="s">
        <v>13</v>
      </c>
      <c r="AV424" s="34">
        <f t="shared" si="372"/>
        <v>0</v>
      </c>
      <c r="AW424" s="34">
        <f t="shared" si="373"/>
        <v>0</v>
      </c>
      <c r="AX424" s="34">
        <f t="shared" si="374"/>
        <v>0</v>
      </c>
      <c r="AY424" s="35" t="s">
        <v>3679</v>
      </c>
      <c r="AZ424" s="35" t="s">
        <v>3714</v>
      </c>
      <c r="BA424" s="27" t="s">
        <v>3729</v>
      </c>
      <c r="BC424" s="34">
        <f t="shared" si="375"/>
        <v>0</v>
      </c>
      <c r="BD424" s="34">
        <f t="shared" si="376"/>
        <v>0</v>
      </c>
      <c r="BE424" s="34">
        <v>0</v>
      </c>
      <c r="BF424" s="34">
        <f>424</f>
        <v>424</v>
      </c>
      <c r="BH424" s="18">
        <f t="shared" si="377"/>
        <v>0</v>
      </c>
      <c r="BI424" s="18">
        <f t="shared" si="378"/>
        <v>0</v>
      </c>
      <c r="BJ424" s="18">
        <f t="shared" si="379"/>
        <v>0</v>
      </c>
    </row>
    <row r="425" spans="1:62" x14ac:dyDescent="0.2">
      <c r="A425" s="5" t="s">
        <v>386</v>
      </c>
      <c r="B425" s="5" t="s">
        <v>1576</v>
      </c>
      <c r="C425" s="135" t="s">
        <v>2813</v>
      </c>
      <c r="D425" s="136"/>
      <c r="E425" s="136"/>
      <c r="F425" s="136"/>
      <c r="G425" s="136"/>
      <c r="H425" s="5" t="s">
        <v>3612</v>
      </c>
      <c r="I425" s="18">
        <v>3</v>
      </c>
      <c r="J425" s="18">
        <v>0</v>
      </c>
      <c r="K425" s="18">
        <f t="shared" si="358"/>
        <v>0</v>
      </c>
      <c r="L425" s="28" t="s">
        <v>3635</v>
      </c>
      <c r="Z425" s="34">
        <f t="shared" si="359"/>
        <v>0</v>
      </c>
      <c r="AB425" s="34">
        <f t="shared" si="360"/>
        <v>0</v>
      </c>
      <c r="AC425" s="34">
        <f t="shared" si="361"/>
        <v>0</v>
      </c>
      <c r="AD425" s="34">
        <f t="shared" si="362"/>
        <v>0</v>
      </c>
      <c r="AE425" s="34">
        <f t="shared" si="363"/>
        <v>0</v>
      </c>
      <c r="AF425" s="34">
        <f t="shared" si="364"/>
        <v>0</v>
      </c>
      <c r="AG425" s="34">
        <f t="shared" si="365"/>
        <v>0</v>
      </c>
      <c r="AH425" s="34">
        <f t="shared" si="366"/>
        <v>0</v>
      </c>
      <c r="AI425" s="27" t="s">
        <v>3645</v>
      </c>
      <c r="AJ425" s="18">
        <f t="shared" si="367"/>
        <v>0</v>
      </c>
      <c r="AK425" s="18">
        <f t="shared" si="368"/>
        <v>0</v>
      </c>
      <c r="AL425" s="18">
        <f t="shared" si="369"/>
        <v>0</v>
      </c>
      <c r="AN425" s="34">
        <v>21</v>
      </c>
      <c r="AO425" s="34">
        <f t="shared" si="370"/>
        <v>0</v>
      </c>
      <c r="AP425" s="34">
        <f t="shared" si="371"/>
        <v>0</v>
      </c>
      <c r="AQ425" s="28" t="s">
        <v>13</v>
      </c>
      <c r="AV425" s="34">
        <f t="shared" si="372"/>
        <v>0</v>
      </c>
      <c r="AW425" s="34">
        <f t="shared" si="373"/>
        <v>0</v>
      </c>
      <c r="AX425" s="34">
        <f t="shared" si="374"/>
        <v>0</v>
      </c>
      <c r="AY425" s="35" t="s">
        <v>3679</v>
      </c>
      <c r="AZ425" s="35" t="s">
        <v>3714</v>
      </c>
      <c r="BA425" s="27" t="s">
        <v>3729</v>
      </c>
      <c r="BC425" s="34">
        <f t="shared" si="375"/>
        <v>0</v>
      </c>
      <c r="BD425" s="34">
        <f t="shared" si="376"/>
        <v>0</v>
      </c>
      <c r="BE425" s="34">
        <v>0</v>
      </c>
      <c r="BF425" s="34">
        <f>425</f>
        <v>425</v>
      </c>
      <c r="BH425" s="18">
        <f t="shared" si="377"/>
        <v>0</v>
      </c>
      <c r="BI425" s="18">
        <f t="shared" si="378"/>
        <v>0</v>
      </c>
      <c r="BJ425" s="18">
        <f t="shared" si="379"/>
        <v>0</v>
      </c>
    </row>
    <row r="426" spans="1:62" x14ac:dyDescent="0.2">
      <c r="A426" s="5" t="s">
        <v>387</v>
      </c>
      <c r="B426" s="5" t="s">
        <v>1577</v>
      </c>
      <c r="C426" s="135" t="s">
        <v>2814</v>
      </c>
      <c r="D426" s="136"/>
      <c r="E426" s="136"/>
      <c r="F426" s="136"/>
      <c r="G426" s="136"/>
      <c r="H426" s="5" t="s">
        <v>3618</v>
      </c>
      <c r="I426" s="18">
        <v>1</v>
      </c>
      <c r="J426" s="18">
        <v>0</v>
      </c>
      <c r="K426" s="18">
        <f t="shared" si="358"/>
        <v>0</v>
      </c>
      <c r="L426" s="28" t="s">
        <v>3635</v>
      </c>
      <c r="Z426" s="34">
        <f t="shared" si="359"/>
        <v>0</v>
      </c>
      <c r="AB426" s="34">
        <f t="shared" si="360"/>
        <v>0</v>
      </c>
      <c r="AC426" s="34">
        <f t="shared" si="361"/>
        <v>0</v>
      </c>
      <c r="AD426" s="34">
        <f t="shared" si="362"/>
        <v>0</v>
      </c>
      <c r="AE426" s="34">
        <f t="shared" si="363"/>
        <v>0</v>
      </c>
      <c r="AF426" s="34">
        <f t="shared" si="364"/>
        <v>0</v>
      </c>
      <c r="AG426" s="34">
        <f t="shared" si="365"/>
        <v>0</v>
      </c>
      <c r="AH426" s="34">
        <f t="shared" si="366"/>
        <v>0</v>
      </c>
      <c r="AI426" s="27" t="s">
        <v>3645</v>
      </c>
      <c r="AJ426" s="18">
        <f t="shared" si="367"/>
        <v>0</v>
      </c>
      <c r="AK426" s="18">
        <f t="shared" si="368"/>
        <v>0</v>
      </c>
      <c r="AL426" s="18">
        <f t="shared" si="369"/>
        <v>0</v>
      </c>
      <c r="AN426" s="34">
        <v>21</v>
      </c>
      <c r="AO426" s="34">
        <f t="shared" si="370"/>
        <v>0</v>
      </c>
      <c r="AP426" s="34">
        <f t="shared" si="371"/>
        <v>0</v>
      </c>
      <c r="AQ426" s="28" t="s">
        <v>13</v>
      </c>
      <c r="AV426" s="34">
        <f t="shared" si="372"/>
        <v>0</v>
      </c>
      <c r="AW426" s="34">
        <f t="shared" si="373"/>
        <v>0</v>
      </c>
      <c r="AX426" s="34">
        <f t="shared" si="374"/>
        <v>0</v>
      </c>
      <c r="AY426" s="35" t="s">
        <v>3679</v>
      </c>
      <c r="AZ426" s="35" t="s">
        <v>3714</v>
      </c>
      <c r="BA426" s="27" t="s">
        <v>3729</v>
      </c>
      <c r="BC426" s="34">
        <f t="shared" si="375"/>
        <v>0</v>
      </c>
      <c r="BD426" s="34">
        <f t="shared" si="376"/>
        <v>0</v>
      </c>
      <c r="BE426" s="34">
        <v>0</v>
      </c>
      <c r="BF426" s="34">
        <f>426</f>
        <v>426</v>
      </c>
      <c r="BH426" s="18">
        <f t="shared" si="377"/>
        <v>0</v>
      </c>
      <c r="BI426" s="18">
        <f t="shared" si="378"/>
        <v>0</v>
      </c>
      <c r="BJ426" s="18">
        <f t="shared" si="379"/>
        <v>0</v>
      </c>
    </row>
    <row r="427" spans="1:62" x14ac:dyDescent="0.2">
      <c r="A427" s="5" t="s">
        <v>388</v>
      </c>
      <c r="B427" s="5" t="s">
        <v>1578</v>
      </c>
      <c r="C427" s="135" t="s">
        <v>2815</v>
      </c>
      <c r="D427" s="136"/>
      <c r="E427" s="136"/>
      <c r="F427" s="136"/>
      <c r="G427" s="136"/>
      <c r="H427" s="5" t="s">
        <v>3614</v>
      </c>
      <c r="I427" s="18">
        <v>401</v>
      </c>
      <c r="J427" s="18">
        <v>0</v>
      </c>
      <c r="K427" s="18">
        <f t="shared" si="358"/>
        <v>0</v>
      </c>
      <c r="L427" s="28" t="s">
        <v>3635</v>
      </c>
      <c r="Z427" s="34">
        <f t="shared" si="359"/>
        <v>0</v>
      </c>
      <c r="AB427" s="34">
        <f t="shared" si="360"/>
        <v>0</v>
      </c>
      <c r="AC427" s="34">
        <f t="shared" si="361"/>
        <v>0</v>
      </c>
      <c r="AD427" s="34">
        <f t="shared" si="362"/>
        <v>0</v>
      </c>
      <c r="AE427" s="34">
        <f t="shared" si="363"/>
        <v>0</v>
      </c>
      <c r="AF427" s="34">
        <f t="shared" si="364"/>
        <v>0</v>
      </c>
      <c r="AG427" s="34">
        <f t="shared" si="365"/>
        <v>0</v>
      </c>
      <c r="AH427" s="34">
        <f t="shared" si="366"/>
        <v>0</v>
      </c>
      <c r="AI427" s="27" t="s">
        <v>3645</v>
      </c>
      <c r="AJ427" s="18">
        <f t="shared" si="367"/>
        <v>0</v>
      </c>
      <c r="AK427" s="18">
        <f t="shared" si="368"/>
        <v>0</v>
      </c>
      <c r="AL427" s="18">
        <f t="shared" si="369"/>
        <v>0</v>
      </c>
      <c r="AN427" s="34">
        <v>21</v>
      </c>
      <c r="AO427" s="34">
        <f t="shared" si="370"/>
        <v>0</v>
      </c>
      <c r="AP427" s="34">
        <f t="shared" si="371"/>
        <v>0</v>
      </c>
      <c r="AQ427" s="28" t="s">
        <v>13</v>
      </c>
      <c r="AV427" s="34">
        <f t="shared" si="372"/>
        <v>0</v>
      </c>
      <c r="AW427" s="34">
        <f t="shared" si="373"/>
        <v>0</v>
      </c>
      <c r="AX427" s="34">
        <f t="shared" si="374"/>
        <v>0</v>
      </c>
      <c r="AY427" s="35" t="s">
        <v>3679</v>
      </c>
      <c r="AZ427" s="35" t="s">
        <v>3714</v>
      </c>
      <c r="BA427" s="27" t="s">
        <v>3729</v>
      </c>
      <c r="BC427" s="34">
        <f t="shared" si="375"/>
        <v>0</v>
      </c>
      <c r="BD427" s="34">
        <f t="shared" si="376"/>
        <v>0</v>
      </c>
      <c r="BE427" s="34">
        <v>0</v>
      </c>
      <c r="BF427" s="34">
        <f>427</f>
        <v>427</v>
      </c>
      <c r="BH427" s="18">
        <f t="shared" si="377"/>
        <v>0</v>
      </c>
      <c r="BI427" s="18">
        <f t="shared" si="378"/>
        <v>0</v>
      </c>
      <c r="BJ427" s="18">
        <f t="shared" si="379"/>
        <v>0</v>
      </c>
    </row>
    <row r="428" spans="1:62" x14ac:dyDescent="0.2">
      <c r="A428" s="5" t="s">
        <v>389</v>
      </c>
      <c r="B428" s="5" t="s">
        <v>1579</v>
      </c>
      <c r="C428" s="135" t="s">
        <v>2816</v>
      </c>
      <c r="D428" s="136"/>
      <c r="E428" s="136"/>
      <c r="F428" s="136"/>
      <c r="G428" s="136"/>
      <c r="H428" s="5" t="s">
        <v>3614</v>
      </c>
      <c r="I428" s="18">
        <v>220</v>
      </c>
      <c r="J428" s="18">
        <v>0</v>
      </c>
      <c r="K428" s="18">
        <f t="shared" si="358"/>
        <v>0</v>
      </c>
      <c r="L428" s="28" t="s">
        <v>3635</v>
      </c>
      <c r="Z428" s="34">
        <f t="shared" si="359"/>
        <v>0</v>
      </c>
      <c r="AB428" s="34">
        <f t="shared" si="360"/>
        <v>0</v>
      </c>
      <c r="AC428" s="34">
        <f t="shared" si="361"/>
        <v>0</v>
      </c>
      <c r="AD428" s="34">
        <f t="shared" si="362"/>
        <v>0</v>
      </c>
      <c r="AE428" s="34">
        <f t="shared" si="363"/>
        <v>0</v>
      </c>
      <c r="AF428" s="34">
        <f t="shared" si="364"/>
        <v>0</v>
      </c>
      <c r="AG428" s="34">
        <f t="shared" si="365"/>
        <v>0</v>
      </c>
      <c r="AH428" s="34">
        <f t="shared" si="366"/>
        <v>0</v>
      </c>
      <c r="AI428" s="27" t="s">
        <v>3645</v>
      </c>
      <c r="AJ428" s="18">
        <f t="shared" si="367"/>
        <v>0</v>
      </c>
      <c r="AK428" s="18">
        <f t="shared" si="368"/>
        <v>0</v>
      </c>
      <c r="AL428" s="18">
        <f t="shared" si="369"/>
        <v>0</v>
      </c>
      <c r="AN428" s="34">
        <v>21</v>
      </c>
      <c r="AO428" s="34">
        <f t="shared" si="370"/>
        <v>0</v>
      </c>
      <c r="AP428" s="34">
        <f t="shared" si="371"/>
        <v>0</v>
      </c>
      <c r="AQ428" s="28" t="s">
        <v>13</v>
      </c>
      <c r="AV428" s="34">
        <f t="shared" si="372"/>
        <v>0</v>
      </c>
      <c r="AW428" s="34">
        <f t="shared" si="373"/>
        <v>0</v>
      </c>
      <c r="AX428" s="34">
        <f t="shared" si="374"/>
        <v>0</v>
      </c>
      <c r="AY428" s="35" t="s">
        <v>3679</v>
      </c>
      <c r="AZ428" s="35" t="s">
        <v>3714</v>
      </c>
      <c r="BA428" s="27" t="s">
        <v>3729</v>
      </c>
      <c r="BC428" s="34">
        <f t="shared" si="375"/>
        <v>0</v>
      </c>
      <c r="BD428" s="34">
        <f t="shared" si="376"/>
        <v>0</v>
      </c>
      <c r="BE428" s="34">
        <v>0</v>
      </c>
      <c r="BF428" s="34">
        <f>428</f>
        <v>428</v>
      </c>
      <c r="BH428" s="18">
        <f t="shared" si="377"/>
        <v>0</v>
      </c>
      <c r="BI428" s="18">
        <f t="shared" si="378"/>
        <v>0</v>
      </c>
      <c r="BJ428" s="18">
        <f t="shared" si="379"/>
        <v>0</v>
      </c>
    </row>
    <row r="429" spans="1:62" x14ac:dyDescent="0.2">
      <c r="A429" s="5" t="s">
        <v>390</v>
      </c>
      <c r="B429" s="5" t="s">
        <v>1580</v>
      </c>
      <c r="C429" s="135" t="s">
        <v>2817</v>
      </c>
      <c r="D429" s="136"/>
      <c r="E429" s="136"/>
      <c r="F429" s="136"/>
      <c r="G429" s="136"/>
      <c r="H429" s="5" t="s">
        <v>3614</v>
      </c>
      <c r="I429" s="18">
        <v>58</v>
      </c>
      <c r="J429" s="18">
        <v>0</v>
      </c>
      <c r="K429" s="18">
        <f t="shared" si="358"/>
        <v>0</v>
      </c>
      <c r="L429" s="28" t="s">
        <v>3635</v>
      </c>
      <c r="Z429" s="34">
        <f t="shared" si="359"/>
        <v>0</v>
      </c>
      <c r="AB429" s="34">
        <f t="shared" si="360"/>
        <v>0</v>
      </c>
      <c r="AC429" s="34">
        <f t="shared" si="361"/>
        <v>0</v>
      </c>
      <c r="AD429" s="34">
        <f t="shared" si="362"/>
        <v>0</v>
      </c>
      <c r="AE429" s="34">
        <f t="shared" si="363"/>
        <v>0</v>
      </c>
      <c r="AF429" s="34">
        <f t="shared" si="364"/>
        <v>0</v>
      </c>
      <c r="AG429" s="34">
        <f t="shared" si="365"/>
        <v>0</v>
      </c>
      <c r="AH429" s="34">
        <f t="shared" si="366"/>
        <v>0</v>
      </c>
      <c r="AI429" s="27" t="s">
        <v>3645</v>
      </c>
      <c r="AJ429" s="18">
        <f t="shared" si="367"/>
        <v>0</v>
      </c>
      <c r="AK429" s="18">
        <f t="shared" si="368"/>
        <v>0</v>
      </c>
      <c r="AL429" s="18">
        <f t="shared" si="369"/>
        <v>0</v>
      </c>
      <c r="AN429" s="34">
        <v>21</v>
      </c>
      <c r="AO429" s="34">
        <f t="shared" si="370"/>
        <v>0</v>
      </c>
      <c r="AP429" s="34">
        <f t="shared" si="371"/>
        <v>0</v>
      </c>
      <c r="AQ429" s="28" t="s">
        <v>13</v>
      </c>
      <c r="AV429" s="34">
        <f t="shared" si="372"/>
        <v>0</v>
      </c>
      <c r="AW429" s="34">
        <f t="shared" si="373"/>
        <v>0</v>
      </c>
      <c r="AX429" s="34">
        <f t="shared" si="374"/>
        <v>0</v>
      </c>
      <c r="AY429" s="35" t="s">
        <v>3679</v>
      </c>
      <c r="AZ429" s="35" t="s">
        <v>3714</v>
      </c>
      <c r="BA429" s="27" t="s">
        <v>3729</v>
      </c>
      <c r="BC429" s="34">
        <f t="shared" si="375"/>
        <v>0</v>
      </c>
      <c r="BD429" s="34">
        <f t="shared" si="376"/>
        <v>0</v>
      </c>
      <c r="BE429" s="34">
        <v>0</v>
      </c>
      <c r="BF429" s="34">
        <f>429</f>
        <v>429</v>
      </c>
      <c r="BH429" s="18">
        <f t="shared" si="377"/>
        <v>0</v>
      </c>
      <c r="BI429" s="18">
        <f t="shared" si="378"/>
        <v>0</v>
      </c>
      <c r="BJ429" s="18">
        <f t="shared" si="379"/>
        <v>0</v>
      </c>
    </row>
    <row r="430" spans="1:62" x14ac:dyDescent="0.2">
      <c r="A430" s="5" t="s">
        <v>391</v>
      </c>
      <c r="B430" s="5" t="s">
        <v>1581</v>
      </c>
      <c r="C430" s="135" t="s">
        <v>2818</v>
      </c>
      <c r="D430" s="136"/>
      <c r="E430" s="136"/>
      <c r="F430" s="136"/>
      <c r="G430" s="136"/>
      <c r="H430" s="5" t="s">
        <v>3614</v>
      </c>
      <c r="I430" s="18">
        <v>80</v>
      </c>
      <c r="J430" s="18">
        <v>0</v>
      </c>
      <c r="K430" s="18">
        <f t="shared" si="358"/>
        <v>0</v>
      </c>
      <c r="L430" s="28" t="s">
        <v>3635</v>
      </c>
      <c r="Z430" s="34">
        <f t="shared" si="359"/>
        <v>0</v>
      </c>
      <c r="AB430" s="34">
        <f t="shared" si="360"/>
        <v>0</v>
      </c>
      <c r="AC430" s="34">
        <f t="shared" si="361"/>
        <v>0</v>
      </c>
      <c r="AD430" s="34">
        <f t="shared" si="362"/>
        <v>0</v>
      </c>
      <c r="AE430" s="34">
        <f t="shared" si="363"/>
        <v>0</v>
      </c>
      <c r="AF430" s="34">
        <f t="shared" si="364"/>
        <v>0</v>
      </c>
      <c r="AG430" s="34">
        <f t="shared" si="365"/>
        <v>0</v>
      </c>
      <c r="AH430" s="34">
        <f t="shared" si="366"/>
        <v>0</v>
      </c>
      <c r="AI430" s="27" t="s">
        <v>3645</v>
      </c>
      <c r="AJ430" s="18">
        <f t="shared" si="367"/>
        <v>0</v>
      </c>
      <c r="AK430" s="18">
        <f t="shared" si="368"/>
        <v>0</v>
      </c>
      <c r="AL430" s="18">
        <f t="shared" si="369"/>
        <v>0</v>
      </c>
      <c r="AN430" s="34">
        <v>21</v>
      </c>
      <c r="AO430" s="34">
        <f t="shared" si="370"/>
        <v>0</v>
      </c>
      <c r="AP430" s="34">
        <f t="shared" si="371"/>
        <v>0</v>
      </c>
      <c r="AQ430" s="28" t="s">
        <v>13</v>
      </c>
      <c r="AV430" s="34">
        <f t="shared" si="372"/>
        <v>0</v>
      </c>
      <c r="AW430" s="34">
        <f t="shared" si="373"/>
        <v>0</v>
      </c>
      <c r="AX430" s="34">
        <f t="shared" si="374"/>
        <v>0</v>
      </c>
      <c r="AY430" s="35" t="s">
        <v>3679</v>
      </c>
      <c r="AZ430" s="35" t="s">
        <v>3714</v>
      </c>
      <c r="BA430" s="27" t="s">
        <v>3729</v>
      </c>
      <c r="BC430" s="34">
        <f t="shared" si="375"/>
        <v>0</v>
      </c>
      <c r="BD430" s="34">
        <f t="shared" si="376"/>
        <v>0</v>
      </c>
      <c r="BE430" s="34">
        <v>0</v>
      </c>
      <c r="BF430" s="34">
        <f>430</f>
        <v>430</v>
      </c>
      <c r="BH430" s="18">
        <f t="shared" si="377"/>
        <v>0</v>
      </c>
      <c r="BI430" s="18">
        <f t="shared" si="378"/>
        <v>0</v>
      </c>
      <c r="BJ430" s="18">
        <f t="shared" si="379"/>
        <v>0</v>
      </c>
    </row>
    <row r="431" spans="1:62" x14ac:dyDescent="0.2">
      <c r="A431" s="5" t="s">
        <v>392</v>
      </c>
      <c r="B431" s="5" t="s">
        <v>1582</v>
      </c>
      <c r="C431" s="135" t="s">
        <v>2819</v>
      </c>
      <c r="D431" s="136"/>
      <c r="E431" s="136"/>
      <c r="F431" s="136"/>
      <c r="G431" s="136"/>
      <c r="H431" s="5" t="s">
        <v>3614</v>
      </c>
      <c r="I431" s="18">
        <v>10</v>
      </c>
      <c r="J431" s="18">
        <v>0</v>
      </c>
      <c r="K431" s="18">
        <f t="shared" si="358"/>
        <v>0</v>
      </c>
      <c r="L431" s="28" t="s">
        <v>3635</v>
      </c>
      <c r="Z431" s="34">
        <f t="shared" si="359"/>
        <v>0</v>
      </c>
      <c r="AB431" s="34">
        <f t="shared" si="360"/>
        <v>0</v>
      </c>
      <c r="AC431" s="34">
        <f t="shared" si="361"/>
        <v>0</v>
      </c>
      <c r="AD431" s="34">
        <f t="shared" si="362"/>
        <v>0</v>
      </c>
      <c r="AE431" s="34">
        <f t="shared" si="363"/>
        <v>0</v>
      </c>
      <c r="AF431" s="34">
        <f t="shared" si="364"/>
        <v>0</v>
      </c>
      <c r="AG431" s="34">
        <f t="shared" si="365"/>
        <v>0</v>
      </c>
      <c r="AH431" s="34">
        <f t="shared" si="366"/>
        <v>0</v>
      </c>
      <c r="AI431" s="27" t="s">
        <v>3645</v>
      </c>
      <c r="AJ431" s="18">
        <f t="shared" si="367"/>
        <v>0</v>
      </c>
      <c r="AK431" s="18">
        <f t="shared" si="368"/>
        <v>0</v>
      </c>
      <c r="AL431" s="18">
        <f t="shared" si="369"/>
        <v>0</v>
      </c>
      <c r="AN431" s="34">
        <v>21</v>
      </c>
      <c r="AO431" s="34">
        <f t="shared" si="370"/>
        <v>0</v>
      </c>
      <c r="AP431" s="34">
        <f t="shared" si="371"/>
        <v>0</v>
      </c>
      <c r="AQ431" s="28" t="s">
        <v>13</v>
      </c>
      <c r="AV431" s="34">
        <f t="shared" si="372"/>
        <v>0</v>
      </c>
      <c r="AW431" s="34">
        <f t="shared" si="373"/>
        <v>0</v>
      </c>
      <c r="AX431" s="34">
        <f t="shared" si="374"/>
        <v>0</v>
      </c>
      <c r="AY431" s="35" t="s">
        <v>3679</v>
      </c>
      <c r="AZ431" s="35" t="s">
        <v>3714</v>
      </c>
      <c r="BA431" s="27" t="s">
        <v>3729</v>
      </c>
      <c r="BC431" s="34">
        <f t="shared" si="375"/>
        <v>0</v>
      </c>
      <c r="BD431" s="34">
        <f t="shared" si="376"/>
        <v>0</v>
      </c>
      <c r="BE431" s="34">
        <v>0</v>
      </c>
      <c r="BF431" s="34">
        <f>431</f>
        <v>431</v>
      </c>
      <c r="BH431" s="18">
        <f t="shared" si="377"/>
        <v>0</v>
      </c>
      <c r="BI431" s="18">
        <f t="shared" si="378"/>
        <v>0</v>
      </c>
      <c r="BJ431" s="18">
        <f t="shared" si="379"/>
        <v>0</v>
      </c>
    </row>
    <row r="432" spans="1:62" x14ac:dyDescent="0.2">
      <c r="A432" s="5" t="s">
        <v>393</v>
      </c>
      <c r="B432" s="5" t="s">
        <v>1583</v>
      </c>
      <c r="C432" s="135" t="s">
        <v>2820</v>
      </c>
      <c r="D432" s="136"/>
      <c r="E432" s="136"/>
      <c r="F432" s="136"/>
      <c r="G432" s="136"/>
      <c r="H432" s="5" t="s">
        <v>3614</v>
      </c>
      <c r="I432" s="18">
        <v>53</v>
      </c>
      <c r="J432" s="18">
        <v>0</v>
      </c>
      <c r="K432" s="18">
        <f t="shared" si="358"/>
        <v>0</v>
      </c>
      <c r="L432" s="28" t="s">
        <v>3635</v>
      </c>
      <c r="Z432" s="34">
        <f t="shared" si="359"/>
        <v>0</v>
      </c>
      <c r="AB432" s="34">
        <f t="shared" si="360"/>
        <v>0</v>
      </c>
      <c r="AC432" s="34">
        <f t="shared" si="361"/>
        <v>0</v>
      </c>
      <c r="AD432" s="34">
        <f t="shared" si="362"/>
        <v>0</v>
      </c>
      <c r="AE432" s="34">
        <f t="shared" si="363"/>
        <v>0</v>
      </c>
      <c r="AF432" s="34">
        <f t="shared" si="364"/>
        <v>0</v>
      </c>
      <c r="AG432" s="34">
        <f t="shared" si="365"/>
        <v>0</v>
      </c>
      <c r="AH432" s="34">
        <f t="shared" si="366"/>
        <v>0</v>
      </c>
      <c r="AI432" s="27" t="s">
        <v>3645</v>
      </c>
      <c r="AJ432" s="18">
        <f t="shared" si="367"/>
        <v>0</v>
      </c>
      <c r="AK432" s="18">
        <f t="shared" si="368"/>
        <v>0</v>
      </c>
      <c r="AL432" s="18">
        <f t="shared" si="369"/>
        <v>0</v>
      </c>
      <c r="AN432" s="34">
        <v>21</v>
      </c>
      <c r="AO432" s="34">
        <f t="shared" si="370"/>
        <v>0</v>
      </c>
      <c r="AP432" s="34">
        <f t="shared" si="371"/>
        <v>0</v>
      </c>
      <c r="AQ432" s="28" t="s">
        <v>13</v>
      </c>
      <c r="AV432" s="34">
        <f t="shared" si="372"/>
        <v>0</v>
      </c>
      <c r="AW432" s="34">
        <f t="shared" si="373"/>
        <v>0</v>
      </c>
      <c r="AX432" s="34">
        <f t="shared" si="374"/>
        <v>0</v>
      </c>
      <c r="AY432" s="35" t="s">
        <v>3679</v>
      </c>
      <c r="AZ432" s="35" t="s">
        <v>3714</v>
      </c>
      <c r="BA432" s="27" t="s">
        <v>3729</v>
      </c>
      <c r="BC432" s="34">
        <f t="shared" si="375"/>
        <v>0</v>
      </c>
      <c r="BD432" s="34">
        <f t="shared" si="376"/>
        <v>0</v>
      </c>
      <c r="BE432" s="34">
        <v>0</v>
      </c>
      <c r="BF432" s="34">
        <f>432</f>
        <v>432</v>
      </c>
      <c r="BH432" s="18">
        <f t="shared" si="377"/>
        <v>0</v>
      </c>
      <c r="BI432" s="18">
        <f t="shared" si="378"/>
        <v>0</v>
      </c>
      <c r="BJ432" s="18">
        <f t="shared" si="379"/>
        <v>0</v>
      </c>
    </row>
    <row r="433" spans="1:62" x14ac:dyDescent="0.2">
      <c r="A433" s="5" t="s">
        <v>394</v>
      </c>
      <c r="B433" s="5" t="s">
        <v>1584</v>
      </c>
      <c r="C433" s="135" t="s">
        <v>2821</v>
      </c>
      <c r="D433" s="136"/>
      <c r="E433" s="136"/>
      <c r="F433" s="136"/>
      <c r="G433" s="136"/>
      <c r="H433" s="5" t="s">
        <v>3614</v>
      </c>
      <c r="I433" s="18">
        <v>6</v>
      </c>
      <c r="J433" s="18">
        <v>0</v>
      </c>
      <c r="K433" s="18">
        <f t="shared" si="358"/>
        <v>0</v>
      </c>
      <c r="L433" s="28" t="s">
        <v>3635</v>
      </c>
      <c r="Z433" s="34">
        <f t="shared" si="359"/>
        <v>0</v>
      </c>
      <c r="AB433" s="34">
        <f t="shared" si="360"/>
        <v>0</v>
      </c>
      <c r="AC433" s="34">
        <f t="shared" si="361"/>
        <v>0</v>
      </c>
      <c r="AD433" s="34">
        <f t="shared" si="362"/>
        <v>0</v>
      </c>
      <c r="AE433" s="34">
        <f t="shared" si="363"/>
        <v>0</v>
      </c>
      <c r="AF433" s="34">
        <f t="shared" si="364"/>
        <v>0</v>
      </c>
      <c r="AG433" s="34">
        <f t="shared" si="365"/>
        <v>0</v>
      </c>
      <c r="AH433" s="34">
        <f t="shared" si="366"/>
        <v>0</v>
      </c>
      <c r="AI433" s="27" t="s">
        <v>3645</v>
      </c>
      <c r="AJ433" s="18">
        <f t="shared" si="367"/>
        <v>0</v>
      </c>
      <c r="AK433" s="18">
        <f t="shared" si="368"/>
        <v>0</v>
      </c>
      <c r="AL433" s="18">
        <f t="shared" si="369"/>
        <v>0</v>
      </c>
      <c r="AN433" s="34">
        <v>21</v>
      </c>
      <c r="AO433" s="34">
        <f t="shared" si="370"/>
        <v>0</v>
      </c>
      <c r="AP433" s="34">
        <f t="shared" si="371"/>
        <v>0</v>
      </c>
      <c r="AQ433" s="28" t="s">
        <v>13</v>
      </c>
      <c r="AV433" s="34">
        <f t="shared" si="372"/>
        <v>0</v>
      </c>
      <c r="AW433" s="34">
        <f t="shared" si="373"/>
        <v>0</v>
      </c>
      <c r="AX433" s="34">
        <f t="shared" si="374"/>
        <v>0</v>
      </c>
      <c r="AY433" s="35" t="s">
        <v>3679</v>
      </c>
      <c r="AZ433" s="35" t="s">
        <v>3714</v>
      </c>
      <c r="BA433" s="27" t="s">
        <v>3729</v>
      </c>
      <c r="BC433" s="34">
        <f t="shared" si="375"/>
        <v>0</v>
      </c>
      <c r="BD433" s="34">
        <f t="shared" si="376"/>
        <v>0</v>
      </c>
      <c r="BE433" s="34">
        <v>0</v>
      </c>
      <c r="BF433" s="34">
        <f>433</f>
        <v>433</v>
      </c>
      <c r="BH433" s="18">
        <f t="shared" si="377"/>
        <v>0</v>
      </c>
      <c r="BI433" s="18">
        <f t="shared" si="378"/>
        <v>0</v>
      </c>
      <c r="BJ433" s="18">
        <f t="shared" si="379"/>
        <v>0</v>
      </c>
    </row>
    <row r="434" spans="1:62" x14ac:dyDescent="0.2">
      <c r="A434" s="5" t="s">
        <v>395</v>
      </c>
      <c r="B434" s="5" t="s">
        <v>1585</v>
      </c>
      <c r="C434" s="135" t="s">
        <v>2822</v>
      </c>
      <c r="D434" s="136"/>
      <c r="E434" s="136"/>
      <c r="F434" s="136"/>
      <c r="G434" s="136"/>
      <c r="H434" s="5" t="s">
        <v>3614</v>
      </c>
      <c r="I434" s="18">
        <v>16</v>
      </c>
      <c r="J434" s="18">
        <v>0</v>
      </c>
      <c r="K434" s="18">
        <f t="shared" si="358"/>
        <v>0</v>
      </c>
      <c r="L434" s="28" t="s">
        <v>3635</v>
      </c>
      <c r="Z434" s="34">
        <f t="shared" si="359"/>
        <v>0</v>
      </c>
      <c r="AB434" s="34">
        <f t="shared" si="360"/>
        <v>0</v>
      </c>
      <c r="AC434" s="34">
        <f t="shared" si="361"/>
        <v>0</v>
      </c>
      <c r="AD434" s="34">
        <f t="shared" si="362"/>
        <v>0</v>
      </c>
      <c r="AE434" s="34">
        <f t="shared" si="363"/>
        <v>0</v>
      </c>
      <c r="AF434" s="34">
        <f t="shared" si="364"/>
        <v>0</v>
      </c>
      <c r="AG434" s="34">
        <f t="shared" si="365"/>
        <v>0</v>
      </c>
      <c r="AH434" s="34">
        <f t="shared" si="366"/>
        <v>0</v>
      </c>
      <c r="AI434" s="27" t="s">
        <v>3645</v>
      </c>
      <c r="AJ434" s="18">
        <f t="shared" si="367"/>
        <v>0</v>
      </c>
      <c r="AK434" s="18">
        <f t="shared" si="368"/>
        <v>0</v>
      </c>
      <c r="AL434" s="18">
        <f t="shared" si="369"/>
        <v>0</v>
      </c>
      <c r="AN434" s="34">
        <v>21</v>
      </c>
      <c r="AO434" s="34">
        <f t="shared" si="370"/>
        <v>0</v>
      </c>
      <c r="AP434" s="34">
        <f t="shared" si="371"/>
        <v>0</v>
      </c>
      <c r="AQ434" s="28" t="s">
        <v>13</v>
      </c>
      <c r="AV434" s="34">
        <f t="shared" si="372"/>
        <v>0</v>
      </c>
      <c r="AW434" s="34">
        <f t="shared" si="373"/>
        <v>0</v>
      </c>
      <c r="AX434" s="34">
        <f t="shared" si="374"/>
        <v>0</v>
      </c>
      <c r="AY434" s="35" t="s">
        <v>3679</v>
      </c>
      <c r="AZ434" s="35" t="s">
        <v>3714</v>
      </c>
      <c r="BA434" s="27" t="s">
        <v>3729</v>
      </c>
      <c r="BC434" s="34">
        <f t="shared" si="375"/>
        <v>0</v>
      </c>
      <c r="BD434" s="34">
        <f t="shared" si="376"/>
        <v>0</v>
      </c>
      <c r="BE434" s="34">
        <v>0</v>
      </c>
      <c r="BF434" s="34">
        <f>434</f>
        <v>434</v>
      </c>
      <c r="BH434" s="18">
        <f t="shared" si="377"/>
        <v>0</v>
      </c>
      <c r="BI434" s="18">
        <f t="shared" si="378"/>
        <v>0</v>
      </c>
      <c r="BJ434" s="18">
        <f t="shared" si="379"/>
        <v>0</v>
      </c>
    </row>
    <row r="435" spans="1:62" x14ac:dyDescent="0.2">
      <c r="A435" s="5" t="s">
        <v>396</v>
      </c>
      <c r="B435" s="5" t="s">
        <v>1586</v>
      </c>
      <c r="C435" s="135" t="s">
        <v>2823</v>
      </c>
      <c r="D435" s="136"/>
      <c r="E435" s="136"/>
      <c r="F435" s="136"/>
      <c r="G435" s="136"/>
      <c r="H435" s="5" t="s">
        <v>3614</v>
      </c>
      <c r="I435" s="18">
        <v>32.5</v>
      </c>
      <c r="J435" s="18">
        <v>0</v>
      </c>
      <c r="K435" s="18">
        <f t="shared" si="358"/>
        <v>0</v>
      </c>
      <c r="L435" s="28" t="s">
        <v>3635</v>
      </c>
      <c r="Z435" s="34">
        <f t="shared" si="359"/>
        <v>0</v>
      </c>
      <c r="AB435" s="34">
        <f t="shared" si="360"/>
        <v>0</v>
      </c>
      <c r="AC435" s="34">
        <f t="shared" si="361"/>
        <v>0</v>
      </c>
      <c r="AD435" s="34">
        <f t="shared" si="362"/>
        <v>0</v>
      </c>
      <c r="AE435" s="34">
        <f t="shared" si="363"/>
        <v>0</v>
      </c>
      <c r="AF435" s="34">
        <f t="shared" si="364"/>
        <v>0</v>
      </c>
      <c r="AG435" s="34">
        <f t="shared" si="365"/>
        <v>0</v>
      </c>
      <c r="AH435" s="34">
        <f t="shared" si="366"/>
        <v>0</v>
      </c>
      <c r="AI435" s="27" t="s">
        <v>3645</v>
      </c>
      <c r="AJ435" s="18">
        <f t="shared" si="367"/>
        <v>0</v>
      </c>
      <c r="AK435" s="18">
        <f t="shared" si="368"/>
        <v>0</v>
      </c>
      <c r="AL435" s="18">
        <f t="shared" si="369"/>
        <v>0</v>
      </c>
      <c r="AN435" s="34">
        <v>21</v>
      </c>
      <c r="AO435" s="34">
        <f t="shared" si="370"/>
        <v>0</v>
      </c>
      <c r="AP435" s="34">
        <f t="shared" si="371"/>
        <v>0</v>
      </c>
      <c r="AQ435" s="28" t="s">
        <v>13</v>
      </c>
      <c r="AV435" s="34">
        <f t="shared" si="372"/>
        <v>0</v>
      </c>
      <c r="AW435" s="34">
        <f t="shared" si="373"/>
        <v>0</v>
      </c>
      <c r="AX435" s="34">
        <f t="shared" si="374"/>
        <v>0</v>
      </c>
      <c r="AY435" s="35" t="s">
        <v>3679</v>
      </c>
      <c r="AZ435" s="35" t="s">
        <v>3714</v>
      </c>
      <c r="BA435" s="27" t="s">
        <v>3729</v>
      </c>
      <c r="BC435" s="34">
        <f t="shared" si="375"/>
        <v>0</v>
      </c>
      <c r="BD435" s="34">
        <f t="shared" si="376"/>
        <v>0</v>
      </c>
      <c r="BE435" s="34">
        <v>0</v>
      </c>
      <c r="BF435" s="34">
        <f>435</f>
        <v>435</v>
      </c>
      <c r="BH435" s="18">
        <f t="shared" si="377"/>
        <v>0</v>
      </c>
      <c r="BI435" s="18">
        <f t="shared" si="378"/>
        <v>0</v>
      </c>
      <c r="BJ435" s="18">
        <f t="shared" si="379"/>
        <v>0</v>
      </c>
    </row>
    <row r="436" spans="1:62" x14ac:dyDescent="0.2">
      <c r="A436" s="5" t="s">
        <v>397</v>
      </c>
      <c r="B436" s="5" t="s">
        <v>1587</v>
      </c>
      <c r="C436" s="135" t="s">
        <v>2824</v>
      </c>
      <c r="D436" s="136"/>
      <c r="E436" s="136"/>
      <c r="F436" s="136"/>
      <c r="G436" s="136"/>
      <c r="H436" s="5" t="s">
        <v>3614</v>
      </c>
      <c r="I436" s="18">
        <v>44.5</v>
      </c>
      <c r="J436" s="18">
        <v>0</v>
      </c>
      <c r="K436" s="18">
        <f t="shared" si="358"/>
        <v>0</v>
      </c>
      <c r="L436" s="28" t="s">
        <v>3635</v>
      </c>
      <c r="Z436" s="34">
        <f t="shared" si="359"/>
        <v>0</v>
      </c>
      <c r="AB436" s="34">
        <f t="shared" si="360"/>
        <v>0</v>
      </c>
      <c r="AC436" s="34">
        <f t="shared" si="361"/>
        <v>0</v>
      </c>
      <c r="AD436" s="34">
        <f t="shared" si="362"/>
        <v>0</v>
      </c>
      <c r="AE436" s="34">
        <f t="shared" si="363"/>
        <v>0</v>
      </c>
      <c r="AF436" s="34">
        <f t="shared" si="364"/>
        <v>0</v>
      </c>
      <c r="AG436" s="34">
        <f t="shared" si="365"/>
        <v>0</v>
      </c>
      <c r="AH436" s="34">
        <f t="shared" si="366"/>
        <v>0</v>
      </c>
      <c r="AI436" s="27" t="s">
        <v>3645</v>
      </c>
      <c r="AJ436" s="18">
        <f t="shared" si="367"/>
        <v>0</v>
      </c>
      <c r="AK436" s="18">
        <f t="shared" si="368"/>
        <v>0</v>
      </c>
      <c r="AL436" s="18">
        <f t="shared" si="369"/>
        <v>0</v>
      </c>
      <c r="AN436" s="34">
        <v>21</v>
      </c>
      <c r="AO436" s="34">
        <f t="shared" si="370"/>
        <v>0</v>
      </c>
      <c r="AP436" s="34">
        <f t="shared" si="371"/>
        <v>0</v>
      </c>
      <c r="AQ436" s="28" t="s">
        <v>13</v>
      </c>
      <c r="AV436" s="34">
        <f t="shared" si="372"/>
        <v>0</v>
      </c>
      <c r="AW436" s="34">
        <f t="shared" si="373"/>
        <v>0</v>
      </c>
      <c r="AX436" s="34">
        <f t="shared" si="374"/>
        <v>0</v>
      </c>
      <c r="AY436" s="35" t="s">
        <v>3679</v>
      </c>
      <c r="AZ436" s="35" t="s">
        <v>3714</v>
      </c>
      <c r="BA436" s="27" t="s">
        <v>3729</v>
      </c>
      <c r="BC436" s="34">
        <f t="shared" si="375"/>
        <v>0</v>
      </c>
      <c r="BD436" s="34">
        <f t="shared" si="376"/>
        <v>0</v>
      </c>
      <c r="BE436" s="34">
        <v>0</v>
      </c>
      <c r="BF436" s="34">
        <f>436</f>
        <v>436</v>
      </c>
      <c r="BH436" s="18">
        <f t="shared" si="377"/>
        <v>0</v>
      </c>
      <c r="BI436" s="18">
        <f t="shared" si="378"/>
        <v>0</v>
      </c>
      <c r="BJ436" s="18">
        <f t="shared" si="379"/>
        <v>0</v>
      </c>
    </row>
    <row r="437" spans="1:62" x14ac:dyDescent="0.2">
      <c r="A437" s="5" t="s">
        <v>398</v>
      </c>
      <c r="B437" s="5" t="s">
        <v>1588</v>
      </c>
      <c r="C437" s="135" t="s">
        <v>2825</v>
      </c>
      <c r="D437" s="136"/>
      <c r="E437" s="136"/>
      <c r="F437" s="136"/>
      <c r="G437" s="136"/>
      <c r="H437" s="5" t="s">
        <v>3614</v>
      </c>
      <c r="I437" s="18">
        <v>44</v>
      </c>
      <c r="J437" s="18">
        <v>0</v>
      </c>
      <c r="K437" s="18">
        <f t="shared" si="358"/>
        <v>0</v>
      </c>
      <c r="L437" s="28" t="s">
        <v>3635</v>
      </c>
      <c r="Z437" s="34">
        <f t="shared" si="359"/>
        <v>0</v>
      </c>
      <c r="AB437" s="34">
        <f t="shared" si="360"/>
        <v>0</v>
      </c>
      <c r="AC437" s="34">
        <f t="shared" si="361"/>
        <v>0</v>
      </c>
      <c r="AD437" s="34">
        <f t="shared" si="362"/>
        <v>0</v>
      </c>
      <c r="AE437" s="34">
        <f t="shared" si="363"/>
        <v>0</v>
      </c>
      <c r="AF437" s="34">
        <f t="shared" si="364"/>
        <v>0</v>
      </c>
      <c r="AG437" s="34">
        <f t="shared" si="365"/>
        <v>0</v>
      </c>
      <c r="AH437" s="34">
        <f t="shared" si="366"/>
        <v>0</v>
      </c>
      <c r="AI437" s="27" t="s">
        <v>3645</v>
      </c>
      <c r="AJ437" s="18">
        <f t="shared" si="367"/>
        <v>0</v>
      </c>
      <c r="AK437" s="18">
        <f t="shared" si="368"/>
        <v>0</v>
      </c>
      <c r="AL437" s="18">
        <f t="shared" si="369"/>
        <v>0</v>
      </c>
      <c r="AN437" s="34">
        <v>21</v>
      </c>
      <c r="AO437" s="34">
        <f t="shared" si="370"/>
        <v>0</v>
      </c>
      <c r="AP437" s="34">
        <f t="shared" si="371"/>
        <v>0</v>
      </c>
      <c r="AQ437" s="28" t="s">
        <v>13</v>
      </c>
      <c r="AV437" s="34">
        <f t="shared" si="372"/>
        <v>0</v>
      </c>
      <c r="AW437" s="34">
        <f t="shared" si="373"/>
        <v>0</v>
      </c>
      <c r="AX437" s="34">
        <f t="shared" si="374"/>
        <v>0</v>
      </c>
      <c r="AY437" s="35" t="s">
        <v>3679</v>
      </c>
      <c r="AZ437" s="35" t="s">
        <v>3714</v>
      </c>
      <c r="BA437" s="27" t="s">
        <v>3729</v>
      </c>
      <c r="BC437" s="34">
        <f t="shared" si="375"/>
        <v>0</v>
      </c>
      <c r="BD437" s="34">
        <f t="shared" si="376"/>
        <v>0</v>
      </c>
      <c r="BE437" s="34">
        <v>0</v>
      </c>
      <c r="BF437" s="34">
        <f>437</f>
        <v>437</v>
      </c>
      <c r="BH437" s="18">
        <f t="shared" si="377"/>
        <v>0</v>
      </c>
      <c r="BI437" s="18">
        <f t="shared" si="378"/>
        <v>0</v>
      </c>
      <c r="BJ437" s="18">
        <f t="shared" si="379"/>
        <v>0</v>
      </c>
    </row>
    <row r="438" spans="1:62" x14ac:dyDescent="0.2">
      <c r="A438" s="5" t="s">
        <v>399</v>
      </c>
      <c r="B438" s="5" t="s">
        <v>1589</v>
      </c>
      <c r="C438" s="135" t="s">
        <v>2826</v>
      </c>
      <c r="D438" s="136"/>
      <c r="E438" s="136"/>
      <c r="F438" s="136"/>
      <c r="G438" s="136"/>
      <c r="H438" s="5" t="s">
        <v>3614</v>
      </c>
      <c r="I438" s="18">
        <v>385</v>
      </c>
      <c r="J438" s="18">
        <v>0</v>
      </c>
      <c r="K438" s="18">
        <f t="shared" si="358"/>
        <v>0</v>
      </c>
      <c r="L438" s="28" t="s">
        <v>3635</v>
      </c>
      <c r="Z438" s="34">
        <f t="shared" si="359"/>
        <v>0</v>
      </c>
      <c r="AB438" s="34">
        <f t="shared" si="360"/>
        <v>0</v>
      </c>
      <c r="AC438" s="34">
        <f t="shared" si="361"/>
        <v>0</v>
      </c>
      <c r="AD438" s="34">
        <f t="shared" si="362"/>
        <v>0</v>
      </c>
      <c r="AE438" s="34">
        <f t="shared" si="363"/>
        <v>0</v>
      </c>
      <c r="AF438" s="34">
        <f t="shared" si="364"/>
        <v>0</v>
      </c>
      <c r="AG438" s="34">
        <f t="shared" si="365"/>
        <v>0</v>
      </c>
      <c r="AH438" s="34">
        <f t="shared" si="366"/>
        <v>0</v>
      </c>
      <c r="AI438" s="27" t="s">
        <v>3645</v>
      </c>
      <c r="AJ438" s="18">
        <f t="shared" si="367"/>
        <v>0</v>
      </c>
      <c r="AK438" s="18">
        <f t="shared" si="368"/>
        <v>0</v>
      </c>
      <c r="AL438" s="18">
        <f t="shared" si="369"/>
        <v>0</v>
      </c>
      <c r="AN438" s="34">
        <v>21</v>
      </c>
      <c r="AO438" s="34">
        <f t="shared" si="370"/>
        <v>0</v>
      </c>
      <c r="AP438" s="34">
        <f t="shared" si="371"/>
        <v>0</v>
      </c>
      <c r="AQ438" s="28" t="s">
        <v>13</v>
      </c>
      <c r="AV438" s="34">
        <f t="shared" si="372"/>
        <v>0</v>
      </c>
      <c r="AW438" s="34">
        <f t="shared" si="373"/>
        <v>0</v>
      </c>
      <c r="AX438" s="34">
        <f t="shared" si="374"/>
        <v>0</v>
      </c>
      <c r="AY438" s="35" t="s">
        <v>3679</v>
      </c>
      <c r="AZ438" s="35" t="s">
        <v>3714</v>
      </c>
      <c r="BA438" s="27" t="s">
        <v>3729</v>
      </c>
      <c r="BC438" s="34">
        <f t="shared" si="375"/>
        <v>0</v>
      </c>
      <c r="BD438" s="34">
        <f t="shared" si="376"/>
        <v>0</v>
      </c>
      <c r="BE438" s="34">
        <v>0</v>
      </c>
      <c r="BF438" s="34">
        <f>438</f>
        <v>438</v>
      </c>
      <c r="BH438" s="18">
        <f t="shared" si="377"/>
        <v>0</v>
      </c>
      <c r="BI438" s="18">
        <f t="shared" si="378"/>
        <v>0</v>
      </c>
      <c r="BJ438" s="18">
        <f t="shared" si="379"/>
        <v>0</v>
      </c>
    </row>
    <row r="439" spans="1:62" x14ac:dyDescent="0.2">
      <c r="A439" s="5" t="s">
        <v>400</v>
      </c>
      <c r="B439" s="5" t="s">
        <v>1590</v>
      </c>
      <c r="C439" s="135" t="s">
        <v>2827</v>
      </c>
      <c r="D439" s="136"/>
      <c r="E439" s="136"/>
      <c r="F439" s="136"/>
      <c r="G439" s="136"/>
      <c r="H439" s="5" t="s">
        <v>3614</v>
      </c>
      <c r="I439" s="18">
        <v>197.5</v>
      </c>
      <c r="J439" s="18">
        <v>0</v>
      </c>
      <c r="K439" s="18">
        <f t="shared" si="358"/>
        <v>0</v>
      </c>
      <c r="L439" s="28" t="s">
        <v>3635</v>
      </c>
      <c r="Z439" s="34">
        <f t="shared" si="359"/>
        <v>0</v>
      </c>
      <c r="AB439" s="34">
        <f t="shared" si="360"/>
        <v>0</v>
      </c>
      <c r="AC439" s="34">
        <f t="shared" si="361"/>
        <v>0</v>
      </c>
      <c r="AD439" s="34">
        <f t="shared" si="362"/>
        <v>0</v>
      </c>
      <c r="AE439" s="34">
        <f t="shared" si="363"/>
        <v>0</v>
      </c>
      <c r="AF439" s="34">
        <f t="shared" si="364"/>
        <v>0</v>
      </c>
      <c r="AG439" s="34">
        <f t="shared" si="365"/>
        <v>0</v>
      </c>
      <c r="AH439" s="34">
        <f t="shared" si="366"/>
        <v>0</v>
      </c>
      <c r="AI439" s="27" t="s">
        <v>3645</v>
      </c>
      <c r="AJ439" s="18">
        <f t="shared" si="367"/>
        <v>0</v>
      </c>
      <c r="AK439" s="18">
        <f t="shared" si="368"/>
        <v>0</v>
      </c>
      <c r="AL439" s="18">
        <f t="shared" si="369"/>
        <v>0</v>
      </c>
      <c r="AN439" s="34">
        <v>21</v>
      </c>
      <c r="AO439" s="34">
        <f t="shared" si="370"/>
        <v>0</v>
      </c>
      <c r="AP439" s="34">
        <f t="shared" si="371"/>
        <v>0</v>
      </c>
      <c r="AQ439" s="28" t="s">
        <v>13</v>
      </c>
      <c r="AV439" s="34">
        <f t="shared" si="372"/>
        <v>0</v>
      </c>
      <c r="AW439" s="34">
        <f t="shared" si="373"/>
        <v>0</v>
      </c>
      <c r="AX439" s="34">
        <f t="shared" si="374"/>
        <v>0</v>
      </c>
      <c r="AY439" s="35" t="s">
        <v>3679</v>
      </c>
      <c r="AZ439" s="35" t="s">
        <v>3714</v>
      </c>
      <c r="BA439" s="27" t="s">
        <v>3729</v>
      </c>
      <c r="BC439" s="34">
        <f t="shared" si="375"/>
        <v>0</v>
      </c>
      <c r="BD439" s="34">
        <f t="shared" si="376"/>
        <v>0</v>
      </c>
      <c r="BE439" s="34">
        <v>0</v>
      </c>
      <c r="BF439" s="34">
        <f>439</f>
        <v>439</v>
      </c>
      <c r="BH439" s="18">
        <f t="shared" si="377"/>
        <v>0</v>
      </c>
      <c r="BI439" s="18">
        <f t="shared" si="378"/>
        <v>0</v>
      </c>
      <c r="BJ439" s="18">
        <f t="shared" si="379"/>
        <v>0</v>
      </c>
    </row>
    <row r="440" spans="1:62" x14ac:dyDescent="0.2">
      <c r="A440" s="5" t="s">
        <v>401</v>
      </c>
      <c r="B440" s="5" t="s">
        <v>1591</v>
      </c>
      <c r="C440" s="135" t="s">
        <v>2828</v>
      </c>
      <c r="D440" s="136"/>
      <c r="E440" s="136"/>
      <c r="F440" s="136"/>
      <c r="G440" s="136"/>
      <c r="H440" s="5" t="s">
        <v>3614</v>
      </c>
      <c r="I440" s="18">
        <v>66.5</v>
      </c>
      <c r="J440" s="18">
        <v>0</v>
      </c>
      <c r="K440" s="18">
        <f t="shared" si="358"/>
        <v>0</v>
      </c>
      <c r="L440" s="28" t="s">
        <v>3635</v>
      </c>
      <c r="Z440" s="34">
        <f t="shared" si="359"/>
        <v>0</v>
      </c>
      <c r="AB440" s="34">
        <f t="shared" si="360"/>
        <v>0</v>
      </c>
      <c r="AC440" s="34">
        <f t="shared" si="361"/>
        <v>0</v>
      </c>
      <c r="AD440" s="34">
        <f t="shared" si="362"/>
        <v>0</v>
      </c>
      <c r="AE440" s="34">
        <f t="shared" si="363"/>
        <v>0</v>
      </c>
      <c r="AF440" s="34">
        <f t="shared" si="364"/>
        <v>0</v>
      </c>
      <c r="AG440" s="34">
        <f t="shared" si="365"/>
        <v>0</v>
      </c>
      <c r="AH440" s="34">
        <f t="shared" si="366"/>
        <v>0</v>
      </c>
      <c r="AI440" s="27" t="s">
        <v>3645</v>
      </c>
      <c r="AJ440" s="18">
        <f t="shared" si="367"/>
        <v>0</v>
      </c>
      <c r="AK440" s="18">
        <f t="shared" si="368"/>
        <v>0</v>
      </c>
      <c r="AL440" s="18">
        <f t="shared" si="369"/>
        <v>0</v>
      </c>
      <c r="AN440" s="34">
        <v>21</v>
      </c>
      <c r="AO440" s="34">
        <f t="shared" si="370"/>
        <v>0</v>
      </c>
      <c r="AP440" s="34">
        <f t="shared" si="371"/>
        <v>0</v>
      </c>
      <c r="AQ440" s="28" t="s">
        <v>13</v>
      </c>
      <c r="AV440" s="34">
        <f t="shared" si="372"/>
        <v>0</v>
      </c>
      <c r="AW440" s="34">
        <f t="shared" si="373"/>
        <v>0</v>
      </c>
      <c r="AX440" s="34">
        <f t="shared" si="374"/>
        <v>0</v>
      </c>
      <c r="AY440" s="35" t="s">
        <v>3679</v>
      </c>
      <c r="AZ440" s="35" t="s">
        <v>3714</v>
      </c>
      <c r="BA440" s="27" t="s">
        <v>3729</v>
      </c>
      <c r="BC440" s="34">
        <f t="shared" si="375"/>
        <v>0</v>
      </c>
      <c r="BD440" s="34">
        <f t="shared" si="376"/>
        <v>0</v>
      </c>
      <c r="BE440" s="34">
        <v>0</v>
      </c>
      <c r="BF440" s="34">
        <f>440</f>
        <v>440</v>
      </c>
      <c r="BH440" s="18">
        <f t="shared" si="377"/>
        <v>0</v>
      </c>
      <c r="BI440" s="18">
        <f t="shared" si="378"/>
        <v>0</v>
      </c>
      <c r="BJ440" s="18">
        <f t="shared" si="379"/>
        <v>0</v>
      </c>
    </row>
    <row r="441" spans="1:62" x14ac:dyDescent="0.2">
      <c r="A441" s="5" t="s">
        <v>402</v>
      </c>
      <c r="B441" s="5" t="s">
        <v>1592</v>
      </c>
      <c r="C441" s="135" t="s">
        <v>2829</v>
      </c>
      <c r="D441" s="136"/>
      <c r="E441" s="136"/>
      <c r="F441" s="136"/>
      <c r="G441" s="136"/>
      <c r="H441" s="5" t="s">
        <v>3614</v>
      </c>
      <c r="I441" s="18">
        <v>42</v>
      </c>
      <c r="J441" s="18">
        <v>0</v>
      </c>
      <c r="K441" s="18">
        <f t="shared" si="358"/>
        <v>0</v>
      </c>
      <c r="L441" s="28" t="s">
        <v>3635</v>
      </c>
      <c r="Z441" s="34">
        <f t="shared" si="359"/>
        <v>0</v>
      </c>
      <c r="AB441" s="34">
        <f t="shared" si="360"/>
        <v>0</v>
      </c>
      <c r="AC441" s="34">
        <f t="shared" si="361"/>
        <v>0</v>
      </c>
      <c r="AD441" s="34">
        <f t="shared" si="362"/>
        <v>0</v>
      </c>
      <c r="AE441" s="34">
        <f t="shared" si="363"/>
        <v>0</v>
      </c>
      <c r="AF441" s="34">
        <f t="shared" si="364"/>
        <v>0</v>
      </c>
      <c r="AG441" s="34">
        <f t="shared" si="365"/>
        <v>0</v>
      </c>
      <c r="AH441" s="34">
        <f t="shared" si="366"/>
        <v>0</v>
      </c>
      <c r="AI441" s="27" t="s">
        <v>3645</v>
      </c>
      <c r="AJ441" s="18">
        <f t="shared" si="367"/>
        <v>0</v>
      </c>
      <c r="AK441" s="18">
        <f t="shared" si="368"/>
        <v>0</v>
      </c>
      <c r="AL441" s="18">
        <f t="shared" si="369"/>
        <v>0</v>
      </c>
      <c r="AN441" s="34">
        <v>21</v>
      </c>
      <c r="AO441" s="34">
        <f t="shared" si="370"/>
        <v>0</v>
      </c>
      <c r="AP441" s="34">
        <f t="shared" si="371"/>
        <v>0</v>
      </c>
      <c r="AQ441" s="28" t="s">
        <v>13</v>
      </c>
      <c r="AV441" s="34">
        <f t="shared" si="372"/>
        <v>0</v>
      </c>
      <c r="AW441" s="34">
        <f t="shared" si="373"/>
        <v>0</v>
      </c>
      <c r="AX441" s="34">
        <f t="shared" si="374"/>
        <v>0</v>
      </c>
      <c r="AY441" s="35" t="s">
        <v>3679</v>
      </c>
      <c r="AZ441" s="35" t="s">
        <v>3714</v>
      </c>
      <c r="BA441" s="27" t="s">
        <v>3729</v>
      </c>
      <c r="BC441" s="34">
        <f t="shared" si="375"/>
        <v>0</v>
      </c>
      <c r="BD441" s="34">
        <f t="shared" si="376"/>
        <v>0</v>
      </c>
      <c r="BE441" s="34">
        <v>0</v>
      </c>
      <c r="BF441" s="34">
        <f>441</f>
        <v>441</v>
      </c>
      <c r="BH441" s="18">
        <f t="shared" si="377"/>
        <v>0</v>
      </c>
      <c r="BI441" s="18">
        <f t="shared" si="378"/>
        <v>0</v>
      </c>
      <c r="BJ441" s="18">
        <f t="shared" si="379"/>
        <v>0</v>
      </c>
    </row>
    <row r="442" spans="1:62" x14ac:dyDescent="0.2">
      <c r="A442" s="5" t="s">
        <v>403</v>
      </c>
      <c r="B442" s="5" t="s">
        <v>1593</v>
      </c>
      <c r="C442" s="135" t="s">
        <v>2830</v>
      </c>
      <c r="D442" s="136"/>
      <c r="E442" s="136"/>
      <c r="F442" s="136"/>
      <c r="G442" s="136"/>
      <c r="H442" s="5" t="s">
        <v>3612</v>
      </c>
      <c r="I442" s="18">
        <v>11</v>
      </c>
      <c r="J442" s="18">
        <v>0</v>
      </c>
      <c r="K442" s="18">
        <f t="shared" si="358"/>
        <v>0</v>
      </c>
      <c r="L442" s="28" t="s">
        <v>3635</v>
      </c>
      <c r="Z442" s="34">
        <f t="shared" si="359"/>
        <v>0</v>
      </c>
      <c r="AB442" s="34">
        <f t="shared" si="360"/>
        <v>0</v>
      </c>
      <c r="AC442" s="34">
        <f t="shared" si="361"/>
        <v>0</v>
      </c>
      <c r="AD442" s="34">
        <f t="shared" si="362"/>
        <v>0</v>
      </c>
      <c r="AE442" s="34">
        <f t="shared" si="363"/>
        <v>0</v>
      </c>
      <c r="AF442" s="34">
        <f t="shared" si="364"/>
        <v>0</v>
      </c>
      <c r="AG442" s="34">
        <f t="shared" si="365"/>
        <v>0</v>
      </c>
      <c r="AH442" s="34">
        <f t="shared" si="366"/>
        <v>0</v>
      </c>
      <c r="AI442" s="27" t="s">
        <v>3645</v>
      </c>
      <c r="AJ442" s="18">
        <f t="shared" si="367"/>
        <v>0</v>
      </c>
      <c r="AK442" s="18">
        <f t="shared" si="368"/>
        <v>0</v>
      </c>
      <c r="AL442" s="18">
        <f t="shared" si="369"/>
        <v>0</v>
      </c>
      <c r="AN442" s="34">
        <v>21</v>
      </c>
      <c r="AO442" s="34">
        <f t="shared" si="370"/>
        <v>0</v>
      </c>
      <c r="AP442" s="34">
        <f t="shared" si="371"/>
        <v>0</v>
      </c>
      <c r="AQ442" s="28" t="s">
        <v>13</v>
      </c>
      <c r="AV442" s="34">
        <f t="shared" si="372"/>
        <v>0</v>
      </c>
      <c r="AW442" s="34">
        <f t="shared" si="373"/>
        <v>0</v>
      </c>
      <c r="AX442" s="34">
        <f t="shared" si="374"/>
        <v>0</v>
      </c>
      <c r="AY442" s="35" t="s">
        <v>3679</v>
      </c>
      <c r="AZ442" s="35" t="s">
        <v>3714</v>
      </c>
      <c r="BA442" s="27" t="s">
        <v>3729</v>
      </c>
      <c r="BC442" s="34">
        <f t="shared" si="375"/>
        <v>0</v>
      </c>
      <c r="BD442" s="34">
        <f t="shared" si="376"/>
        <v>0</v>
      </c>
      <c r="BE442" s="34">
        <v>0</v>
      </c>
      <c r="BF442" s="34">
        <f>442</f>
        <v>442</v>
      </c>
      <c r="BH442" s="18">
        <f t="shared" si="377"/>
        <v>0</v>
      </c>
      <c r="BI442" s="18">
        <f t="shared" si="378"/>
        <v>0</v>
      </c>
      <c r="BJ442" s="18">
        <f t="shared" si="379"/>
        <v>0</v>
      </c>
    </row>
    <row r="443" spans="1:62" x14ac:dyDescent="0.2">
      <c r="A443" s="5" t="s">
        <v>404</v>
      </c>
      <c r="B443" s="5" t="s">
        <v>1594</v>
      </c>
      <c r="C443" s="135" t="s">
        <v>2831</v>
      </c>
      <c r="D443" s="136"/>
      <c r="E443" s="136"/>
      <c r="F443" s="136"/>
      <c r="G443" s="136"/>
      <c r="H443" s="5" t="s">
        <v>3612</v>
      </c>
      <c r="I443" s="18">
        <v>12</v>
      </c>
      <c r="J443" s="18">
        <v>0</v>
      </c>
      <c r="K443" s="18">
        <f t="shared" si="358"/>
        <v>0</v>
      </c>
      <c r="L443" s="28" t="s">
        <v>3635</v>
      </c>
      <c r="Z443" s="34">
        <f t="shared" si="359"/>
        <v>0</v>
      </c>
      <c r="AB443" s="34">
        <f t="shared" si="360"/>
        <v>0</v>
      </c>
      <c r="AC443" s="34">
        <f t="shared" si="361"/>
        <v>0</v>
      </c>
      <c r="AD443" s="34">
        <f t="shared" si="362"/>
        <v>0</v>
      </c>
      <c r="AE443" s="34">
        <f t="shared" si="363"/>
        <v>0</v>
      </c>
      <c r="AF443" s="34">
        <f t="shared" si="364"/>
        <v>0</v>
      </c>
      <c r="AG443" s="34">
        <f t="shared" si="365"/>
        <v>0</v>
      </c>
      <c r="AH443" s="34">
        <f t="shared" si="366"/>
        <v>0</v>
      </c>
      <c r="AI443" s="27" t="s">
        <v>3645</v>
      </c>
      <c r="AJ443" s="18">
        <f t="shared" si="367"/>
        <v>0</v>
      </c>
      <c r="AK443" s="18">
        <f t="shared" si="368"/>
        <v>0</v>
      </c>
      <c r="AL443" s="18">
        <f t="shared" si="369"/>
        <v>0</v>
      </c>
      <c r="AN443" s="34">
        <v>21</v>
      </c>
      <c r="AO443" s="34">
        <f t="shared" si="370"/>
        <v>0</v>
      </c>
      <c r="AP443" s="34">
        <f t="shared" si="371"/>
        <v>0</v>
      </c>
      <c r="AQ443" s="28" t="s">
        <v>13</v>
      </c>
      <c r="AV443" s="34">
        <f t="shared" si="372"/>
        <v>0</v>
      </c>
      <c r="AW443" s="34">
        <f t="shared" si="373"/>
        <v>0</v>
      </c>
      <c r="AX443" s="34">
        <f t="shared" si="374"/>
        <v>0</v>
      </c>
      <c r="AY443" s="35" t="s">
        <v>3679</v>
      </c>
      <c r="AZ443" s="35" t="s">
        <v>3714</v>
      </c>
      <c r="BA443" s="27" t="s">
        <v>3729</v>
      </c>
      <c r="BC443" s="34">
        <f t="shared" si="375"/>
        <v>0</v>
      </c>
      <c r="BD443" s="34">
        <f t="shared" si="376"/>
        <v>0</v>
      </c>
      <c r="BE443" s="34">
        <v>0</v>
      </c>
      <c r="BF443" s="34">
        <f>443</f>
        <v>443</v>
      </c>
      <c r="BH443" s="18">
        <f t="shared" si="377"/>
        <v>0</v>
      </c>
      <c r="BI443" s="18">
        <f t="shared" si="378"/>
        <v>0</v>
      </c>
      <c r="BJ443" s="18">
        <f t="shared" si="379"/>
        <v>0</v>
      </c>
    </row>
    <row r="444" spans="1:62" x14ac:dyDescent="0.2">
      <c r="A444" s="5" t="s">
        <v>405</v>
      </c>
      <c r="B444" s="5" t="s">
        <v>1595</v>
      </c>
      <c r="C444" s="135" t="s">
        <v>2832</v>
      </c>
      <c r="D444" s="136"/>
      <c r="E444" s="136"/>
      <c r="F444" s="136"/>
      <c r="G444" s="136"/>
      <c r="H444" s="5" t="s">
        <v>3612</v>
      </c>
      <c r="I444" s="18">
        <v>5</v>
      </c>
      <c r="J444" s="18">
        <v>0</v>
      </c>
      <c r="K444" s="18">
        <f t="shared" si="358"/>
        <v>0</v>
      </c>
      <c r="L444" s="28" t="s">
        <v>3635</v>
      </c>
      <c r="Z444" s="34">
        <f t="shared" si="359"/>
        <v>0</v>
      </c>
      <c r="AB444" s="34">
        <f t="shared" si="360"/>
        <v>0</v>
      </c>
      <c r="AC444" s="34">
        <f t="shared" si="361"/>
        <v>0</v>
      </c>
      <c r="AD444" s="34">
        <f t="shared" si="362"/>
        <v>0</v>
      </c>
      <c r="AE444" s="34">
        <f t="shared" si="363"/>
        <v>0</v>
      </c>
      <c r="AF444" s="34">
        <f t="shared" si="364"/>
        <v>0</v>
      </c>
      <c r="AG444" s="34">
        <f t="shared" si="365"/>
        <v>0</v>
      </c>
      <c r="AH444" s="34">
        <f t="shared" si="366"/>
        <v>0</v>
      </c>
      <c r="AI444" s="27" t="s">
        <v>3645</v>
      </c>
      <c r="AJ444" s="18">
        <f t="shared" si="367"/>
        <v>0</v>
      </c>
      <c r="AK444" s="18">
        <f t="shared" si="368"/>
        <v>0</v>
      </c>
      <c r="AL444" s="18">
        <f t="shared" si="369"/>
        <v>0</v>
      </c>
      <c r="AN444" s="34">
        <v>21</v>
      </c>
      <c r="AO444" s="34">
        <f t="shared" si="370"/>
        <v>0</v>
      </c>
      <c r="AP444" s="34">
        <f t="shared" si="371"/>
        <v>0</v>
      </c>
      <c r="AQ444" s="28" t="s">
        <v>13</v>
      </c>
      <c r="AV444" s="34">
        <f t="shared" si="372"/>
        <v>0</v>
      </c>
      <c r="AW444" s="34">
        <f t="shared" si="373"/>
        <v>0</v>
      </c>
      <c r="AX444" s="34">
        <f t="shared" si="374"/>
        <v>0</v>
      </c>
      <c r="AY444" s="35" t="s">
        <v>3679</v>
      </c>
      <c r="AZ444" s="35" t="s">
        <v>3714</v>
      </c>
      <c r="BA444" s="27" t="s">
        <v>3729</v>
      </c>
      <c r="BC444" s="34">
        <f t="shared" si="375"/>
        <v>0</v>
      </c>
      <c r="BD444" s="34">
        <f t="shared" si="376"/>
        <v>0</v>
      </c>
      <c r="BE444" s="34">
        <v>0</v>
      </c>
      <c r="BF444" s="34">
        <f>444</f>
        <v>444</v>
      </c>
      <c r="BH444" s="18">
        <f t="shared" si="377"/>
        <v>0</v>
      </c>
      <c r="BI444" s="18">
        <f t="shared" si="378"/>
        <v>0</v>
      </c>
      <c r="BJ444" s="18">
        <f t="shared" si="379"/>
        <v>0</v>
      </c>
    </row>
    <row r="445" spans="1:62" x14ac:dyDescent="0.2">
      <c r="A445" s="5" t="s">
        <v>406</v>
      </c>
      <c r="B445" s="5" t="s">
        <v>1596</v>
      </c>
      <c r="C445" s="135" t="s">
        <v>2833</v>
      </c>
      <c r="D445" s="136"/>
      <c r="E445" s="136"/>
      <c r="F445" s="136"/>
      <c r="G445" s="136"/>
      <c r="H445" s="5" t="s">
        <v>3612</v>
      </c>
      <c r="I445" s="18">
        <v>4</v>
      </c>
      <c r="J445" s="18">
        <v>0</v>
      </c>
      <c r="K445" s="18">
        <f t="shared" si="358"/>
        <v>0</v>
      </c>
      <c r="L445" s="28" t="s">
        <v>3635</v>
      </c>
      <c r="Z445" s="34">
        <f t="shared" si="359"/>
        <v>0</v>
      </c>
      <c r="AB445" s="34">
        <f t="shared" si="360"/>
        <v>0</v>
      </c>
      <c r="AC445" s="34">
        <f t="shared" si="361"/>
        <v>0</v>
      </c>
      <c r="AD445" s="34">
        <f t="shared" si="362"/>
        <v>0</v>
      </c>
      <c r="AE445" s="34">
        <f t="shared" si="363"/>
        <v>0</v>
      </c>
      <c r="AF445" s="34">
        <f t="shared" si="364"/>
        <v>0</v>
      </c>
      <c r="AG445" s="34">
        <f t="shared" si="365"/>
        <v>0</v>
      </c>
      <c r="AH445" s="34">
        <f t="shared" si="366"/>
        <v>0</v>
      </c>
      <c r="AI445" s="27" t="s">
        <v>3645</v>
      </c>
      <c r="AJ445" s="18">
        <f t="shared" si="367"/>
        <v>0</v>
      </c>
      <c r="AK445" s="18">
        <f t="shared" si="368"/>
        <v>0</v>
      </c>
      <c r="AL445" s="18">
        <f t="shared" si="369"/>
        <v>0</v>
      </c>
      <c r="AN445" s="34">
        <v>21</v>
      </c>
      <c r="AO445" s="34">
        <f t="shared" si="370"/>
        <v>0</v>
      </c>
      <c r="AP445" s="34">
        <f t="shared" si="371"/>
        <v>0</v>
      </c>
      <c r="AQ445" s="28" t="s">
        <v>13</v>
      </c>
      <c r="AV445" s="34">
        <f t="shared" si="372"/>
        <v>0</v>
      </c>
      <c r="AW445" s="34">
        <f t="shared" si="373"/>
        <v>0</v>
      </c>
      <c r="AX445" s="34">
        <f t="shared" si="374"/>
        <v>0</v>
      </c>
      <c r="AY445" s="35" t="s">
        <v>3679</v>
      </c>
      <c r="AZ445" s="35" t="s">
        <v>3714</v>
      </c>
      <c r="BA445" s="27" t="s">
        <v>3729</v>
      </c>
      <c r="BC445" s="34">
        <f t="shared" si="375"/>
        <v>0</v>
      </c>
      <c r="BD445" s="34">
        <f t="shared" si="376"/>
        <v>0</v>
      </c>
      <c r="BE445" s="34">
        <v>0</v>
      </c>
      <c r="BF445" s="34">
        <f>445</f>
        <v>445</v>
      </c>
      <c r="BH445" s="18">
        <f t="shared" si="377"/>
        <v>0</v>
      </c>
      <c r="BI445" s="18">
        <f t="shared" si="378"/>
        <v>0</v>
      </c>
      <c r="BJ445" s="18">
        <f t="shared" si="379"/>
        <v>0</v>
      </c>
    </row>
    <row r="446" spans="1:62" x14ac:dyDescent="0.2">
      <c r="A446" s="5" t="s">
        <v>407</v>
      </c>
      <c r="B446" s="5" t="s">
        <v>1597</v>
      </c>
      <c r="C446" s="135" t="s">
        <v>2834</v>
      </c>
      <c r="D446" s="136"/>
      <c r="E446" s="136"/>
      <c r="F446" s="136"/>
      <c r="G446" s="136"/>
      <c r="H446" s="5" t="s">
        <v>3612</v>
      </c>
      <c r="I446" s="18">
        <v>1</v>
      </c>
      <c r="J446" s="18">
        <v>0</v>
      </c>
      <c r="K446" s="18">
        <f t="shared" si="358"/>
        <v>0</v>
      </c>
      <c r="L446" s="28" t="s">
        <v>3635</v>
      </c>
      <c r="Z446" s="34">
        <f t="shared" si="359"/>
        <v>0</v>
      </c>
      <c r="AB446" s="34">
        <f t="shared" si="360"/>
        <v>0</v>
      </c>
      <c r="AC446" s="34">
        <f t="shared" si="361"/>
        <v>0</v>
      </c>
      <c r="AD446" s="34">
        <f t="shared" si="362"/>
        <v>0</v>
      </c>
      <c r="AE446" s="34">
        <f t="shared" si="363"/>
        <v>0</v>
      </c>
      <c r="AF446" s="34">
        <f t="shared" si="364"/>
        <v>0</v>
      </c>
      <c r="AG446" s="34">
        <f t="shared" si="365"/>
        <v>0</v>
      </c>
      <c r="AH446" s="34">
        <f t="shared" si="366"/>
        <v>0</v>
      </c>
      <c r="AI446" s="27" t="s">
        <v>3645</v>
      </c>
      <c r="AJ446" s="18">
        <f t="shared" si="367"/>
        <v>0</v>
      </c>
      <c r="AK446" s="18">
        <f t="shared" si="368"/>
        <v>0</v>
      </c>
      <c r="AL446" s="18">
        <f t="shared" si="369"/>
        <v>0</v>
      </c>
      <c r="AN446" s="34">
        <v>21</v>
      </c>
      <c r="AO446" s="34">
        <f t="shared" si="370"/>
        <v>0</v>
      </c>
      <c r="AP446" s="34">
        <f t="shared" si="371"/>
        <v>0</v>
      </c>
      <c r="AQ446" s="28" t="s">
        <v>13</v>
      </c>
      <c r="AV446" s="34">
        <f t="shared" si="372"/>
        <v>0</v>
      </c>
      <c r="AW446" s="34">
        <f t="shared" si="373"/>
        <v>0</v>
      </c>
      <c r="AX446" s="34">
        <f t="shared" si="374"/>
        <v>0</v>
      </c>
      <c r="AY446" s="35" t="s">
        <v>3679</v>
      </c>
      <c r="AZ446" s="35" t="s">
        <v>3714</v>
      </c>
      <c r="BA446" s="27" t="s">
        <v>3729</v>
      </c>
      <c r="BC446" s="34">
        <f t="shared" si="375"/>
        <v>0</v>
      </c>
      <c r="BD446" s="34">
        <f t="shared" si="376"/>
        <v>0</v>
      </c>
      <c r="BE446" s="34">
        <v>0</v>
      </c>
      <c r="BF446" s="34">
        <f>446</f>
        <v>446</v>
      </c>
      <c r="BH446" s="18">
        <f t="shared" si="377"/>
        <v>0</v>
      </c>
      <c r="BI446" s="18">
        <f t="shared" si="378"/>
        <v>0</v>
      </c>
      <c r="BJ446" s="18">
        <f t="shared" si="379"/>
        <v>0</v>
      </c>
    </row>
    <row r="447" spans="1:62" x14ac:dyDescent="0.2">
      <c r="A447" s="5" t="s">
        <v>408</v>
      </c>
      <c r="B447" s="5" t="s">
        <v>1598</v>
      </c>
      <c r="C447" s="135" t="s">
        <v>2835</v>
      </c>
      <c r="D447" s="136"/>
      <c r="E447" s="136"/>
      <c r="F447" s="136"/>
      <c r="G447" s="136"/>
      <c r="H447" s="5" t="s">
        <v>3612</v>
      </c>
      <c r="I447" s="18">
        <v>3</v>
      </c>
      <c r="J447" s="18">
        <v>0</v>
      </c>
      <c r="K447" s="18">
        <f t="shared" ref="K447:K478" si="380">I447*J447</f>
        <v>0</v>
      </c>
      <c r="L447" s="28" t="s">
        <v>3635</v>
      </c>
      <c r="Z447" s="34">
        <f t="shared" ref="Z447:Z478" si="381">IF(AQ447="5",BJ447,0)</f>
        <v>0</v>
      </c>
      <c r="AB447" s="34">
        <f t="shared" ref="AB447:AB478" si="382">IF(AQ447="1",BH447,0)</f>
        <v>0</v>
      </c>
      <c r="AC447" s="34">
        <f t="shared" ref="AC447:AC478" si="383">IF(AQ447="1",BI447,0)</f>
        <v>0</v>
      </c>
      <c r="AD447" s="34">
        <f t="shared" ref="AD447:AD478" si="384">IF(AQ447="7",BH447,0)</f>
        <v>0</v>
      </c>
      <c r="AE447" s="34">
        <f t="shared" ref="AE447:AE478" si="385">IF(AQ447="7",BI447,0)</f>
        <v>0</v>
      </c>
      <c r="AF447" s="34">
        <f t="shared" ref="AF447:AF478" si="386">IF(AQ447="2",BH447,0)</f>
        <v>0</v>
      </c>
      <c r="AG447" s="34">
        <f t="shared" ref="AG447:AG478" si="387">IF(AQ447="2",BI447,0)</f>
        <v>0</v>
      </c>
      <c r="AH447" s="34">
        <f t="shared" ref="AH447:AH478" si="388">IF(AQ447="0",BJ447,0)</f>
        <v>0</v>
      </c>
      <c r="AI447" s="27" t="s">
        <v>3645</v>
      </c>
      <c r="AJ447" s="18">
        <f t="shared" ref="AJ447:AJ478" si="389">IF(AN447=0,K447,0)</f>
        <v>0</v>
      </c>
      <c r="AK447" s="18">
        <f t="shared" ref="AK447:AK478" si="390">IF(AN447=15,K447,0)</f>
        <v>0</v>
      </c>
      <c r="AL447" s="18">
        <f t="shared" ref="AL447:AL478" si="391">IF(AN447=21,K447,0)</f>
        <v>0</v>
      </c>
      <c r="AN447" s="34">
        <v>21</v>
      </c>
      <c r="AO447" s="34">
        <f t="shared" ref="AO447:AO478" si="392">J447*0</f>
        <v>0</v>
      </c>
      <c r="AP447" s="34">
        <f t="shared" ref="AP447:AP478" si="393">J447*(1-0)</f>
        <v>0</v>
      </c>
      <c r="AQ447" s="28" t="s">
        <v>13</v>
      </c>
      <c r="AV447" s="34">
        <f t="shared" ref="AV447:AV478" si="394">AW447+AX447</f>
        <v>0</v>
      </c>
      <c r="AW447" s="34">
        <f t="shared" ref="AW447:AW478" si="395">I447*AO447</f>
        <v>0</v>
      </c>
      <c r="AX447" s="34">
        <f t="shared" ref="AX447:AX478" si="396">I447*AP447</f>
        <v>0</v>
      </c>
      <c r="AY447" s="35" t="s">
        <v>3679</v>
      </c>
      <c r="AZ447" s="35" t="s">
        <v>3714</v>
      </c>
      <c r="BA447" s="27" t="s">
        <v>3729</v>
      </c>
      <c r="BC447" s="34">
        <f t="shared" ref="BC447:BC478" si="397">AW447+AX447</f>
        <v>0</v>
      </c>
      <c r="BD447" s="34">
        <f t="shared" ref="BD447:BD478" si="398">J447/(100-BE447)*100</f>
        <v>0</v>
      </c>
      <c r="BE447" s="34">
        <v>0</v>
      </c>
      <c r="BF447" s="34">
        <f>447</f>
        <v>447</v>
      </c>
      <c r="BH447" s="18">
        <f t="shared" ref="BH447:BH478" si="399">I447*AO447</f>
        <v>0</v>
      </c>
      <c r="BI447" s="18">
        <f t="shared" ref="BI447:BI478" si="400">I447*AP447</f>
        <v>0</v>
      </c>
      <c r="BJ447" s="18">
        <f t="shared" ref="BJ447:BJ478" si="401">I447*J447</f>
        <v>0</v>
      </c>
    </row>
    <row r="448" spans="1:62" x14ac:dyDescent="0.2">
      <c r="A448" s="5" t="s">
        <v>409</v>
      </c>
      <c r="B448" s="5" t="s">
        <v>1599</v>
      </c>
      <c r="C448" s="135" t="s">
        <v>2836</v>
      </c>
      <c r="D448" s="136"/>
      <c r="E448" s="136"/>
      <c r="F448" s="136"/>
      <c r="G448" s="136"/>
      <c r="H448" s="5" t="s">
        <v>3612</v>
      </c>
      <c r="I448" s="18">
        <v>1</v>
      </c>
      <c r="J448" s="18">
        <v>0</v>
      </c>
      <c r="K448" s="18">
        <f t="shared" si="380"/>
        <v>0</v>
      </c>
      <c r="L448" s="28" t="s">
        <v>3635</v>
      </c>
      <c r="Z448" s="34">
        <f t="shared" si="381"/>
        <v>0</v>
      </c>
      <c r="AB448" s="34">
        <f t="shared" si="382"/>
        <v>0</v>
      </c>
      <c r="AC448" s="34">
        <f t="shared" si="383"/>
        <v>0</v>
      </c>
      <c r="AD448" s="34">
        <f t="shared" si="384"/>
        <v>0</v>
      </c>
      <c r="AE448" s="34">
        <f t="shared" si="385"/>
        <v>0</v>
      </c>
      <c r="AF448" s="34">
        <f t="shared" si="386"/>
        <v>0</v>
      </c>
      <c r="AG448" s="34">
        <f t="shared" si="387"/>
        <v>0</v>
      </c>
      <c r="AH448" s="34">
        <f t="shared" si="388"/>
        <v>0</v>
      </c>
      <c r="AI448" s="27" t="s">
        <v>3645</v>
      </c>
      <c r="AJ448" s="18">
        <f t="shared" si="389"/>
        <v>0</v>
      </c>
      <c r="AK448" s="18">
        <f t="shared" si="390"/>
        <v>0</v>
      </c>
      <c r="AL448" s="18">
        <f t="shared" si="391"/>
        <v>0</v>
      </c>
      <c r="AN448" s="34">
        <v>21</v>
      </c>
      <c r="AO448" s="34">
        <f t="shared" si="392"/>
        <v>0</v>
      </c>
      <c r="AP448" s="34">
        <f t="shared" si="393"/>
        <v>0</v>
      </c>
      <c r="AQ448" s="28" t="s">
        <v>13</v>
      </c>
      <c r="AV448" s="34">
        <f t="shared" si="394"/>
        <v>0</v>
      </c>
      <c r="AW448" s="34">
        <f t="shared" si="395"/>
        <v>0</v>
      </c>
      <c r="AX448" s="34">
        <f t="shared" si="396"/>
        <v>0</v>
      </c>
      <c r="AY448" s="35" t="s">
        <v>3679</v>
      </c>
      <c r="AZ448" s="35" t="s">
        <v>3714</v>
      </c>
      <c r="BA448" s="27" t="s">
        <v>3729</v>
      </c>
      <c r="BC448" s="34">
        <f t="shared" si="397"/>
        <v>0</v>
      </c>
      <c r="BD448" s="34">
        <f t="shared" si="398"/>
        <v>0</v>
      </c>
      <c r="BE448" s="34">
        <v>0</v>
      </c>
      <c r="BF448" s="34">
        <f>448</f>
        <v>448</v>
      </c>
      <c r="BH448" s="18">
        <f t="shared" si="399"/>
        <v>0</v>
      </c>
      <c r="BI448" s="18">
        <f t="shared" si="400"/>
        <v>0</v>
      </c>
      <c r="BJ448" s="18">
        <f t="shared" si="401"/>
        <v>0</v>
      </c>
    </row>
    <row r="449" spans="1:62" x14ac:dyDescent="0.2">
      <c r="A449" s="5" t="s">
        <v>410</v>
      </c>
      <c r="B449" s="5" t="s">
        <v>1600</v>
      </c>
      <c r="C449" s="135" t="s">
        <v>2837</v>
      </c>
      <c r="D449" s="136"/>
      <c r="E449" s="136"/>
      <c r="F449" s="136"/>
      <c r="G449" s="136"/>
      <c r="H449" s="5" t="s">
        <v>3612</v>
      </c>
      <c r="I449" s="18">
        <v>1</v>
      </c>
      <c r="J449" s="18">
        <v>0</v>
      </c>
      <c r="K449" s="18">
        <f t="shared" si="380"/>
        <v>0</v>
      </c>
      <c r="L449" s="28" t="s">
        <v>3635</v>
      </c>
      <c r="Z449" s="34">
        <f t="shared" si="381"/>
        <v>0</v>
      </c>
      <c r="AB449" s="34">
        <f t="shared" si="382"/>
        <v>0</v>
      </c>
      <c r="AC449" s="34">
        <f t="shared" si="383"/>
        <v>0</v>
      </c>
      <c r="AD449" s="34">
        <f t="shared" si="384"/>
        <v>0</v>
      </c>
      <c r="AE449" s="34">
        <f t="shared" si="385"/>
        <v>0</v>
      </c>
      <c r="AF449" s="34">
        <f t="shared" si="386"/>
        <v>0</v>
      </c>
      <c r="AG449" s="34">
        <f t="shared" si="387"/>
        <v>0</v>
      </c>
      <c r="AH449" s="34">
        <f t="shared" si="388"/>
        <v>0</v>
      </c>
      <c r="AI449" s="27" t="s">
        <v>3645</v>
      </c>
      <c r="AJ449" s="18">
        <f t="shared" si="389"/>
        <v>0</v>
      </c>
      <c r="AK449" s="18">
        <f t="shared" si="390"/>
        <v>0</v>
      </c>
      <c r="AL449" s="18">
        <f t="shared" si="391"/>
        <v>0</v>
      </c>
      <c r="AN449" s="34">
        <v>21</v>
      </c>
      <c r="AO449" s="34">
        <f t="shared" si="392"/>
        <v>0</v>
      </c>
      <c r="AP449" s="34">
        <f t="shared" si="393"/>
        <v>0</v>
      </c>
      <c r="AQ449" s="28" t="s">
        <v>13</v>
      </c>
      <c r="AV449" s="34">
        <f t="shared" si="394"/>
        <v>0</v>
      </c>
      <c r="AW449" s="34">
        <f t="shared" si="395"/>
        <v>0</v>
      </c>
      <c r="AX449" s="34">
        <f t="shared" si="396"/>
        <v>0</v>
      </c>
      <c r="AY449" s="35" t="s">
        <v>3679</v>
      </c>
      <c r="AZ449" s="35" t="s">
        <v>3714</v>
      </c>
      <c r="BA449" s="27" t="s">
        <v>3729</v>
      </c>
      <c r="BC449" s="34">
        <f t="shared" si="397"/>
        <v>0</v>
      </c>
      <c r="BD449" s="34">
        <f t="shared" si="398"/>
        <v>0</v>
      </c>
      <c r="BE449" s="34">
        <v>0</v>
      </c>
      <c r="BF449" s="34">
        <f>449</f>
        <v>449</v>
      </c>
      <c r="BH449" s="18">
        <f t="shared" si="399"/>
        <v>0</v>
      </c>
      <c r="BI449" s="18">
        <f t="shared" si="400"/>
        <v>0</v>
      </c>
      <c r="BJ449" s="18">
        <f t="shared" si="401"/>
        <v>0</v>
      </c>
    </row>
    <row r="450" spans="1:62" x14ac:dyDescent="0.2">
      <c r="A450" s="5" t="s">
        <v>411</v>
      </c>
      <c r="B450" s="5" t="s">
        <v>1601</v>
      </c>
      <c r="C450" s="135" t="s">
        <v>2838</v>
      </c>
      <c r="D450" s="136"/>
      <c r="E450" s="136"/>
      <c r="F450" s="136"/>
      <c r="G450" s="136"/>
      <c r="H450" s="5" t="s">
        <v>3612</v>
      </c>
      <c r="I450" s="18">
        <v>4</v>
      </c>
      <c r="J450" s="18">
        <v>0</v>
      </c>
      <c r="K450" s="18">
        <f t="shared" si="380"/>
        <v>0</v>
      </c>
      <c r="L450" s="28" t="s">
        <v>3635</v>
      </c>
      <c r="Z450" s="34">
        <f t="shared" si="381"/>
        <v>0</v>
      </c>
      <c r="AB450" s="34">
        <f t="shared" si="382"/>
        <v>0</v>
      </c>
      <c r="AC450" s="34">
        <f t="shared" si="383"/>
        <v>0</v>
      </c>
      <c r="AD450" s="34">
        <f t="shared" si="384"/>
        <v>0</v>
      </c>
      <c r="AE450" s="34">
        <f t="shared" si="385"/>
        <v>0</v>
      </c>
      <c r="AF450" s="34">
        <f t="shared" si="386"/>
        <v>0</v>
      </c>
      <c r="AG450" s="34">
        <f t="shared" si="387"/>
        <v>0</v>
      </c>
      <c r="AH450" s="34">
        <f t="shared" si="388"/>
        <v>0</v>
      </c>
      <c r="AI450" s="27" t="s">
        <v>3645</v>
      </c>
      <c r="AJ450" s="18">
        <f t="shared" si="389"/>
        <v>0</v>
      </c>
      <c r="AK450" s="18">
        <f t="shared" si="390"/>
        <v>0</v>
      </c>
      <c r="AL450" s="18">
        <f t="shared" si="391"/>
        <v>0</v>
      </c>
      <c r="AN450" s="34">
        <v>21</v>
      </c>
      <c r="AO450" s="34">
        <f t="shared" si="392"/>
        <v>0</v>
      </c>
      <c r="AP450" s="34">
        <f t="shared" si="393"/>
        <v>0</v>
      </c>
      <c r="AQ450" s="28" t="s">
        <v>13</v>
      </c>
      <c r="AV450" s="34">
        <f t="shared" si="394"/>
        <v>0</v>
      </c>
      <c r="AW450" s="34">
        <f t="shared" si="395"/>
        <v>0</v>
      </c>
      <c r="AX450" s="34">
        <f t="shared" si="396"/>
        <v>0</v>
      </c>
      <c r="AY450" s="35" t="s">
        <v>3679</v>
      </c>
      <c r="AZ450" s="35" t="s">
        <v>3714</v>
      </c>
      <c r="BA450" s="27" t="s">
        <v>3729</v>
      </c>
      <c r="BC450" s="34">
        <f t="shared" si="397"/>
        <v>0</v>
      </c>
      <c r="BD450" s="34">
        <f t="shared" si="398"/>
        <v>0</v>
      </c>
      <c r="BE450" s="34">
        <v>0</v>
      </c>
      <c r="BF450" s="34">
        <f>450</f>
        <v>450</v>
      </c>
      <c r="BH450" s="18">
        <f t="shared" si="399"/>
        <v>0</v>
      </c>
      <c r="BI450" s="18">
        <f t="shared" si="400"/>
        <v>0</v>
      </c>
      <c r="BJ450" s="18">
        <f t="shared" si="401"/>
        <v>0</v>
      </c>
    </row>
    <row r="451" spans="1:62" x14ac:dyDescent="0.2">
      <c r="A451" s="5" t="s">
        <v>412</v>
      </c>
      <c r="B451" s="5" t="s">
        <v>1602</v>
      </c>
      <c r="C451" s="135" t="s">
        <v>2839</v>
      </c>
      <c r="D451" s="136"/>
      <c r="E451" s="136"/>
      <c r="F451" s="136"/>
      <c r="G451" s="136"/>
      <c r="H451" s="5" t="s">
        <v>3612</v>
      </c>
      <c r="I451" s="18">
        <v>4</v>
      </c>
      <c r="J451" s="18">
        <v>0</v>
      </c>
      <c r="K451" s="18">
        <f t="shared" si="380"/>
        <v>0</v>
      </c>
      <c r="L451" s="28" t="s">
        <v>3635</v>
      </c>
      <c r="Z451" s="34">
        <f t="shared" si="381"/>
        <v>0</v>
      </c>
      <c r="AB451" s="34">
        <f t="shared" si="382"/>
        <v>0</v>
      </c>
      <c r="AC451" s="34">
        <f t="shared" si="383"/>
        <v>0</v>
      </c>
      <c r="AD451" s="34">
        <f t="shared" si="384"/>
        <v>0</v>
      </c>
      <c r="AE451" s="34">
        <f t="shared" si="385"/>
        <v>0</v>
      </c>
      <c r="AF451" s="34">
        <f t="shared" si="386"/>
        <v>0</v>
      </c>
      <c r="AG451" s="34">
        <f t="shared" si="387"/>
        <v>0</v>
      </c>
      <c r="AH451" s="34">
        <f t="shared" si="388"/>
        <v>0</v>
      </c>
      <c r="AI451" s="27" t="s">
        <v>3645</v>
      </c>
      <c r="AJ451" s="18">
        <f t="shared" si="389"/>
        <v>0</v>
      </c>
      <c r="AK451" s="18">
        <f t="shared" si="390"/>
        <v>0</v>
      </c>
      <c r="AL451" s="18">
        <f t="shared" si="391"/>
        <v>0</v>
      </c>
      <c r="AN451" s="34">
        <v>21</v>
      </c>
      <c r="AO451" s="34">
        <f t="shared" si="392"/>
        <v>0</v>
      </c>
      <c r="AP451" s="34">
        <f t="shared" si="393"/>
        <v>0</v>
      </c>
      <c r="AQ451" s="28" t="s">
        <v>13</v>
      </c>
      <c r="AV451" s="34">
        <f t="shared" si="394"/>
        <v>0</v>
      </c>
      <c r="AW451" s="34">
        <f t="shared" si="395"/>
        <v>0</v>
      </c>
      <c r="AX451" s="34">
        <f t="shared" si="396"/>
        <v>0</v>
      </c>
      <c r="AY451" s="35" t="s">
        <v>3679</v>
      </c>
      <c r="AZ451" s="35" t="s">
        <v>3714</v>
      </c>
      <c r="BA451" s="27" t="s">
        <v>3729</v>
      </c>
      <c r="BC451" s="34">
        <f t="shared" si="397"/>
        <v>0</v>
      </c>
      <c r="BD451" s="34">
        <f t="shared" si="398"/>
        <v>0</v>
      </c>
      <c r="BE451" s="34">
        <v>0</v>
      </c>
      <c r="BF451" s="34">
        <f>451</f>
        <v>451</v>
      </c>
      <c r="BH451" s="18">
        <f t="shared" si="399"/>
        <v>0</v>
      </c>
      <c r="BI451" s="18">
        <f t="shared" si="400"/>
        <v>0</v>
      </c>
      <c r="BJ451" s="18">
        <f t="shared" si="401"/>
        <v>0</v>
      </c>
    </row>
    <row r="452" spans="1:62" x14ac:dyDescent="0.2">
      <c r="A452" s="5" t="s">
        <v>413</v>
      </c>
      <c r="B452" s="5" t="s">
        <v>1603</v>
      </c>
      <c r="C452" s="135" t="s">
        <v>2840</v>
      </c>
      <c r="D452" s="136"/>
      <c r="E452" s="136"/>
      <c r="F452" s="136"/>
      <c r="G452" s="136"/>
      <c r="H452" s="5" t="s">
        <v>3612</v>
      </c>
      <c r="I452" s="18">
        <v>2</v>
      </c>
      <c r="J452" s="18">
        <v>0</v>
      </c>
      <c r="K452" s="18">
        <f t="shared" si="380"/>
        <v>0</v>
      </c>
      <c r="L452" s="28" t="s">
        <v>3635</v>
      </c>
      <c r="Z452" s="34">
        <f t="shared" si="381"/>
        <v>0</v>
      </c>
      <c r="AB452" s="34">
        <f t="shared" si="382"/>
        <v>0</v>
      </c>
      <c r="AC452" s="34">
        <f t="shared" si="383"/>
        <v>0</v>
      </c>
      <c r="AD452" s="34">
        <f t="shared" si="384"/>
        <v>0</v>
      </c>
      <c r="AE452" s="34">
        <f t="shared" si="385"/>
        <v>0</v>
      </c>
      <c r="AF452" s="34">
        <f t="shared" si="386"/>
        <v>0</v>
      </c>
      <c r="AG452" s="34">
        <f t="shared" si="387"/>
        <v>0</v>
      </c>
      <c r="AH452" s="34">
        <f t="shared" si="388"/>
        <v>0</v>
      </c>
      <c r="AI452" s="27" t="s">
        <v>3645</v>
      </c>
      <c r="AJ452" s="18">
        <f t="shared" si="389"/>
        <v>0</v>
      </c>
      <c r="AK452" s="18">
        <f t="shared" si="390"/>
        <v>0</v>
      </c>
      <c r="AL452" s="18">
        <f t="shared" si="391"/>
        <v>0</v>
      </c>
      <c r="AN452" s="34">
        <v>21</v>
      </c>
      <c r="AO452" s="34">
        <f t="shared" si="392"/>
        <v>0</v>
      </c>
      <c r="AP452" s="34">
        <f t="shared" si="393"/>
        <v>0</v>
      </c>
      <c r="AQ452" s="28" t="s">
        <v>13</v>
      </c>
      <c r="AV452" s="34">
        <f t="shared" si="394"/>
        <v>0</v>
      </c>
      <c r="AW452" s="34">
        <f t="shared" si="395"/>
        <v>0</v>
      </c>
      <c r="AX452" s="34">
        <f t="shared" si="396"/>
        <v>0</v>
      </c>
      <c r="AY452" s="35" t="s">
        <v>3679</v>
      </c>
      <c r="AZ452" s="35" t="s">
        <v>3714</v>
      </c>
      <c r="BA452" s="27" t="s">
        <v>3729</v>
      </c>
      <c r="BC452" s="34">
        <f t="shared" si="397"/>
        <v>0</v>
      </c>
      <c r="BD452" s="34">
        <f t="shared" si="398"/>
        <v>0</v>
      </c>
      <c r="BE452" s="34">
        <v>0</v>
      </c>
      <c r="BF452" s="34">
        <f>452</f>
        <v>452</v>
      </c>
      <c r="BH452" s="18">
        <f t="shared" si="399"/>
        <v>0</v>
      </c>
      <c r="BI452" s="18">
        <f t="shared" si="400"/>
        <v>0</v>
      </c>
      <c r="BJ452" s="18">
        <f t="shared" si="401"/>
        <v>0</v>
      </c>
    </row>
    <row r="453" spans="1:62" x14ac:dyDescent="0.2">
      <c r="A453" s="5" t="s">
        <v>414</v>
      </c>
      <c r="B453" s="5" t="s">
        <v>1604</v>
      </c>
      <c r="C453" s="135" t="s">
        <v>2841</v>
      </c>
      <c r="D453" s="136"/>
      <c r="E453" s="136"/>
      <c r="F453" s="136"/>
      <c r="G453" s="136"/>
      <c r="H453" s="5" t="s">
        <v>3612</v>
      </c>
      <c r="I453" s="18">
        <v>10</v>
      </c>
      <c r="J453" s="18">
        <v>0</v>
      </c>
      <c r="K453" s="18">
        <f t="shared" si="380"/>
        <v>0</v>
      </c>
      <c r="L453" s="28" t="s">
        <v>3635</v>
      </c>
      <c r="Z453" s="34">
        <f t="shared" si="381"/>
        <v>0</v>
      </c>
      <c r="AB453" s="34">
        <f t="shared" si="382"/>
        <v>0</v>
      </c>
      <c r="AC453" s="34">
        <f t="shared" si="383"/>
        <v>0</v>
      </c>
      <c r="AD453" s="34">
        <f t="shared" si="384"/>
        <v>0</v>
      </c>
      <c r="AE453" s="34">
        <f t="shared" si="385"/>
        <v>0</v>
      </c>
      <c r="AF453" s="34">
        <f t="shared" si="386"/>
        <v>0</v>
      </c>
      <c r="AG453" s="34">
        <f t="shared" si="387"/>
        <v>0</v>
      </c>
      <c r="AH453" s="34">
        <f t="shared" si="388"/>
        <v>0</v>
      </c>
      <c r="AI453" s="27" t="s">
        <v>3645</v>
      </c>
      <c r="AJ453" s="18">
        <f t="shared" si="389"/>
        <v>0</v>
      </c>
      <c r="AK453" s="18">
        <f t="shared" si="390"/>
        <v>0</v>
      </c>
      <c r="AL453" s="18">
        <f t="shared" si="391"/>
        <v>0</v>
      </c>
      <c r="AN453" s="34">
        <v>21</v>
      </c>
      <c r="AO453" s="34">
        <f t="shared" si="392"/>
        <v>0</v>
      </c>
      <c r="AP453" s="34">
        <f t="shared" si="393"/>
        <v>0</v>
      </c>
      <c r="AQ453" s="28" t="s">
        <v>13</v>
      </c>
      <c r="AV453" s="34">
        <f t="shared" si="394"/>
        <v>0</v>
      </c>
      <c r="AW453" s="34">
        <f t="shared" si="395"/>
        <v>0</v>
      </c>
      <c r="AX453" s="34">
        <f t="shared" si="396"/>
        <v>0</v>
      </c>
      <c r="AY453" s="35" t="s">
        <v>3679</v>
      </c>
      <c r="AZ453" s="35" t="s">
        <v>3714</v>
      </c>
      <c r="BA453" s="27" t="s">
        <v>3729</v>
      </c>
      <c r="BC453" s="34">
        <f t="shared" si="397"/>
        <v>0</v>
      </c>
      <c r="BD453" s="34">
        <f t="shared" si="398"/>
        <v>0</v>
      </c>
      <c r="BE453" s="34">
        <v>0</v>
      </c>
      <c r="BF453" s="34">
        <f>453</f>
        <v>453</v>
      </c>
      <c r="BH453" s="18">
        <f t="shared" si="399"/>
        <v>0</v>
      </c>
      <c r="BI453" s="18">
        <f t="shared" si="400"/>
        <v>0</v>
      </c>
      <c r="BJ453" s="18">
        <f t="shared" si="401"/>
        <v>0</v>
      </c>
    </row>
    <row r="454" spans="1:62" x14ac:dyDescent="0.2">
      <c r="A454" s="5" t="s">
        <v>415</v>
      </c>
      <c r="B454" s="5" t="s">
        <v>1605</v>
      </c>
      <c r="C454" s="135" t="s">
        <v>2842</v>
      </c>
      <c r="D454" s="136"/>
      <c r="E454" s="136"/>
      <c r="F454" s="136"/>
      <c r="G454" s="136"/>
      <c r="H454" s="5" t="s">
        <v>3612</v>
      </c>
      <c r="I454" s="18">
        <v>10</v>
      </c>
      <c r="J454" s="18">
        <v>0</v>
      </c>
      <c r="K454" s="18">
        <f t="shared" si="380"/>
        <v>0</v>
      </c>
      <c r="L454" s="28" t="s">
        <v>3635</v>
      </c>
      <c r="Z454" s="34">
        <f t="shared" si="381"/>
        <v>0</v>
      </c>
      <c r="AB454" s="34">
        <f t="shared" si="382"/>
        <v>0</v>
      </c>
      <c r="AC454" s="34">
        <f t="shared" si="383"/>
        <v>0</v>
      </c>
      <c r="AD454" s="34">
        <f t="shared" si="384"/>
        <v>0</v>
      </c>
      <c r="AE454" s="34">
        <f t="shared" si="385"/>
        <v>0</v>
      </c>
      <c r="AF454" s="34">
        <f t="shared" si="386"/>
        <v>0</v>
      </c>
      <c r="AG454" s="34">
        <f t="shared" si="387"/>
        <v>0</v>
      </c>
      <c r="AH454" s="34">
        <f t="shared" si="388"/>
        <v>0</v>
      </c>
      <c r="AI454" s="27" t="s">
        <v>3645</v>
      </c>
      <c r="AJ454" s="18">
        <f t="shared" si="389"/>
        <v>0</v>
      </c>
      <c r="AK454" s="18">
        <f t="shared" si="390"/>
        <v>0</v>
      </c>
      <c r="AL454" s="18">
        <f t="shared" si="391"/>
        <v>0</v>
      </c>
      <c r="AN454" s="34">
        <v>21</v>
      </c>
      <c r="AO454" s="34">
        <f t="shared" si="392"/>
        <v>0</v>
      </c>
      <c r="AP454" s="34">
        <f t="shared" si="393"/>
        <v>0</v>
      </c>
      <c r="AQ454" s="28" t="s">
        <v>13</v>
      </c>
      <c r="AV454" s="34">
        <f t="shared" si="394"/>
        <v>0</v>
      </c>
      <c r="AW454" s="34">
        <f t="shared" si="395"/>
        <v>0</v>
      </c>
      <c r="AX454" s="34">
        <f t="shared" si="396"/>
        <v>0</v>
      </c>
      <c r="AY454" s="35" t="s">
        <v>3679</v>
      </c>
      <c r="AZ454" s="35" t="s">
        <v>3714</v>
      </c>
      <c r="BA454" s="27" t="s">
        <v>3729</v>
      </c>
      <c r="BC454" s="34">
        <f t="shared" si="397"/>
        <v>0</v>
      </c>
      <c r="BD454" s="34">
        <f t="shared" si="398"/>
        <v>0</v>
      </c>
      <c r="BE454" s="34">
        <v>0</v>
      </c>
      <c r="BF454" s="34">
        <f>454</f>
        <v>454</v>
      </c>
      <c r="BH454" s="18">
        <f t="shared" si="399"/>
        <v>0</v>
      </c>
      <c r="BI454" s="18">
        <f t="shared" si="400"/>
        <v>0</v>
      </c>
      <c r="BJ454" s="18">
        <f t="shared" si="401"/>
        <v>0</v>
      </c>
    </row>
    <row r="455" spans="1:62" x14ac:dyDescent="0.2">
      <c r="A455" s="5" t="s">
        <v>416</v>
      </c>
      <c r="B455" s="5" t="s">
        <v>1606</v>
      </c>
      <c r="C455" s="135" t="s">
        <v>2843</v>
      </c>
      <c r="D455" s="136"/>
      <c r="E455" s="136"/>
      <c r="F455" s="136"/>
      <c r="G455" s="136"/>
      <c r="H455" s="5" t="s">
        <v>3612</v>
      </c>
      <c r="I455" s="18">
        <v>42</v>
      </c>
      <c r="J455" s="18">
        <v>0</v>
      </c>
      <c r="K455" s="18">
        <f t="shared" si="380"/>
        <v>0</v>
      </c>
      <c r="L455" s="28" t="s">
        <v>3635</v>
      </c>
      <c r="Z455" s="34">
        <f t="shared" si="381"/>
        <v>0</v>
      </c>
      <c r="AB455" s="34">
        <f t="shared" si="382"/>
        <v>0</v>
      </c>
      <c r="AC455" s="34">
        <f t="shared" si="383"/>
        <v>0</v>
      </c>
      <c r="AD455" s="34">
        <f t="shared" si="384"/>
        <v>0</v>
      </c>
      <c r="AE455" s="34">
        <f t="shared" si="385"/>
        <v>0</v>
      </c>
      <c r="AF455" s="34">
        <f t="shared" si="386"/>
        <v>0</v>
      </c>
      <c r="AG455" s="34">
        <f t="shared" si="387"/>
        <v>0</v>
      </c>
      <c r="AH455" s="34">
        <f t="shared" si="388"/>
        <v>0</v>
      </c>
      <c r="AI455" s="27" t="s">
        <v>3645</v>
      </c>
      <c r="AJ455" s="18">
        <f t="shared" si="389"/>
        <v>0</v>
      </c>
      <c r="AK455" s="18">
        <f t="shared" si="390"/>
        <v>0</v>
      </c>
      <c r="AL455" s="18">
        <f t="shared" si="391"/>
        <v>0</v>
      </c>
      <c r="AN455" s="34">
        <v>21</v>
      </c>
      <c r="AO455" s="34">
        <f t="shared" si="392"/>
        <v>0</v>
      </c>
      <c r="AP455" s="34">
        <f t="shared" si="393"/>
        <v>0</v>
      </c>
      <c r="AQ455" s="28" t="s">
        <v>13</v>
      </c>
      <c r="AV455" s="34">
        <f t="shared" si="394"/>
        <v>0</v>
      </c>
      <c r="AW455" s="34">
        <f t="shared" si="395"/>
        <v>0</v>
      </c>
      <c r="AX455" s="34">
        <f t="shared" si="396"/>
        <v>0</v>
      </c>
      <c r="AY455" s="35" t="s">
        <v>3679</v>
      </c>
      <c r="AZ455" s="35" t="s">
        <v>3714</v>
      </c>
      <c r="BA455" s="27" t="s">
        <v>3729</v>
      </c>
      <c r="BC455" s="34">
        <f t="shared" si="397"/>
        <v>0</v>
      </c>
      <c r="BD455" s="34">
        <f t="shared" si="398"/>
        <v>0</v>
      </c>
      <c r="BE455" s="34">
        <v>0</v>
      </c>
      <c r="BF455" s="34">
        <f>455</f>
        <v>455</v>
      </c>
      <c r="BH455" s="18">
        <f t="shared" si="399"/>
        <v>0</v>
      </c>
      <c r="BI455" s="18">
        <f t="shared" si="400"/>
        <v>0</v>
      </c>
      <c r="BJ455" s="18">
        <f t="shared" si="401"/>
        <v>0</v>
      </c>
    </row>
    <row r="456" spans="1:62" x14ac:dyDescent="0.2">
      <c r="A456" s="5" t="s">
        <v>417</v>
      </c>
      <c r="B456" s="5" t="s">
        <v>1607</v>
      </c>
      <c r="C456" s="135" t="s">
        <v>2844</v>
      </c>
      <c r="D456" s="136"/>
      <c r="E456" s="136"/>
      <c r="F456" s="136"/>
      <c r="G456" s="136"/>
      <c r="H456" s="5" t="s">
        <v>3612</v>
      </c>
      <c r="I456" s="18">
        <v>36</v>
      </c>
      <c r="J456" s="18">
        <v>0</v>
      </c>
      <c r="K456" s="18">
        <f t="shared" si="380"/>
        <v>0</v>
      </c>
      <c r="L456" s="28" t="s">
        <v>3635</v>
      </c>
      <c r="Z456" s="34">
        <f t="shared" si="381"/>
        <v>0</v>
      </c>
      <c r="AB456" s="34">
        <f t="shared" si="382"/>
        <v>0</v>
      </c>
      <c r="AC456" s="34">
        <f t="shared" si="383"/>
        <v>0</v>
      </c>
      <c r="AD456" s="34">
        <f t="shared" si="384"/>
        <v>0</v>
      </c>
      <c r="AE456" s="34">
        <f t="shared" si="385"/>
        <v>0</v>
      </c>
      <c r="AF456" s="34">
        <f t="shared" si="386"/>
        <v>0</v>
      </c>
      <c r="AG456" s="34">
        <f t="shared" si="387"/>
        <v>0</v>
      </c>
      <c r="AH456" s="34">
        <f t="shared" si="388"/>
        <v>0</v>
      </c>
      <c r="AI456" s="27" t="s">
        <v>3645</v>
      </c>
      <c r="AJ456" s="18">
        <f t="shared" si="389"/>
        <v>0</v>
      </c>
      <c r="AK456" s="18">
        <f t="shared" si="390"/>
        <v>0</v>
      </c>
      <c r="AL456" s="18">
        <f t="shared" si="391"/>
        <v>0</v>
      </c>
      <c r="AN456" s="34">
        <v>21</v>
      </c>
      <c r="AO456" s="34">
        <f t="shared" si="392"/>
        <v>0</v>
      </c>
      <c r="AP456" s="34">
        <f t="shared" si="393"/>
        <v>0</v>
      </c>
      <c r="AQ456" s="28" t="s">
        <v>13</v>
      </c>
      <c r="AV456" s="34">
        <f t="shared" si="394"/>
        <v>0</v>
      </c>
      <c r="AW456" s="34">
        <f t="shared" si="395"/>
        <v>0</v>
      </c>
      <c r="AX456" s="34">
        <f t="shared" si="396"/>
        <v>0</v>
      </c>
      <c r="AY456" s="35" t="s">
        <v>3679</v>
      </c>
      <c r="AZ456" s="35" t="s">
        <v>3714</v>
      </c>
      <c r="BA456" s="27" t="s">
        <v>3729</v>
      </c>
      <c r="BC456" s="34">
        <f t="shared" si="397"/>
        <v>0</v>
      </c>
      <c r="BD456" s="34">
        <f t="shared" si="398"/>
        <v>0</v>
      </c>
      <c r="BE456" s="34">
        <v>0</v>
      </c>
      <c r="BF456" s="34">
        <f>456</f>
        <v>456</v>
      </c>
      <c r="BH456" s="18">
        <f t="shared" si="399"/>
        <v>0</v>
      </c>
      <c r="BI456" s="18">
        <f t="shared" si="400"/>
        <v>0</v>
      </c>
      <c r="BJ456" s="18">
        <f t="shared" si="401"/>
        <v>0</v>
      </c>
    </row>
    <row r="457" spans="1:62" x14ac:dyDescent="0.2">
      <c r="A457" s="5" t="s">
        <v>418</v>
      </c>
      <c r="B457" s="5" t="s">
        <v>1608</v>
      </c>
      <c r="C457" s="135" t="s">
        <v>2845</v>
      </c>
      <c r="D457" s="136"/>
      <c r="E457" s="136"/>
      <c r="F457" s="136"/>
      <c r="G457" s="136"/>
      <c r="H457" s="5" t="s">
        <v>3612</v>
      </c>
      <c r="I457" s="18">
        <v>2</v>
      </c>
      <c r="J457" s="18">
        <v>0</v>
      </c>
      <c r="K457" s="18">
        <f t="shared" si="380"/>
        <v>0</v>
      </c>
      <c r="L457" s="28" t="s">
        <v>3635</v>
      </c>
      <c r="Z457" s="34">
        <f t="shared" si="381"/>
        <v>0</v>
      </c>
      <c r="AB457" s="34">
        <f t="shared" si="382"/>
        <v>0</v>
      </c>
      <c r="AC457" s="34">
        <f t="shared" si="383"/>
        <v>0</v>
      </c>
      <c r="AD457" s="34">
        <f t="shared" si="384"/>
        <v>0</v>
      </c>
      <c r="AE457" s="34">
        <f t="shared" si="385"/>
        <v>0</v>
      </c>
      <c r="AF457" s="34">
        <f t="shared" si="386"/>
        <v>0</v>
      </c>
      <c r="AG457" s="34">
        <f t="shared" si="387"/>
        <v>0</v>
      </c>
      <c r="AH457" s="34">
        <f t="shared" si="388"/>
        <v>0</v>
      </c>
      <c r="AI457" s="27" t="s">
        <v>3645</v>
      </c>
      <c r="AJ457" s="18">
        <f t="shared" si="389"/>
        <v>0</v>
      </c>
      <c r="AK457" s="18">
        <f t="shared" si="390"/>
        <v>0</v>
      </c>
      <c r="AL457" s="18">
        <f t="shared" si="391"/>
        <v>0</v>
      </c>
      <c r="AN457" s="34">
        <v>21</v>
      </c>
      <c r="AO457" s="34">
        <f t="shared" si="392"/>
        <v>0</v>
      </c>
      <c r="AP457" s="34">
        <f t="shared" si="393"/>
        <v>0</v>
      </c>
      <c r="AQ457" s="28" t="s">
        <v>13</v>
      </c>
      <c r="AV457" s="34">
        <f t="shared" si="394"/>
        <v>0</v>
      </c>
      <c r="AW457" s="34">
        <f t="shared" si="395"/>
        <v>0</v>
      </c>
      <c r="AX457" s="34">
        <f t="shared" si="396"/>
        <v>0</v>
      </c>
      <c r="AY457" s="35" t="s">
        <v>3679</v>
      </c>
      <c r="AZ457" s="35" t="s">
        <v>3714</v>
      </c>
      <c r="BA457" s="27" t="s">
        <v>3729</v>
      </c>
      <c r="BC457" s="34">
        <f t="shared" si="397"/>
        <v>0</v>
      </c>
      <c r="BD457" s="34">
        <f t="shared" si="398"/>
        <v>0</v>
      </c>
      <c r="BE457" s="34">
        <v>0</v>
      </c>
      <c r="BF457" s="34">
        <f>457</f>
        <v>457</v>
      </c>
      <c r="BH457" s="18">
        <f t="shared" si="399"/>
        <v>0</v>
      </c>
      <c r="BI457" s="18">
        <f t="shared" si="400"/>
        <v>0</v>
      </c>
      <c r="BJ457" s="18">
        <f t="shared" si="401"/>
        <v>0</v>
      </c>
    </row>
    <row r="458" spans="1:62" x14ac:dyDescent="0.2">
      <c r="A458" s="5" t="s">
        <v>419</v>
      </c>
      <c r="B458" s="5" t="s">
        <v>1609</v>
      </c>
      <c r="C458" s="135" t="s">
        <v>2846</v>
      </c>
      <c r="D458" s="136"/>
      <c r="E458" s="136"/>
      <c r="F458" s="136"/>
      <c r="G458" s="136"/>
      <c r="H458" s="5" t="s">
        <v>3612</v>
      </c>
      <c r="I458" s="18">
        <v>3</v>
      </c>
      <c r="J458" s="18">
        <v>0</v>
      </c>
      <c r="K458" s="18">
        <f t="shared" si="380"/>
        <v>0</v>
      </c>
      <c r="L458" s="28" t="s">
        <v>3635</v>
      </c>
      <c r="Z458" s="34">
        <f t="shared" si="381"/>
        <v>0</v>
      </c>
      <c r="AB458" s="34">
        <f t="shared" si="382"/>
        <v>0</v>
      </c>
      <c r="AC458" s="34">
        <f t="shared" si="383"/>
        <v>0</v>
      </c>
      <c r="AD458" s="34">
        <f t="shared" si="384"/>
        <v>0</v>
      </c>
      <c r="AE458" s="34">
        <f t="shared" si="385"/>
        <v>0</v>
      </c>
      <c r="AF458" s="34">
        <f t="shared" si="386"/>
        <v>0</v>
      </c>
      <c r="AG458" s="34">
        <f t="shared" si="387"/>
        <v>0</v>
      </c>
      <c r="AH458" s="34">
        <f t="shared" si="388"/>
        <v>0</v>
      </c>
      <c r="AI458" s="27" t="s">
        <v>3645</v>
      </c>
      <c r="AJ458" s="18">
        <f t="shared" si="389"/>
        <v>0</v>
      </c>
      <c r="AK458" s="18">
        <f t="shared" si="390"/>
        <v>0</v>
      </c>
      <c r="AL458" s="18">
        <f t="shared" si="391"/>
        <v>0</v>
      </c>
      <c r="AN458" s="34">
        <v>21</v>
      </c>
      <c r="AO458" s="34">
        <f t="shared" si="392"/>
        <v>0</v>
      </c>
      <c r="AP458" s="34">
        <f t="shared" si="393"/>
        <v>0</v>
      </c>
      <c r="AQ458" s="28" t="s">
        <v>13</v>
      </c>
      <c r="AV458" s="34">
        <f t="shared" si="394"/>
        <v>0</v>
      </c>
      <c r="AW458" s="34">
        <f t="shared" si="395"/>
        <v>0</v>
      </c>
      <c r="AX458" s="34">
        <f t="shared" si="396"/>
        <v>0</v>
      </c>
      <c r="AY458" s="35" t="s">
        <v>3679</v>
      </c>
      <c r="AZ458" s="35" t="s">
        <v>3714</v>
      </c>
      <c r="BA458" s="27" t="s">
        <v>3729</v>
      </c>
      <c r="BC458" s="34">
        <f t="shared" si="397"/>
        <v>0</v>
      </c>
      <c r="BD458" s="34">
        <f t="shared" si="398"/>
        <v>0</v>
      </c>
      <c r="BE458" s="34">
        <v>0</v>
      </c>
      <c r="BF458" s="34">
        <f>458</f>
        <v>458</v>
      </c>
      <c r="BH458" s="18">
        <f t="shared" si="399"/>
        <v>0</v>
      </c>
      <c r="BI458" s="18">
        <f t="shared" si="400"/>
        <v>0</v>
      </c>
      <c r="BJ458" s="18">
        <f t="shared" si="401"/>
        <v>0</v>
      </c>
    </row>
    <row r="459" spans="1:62" x14ac:dyDescent="0.2">
      <c r="A459" s="5" t="s">
        <v>420</v>
      </c>
      <c r="B459" s="5" t="s">
        <v>1610</v>
      </c>
      <c r="C459" s="135" t="s">
        <v>2847</v>
      </c>
      <c r="D459" s="136"/>
      <c r="E459" s="136"/>
      <c r="F459" s="136"/>
      <c r="G459" s="136"/>
      <c r="H459" s="5" t="s">
        <v>3612</v>
      </c>
      <c r="I459" s="18">
        <v>14</v>
      </c>
      <c r="J459" s="18">
        <v>0</v>
      </c>
      <c r="K459" s="18">
        <f t="shared" si="380"/>
        <v>0</v>
      </c>
      <c r="L459" s="28" t="s">
        <v>3635</v>
      </c>
      <c r="Z459" s="34">
        <f t="shared" si="381"/>
        <v>0</v>
      </c>
      <c r="AB459" s="34">
        <f t="shared" si="382"/>
        <v>0</v>
      </c>
      <c r="AC459" s="34">
        <f t="shared" si="383"/>
        <v>0</v>
      </c>
      <c r="AD459" s="34">
        <f t="shared" si="384"/>
        <v>0</v>
      </c>
      <c r="AE459" s="34">
        <f t="shared" si="385"/>
        <v>0</v>
      </c>
      <c r="AF459" s="34">
        <f t="shared" si="386"/>
        <v>0</v>
      </c>
      <c r="AG459" s="34">
        <f t="shared" si="387"/>
        <v>0</v>
      </c>
      <c r="AH459" s="34">
        <f t="shared" si="388"/>
        <v>0</v>
      </c>
      <c r="AI459" s="27" t="s">
        <v>3645</v>
      </c>
      <c r="AJ459" s="18">
        <f t="shared" si="389"/>
        <v>0</v>
      </c>
      <c r="AK459" s="18">
        <f t="shared" si="390"/>
        <v>0</v>
      </c>
      <c r="AL459" s="18">
        <f t="shared" si="391"/>
        <v>0</v>
      </c>
      <c r="AN459" s="34">
        <v>21</v>
      </c>
      <c r="AO459" s="34">
        <f t="shared" si="392"/>
        <v>0</v>
      </c>
      <c r="AP459" s="34">
        <f t="shared" si="393"/>
        <v>0</v>
      </c>
      <c r="AQ459" s="28" t="s">
        <v>13</v>
      </c>
      <c r="AV459" s="34">
        <f t="shared" si="394"/>
        <v>0</v>
      </c>
      <c r="AW459" s="34">
        <f t="shared" si="395"/>
        <v>0</v>
      </c>
      <c r="AX459" s="34">
        <f t="shared" si="396"/>
        <v>0</v>
      </c>
      <c r="AY459" s="35" t="s">
        <v>3679</v>
      </c>
      <c r="AZ459" s="35" t="s">
        <v>3714</v>
      </c>
      <c r="BA459" s="27" t="s">
        <v>3729</v>
      </c>
      <c r="BC459" s="34">
        <f t="shared" si="397"/>
        <v>0</v>
      </c>
      <c r="BD459" s="34">
        <f t="shared" si="398"/>
        <v>0</v>
      </c>
      <c r="BE459" s="34">
        <v>0</v>
      </c>
      <c r="BF459" s="34">
        <f>459</f>
        <v>459</v>
      </c>
      <c r="BH459" s="18">
        <f t="shared" si="399"/>
        <v>0</v>
      </c>
      <c r="BI459" s="18">
        <f t="shared" si="400"/>
        <v>0</v>
      </c>
      <c r="BJ459" s="18">
        <f t="shared" si="401"/>
        <v>0</v>
      </c>
    </row>
    <row r="460" spans="1:62" x14ac:dyDescent="0.2">
      <c r="A460" s="5" t="s">
        <v>421</v>
      </c>
      <c r="B460" s="5" t="s">
        <v>1611</v>
      </c>
      <c r="C460" s="135" t="s">
        <v>2848</v>
      </c>
      <c r="D460" s="136"/>
      <c r="E460" s="136"/>
      <c r="F460" s="136"/>
      <c r="G460" s="136"/>
      <c r="H460" s="5" t="s">
        <v>3612</v>
      </c>
      <c r="I460" s="18">
        <v>20</v>
      </c>
      <c r="J460" s="18">
        <v>0</v>
      </c>
      <c r="K460" s="18">
        <f t="shared" si="380"/>
        <v>0</v>
      </c>
      <c r="L460" s="28" t="s">
        <v>3635</v>
      </c>
      <c r="Z460" s="34">
        <f t="shared" si="381"/>
        <v>0</v>
      </c>
      <c r="AB460" s="34">
        <f t="shared" si="382"/>
        <v>0</v>
      </c>
      <c r="AC460" s="34">
        <f t="shared" si="383"/>
        <v>0</v>
      </c>
      <c r="AD460" s="34">
        <f t="shared" si="384"/>
        <v>0</v>
      </c>
      <c r="AE460" s="34">
        <f t="shared" si="385"/>
        <v>0</v>
      </c>
      <c r="AF460" s="34">
        <f t="shared" si="386"/>
        <v>0</v>
      </c>
      <c r="AG460" s="34">
        <f t="shared" si="387"/>
        <v>0</v>
      </c>
      <c r="AH460" s="34">
        <f t="shared" si="388"/>
        <v>0</v>
      </c>
      <c r="AI460" s="27" t="s">
        <v>3645</v>
      </c>
      <c r="AJ460" s="18">
        <f t="shared" si="389"/>
        <v>0</v>
      </c>
      <c r="AK460" s="18">
        <f t="shared" si="390"/>
        <v>0</v>
      </c>
      <c r="AL460" s="18">
        <f t="shared" si="391"/>
        <v>0</v>
      </c>
      <c r="AN460" s="34">
        <v>21</v>
      </c>
      <c r="AO460" s="34">
        <f t="shared" si="392"/>
        <v>0</v>
      </c>
      <c r="AP460" s="34">
        <f t="shared" si="393"/>
        <v>0</v>
      </c>
      <c r="AQ460" s="28" t="s">
        <v>13</v>
      </c>
      <c r="AV460" s="34">
        <f t="shared" si="394"/>
        <v>0</v>
      </c>
      <c r="AW460" s="34">
        <f t="shared" si="395"/>
        <v>0</v>
      </c>
      <c r="AX460" s="34">
        <f t="shared" si="396"/>
        <v>0</v>
      </c>
      <c r="AY460" s="35" t="s">
        <v>3679</v>
      </c>
      <c r="AZ460" s="35" t="s">
        <v>3714</v>
      </c>
      <c r="BA460" s="27" t="s">
        <v>3729</v>
      </c>
      <c r="BC460" s="34">
        <f t="shared" si="397"/>
        <v>0</v>
      </c>
      <c r="BD460" s="34">
        <f t="shared" si="398"/>
        <v>0</v>
      </c>
      <c r="BE460" s="34">
        <v>0</v>
      </c>
      <c r="BF460" s="34">
        <f>460</f>
        <v>460</v>
      </c>
      <c r="BH460" s="18">
        <f t="shared" si="399"/>
        <v>0</v>
      </c>
      <c r="BI460" s="18">
        <f t="shared" si="400"/>
        <v>0</v>
      </c>
      <c r="BJ460" s="18">
        <f t="shared" si="401"/>
        <v>0</v>
      </c>
    </row>
    <row r="461" spans="1:62" x14ac:dyDescent="0.2">
      <c r="A461" s="5" t="s">
        <v>422</v>
      </c>
      <c r="B461" s="5" t="s">
        <v>1612</v>
      </c>
      <c r="C461" s="135" t="s">
        <v>2849</v>
      </c>
      <c r="D461" s="136"/>
      <c r="E461" s="136"/>
      <c r="F461" s="136"/>
      <c r="G461" s="136"/>
      <c r="H461" s="5" t="s">
        <v>3612</v>
      </c>
      <c r="I461" s="18">
        <v>11</v>
      </c>
      <c r="J461" s="18">
        <v>0</v>
      </c>
      <c r="K461" s="18">
        <f t="shared" si="380"/>
        <v>0</v>
      </c>
      <c r="L461" s="28" t="s">
        <v>3635</v>
      </c>
      <c r="Z461" s="34">
        <f t="shared" si="381"/>
        <v>0</v>
      </c>
      <c r="AB461" s="34">
        <f t="shared" si="382"/>
        <v>0</v>
      </c>
      <c r="AC461" s="34">
        <f t="shared" si="383"/>
        <v>0</v>
      </c>
      <c r="AD461" s="34">
        <f t="shared" si="384"/>
        <v>0</v>
      </c>
      <c r="AE461" s="34">
        <f t="shared" si="385"/>
        <v>0</v>
      </c>
      <c r="AF461" s="34">
        <f t="shared" si="386"/>
        <v>0</v>
      </c>
      <c r="AG461" s="34">
        <f t="shared" si="387"/>
        <v>0</v>
      </c>
      <c r="AH461" s="34">
        <f t="shared" si="388"/>
        <v>0</v>
      </c>
      <c r="AI461" s="27" t="s">
        <v>3645</v>
      </c>
      <c r="AJ461" s="18">
        <f t="shared" si="389"/>
        <v>0</v>
      </c>
      <c r="AK461" s="18">
        <f t="shared" si="390"/>
        <v>0</v>
      </c>
      <c r="AL461" s="18">
        <f t="shared" si="391"/>
        <v>0</v>
      </c>
      <c r="AN461" s="34">
        <v>21</v>
      </c>
      <c r="AO461" s="34">
        <f t="shared" si="392"/>
        <v>0</v>
      </c>
      <c r="AP461" s="34">
        <f t="shared" si="393"/>
        <v>0</v>
      </c>
      <c r="AQ461" s="28" t="s">
        <v>13</v>
      </c>
      <c r="AV461" s="34">
        <f t="shared" si="394"/>
        <v>0</v>
      </c>
      <c r="AW461" s="34">
        <f t="shared" si="395"/>
        <v>0</v>
      </c>
      <c r="AX461" s="34">
        <f t="shared" si="396"/>
        <v>0</v>
      </c>
      <c r="AY461" s="35" t="s">
        <v>3679</v>
      </c>
      <c r="AZ461" s="35" t="s">
        <v>3714</v>
      </c>
      <c r="BA461" s="27" t="s">
        <v>3729</v>
      </c>
      <c r="BC461" s="34">
        <f t="shared" si="397"/>
        <v>0</v>
      </c>
      <c r="BD461" s="34">
        <f t="shared" si="398"/>
        <v>0</v>
      </c>
      <c r="BE461" s="34">
        <v>0</v>
      </c>
      <c r="BF461" s="34">
        <f>461</f>
        <v>461</v>
      </c>
      <c r="BH461" s="18">
        <f t="shared" si="399"/>
        <v>0</v>
      </c>
      <c r="BI461" s="18">
        <f t="shared" si="400"/>
        <v>0</v>
      </c>
      <c r="BJ461" s="18">
        <f t="shared" si="401"/>
        <v>0</v>
      </c>
    </row>
    <row r="462" spans="1:62" x14ac:dyDescent="0.2">
      <c r="A462" s="5" t="s">
        <v>423</v>
      </c>
      <c r="B462" s="5" t="s">
        <v>1613</v>
      </c>
      <c r="C462" s="135" t="s">
        <v>2850</v>
      </c>
      <c r="D462" s="136"/>
      <c r="E462" s="136"/>
      <c r="F462" s="136"/>
      <c r="G462" s="136"/>
      <c r="H462" s="5" t="s">
        <v>3612</v>
      </c>
      <c r="I462" s="18">
        <v>2</v>
      </c>
      <c r="J462" s="18">
        <v>0</v>
      </c>
      <c r="K462" s="18">
        <f t="shared" si="380"/>
        <v>0</v>
      </c>
      <c r="L462" s="28" t="s">
        <v>3635</v>
      </c>
      <c r="Z462" s="34">
        <f t="shared" si="381"/>
        <v>0</v>
      </c>
      <c r="AB462" s="34">
        <f t="shared" si="382"/>
        <v>0</v>
      </c>
      <c r="AC462" s="34">
        <f t="shared" si="383"/>
        <v>0</v>
      </c>
      <c r="AD462" s="34">
        <f t="shared" si="384"/>
        <v>0</v>
      </c>
      <c r="AE462" s="34">
        <f t="shared" si="385"/>
        <v>0</v>
      </c>
      <c r="AF462" s="34">
        <f t="shared" si="386"/>
        <v>0</v>
      </c>
      <c r="AG462" s="34">
        <f t="shared" si="387"/>
        <v>0</v>
      </c>
      <c r="AH462" s="34">
        <f t="shared" si="388"/>
        <v>0</v>
      </c>
      <c r="AI462" s="27" t="s">
        <v>3645</v>
      </c>
      <c r="AJ462" s="18">
        <f t="shared" si="389"/>
        <v>0</v>
      </c>
      <c r="AK462" s="18">
        <f t="shared" si="390"/>
        <v>0</v>
      </c>
      <c r="AL462" s="18">
        <f t="shared" si="391"/>
        <v>0</v>
      </c>
      <c r="AN462" s="34">
        <v>21</v>
      </c>
      <c r="AO462" s="34">
        <f t="shared" si="392"/>
        <v>0</v>
      </c>
      <c r="AP462" s="34">
        <f t="shared" si="393"/>
        <v>0</v>
      </c>
      <c r="AQ462" s="28" t="s">
        <v>13</v>
      </c>
      <c r="AV462" s="34">
        <f t="shared" si="394"/>
        <v>0</v>
      </c>
      <c r="AW462" s="34">
        <f t="shared" si="395"/>
        <v>0</v>
      </c>
      <c r="AX462" s="34">
        <f t="shared" si="396"/>
        <v>0</v>
      </c>
      <c r="AY462" s="35" t="s">
        <v>3679</v>
      </c>
      <c r="AZ462" s="35" t="s">
        <v>3714</v>
      </c>
      <c r="BA462" s="27" t="s">
        <v>3729</v>
      </c>
      <c r="BC462" s="34">
        <f t="shared" si="397"/>
        <v>0</v>
      </c>
      <c r="BD462" s="34">
        <f t="shared" si="398"/>
        <v>0</v>
      </c>
      <c r="BE462" s="34">
        <v>0</v>
      </c>
      <c r="BF462" s="34">
        <f>462</f>
        <v>462</v>
      </c>
      <c r="BH462" s="18">
        <f t="shared" si="399"/>
        <v>0</v>
      </c>
      <c r="BI462" s="18">
        <f t="shared" si="400"/>
        <v>0</v>
      </c>
      <c r="BJ462" s="18">
        <f t="shared" si="401"/>
        <v>0</v>
      </c>
    </row>
    <row r="463" spans="1:62" x14ac:dyDescent="0.2">
      <c r="A463" s="5" t="s">
        <v>424</v>
      </c>
      <c r="B463" s="5" t="s">
        <v>1614</v>
      </c>
      <c r="C463" s="135" t="s">
        <v>2851</v>
      </c>
      <c r="D463" s="136"/>
      <c r="E463" s="136"/>
      <c r="F463" s="136"/>
      <c r="G463" s="136"/>
      <c r="H463" s="5" t="s">
        <v>3612</v>
      </c>
      <c r="I463" s="18">
        <v>9</v>
      </c>
      <c r="J463" s="18">
        <v>0</v>
      </c>
      <c r="K463" s="18">
        <f t="shared" si="380"/>
        <v>0</v>
      </c>
      <c r="L463" s="28" t="s">
        <v>3635</v>
      </c>
      <c r="Z463" s="34">
        <f t="shared" si="381"/>
        <v>0</v>
      </c>
      <c r="AB463" s="34">
        <f t="shared" si="382"/>
        <v>0</v>
      </c>
      <c r="AC463" s="34">
        <f t="shared" si="383"/>
        <v>0</v>
      </c>
      <c r="AD463" s="34">
        <f t="shared" si="384"/>
        <v>0</v>
      </c>
      <c r="AE463" s="34">
        <f t="shared" si="385"/>
        <v>0</v>
      </c>
      <c r="AF463" s="34">
        <f t="shared" si="386"/>
        <v>0</v>
      </c>
      <c r="AG463" s="34">
        <f t="shared" si="387"/>
        <v>0</v>
      </c>
      <c r="AH463" s="34">
        <f t="shared" si="388"/>
        <v>0</v>
      </c>
      <c r="AI463" s="27" t="s">
        <v>3645</v>
      </c>
      <c r="AJ463" s="18">
        <f t="shared" si="389"/>
        <v>0</v>
      </c>
      <c r="AK463" s="18">
        <f t="shared" si="390"/>
        <v>0</v>
      </c>
      <c r="AL463" s="18">
        <f t="shared" si="391"/>
        <v>0</v>
      </c>
      <c r="AN463" s="34">
        <v>21</v>
      </c>
      <c r="AO463" s="34">
        <f t="shared" si="392"/>
        <v>0</v>
      </c>
      <c r="AP463" s="34">
        <f t="shared" si="393"/>
        <v>0</v>
      </c>
      <c r="AQ463" s="28" t="s">
        <v>13</v>
      </c>
      <c r="AV463" s="34">
        <f t="shared" si="394"/>
        <v>0</v>
      </c>
      <c r="AW463" s="34">
        <f t="shared" si="395"/>
        <v>0</v>
      </c>
      <c r="AX463" s="34">
        <f t="shared" si="396"/>
        <v>0</v>
      </c>
      <c r="AY463" s="35" t="s">
        <v>3679</v>
      </c>
      <c r="AZ463" s="35" t="s">
        <v>3714</v>
      </c>
      <c r="BA463" s="27" t="s">
        <v>3729</v>
      </c>
      <c r="BC463" s="34">
        <f t="shared" si="397"/>
        <v>0</v>
      </c>
      <c r="BD463" s="34">
        <f t="shared" si="398"/>
        <v>0</v>
      </c>
      <c r="BE463" s="34">
        <v>0</v>
      </c>
      <c r="BF463" s="34">
        <f>463</f>
        <v>463</v>
      </c>
      <c r="BH463" s="18">
        <f t="shared" si="399"/>
        <v>0</v>
      </c>
      <c r="BI463" s="18">
        <f t="shared" si="400"/>
        <v>0</v>
      </c>
      <c r="BJ463" s="18">
        <f t="shared" si="401"/>
        <v>0</v>
      </c>
    </row>
    <row r="464" spans="1:62" x14ac:dyDescent="0.2">
      <c r="A464" s="5" t="s">
        <v>425</v>
      </c>
      <c r="B464" s="5" t="s">
        <v>1615</v>
      </c>
      <c r="C464" s="135" t="s">
        <v>2852</v>
      </c>
      <c r="D464" s="136"/>
      <c r="E464" s="136"/>
      <c r="F464" s="136"/>
      <c r="G464" s="136"/>
      <c r="H464" s="5" t="s">
        <v>3612</v>
      </c>
      <c r="I464" s="18">
        <v>6</v>
      </c>
      <c r="J464" s="18">
        <v>0</v>
      </c>
      <c r="K464" s="18">
        <f t="shared" si="380"/>
        <v>0</v>
      </c>
      <c r="L464" s="28" t="s">
        <v>3635</v>
      </c>
      <c r="Z464" s="34">
        <f t="shared" si="381"/>
        <v>0</v>
      </c>
      <c r="AB464" s="34">
        <f t="shared" si="382"/>
        <v>0</v>
      </c>
      <c r="AC464" s="34">
        <f t="shared" si="383"/>
        <v>0</v>
      </c>
      <c r="AD464" s="34">
        <f t="shared" si="384"/>
        <v>0</v>
      </c>
      <c r="AE464" s="34">
        <f t="shared" si="385"/>
        <v>0</v>
      </c>
      <c r="AF464" s="34">
        <f t="shared" si="386"/>
        <v>0</v>
      </c>
      <c r="AG464" s="34">
        <f t="shared" si="387"/>
        <v>0</v>
      </c>
      <c r="AH464" s="34">
        <f t="shared" si="388"/>
        <v>0</v>
      </c>
      <c r="AI464" s="27" t="s">
        <v>3645</v>
      </c>
      <c r="AJ464" s="18">
        <f t="shared" si="389"/>
        <v>0</v>
      </c>
      <c r="AK464" s="18">
        <f t="shared" si="390"/>
        <v>0</v>
      </c>
      <c r="AL464" s="18">
        <f t="shared" si="391"/>
        <v>0</v>
      </c>
      <c r="AN464" s="34">
        <v>21</v>
      </c>
      <c r="AO464" s="34">
        <f t="shared" si="392"/>
        <v>0</v>
      </c>
      <c r="AP464" s="34">
        <f t="shared" si="393"/>
        <v>0</v>
      </c>
      <c r="AQ464" s="28" t="s">
        <v>13</v>
      </c>
      <c r="AV464" s="34">
        <f t="shared" si="394"/>
        <v>0</v>
      </c>
      <c r="AW464" s="34">
        <f t="shared" si="395"/>
        <v>0</v>
      </c>
      <c r="AX464" s="34">
        <f t="shared" si="396"/>
        <v>0</v>
      </c>
      <c r="AY464" s="35" t="s">
        <v>3679</v>
      </c>
      <c r="AZ464" s="35" t="s">
        <v>3714</v>
      </c>
      <c r="BA464" s="27" t="s">
        <v>3729</v>
      </c>
      <c r="BC464" s="34">
        <f t="shared" si="397"/>
        <v>0</v>
      </c>
      <c r="BD464" s="34">
        <f t="shared" si="398"/>
        <v>0</v>
      </c>
      <c r="BE464" s="34">
        <v>0</v>
      </c>
      <c r="BF464" s="34">
        <f>464</f>
        <v>464</v>
      </c>
      <c r="BH464" s="18">
        <f t="shared" si="399"/>
        <v>0</v>
      </c>
      <c r="BI464" s="18">
        <f t="shared" si="400"/>
        <v>0</v>
      </c>
      <c r="BJ464" s="18">
        <f t="shared" si="401"/>
        <v>0</v>
      </c>
    </row>
    <row r="465" spans="1:62" x14ac:dyDescent="0.2">
      <c r="A465" s="5" t="s">
        <v>426</v>
      </c>
      <c r="B465" s="5" t="s">
        <v>1616</v>
      </c>
      <c r="C465" s="135" t="s">
        <v>2853</v>
      </c>
      <c r="D465" s="136"/>
      <c r="E465" s="136"/>
      <c r="F465" s="136"/>
      <c r="G465" s="136"/>
      <c r="H465" s="5" t="s">
        <v>3612</v>
      </c>
      <c r="I465" s="18">
        <v>1</v>
      </c>
      <c r="J465" s="18">
        <v>0</v>
      </c>
      <c r="K465" s="18">
        <f t="shared" si="380"/>
        <v>0</v>
      </c>
      <c r="L465" s="28" t="s">
        <v>3635</v>
      </c>
      <c r="Z465" s="34">
        <f t="shared" si="381"/>
        <v>0</v>
      </c>
      <c r="AB465" s="34">
        <f t="shared" si="382"/>
        <v>0</v>
      </c>
      <c r="AC465" s="34">
        <f t="shared" si="383"/>
        <v>0</v>
      </c>
      <c r="AD465" s="34">
        <f t="shared" si="384"/>
        <v>0</v>
      </c>
      <c r="AE465" s="34">
        <f t="shared" si="385"/>
        <v>0</v>
      </c>
      <c r="AF465" s="34">
        <f t="shared" si="386"/>
        <v>0</v>
      </c>
      <c r="AG465" s="34">
        <f t="shared" si="387"/>
        <v>0</v>
      </c>
      <c r="AH465" s="34">
        <f t="shared" si="388"/>
        <v>0</v>
      </c>
      <c r="AI465" s="27" t="s">
        <v>3645</v>
      </c>
      <c r="AJ465" s="18">
        <f t="shared" si="389"/>
        <v>0</v>
      </c>
      <c r="AK465" s="18">
        <f t="shared" si="390"/>
        <v>0</v>
      </c>
      <c r="AL465" s="18">
        <f t="shared" si="391"/>
        <v>0</v>
      </c>
      <c r="AN465" s="34">
        <v>21</v>
      </c>
      <c r="AO465" s="34">
        <f t="shared" si="392"/>
        <v>0</v>
      </c>
      <c r="AP465" s="34">
        <f t="shared" si="393"/>
        <v>0</v>
      </c>
      <c r="AQ465" s="28" t="s">
        <v>13</v>
      </c>
      <c r="AV465" s="34">
        <f t="shared" si="394"/>
        <v>0</v>
      </c>
      <c r="AW465" s="34">
        <f t="shared" si="395"/>
        <v>0</v>
      </c>
      <c r="AX465" s="34">
        <f t="shared" si="396"/>
        <v>0</v>
      </c>
      <c r="AY465" s="35" t="s">
        <v>3679</v>
      </c>
      <c r="AZ465" s="35" t="s">
        <v>3714</v>
      </c>
      <c r="BA465" s="27" t="s">
        <v>3729</v>
      </c>
      <c r="BC465" s="34">
        <f t="shared" si="397"/>
        <v>0</v>
      </c>
      <c r="BD465" s="34">
        <f t="shared" si="398"/>
        <v>0</v>
      </c>
      <c r="BE465" s="34">
        <v>0</v>
      </c>
      <c r="BF465" s="34">
        <f>465</f>
        <v>465</v>
      </c>
      <c r="BH465" s="18">
        <f t="shared" si="399"/>
        <v>0</v>
      </c>
      <c r="BI465" s="18">
        <f t="shared" si="400"/>
        <v>0</v>
      </c>
      <c r="BJ465" s="18">
        <f t="shared" si="401"/>
        <v>0</v>
      </c>
    </row>
    <row r="466" spans="1:62" x14ac:dyDescent="0.2">
      <c r="A466" s="5" t="s">
        <v>427</v>
      </c>
      <c r="B466" s="5" t="s">
        <v>1617</v>
      </c>
      <c r="C466" s="135" t="s">
        <v>2854</v>
      </c>
      <c r="D466" s="136"/>
      <c r="E466" s="136"/>
      <c r="F466" s="136"/>
      <c r="G466" s="136"/>
      <c r="H466" s="5" t="s">
        <v>3612</v>
      </c>
      <c r="I466" s="18">
        <v>1</v>
      </c>
      <c r="J466" s="18">
        <v>0</v>
      </c>
      <c r="K466" s="18">
        <f t="shared" si="380"/>
        <v>0</v>
      </c>
      <c r="L466" s="28" t="s">
        <v>3635</v>
      </c>
      <c r="Z466" s="34">
        <f t="shared" si="381"/>
        <v>0</v>
      </c>
      <c r="AB466" s="34">
        <f t="shared" si="382"/>
        <v>0</v>
      </c>
      <c r="AC466" s="34">
        <f t="shared" si="383"/>
        <v>0</v>
      </c>
      <c r="AD466" s="34">
        <f t="shared" si="384"/>
        <v>0</v>
      </c>
      <c r="AE466" s="34">
        <f t="shared" si="385"/>
        <v>0</v>
      </c>
      <c r="AF466" s="34">
        <f t="shared" si="386"/>
        <v>0</v>
      </c>
      <c r="AG466" s="34">
        <f t="shared" si="387"/>
        <v>0</v>
      </c>
      <c r="AH466" s="34">
        <f t="shared" si="388"/>
        <v>0</v>
      </c>
      <c r="AI466" s="27" t="s">
        <v>3645</v>
      </c>
      <c r="AJ466" s="18">
        <f t="shared" si="389"/>
        <v>0</v>
      </c>
      <c r="AK466" s="18">
        <f t="shared" si="390"/>
        <v>0</v>
      </c>
      <c r="AL466" s="18">
        <f t="shared" si="391"/>
        <v>0</v>
      </c>
      <c r="AN466" s="34">
        <v>21</v>
      </c>
      <c r="AO466" s="34">
        <f t="shared" si="392"/>
        <v>0</v>
      </c>
      <c r="AP466" s="34">
        <f t="shared" si="393"/>
        <v>0</v>
      </c>
      <c r="AQ466" s="28" t="s">
        <v>13</v>
      </c>
      <c r="AV466" s="34">
        <f t="shared" si="394"/>
        <v>0</v>
      </c>
      <c r="AW466" s="34">
        <f t="shared" si="395"/>
        <v>0</v>
      </c>
      <c r="AX466" s="34">
        <f t="shared" si="396"/>
        <v>0</v>
      </c>
      <c r="AY466" s="35" t="s">
        <v>3679</v>
      </c>
      <c r="AZ466" s="35" t="s">
        <v>3714</v>
      </c>
      <c r="BA466" s="27" t="s">
        <v>3729</v>
      </c>
      <c r="BC466" s="34">
        <f t="shared" si="397"/>
        <v>0</v>
      </c>
      <c r="BD466" s="34">
        <f t="shared" si="398"/>
        <v>0</v>
      </c>
      <c r="BE466" s="34">
        <v>0</v>
      </c>
      <c r="BF466" s="34">
        <f>466</f>
        <v>466</v>
      </c>
      <c r="BH466" s="18">
        <f t="shared" si="399"/>
        <v>0</v>
      </c>
      <c r="BI466" s="18">
        <f t="shared" si="400"/>
        <v>0</v>
      </c>
      <c r="BJ466" s="18">
        <f t="shared" si="401"/>
        <v>0</v>
      </c>
    </row>
    <row r="467" spans="1:62" x14ac:dyDescent="0.2">
      <c r="A467" s="5" t="s">
        <v>428</v>
      </c>
      <c r="B467" s="5" t="s">
        <v>1618</v>
      </c>
      <c r="C467" s="135" t="s">
        <v>2855</v>
      </c>
      <c r="D467" s="136"/>
      <c r="E467" s="136"/>
      <c r="F467" s="136"/>
      <c r="G467" s="136"/>
      <c r="H467" s="5" t="s">
        <v>3612</v>
      </c>
      <c r="I467" s="18">
        <v>1</v>
      </c>
      <c r="J467" s="18">
        <v>0</v>
      </c>
      <c r="K467" s="18">
        <f t="shared" si="380"/>
        <v>0</v>
      </c>
      <c r="L467" s="28" t="s">
        <v>3635</v>
      </c>
      <c r="Z467" s="34">
        <f t="shared" si="381"/>
        <v>0</v>
      </c>
      <c r="AB467" s="34">
        <f t="shared" si="382"/>
        <v>0</v>
      </c>
      <c r="AC467" s="34">
        <f t="shared" si="383"/>
        <v>0</v>
      </c>
      <c r="AD467" s="34">
        <f t="shared" si="384"/>
        <v>0</v>
      </c>
      <c r="AE467" s="34">
        <f t="shared" si="385"/>
        <v>0</v>
      </c>
      <c r="AF467" s="34">
        <f t="shared" si="386"/>
        <v>0</v>
      </c>
      <c r="AG467" s="34">
        <f t="shared" si="387"/>
        <v>0</v>
      </c>
      <c r="AH467" s="34">
        <f t="shared" si="388"/>
        <v>0</v>
      </c>
      <c r="AI467" s="27" t="s">
        <v>3645</v>
      </c>
      <c r="AJ467" s="18">
        <f t="shared" si="389"/>
        <v>0</v>
      </c>
      <c r="AK467" s="18">
        <f t="shared" si="390"/>
        <v>0</v>
      </c>
      <c r="AL467" s="18">
        <f t="shared" si="391"/>
        <v>0</v>
      </c>
      <c r="AN467" s="34">
        <v>21</v>
      </c>
      <c r="AO467" s="34">
        <f t="shared" si="392"/>
        <v>0</v>
      </c>
      <c r="AP467" s="34">
        <f t="shared" si="393"/>
        <v>0</v>
      </c>
      <c r="AQ467" s="28" t="s">
        <v>13</v>
      </c>
      <c r="AV467" s="34">
        <f t="shared" si="394"/>
        <v>0</v>
      </c>
      <c r="AW467" s="34">
        <f t="shared" si="395"/>
        <v>0</v>
      </c>
      <c r="AX467" s="34">
        <f t="shared" si="396"/>
        <v>0</v>
      </c>
      <c r="AY467" s="35" t="s">
        <v>3679</v>
      </c>
      <c r="AZ467" s="35" t="s">
        <v>3714</v>
      </c>
      <c r="BA467" s="27" t="s">
        <v>3729</v>
      </c>
      <c r="BC467" s="34">
        <f t="shared" si="397"/>
        <v>0</v>
      </c>
      <c r="BD467" s="34">
        <f t="shared" si="398"/>
        <v>0</v>
      </c>
      <c r="BE467" s="34">
        <v>0</v>
      </c>
      <c r="BF467" s="34">
        <f>467</f>
        <v>467</v>
      </c>
      <c r="BH467" s="18">
        <f t="shared" si="399"/>
        <v>0</v>
      </c>
      <c r="BI467" s="18">
        <f t="shared" si="400"/>
        <v>0</v>
      </c>
      <c r="BJ467" s="18">
        <f t="shared" si="401"/>
        <v>0</v>
      </c>
    </row>
    <row r="468" spans="1:62" x14ac:dyDescent="0.2">
      <c r="A468" s="5" t="s">
        <v>429</v>
      </c>
      <c r="B468" s="5" t="s">
        <v>1619</v>
      </c>
      <c r="C468" s="135" t="s">
        <v>2856</v>
      </c>
      <c r="D468" s="136"/>
      <c r="E468" s="136"/>
      <c r="F468" s="136"/>
      <c r="G468" s="136"/>
      <c r="H468" s="5" t="s">
        <v>3612</v>
      </c>
      <c r="I468" s="18">
        <v>1</v>
      </c>
      <c r="J468" s="18">
        <v>0</v>
      </c>
      <c r="K468" s="18">
        <f t="shared" si="380"/>
        <v>0</v>
      </c>
      <c r="L468" s="28" t="s">
        <v>3635</v>
      </c>
      <c r="Z468" s="34">
        <f t="shared" si="381"/>
        <v>0</v>
      </c>
      <c r="AB468" s="34">
        <f t="shared" si="382"/>
        <v>0</v>
      </c>
      <c r="AC468" s="34">
        <f t="shared" si="383"/>
        <v>0</v>
      </c>
      <c r="AD468" s="34">
        <f t="shared" si="384"/>
        <v>0</v>
      </c>
      <c r="AE468" s="34">
        <f t="shared" si="385"/>
        <v>0</v>
      </c>
      <c r="AF468" s="34">
        <f t="shared" si="386"/>
        <v>0</v>
      </c>
      <c r="AG468" s="34">
        <f t="shared" si="387"/>
        <v>0</v>
      </c>
      <c r="AH468" s="34">
        <f t="shared" si="388"/>
        <v>0</v>
      </c>
      <c r="AI468" s="27" t="s">
        <v>3645</v>
      </c>
      <c r="AJ468" s="18">
        <f t="shared" si="389"/>
        <v>0</v>
      </c>
      <c r="AK468" s="18">
        <f t="shared" si="390"/>
        <v>0</v>
      </c>
      <c r="AL468" s="18">
        <f t="shared" si="391"/>
        <v>0</v>
      </c>
      <c r="AN468" s="34">
        <v>21</v>
      </c>
      <c r="AO468" s="34">
        <f t="shared" si="392"/>
        <v>0</v>
      </c>
      <c r="AP468" s="34">
        <f t="shared" si="393"/>
        <v>0</v>
      </c>
      <c r="AQ468" s="28" t="s">
        <v>13</v>
      </c>
      <c r="AV468" s="34">
        <f t="shared" si="394"/>
        <v>0</v>
      </c>
      <c r="AW468" s="34">
        <f t="shared" si="395"/>
        <v>0</v>
      </c>
      <c r="AX468" s="34">
        <f t="shared" si="396"/>
        <v>0</v>
      </c>
      <c r="AY468" s="35" t="s">
        <v>3679</v>
      </c>
      <c r="AZ468" s="35" t="s">
        <v>3714</v>
      </c>
      <c r="BA468" s="27" t="s">
        <v>3729</v>
      </c>
      <c r="BC468" s="34">
        <f t="shared" si="397"/>
        <v>0</v>
      </c>
      <c r="BD468" s="34">
        <f t="shared" si="398"/>
        <v>0</v>
      </c>
      <c r="BE468" s="34">
        <v>0</v>
      </c>
      <c r="BF468" s="34">
        <f>468</f>
        <v>468</v>
      </c>
      <c r="BH468" s="18">
        <f t="shared" si="399"/>
        <v>0</v>
      </c>
      <c r="BI468" s="18">
        <f t="shared" si="400"/>
        <v>0</v>
      </c>
      <c r="BJ468" s="18">
        <f t="shared" si="401"/>
        <v>0</v>
      </c>
    </row>
    <row r="469" spans="1:62" x14ac:dyDescent="0.2">
      <c r="A469" s="5" t="s">
        <v>430</v>
      </c>
      <c r="B469" s="5" t="s">
        <v>1620</v>
      </c>
      <c r="C469" s="135" t="s">
        <v>2857</v>
      </c>
      <c r="D469" s="136"/>
      <c r="E469" s="136"/>
      <c r="F469" s="136"/>
      <c r="G469" s="136"/>
      <c r="H469" s="5" t="s">
        <v>3612</v>
      </c>
      <c r="I469" s="18">
        <v>1</v>
      </c>
      <c r="J469" s="18">
        <v>0</v>
      </c>
      <c r="K469" s="18">
        <f t="shared" si="380"/>
        <v>0</v>
      </c>
      <c r="L469" s="28" t="s">
        <v>3635</v>
      </c>
      <c r="Z469" s="34">
        <f t="shared" si="381"/>
        <v>0</v>
      </c>
      <c r="AB469" s="34">
        <f t="shared" si="382"/>
        <v>0</v>
      </c>
      <c r="AC469" s="34">
        <f t="shared" si="383"/>
        <v>0</v>
      </c>
      <c r="AD469" s="34">
        <f t="shared" si="384"/>
        <v>0</v>
      </c>
      <c r="AE469" s="34">
        <f t="shared" si="385"/>
        <v>0</v>
      </c>
      <c r="AF469" s="34">
        <f t="shared" si="386"/>
        <v>0</v>
      </c>
      <c r="AG469" s="34">
        <f t="shared" si="387"/>
        <v>0</v>
      </c>
      <c r="AH469" s="34">
        <f t="shared" si="388"/>
        <v>0</v>
      </c>
      <c r="AI469" s="27" t="s">
        <v>3645</v>
      </c>
      <c r="AJ469" s="18">
        <f t="shared" si="389"/>
        <v>0</v>
      </c>
      <c r="AK469" s="18">
        <f t="shared" si="390"/>
        <v>0</v>
      </c>
      <c r="AL469" s="18">
        <f t="shared" si="391"/>
        <v>0</v>
      </c>
      <c r="AN469" s="34">
        <v>21</v>
      </c>
      <c r="AO469" s="34">
        <f t="shared" si="392"/>
        <v>0</v>
      </c>
      <c r="AP469" s="34">
        <f t="shared" si="393"/>
        <v>0</v>
      </c>
      <c r="AQ469" s="28" t="s">
        <v>13</v>
      </c>
      <c r="AV469" s="34">
        <f t="shared" si="394"/>
        <v>0</v>
      </c>
      <c r="AW469" s="34">
        <f t="shared" si="395"/>
        <v>0</v>
      </c>
      <c r="AX469" s="34">
        <f t="shared" si="396"/>
        <v>0</v>
      </c>
      <c r="AY469" s="35" t="s">
        <v>3679</v>
      </c>
      <c r="AZ469" s="35" t="s">
        <v>3714</v>
      </c>
      <c r="BA469" s="27" t="s">
        <v>3729</v>
      </c>
      <c r="BC469" s="34">
        <f t="shared" si="397"/>
        <v>0</v>
      </c>
      <c r="BD469" s="34">
        <f t="shared" si="398"/>
        <v>0</v>
      </c>
      <c r="BE469" s="34">
        <v>0</v>
      </c>
      <c r="BF469" s="34">
        <f>469</f>
        <v>469</v>
      </c>
      <c r="BH469" s="18">
        <f t="shared" si="399"/>
        <v>0</v>
      </c>
      <c r="BI469" s="18">
        <f t="shared" si="400"/>
        <v>0</v>
      </c>
      <c r="BJ469" s="18">
        <f t="shared" si="401"/>
        <v>0</v>
      </c>
    </row>
    <row r="470" spans="1:62" x14ac:dyDescent="0.2">
      <c r="A470" s="5" t="s">
        <v>431</v>
      </c>
      <c r="B470" s="5" t="s">
        <v>1621</v>
      </c>
      <c r="C470" s="135" t="s">
        <v>2858</v>
      </c>
      <c r="D470" s="136"/>
      <c r="E470" s="136"/>
      <c r="F470" s="136"/>
      <c r="G470" s="136"/>
      <c r="H470" s="5" t="s">
        <v>3612</v>
      </c>
      <c r="I470" s="18">
        <v>1</v>
      </c>
      <c r="J470" s="18">
        <v>0</v>
      </c>
      <c r="K470" s="18">
        <f t="shared" si="380"/>
        <v>0</v>
      </c>
      <c r="L470" s="28" t="s">
        <v>3635</v>
      </c>
      <c r="Z470" s="34">
        <f t="shared" si="381"/>
        <v>0</v>
      </c>
      <c r="AB470" s="34">
        <f t="shared" si="382"/>
        <v>0</v>
      </c>
      <c r="AC470" s="34">
        <f t="shared" si="383"/>
        <v>0</v>
      </c>
      <c r="AD470" s="34">
        <f t="shared" si="384"/>
        <v>0</v>
      </c>
      <c r="AE470" s="34">
        <f t="shared" si="385"/>
        <v>0</v>
      </c>
      <c r="AF470" s="34">
        <f t="shared" si="386"/>
        <v>0</v>
      </c>
      <c r="AG470" s="34">
        <f t="shared" si="387"/>
        <v>0</v>
      </c>
      <c r="AH470" s="34">
        <f t="shared" si="388"/>
        <v>0</v>
      </c>
      <c r="AI470" s="27" t="s">
        <v>3645</v>
      </c>
      <c r="AJ470" s="18">
        <f t="shared" si="389"/>
        <v>0</v>
      </c>
      <c r="AK470" s="18">
        <f t="shared" si="390"/>
        <v>0</v>
      </c>
      <c r="AL470" s="18">
        <f t="shared" si="391"/>
        <v>0</v>
      </c>
      <c r="AN470" s="34">
        <v>21</v>
      </c>
      <c r="AO470" s="34">
        <f t="shared" si="392"/>
        <v>0</v>
      </c>
      <c r="AP470" s="34">
        <f t="shared" si="393"/>
        <v>0</v>
      </c>
      <c r="AQ470" s="28" t="s">
        <v>13</v>
      </c>
      <c r="AV470" s="34">
        <f t="shared" si="394"/>
        <v>0</v>
      </c>
      <c r="AW470" s="34">
        <f t="shared" si="395"/>
        <v>0</v>
      </c>
      <c r="AX470" s="34">
        <f t="shared" si="396"/>
        <v>0</v>
      </c>
      <c r="AY470" s="35" t="s">
        <v>3679</v>
      </c>
      <c r="AZ470" s="35" t="s">
        <v>3714</v>
      </c>
      <c r="BA470" s="27" t="s">
        <v>3729</v>
      </c>
      <c r="BC470" s="34">
        <f t="shared" si="397"/>
        <v>0</v>
      </c>
      <c r="BD470" s="34">
        <f t="shared" si="398"/>
        <v>0</v>
      </c>
      <c r="BE470" s="34">
        <v>0</v>
      </c>
      <c r="BF470" s="34">
        <f>470</f>
        <v>470</v>
      </c>
      <c r="BH470" s="18">
        <f t="shared" si="399"/>
        <v>0</v>
      </c>
      <c r="BI470" s="18">
        <f t="shared" si="400"/>
        <v>0</v>
      </c>
      <c r="BJ470" s="18">
        <f t="shared" si="401"/>
        <v>0</v>
      </c>
    </row>
    <row r="471" spans="1:62" x14ac:dyDescent="0.2">
      <c r="A471" s="5" t="s">
        <v>432</v>
      </c>
      <c r="B471" s="5" t="s">
        <v>1622</v>
      </c>
      <c r="C471" s="135" t="s">
        <v>2859</v>
      </c>
      <c r="D471" s="136"/>
      <c r="E471" s="136"/>
      <c r="F471" s="136"/>
      <c r="G471" s="136"/>
      <c r="H471" s="5" t="s">
        <v>3612</v>
      </c>
      <c r="I471" s="18">
        <v>1</v>
      </c>
      <c r="J471" s="18">
        <v>0</v>
      </c>
      <c r="K471" s="18">
        <f t="shared" si="380"/>
        <v>0</v>
      </c>
      <c r="L471" s="28" t="s">
        <v>3635</v>
      </c>
      <c r="Z471" s="34">
        <f t="shared" si="381"/>
        <v>0</v>
      </c>
      <c r="AB471" s="34">
        <f t="shared" si="382"/>
        <v>0</v>
      </c>
      <c r="AC471" s="34">
        <f t="shared" si="383"/>
        <v>0</v>
      </c>
      <c r="AD471" s="34">
        <f t="shared" si="384"/>
        <v>0</v>
      </c>
      <c r="AE471" s="34">
        <f t="shared" si="385"/>
        <v>0</v>
      </c>
      <c r="AF471" s="34">
        <f t="shared" si="386"/>
        <v>0</v>
      </c>
      <c r="AG471" s="34">
        <f t="shared" si="387"/>
        <v>0</v>
      </c>
      <c r="AH471" s="34">
        <f t="shared" si="388"/>
        <v>0</v>
      </c>
      <c r="AI471" s="27" t="s">
        <v>3645</v>
      </c>
      <c r="AJ471" s="18">
        <f t="shared" si="389"/>
        <v>0</v>
      </c>
      <c r="AK471" s="18">
        <f t="shared" si="390"/>
        <v>0</v>
      </c>
      <c r="AL471" s="18">
        <f t="shared" si="391"/>
        <v>0</v>
      </c>
      <c r="AN471" s="34">
        <v>21</v>
      </c>
      <c r="AO471" s="34">
        <f t="shared" si="392"/>
        <v>0</v>
      </c>
      <c r="AP471" s="34">
        <f t="shared" si="393"/>
        <v>0</v>
      </c>
      <c r="AQ471" s="28" t="s">
        <v>13</v>
      </c>
      <c r="AV471" s="34">
        <f t="shared" si="394"/>
        <v>0</v>
      </c>
      <c r="AW471" s="34">
        <f t="shared" si="395"/>
        <v>0</v>
      </c>
      <c r="AX471" s="34">
        <f t="shared" si="396"/>
        <v>0</v>
      </c>
      <c r="AY471" s="35" t="s">
        <v>3679</v>
      </c>
      <c r="AZ471" s="35" t="s">
        <v>3714</v>
      </c>
      <c r="BA471" s="27" t="s">
        <v>3729</v>
      </c>
      <c r="BC471" s="34">
        <f t="shared" si="397"/>
        <v>0</v>
      </c>
      <c r="BD471" s="34">
        <f t="shared" si="398"/>
        <v>0</v>
      </c>
      <c r="BE471" s="34">
        <v>0</v>
      </c>
      <c r="BF471" s="34">
        <f>471</f>
        <v>471</v>
      </c>
      <c r="BH471" s="18">
        <f t="shared" si="399"/>
        <v>0</v>
      </c>
      <c r="BI471" s="18">
        <f t="shared" si="400"/>
        <v>0</v>
      </c>
      <c r="BJ471" s="18">
        <f t="shared" si="401"/>
        <v>0</v>
      </c>
    </row>
    <row r="472" spans="1:62" x14ac:dyDescent="0.2">
      <c r="A472" s="5" t="s">
        <v>433</v>
      </c>
      <c r="B472" s="5" t="s">
        <v>1623</v>
      </c>
      <c r="C472" s="135" t="s">
        <v>2860</v>
      </c>
      <c r="D472" s="136"/>
      <c r="E472" s="136"/>
      <c r="F472" s="136"/>
      <c r="G472" s="136"/>
      <c r="H472" s="5" t="s">
        <v>3612</v>
      </c>
      <c r="I472" s="18">
        <v>1</v>
      </c>
      <c r="J472" s="18">
        <v>0</v>
      </c>
      <c r="K472" s="18">
        <f t="shared" si="380"/>
        <v>0</v>
      </c>
      <c r="L472" s="28" t="s">
        <v>3635</v>
      </c>
      <c r="Z472" s="34">
        <f t="shared" si="381"/>
        <v>0</v>
      </c>
      <c r="AB472" s="34">
        <f t="shared" si="382"/>
        <v>0</v>
      </c>
      <c r="AC472" s="34">
        <f t="shared" si="383"/>
        <v>0</v>
      </c>
      <c r="AD472" s="34">
        <f t="shared" si="384"/>
        <v>0</v>
      </c>
      <c r="AE472" s="34">
        <f t="shared" si="385"/>
        <v>0</v>
      </c>
      <c r="AF472" s="34">
        <f t="shared" si="386"/>
        <v>0</v>
      </c>
      <c r="AG472" s="34">
        <f t="shared" si="387"/>
        <v>0</v>
      </c>
      <c r="AH472" s="34">
        <f t="shared" si="388"/>
        <v>0</v>
      </c>
      <c r="AI472" s="27" t="s">
        <v>3645</v>
      </c>
      <c r="AJ472" s="18">
        <f t="shared" si="389"/>
        <v>0</v>
      </c>
      <c r="AK472" s="18">
        <f t="shared" si="390"/>
        <v>0</v>
      </c>
      <c r="AL472" s="18">
        <f t="shared" si="391"/>
        <v>0</v>
      </c>
      <c r="AN472" s="34">
        <v>21</v>
      </c>
      <c r="AO472" s="34">
        <f t="shared" si="392"/>
        <v>0</v>
      </c>
      <c r="AP472" s="34">
        <f t="shared" si="393"/>
        <v>0</v>
      </c>
      <c r="AQ472" s="28" t="s">
        <v>13</v>
      </c>
      <c r="AV472" s="34">
        <f t="shared" si="394"/>
        <v>0</v>
      </c>
      <c r="AW472" s="34">
        <f t="shared" si="395"/>
        <v>0</v>
      </c>
      <c r="AX472" s="34">
        <f t="shared" si="396"/>
        <v>0</v>
      </c>
      <c r="AY472" s="35" t="s">
        <v>3679</v>
      </c>
      <c r="AZ472" s="35" t="s">
        <v>3714</v>
      </c>
      <c r="BA472" s="27" t="s">
        <v>3729</v>
      </c>
      <c r="BC472" s="34">
        <f t="shared" si="397"/>
        <v>0</v>
      </c>
      <c r="BD472" s="34">
        <f t="shared" si="398"/>
        <v>0</v>
      </c>
      <c r="BE472" s="34">
        <v>0</v>
      </c>
      <c r="BF472" s="34">
        <f>472</f>
        <v>472</v>
      </c>
      <c r="BH472" s="18">
        <f t="shared" si="399"/>
        <v>0</v>
      </c>
      <c r="BI472" s="18">
        <f t="shared" si="400"/>
        <v>0</v>
      </c>
      <c r="BJ472" s="18">
        <f t="shared" si="401"/>
        <v>0</v>
      </c>
    </row>
    <row r="473" spans="1:62" x14ac:dyDescent="0.2">
      <c r="A473" s="5" t="s">
        <v>434</v>
      </c>
      <c r="B473" s="5" t="s">
        <v>1624</v>
      </c>
      <c r="C473" s="135" t="s">
        <v>2861</v>
      </c>
      <c r="D473" s="136"/>
      <c r="E473" s="136"/>
      <c r="F473" s="136"/>
      <c r="G473" s="136"/>
      <c r="H473" s="5" t="s">
        <v>3612</v>
      </c>
      <c r="I473" s="18">
        <v>1</v>
      </c>
      <c r="J473" s="18">
        <v>0</v>
      </c>
      <c r="K473" s="18">
        <f t="shared" si="380"/>
        <v>0</v>
      </c>
      <c r="L473" s="28" t="s">
        <v>3635</v>
      </c>
      <c r="Z473" s="34">
        <f t="shared" si="381"/>
        <v>0</v>
      </c>
      <c r="AB473" s="34">
        <f t="shared" si="382"/>
        <v>0</v>
      </c>
      <c r="AC473" s="34">
        <f t="shared" si="383"/>
        <v>0</v>
      </c>
      <c r="AD473" s="34">
        <f t="shared" si="384"/>
        <v>0</v>
      </c>
      <c r="AE473" s="34">
        <f t="shared" si="385"/>
        <v>0</v>
      </c>
      <c r="AF473" s="34">
        <f t="shared" si="386"/>
        <v>0</v>
      </c>
      <c r="AG473" s="34">
        <f t="shared" si="387"/>
        <v>0</v>
      </c>
      <c r="AH473" s="34">
        <f t="shared" si="388"/>
        <v>0</v>
      </c>
      <c r="AI473" s="27" t="s">
        <v>3645</v>
      </c>
      <c r="AJ473" s="18">
        <f t="shared" si="389"/>
        <v>0</v>
      </c>
      <c r="AK473" s="18">
        <f t="shared" si="390"/>
        <v>0</v>
      </c>
      <c r="AL473" s="18">
        <f t="shared" si="391"/>
        <v>0</v>
      </c>
      <c r="AN473" s="34">
        <v>21</v>
      </c>
      <c r="AO473" s="34">
        <f t="shared" si="392"/>
        <v>0</v>
      </c>
      <c r="AP473" s="34">
        <f t="shared" si="393"/>
        <v>0</v>
      </c>
      <c r="AQ473" s="28" t="s">
        <v>13</v>
      </c>
      <c r="AV473" s="34">
        <f t="shared" si="394"/>
        <v>0</v>
      </c>
      <c r="AW473" s="34">
        <f t="shared" si="395"/>
        <v>0</v>
      </c>
      <c r="AX473" s="34">
        <f t="shared" si="396"/>
        <v>0</v>
      </c>
      <c r="AY473" s="35" t="s">
        <v>3679</v>
      </c>
      <c r="AZ473" s="35" t="s">
        <v>3714</v>
      </c>
      <c r="BA473" s="27" t="s">
        <v>3729</v>
      </c>
      <c r="BC473" s="34">
        <f t="shared" si="397"/>
        <v>0</v>
      </c>
      <c r="BD473" s="34">
        <f t="shared" si="398"/>
        <v>0</v>
      </c>
      <c r="BE473" s="34">
        <v>0</v>
      </c>
      <c r="BF473" s="34">
        <f>473</f>
        <v>473</v>
      </c>
      <c r="BH473" s="18">
        <f t="shared" si="399"/>
        <v>0</v>
      </c>
      <c r="BI473" s="18">
        <f t="shared" si="400"/>
        <v>0</v>
      </c>
      <c r="BJ473" s="18">
        <f t="shared" si="401"/>
        <v>0</v>
      </c>
    </row>
    <row r="474" spans="1:62" x14ac:dyDescent="0.2">
      <c r="A474" s="5" t="s">
        <v>435</v>
      </c>
      <c r="B474" s="5" t="s">
        <v>1625</v>
      </c>
      <c r="C474" s="135" t="s">
        <v>2862</v>
      </c>
      <c r="D474" s="136"/>
      <c r="E474" s="136"/>
      <c r="F474" s="136"/>
      <c r="G474" s="136"/>
      <c r="H474" s="5" t="s">
        <v>3612</v>
      </c>
      <c r="I474" s="18">
        <v>1</v>
      </c>
      <c r="J474" s="18">
        <v>0</v>
      </c>
      <c r="K474" s="18">
        <f t="shared" si="380"/>
        <v>0</v>
      </c>
      <c r="L474" s="28" t="s">
        <v>3635</v>
      </c>
      <c r="Z474" s="34">
        <f t="shared" si="381"/>
        <v>0</v>
      </c>
      <c r="AB474" s="34">
        <f t="shared" si="382"/>
        <v>0</v>
      </c>
      <c r="AC474" s="34">
        <f t="shared" si="383"/>
        <v>0</v>
      </c>
      <c r="AD474" s="34">
        <f t="shared" si="384"/>
        <v>0</v>
      </c>
      <c r="AE474" s="34">
        <f t="shared" si="385"/>
        <v>0</v>
      </c>
      <c r="AF474" s="34">
        <f t="shared" si="386"/>
        <v>0</v>
      </c>
      <c r="AG474" s="34">
        <f t="shared" si="387"/>
        <v>0</v>
      </c>
      <c r="AH474" s="34">
        <f t="shared" si="388"/>
        <v>0</v>
      </c>
      <c r="AI474" s="27" t="s">
        <v>3645</v>
      </c>
      <c r="AJ474" s="18">
        <f t="shared" si="389"/>
        <v>0</v>
      </c>
      <c r="AK474" s="18">
        <f t="shared" si="390"/>
        <v>0</v>
      </c>
      <c r="AL474" s="18">
        <f t="shared" si="391"/>
        <v>0</v>
      </c>
      <c r="AN474" s="34">
        <v>21</v>
      </c>
      <c r="AO474" s="34">
        <f t="shared" si="392"/>
        <v>0</v>
      </c>
      <c r="AP474" s="34">
        <f t="shared" si="393"/>
        <v>0</v>
      </c>
      <c r="AQ474" s="28" t="s">
        <v>13</v>
      </c>
      <c r="AV474" s="34">
        <f t="shared" si="394"/>
        <v>0</v>
      </c>
      <c r="AW474" s="34">
        <f t="shared" si="395"/>
        <v>0</v>
      </c>
      <c r="AX474" s="34">
        <f t="shared" si="396"/>
        <v>0</v>
      </c>
      <c r="AY474" s="35" t="s">
        <v>3679</v>
      </c>
      <c r="AZ474" s="35" t="s">
        <v>3714</v>
      </c>
      <c r="BA474" s="27" t="s">
        <v>3729</v>
      </c>
      <c r="BC474" s="34">
        <f t="shared" si="397"/>
        <v>0</v>
      </c>
      <c r="BD474" s="34">
        <f t="shared" si="398"/>
        <v>0</v>
      </c>
      <c r="BE474" s="34">
        <v>0</v>
      </c>
      <c r="BF474" s="34">
        <f>474</f>
        <v>474</v>
      </c>
      <c r="BH474" s="18">
        <f t="shared" si="399"/>
        <v>0</v>
      </c>
      <c r="BI474" s="18">
        <f t="shared" si="400"/>
        <v>0</v>
      </c>
      <c r="BJ474" s="18">
        <f t="shared" si="401"/>
        <v>0</v>
      </c>
    </row>
    <row r="475" spans="1:62" x14ac:dyDescent="0.2">
      <c r="A475" s="5" t="s">
        <v>436</v>
      </c>
      <c r="B475" s="5" t="s">
        <v>1626</v>
      </c>
      <c r="C475" s="135" t="s">
        <v>2863</v>
      </c>
      <c r="D475" s="136"/>
      <c r="E475" s="136"/>
      <c r="F475" s="136"/>
      <c r="G475" s="136"/>
      <c r="H475" s="5" t="s">
        <v>3612</v>
      </c>
      <c r="I475" s="18">
        <v>2</v>
      </c>
      <c r="J475" s="18">
        <v>0</v>
      </c>
      <c r="K475" s="18">
        <f t="shared" si="380"/>
        <v>0</v>
      </c>
      <c r="L475" s="28" t="s">
        <v>3635</v>
      </c>
      <c r="Z475" s="34">
        <f t="shared" si="381"/>
        <v>0</v>
      </c>
      <c r="AB475" s="34">
        <f t="shared" si="382"/>
        <v>0</v>
      </c>
      <c r="AC475" s="34">
        <f t="shared" si="383"/>
        <v>0</v>
      </c>
      <c r="AD475" s="34">
        <f t="shared" si="384"/>
        <v>0</v>
      </c>
      <c r="AE475" s="34">
        <f t="shared" si="385"/>
        <v>0</v>
      </c>
      <c r="AF475" s="34">
        <f t="shared" si="386"/>
        <v>0</v>
      </c>
      <c r="AG475" s="34">
        <f t="shared" si="387"/>
        <v>0</v>
      </c>
      <c r="AH475" s="34">
        <f t="shared" si="388"/>
        <v>0</v>
      </c>
      <c r="AI475" s="27" t="s">
        <v>3645</v>
      </c>
      <c r="AJ475" s="18">
        <f t="shared" si="389"/>
        <v>0</v>
      </c>
      <c r="AK475" s="18">
        <f t="shared" si="390"/>
        <v>0</v>
      </c>
      <c r="AL475" s="18">
        <f t="shared" si="391"/>
        <v>0</v>
      </c>
      <c r="AN475" s="34">
        <v>21</v>
      </c>
      <c r="AO475" s="34">
        <f t="shared" si="392"/>
        <v>0</v>
      </c>
      <c r="AP475" s="34">
        <f t="shared" si="393"/>
        <v>0</v>
      </c>
      <c r="AQ475" s="28" t="s">
        <v>13</v>
      </c>
      <c r="AV475" s="34">
        <f t="shared" si="394"/>
        <v>0</v>
      </c>
      <c r="AW475" s="34">
        <f t="shared" si="395"/>
        <v>0</v>
      </c>
      <c r="AX475" s="34">
        <f t="shared" si="396"/>
        <v>0</v>
      </c>
      <c r="AY475" s="35" t="s">
        <v>3679</v>
      </c>
      <c r="AZ475" s="35" t="s">
        <v>3714</v>
      </c>
      <c r="BA475" s="27" t="s">
        <v>3729</v>
      </c>
      <c r="BC475" s="34">
        <f t="shared" si="397"/>
        <v>0</v>
      </c>
      <c r="BD475" s="34">
        <f t="shared" si="398"/>
        <v>0</v>
      </c>
      <c r="BE475" s="34">
        <v>0</v>
      </c>
      <c r="BF475" s="34">
        <f>475</f>
        <v>475</v>
      </c>
      <c r="BH475" s="18">
        <f t="shared" si="399"/>
        <v>0</v>
      </c>
      <c r="BI475" s="18">
        <f t="shared" si="400"/>
        <v>0</v>
      </c>
      <c r="BJ475" s="18">
        <f t="shared" si="401"/>
        <v>0</v>
      </c>
    </row>
    <row r="476" spans="1:62" x14ac:dyDescent="0.2">
      <c r="A476" s="5" t="s">
        <v>437</v>
      </c>
      <c r="B476" s="5" t="s">
        <v>1627</v>
      </c>
      <c r="C476" s="135" t="s">
        <v>2864</v>
      </c>
      <c r="D476" s="136"/>
      <c r="E476" s="136"/>
      <c r="F476" s="136"/>
      <c r="G476" s="136"/>
      <c r="H476" s="5" t="s">
        <v>3612</v>
      </c>
      <c r="I476" s="18">
        <v>1</v>
      </c>
      <c r="J476" s="18">
        <v>0</v>
      </c>
      <c r="K476" s="18">
        <f t="shared" si="380"/>
        <v>0</v>
      </c>
      <c r="L476" s="28" t="s">
        <v>3635</v>
      </c>
      <c r="Z476" s="34">
        <f t="shared" si="381"/>
        <v>0</v>
      </c>
      <c r="AB476" s="34">
        <f t="shared" si="382"/>
        <v>0</v>
      </c>
      <c r="AC476" s="34">
        <f t="shared" si="383"/>
        <v>0</v>
      </c>
      <c r="AD476" s="34">
        <f t="shared" si="384"/>
        <v>0</v>
      </c>
      <c r="AE476" s="34">
        <f t="shared" si="385"/>
        <v>0</v>
      </c>
      <c r="AF476" s="34">
        <f t="shared" si="386"/>
        <v>0</v>
      </c>
      <c r="AG476" s="34">
        <f t="shared" si="387"/>
        <v>0</v>
      </c>
      <c r="AH476" s="34">
        <f t="shared" si="388"/>
        <v>0</v>
      </c>
      <c r="AI476" s="27" t="s">
        <v>3645</v>
      </c>
      <c r="AJ476" s="18">
        <f t="shared" si="389"/>
        <v>0</v>
      </c>
      <c r="AK476" s="18">
        <f t="shared" si="390"/>
        <v>0</v>
      </c>
      <c r="AL476" s="18">
        <f t="shared" si="391"/>
        <v>0</v>
      </c>
      <c r="AN476" s="34">
        <v>21</v>
      </c>
      <c r="AO476" s="34">
        <f t="shared" si="392"/>
        <v>0</v>
      </c>
      <c r="AP476" s="34">
        <f t="shared" si="393"/>
        <v>0</v>
      </c>
      <c r="AQ476" s="28" t="s">
        <v>13</v>
      </c>
      <c r="AV476" s="34">
        <f t="shared" si="394"/>
        <v>0</v>
      </c>
      <c r="AW476" s="34">
        <f t="shared" si="395"/>
        <v>0</v>
      </c>
      <c r="AX476" s="34">
        <f t="shared" si="396"/>
        <v>0</v>
      </c>
      <c r="AY476" s="35" t="s">
        <v>3679</v>
      </c>
      <c r="AZ476" s="35" t="s">
        <v>3714</v>
      </c>
      <c r="BA476" s="27" t="s">
        <v>3729</v>
      </c>
      <c r="BC476" s="34">
        <f t="shared" si="397"/>
        <v>0</v>
      </c>
      <c r="BD476" s="34">
        <f t="shared" si="398"/>
        <v>0</v>
      </c>
      <c r="BE476" s="34">
        <v>0</v>
      </c>
      <c r="BF476" s="34">
        <f>476</f>
        <v>476</v>
      </c>
      <c r="BH476" s="18">
        <f t="shared" si="399"/>
        <v>0</v>
      </c>
      <c r="BI476" s="18">
        <f t="shared" si="400"/>
        <v>0</v>
      </c>
      <c r="BJ476" s="18">
        <f t="shared" si="401"/>
        <v>0</v>
      </c>
    </row>
    <row r="477" spans="1:62" x14ac:dyDescent="0.2">
      <c r="A477" s="5" t="s">
        <v>438</v>
      </c>
      <c r="B477" s="5" t="s">
        <v>1628</v>
      </c>
      <c r="C477" s="135" t="s">
        <v>2865</v>
      </c>
      <c r="D477" s="136"/>
      <c r="E477" s="136"/>
      <c r="F477" s="136"/>
      <c r="G477" s="136"/>
      <c r="H477" s="5" t="s">
        <v>3612</v>
      </c>
      <c r="I477" s="18">
        <v>1</v>
      </c>
      <c r="J477" s="18">
        <v>0</v>
      </c>
      <c r="K477" s="18">
        <f t="shared" si="380"/>
        <v>0</v>
      </c>
      <c r="L477" s="28" t="s">
        <v>3635</v>
      </c>
      <c r="Z477" s="34">
        <f t="shared" si="381"/>
        <v>0</v>
      </c>
      <c r="AB477" s="34">
        <f t="shared" si="382"/>
        <v>0</v>
      </c>
      <c r="AC477" s="34">
        <f t="shared" si="383"/>
        <v>0</v>
      </c>
      <c r="AD477" s="34">
        <f t="shared" si="384"/>
        <v>0</v>
      </c>
      <c r="AE477" s="34">
        <f t="shared" si="385"/>
        <v>0</v>
      </c>
      <c r="AF477" s="34">
        <f t="shared" si="386"/>
        <v>0</v>
      </c>
      <c r="AG477" s="34">
        <f t="shared" si="387"/>
        <v>0</v>
      </c>
      <c r="AH477" s="34">
        <f t="shared" si="388"/>
        <v>0</v>
      </c>
      <c r="AI477" s="27" t="s">
        <v>3645</v>
      </c>
      <c r="AJ477" s="18">
        <f t="shared" si="389"/>
        <v>0</v>
      </c>
      <c r="AK477" s="18">
        <f t="shared" si="390"/>
        <v>0</v>
      </c>
      <c r="AL477" s="18">
        <f t="shared" si="391"/>
        <v>0</v>
      </c>
      <c r="AN477" s="34">
        <v>21</v>
      </c>
      <c r="AO477" s="34">
        <f t="shared" si="392"/>
        <v>0</v>
      </c>
      <c r="AP477" s="34">
        <f t="shared" si="393"/>
        <v>0</v>
      </c>
      <c r="AQ477" s="28" t="s">
        <v>13</v>
      </c>
      <c r="AV477" s="34">
        <f t="shared" si="394"/>
        <v>0</v>
      </c>
      <c r="AW477" s="34">
        <f t="shared" si="395"/>
        <v>0</v>
      </c>
      <c r="AX477" s="34">
        <f t="shared" si="396"/>
        <v>0</v>
      </c>
      <c r="AY477" s="35" t="s">
        <v>3679</v>
      </c>
      <c r="AZ477" s="35" t="s">
        <v>3714</v>
      </c>
      <c r="BA477" s="27" t="s">
        <v>3729</v>
      </c>
      <c r="BC477" s="34">
        <f t="shared" si="397"/>
        <v>0</v>
      </c>
      <c r="BD477" s="34">
        <f t="shared" si="398"/>
        <v>0</v>
      </c>
      <c r="BE477" s="34">
        <v>0</v>
      </c>
      <c r="BF477" s="34">
        <f>477</f>
        <v>477</v>
      </c>
      <c r="BH477" s="18">
        <f t="shared" si="399"/>
        <v>0</v>
      </c>
      <c r="BI477" s="18">
        <f t="shared" si="400"/>
        <v>0</v>
      </c>
      <c r="BJ477" s="18">
        <f t="shared" si="401"/>
        <v>0</v>
      </c>
    </row>
    <row r="478" spans="1:62" x14ac:dyDescent="0.2">
      <c r="A478" s="5" t="s">
        <v>439</v>
      </c>
      <c r="B478" s="5" t="s">
        <v>1629</v>
      </c>
      <c r="C478" s="135" t="s">
        <v>2866</v>
      </c>
      <c r="D478" s="136"/>
      <c r="E478" s="136"/>
      <c r="F478" s="136"/>
      <c r="G478" s="136"/>
      <c r="H478" s="5" t="s">
        <v>3612</v>
      </c>
      <c r="I478" s="18">
        <v>1</v>
      </c>
      <c r="J478" s="18">
        <v>0</v>
      </c>
      <c r="K478" s="18">
        <f t="shared" si="380"/>
        <v>0</v>
      </c>
      <c r="L478" s="28" t="s">
        <v>3635</v>
      </c>
      <c r="Z478" s="34">
        <f t="shared" si="381"/>
        <v>0</v>
      </c>
      <c r="AB478" s="34">
        <f t="shared" si="382"/>
        <v>0</v>
      </c>
      <c r="AC478" s="34">
        <f t="shared" si="383"/>
        <v>0</v>
      </c>
      <c r="AD478" s="34">
        <f t="shared" si="384"/>
        <v>0</v>
      </c>
      <c r="AE478" s="34">
        <f t="shared" si="385"/>
        <v>0</v>
      </c>
      <c r="AF478" s="34">
        <f t="shared" si="386"/>
        <v>0</v>
      </c>
      <c r="AG478" s="34">
        <f t="shared" si="387"/>
        <v>0</v>
      </c>
      <c r="AH478" s="34">
        <f t="shared" si="388"/>
        <v>0</v>
      </c>
      <c r="AI478" s="27" t="s">
        <v>3645</v>
      </c>
      <c r="AJ478" s="18">
        <f t="shared" si="389"/>
        <v>0</v>
      </c>
      <c r="AK478" s="18">
        <f t="shared" si="390"/>
        <v>0</v>
      </c>
      <c r="AL478" s="18">
        <f t="shared" si="391"/>
        <v>0</v>
      </c>
      <c r="AN478" s="34">
        <v>21</v>
      </c>
      <c r="AO478" s="34">
        <f t="shared" si="392"/>
        <v>0</v>
      </c>
      <c r="AP478" s="34">
        <f t="shared" si="393"/>
        <v>0</v>
      </c>
      <c r="AQ478" s="28" t="s">
        <v>13</v>
      </c>
      <c r="AV478" s="34">
        <f t="shared" si="394"/>
        <v>0</v>
      </c>
      <c r="AW478" s="34">
        <f t="shared" si="395"/>
        <v>0</v>
      </c>
      <c r="AX478" s="34">
        <f t="shared" si="396"/>
        <v>0</v>
      </c>
      <c r="AY478" s="35" t="s">
        <v>3679</v>
      </c>
      <c r="AZ478" s="35" t="s">
        <v>3714</v>
      </c>
      <c r="BA478" s="27" t="s">
        <v>3729</v>
      </c>
      <c r="BC478" s="34">
        <f t="shared" si="397"/>
        <v>0</v>
      </c>
      <c r="BD478" s="34">
        <f t="shared" si="398"/>
        <v>0</v>
      </c>
      <c r="BE478" s="34">
        <v>0</v>
      </c>
      <c r="BF478" s="34">
        <f>478</f>
        <v>478</v>
      </c>
      <c r="BH478" s="18">
        <f t="shared" si="399"/>
        <v>0</v>
      </c>
      <c r="BI478" s="18">
        <f t="shared" si="400"/>
        <v>0</v>
      </c>
      <c r="BJ478" s="18">
        <f t="shared" si="401"/>
        <v>0</v>
      </c>
    </row>
    <row r="479" spans="1:62" x14ac:dyDescent="0.2">
      <c r="A479" s="5" t="s">
        <v>440</v>
      </c>
      <c r="B479" s="5" t="s">
        <v>1630</v>
      </c>
      <c r="C479" s="135" t="s">
        <v>2867</v>
      </c>
      <c r="D479" s="136"/>
      <c r="E479" s="136"/>
      <c r="F479" s="136"/>
      <c r="G479" s="136"/>
      <c r="H479" s="5" t="s">
        <v>3612</v>
      </c>
      <c r="I479" s="18">
        <v>1</v>
      </c>
      <c r="J479" s="18">
        <v>0</v>
      </c>
      <c r="K479" s="18">
        <f t="shared" ref="K479:K499" si="402">I479*J479</f>
        <v>0</v>
      </c>
      <c r="L479" s="28" t="s">
        <v>3635</v>
      </c>
      <c r="Z479" s="34">
        <f t="shared" ref="Z479:Z499" si="403">IF(AQ479="5",BJ479,0)</f>
        <v>0</v>
      </c>
      <c r="AB479" s="34">
        <f t="shared" ref="AB479:AB499" si="404">IF(AQ479="1",BH479,0)</f>
        <v>0</v>
      </c>
      <c r="AC479" s="34">
        <f t="shared" ref="AC479:AC499" si="405">IF(AQ479="1",BI479,0)</f>
        <v>0</v>
      </c>
      <c r="AD479" s="34">
        <f t="shared" ref="AD479:AD499" si="406">IF(AQ479="7",BH479,0)</f>
        <v>0</v>
      </c>
      <c r="AE479" s="34">
        <f t="shared" ref="AE479:AE499" si="407">IF(AQ479="7",BI479,0)</f>
        <v>0</v>
      </c>
      <c r="AF479" s="34">
        <f t="shared" ref="AF479:AF499" si="408">IF(AQ479="2",BH479,0)</f>
        <v>0</v>
      </c>
      <c r="AG479" s="34">
        <f t="shared" ref="AG479:AG499" si="409">IF(AQ479="2",BI479,0)</f>
        <v>0</v>
      </c>
      <c r="AH479" s="34">
        <f t="shared" ref="AH479:AH499" si="410">IF(AQ479="0",BJ479,0)</f>
        <v>0</v>
      </c>
      <c r="AI479" s="27" t="s">
        <v>3645</v>
      </c>
      <c r="AJ479" s="18">
        <f t="shared" ref="AJ479:AJ499" si="411">IF(AN479=0,K479,0)</f>
        <v>0</v>
      </c>
      <c r="AK479" s="18">
        <f t="shared" ref="AK479:AK499" si="412">IF(AN479=15,K479,0)</f>
        <v>0</v>
      </c>
      <c r="AL479" s="18">
        <f t="shared" ref="AL479:AL499" si="413">IF(AN479=21,K479,0)</f>
        <v>0</v>
      </c>
      <c r="AN479" s="34">
        <v>21</v>
      </c>
      <c r="AO479" s="34">
        <f t="shared" ref="AO479:AO499" si="414">J479*0</f>
        <v>0</v>
      </c>
      <c r="AP479" s="34">
        <f t="shared" ref="AP479:AP499" si="415">J479*(1-0)</f>
        <v>0</v>
      </c>
      <c r="AQ479" s="28" t="s">
        <v>13</v>
      </c>
      <c r="AV479" s="34">
        <f t="shared" ref="AV479:AV499" si="416">AW479+AX479</f>
        <v>0</v>
      </c>
      <c r="AW479" s="34">
        <f t="shared" ref="AW479:AW499" si="417">I479*AO479</f>
        <v>0</v>
      </c>
      <c r="AX479" s="34">
        <f t="shared" ref="AX479:AX499" si="418">I479*AP479</f>
        <v>0</v>
      </c>
      <c r="AY479" s="35" t="s">
        <v>3679</v>
      </c>
      <c r="AZ479" s="35" t="s">
        <v>3714</v>
      </c>
      <c r="BA479" s="27" t="s">
        <v>3729</v>
      </c>
      <c r="BC479" s="34">
        <f t="shared" ref="BC479:BC499" si="419">AW479+AX479</f>
        <v>0</v>
      </c>
      <c r="BD479" s="34">
        <f t="shared" ref="BD479:BD499" si="420">J479/(100-BE479)*100</f>
        <v>0</v>
      </c>
      <c r="BE479" s="34">
        <v>0</v>
      </c>
      <c r="BF479" s="34">
        <f>479</f>
        <v>479</v>
      </c>
      <c r="BH479" s="18">
        <f t="shared" ref="BH479:BH499" si="421">I479*AO479</f>
        <v>0</v>
      </c>
      <c r="BI479" s="18">
        <f t="shared" ref="BI479:BI499" si="422">I479*AP479</f>
        <v>0</v>
      </c>
      <c r="BJ479" s="18">
        <f t="shared" ref="BJ479:BJ499" si="423">I479*J479</f>
        <v>0</v>
      </c>
    </row>
    <row r="480" spans="1:62" x14ac:dyDescent="0.2">
      <c r="A480" s="5" t="s">
        <v>441</v>
      </c>
      <c r="B480" s="5" t="s">
        <v>1631</v>
      </c>
      <c r="C480" s="135" t="s">
        <v>2868</v>
      </c>
      <c r="D480" s="136"/>
      <c r="E480" s="136"/>
      <c r="F480" s="136"/>
      <c r="G480" s="136"/>
      <c r="H480" s="5" t="s">
        <v>3612</v>
      </c>
      <c r="I480" s="18">
        <v>1</v>
      </c>
      <c r="J480" s="18">
        <v>0</v>
      </c>
      <c r="K480" s="18">
        <f t="shared" si="402"/>
        <v>0</v>
      </c>
      <c r="L480" s="28" t="s">
        <v>3635</v>
      </c>
      <c r="Z480" s="34">
        <f t="shared" si="403"/>
        <v>0</v>
      </c>
      <c r="AB480" s="34">
        <f t="shared" si="404"/>
        <v>0</v>
      </c>
      <c r="AC480" s="34">
        <f t="shared" si="405"/>
        <v>0</v>
      </c>
      <c r="AD480" s="34">
        <f t="shared" si="406"/>
        <v>0</v>
      </c>
      <c r="AE480" s="34">
        <f t="shared" si="407"/>
        <v>0</v>
      </c>
      <c r="AF480" s="34">
        <f t="shared" si="408"/>
        <v>0</v>
      </c>
      <c r="AG480" s="34">
        <f t="shared" si="409"/>
        <v>0</v>
      </c>
      <c r="AH480" s="34">
        <f t="shared" si="410"/>
        <v>0</v>
      </c>
      <c r="AI480" s="27" t="s">
        <v>3645</v>
      </c>
      <c r="AJ480" s="18">
        <f t="shared" si="411"/>
        <v>0</v>
      </c>
      <c r="AK480" s="18">
        <f t="shared" si="412"/>
        <v>0</v>
      </c>
      <c r="AL480" s="18">
        <f t="shared" si="413"/>
        <v>0</v>
      </c>
      <c r="AN480" s="34">
        <v>21</v>
      </c>
      <c r="AO480" s="34">
        <f t="shared" si="414"/>
        <v>0</v>
      </c>
      <c r="AP480" s="34">
        <f t="shared" si="415"/>
        <v>0</v>
      </c>
      <c r="AQ480" s="28" t="s">
        <v>13</v>
      </c>
      <c r="AV480" s="34">
        <f t="shared" si="416"/>
        <v>0</v>
      </c>
      <c r="AW480" s="34">
        <f t="shared" si="417"/>
        <v>0</v>
      </c>
      <c r="AX480" s="34">
        <f t="shared" si="418"/>
        <v>0</v>
      </c>
      <c r="AY480" s="35" t="s">
        <v>3679</v>
      </c>
      <c r="AZ480" s="35" t="s">
        <v>3714</v>
      </c>
      <c r="BA480" s="27" t="s">
        <v>3729</v>
      </c>
      <c r="BC480" s="34">
        <f t="shared" si="419"/>
        <v>0</v>
      </c>
      <c r="BD480" s="34">
        <f t="shared" si="420"/>
        <v>0</v>
      </c>
      <c r="BE480" s="34">
        <v>0</v>
      </c>
      <c r="BF480" s="34">
        <f>480</f>
        <v>480</v>
      </c>
      <c r="BH480" s="18">
        <f t="shared" si="421"/>
        <v>0</v>
      </c>
      <c r="BI480" s="18">
        <f t="shared" si="422"/>
        <v>0</v>
      </c>
      <c r="BJ480" s="18">
        <f t="shared" si="423"/>
        <v>0</v>
      </c>
    </row>
    <row r="481" spans="1:62" x14ac:dyDescent="0.2">
      <c r="A481" s="5" t="s">
        <v>442</v>
      </c>
      <c r="B481" s="5" t="s">
        <v>1632</v>
      </c>
      <c r="C481" s="135" t="s">
        <v>2869</v>
      </c>
      <c r="D481" s="136"/>
      <c r="E481" s="136"/>
      <c r="F481" s="136"/>
      <c r="G481" s="136"/>
      <c r="H481" s="5" t="s">
        <v>3612</v>
      </c>
      <c r="I481" s="18">
        <v>1</v>
      </c>
      <c r="J481" s="18">
        <v>0</v>
      </c>
      <c r="K481" s="18">
        <f t="shared" si="402"/>
        <v>0</v>
      </c>
      <c r="L481" s="28" t="s">
        <v>3635</v>
      </c>
      <c r="Z481" s="34">
        <f t="shared" si="403"/>
        <v>0</v>
      </c>
      <c r="AB481" s="34">
        <f t="shared" si="404"/>
        <v>0</v>
      </c>
      <c r="AC481" s="34">
        <f t="shared" si="405"/>
        <v>0</v>
      </c>
      <c r="AD481" s="34">
        <f t="shared" si="406"/>
        <v>0</v>
      </c>
      <c r="AE481" s="34">
        <f t="shared" si="407"/>
        <v>0</v>
      </c>
      <c r="AF481" s="34">
        <f t="shared" si="408"/>
        <v>0</v>
      </c>
      <c r="AG481" s="34">
        <f t="shared" si="409"/>
        <v>0</v>
      </c>
      <c r="AH481" s="34">
        <f t="shared" si="410"/>
        <v>0</v>
      </c>
      <c r="AI481" s="27" t="s">
        <v>3645</v>
      </c>
      <c r="AJ481" s="18">
        <f t="shared" si="411"/>
        <v>0</v>
      </c>
      <c r="AK481" s="18">
        <f t="shared" si="412"/>
        <v>0</v>
      </c>
      <c r="AL481" s="18">
        <f t="shared" si="413"/>
        <v>0</v>
      </c>
      <c r="AN481" s="34">
        <v>21</v>
      </c>
      <c r="AO481" s="34">
        <f t="shared" si="414"/>
        <v>0</v>
      </c>
      <c r="AP481" s="34">
        <f t="shared" si="415"/>
        <v>0</v>
      </c>
      <c r="AQ481" s="28" t="s">
        <v>13</v>
      </c>
      <c r="AV481" s="34">
        <f t="shared" si="416"/>
        <v>0</v>
      </c>
      <c r="AW481" s="34">
        <f t="shared" si="417"/>
        <v>0</v>
      </c>
      <c r="AX481" s="34">
        <f t="shared" si="418"/>
        <v>0</v>
      </c>
      <c r="AY481" s="35" t="s">
        <v>3679</v>
      </c>
      <c r="AZ481" s="35" t="s">
        <v>3714</v>
      </c>
      <c r="BA481" s="27" t="s">
        <v>3729</v>
      </c>
      <c r="BC481" s="34">
        <f t="shared" si="419"/>
        <v>0</v>
      </c>
      <c r="BD481" s="34">
        <f t="shared" si="420"/>
        <v>0</v>
      </c>
      <c r="BE481" s="34">
        <v>0</v>
      </c>
      <c r="BF481" s="34">
        <f>481</f>
        <v>481</v>
      </c>
      <c r="BH481" s="18">
        <f t="shared" si="421"/>
        <v>0</v>
      </c>
      <c r="BI481" s="18">
        <f t="shared" si="422"/>
        <v>0</v>
      </c>
      <c r="BJ481" s="18">
        <f t="shared" si="423"/>
        <v>0</v>
      </c>
    </row>
    <row r="482" spans="1:62" x14ac:dyDescent="0.2">
      <c r="A482" s="5" t="s">
        <v>443</v>
      </c>
      <c r="B482" s="5" t="s">
        <v>1633</v>
      </c>
      <c r="C482" s="135" t="s">
        <v>2870</v>
      </c>
      <c r="D482" s="136"/>
      <c r="E482" s="136"/>
      <c r="F482" s="136"/>
      <c r="G482" s="136"/>
      <c r="H482" s="5" t="s">
        <v>3612</v>
      </c>
      <c r="I482" s="18">
        <v>1</v>
      </c>
      <c r="J482" s="18">
        <v>0</v>
      </c>
      <c r="K482" s="18">
        <f t="shared" si="402"/>
        <v>0</v>
      </c>
      <c r="L482" s="28" t="s">
        <v>3635</v>
      </c>
      <c r="Z482" s="34">
        <f t="shared" si="403"/>
        <v>0</v>
      </c>
      <c r="AB482" s="34">
        <f t="shared" si="404"/>
        <v>0</v>
      </c>
      <c r="AC482" s="34">
        <f t="shared" si="405"/>
        <v>0</v>
      </c>
      <c r="AD482" s="34">
        <f t="shared" si="406"/>
        <v>0</v>
      </c>
      <c r="AE482" s="34">
        <f t="shared" si="407"/>
        <v>0</v>
      </c>
      <c r="AF482" s="34">
        <f t="shared" si="408"/>
        <v>0</v>
      </c>
      <c r="AG482" s="34">
        <f t="shared" si="409"/>
        <v>0</v>
      </c>
      <c r="AH482" s="34">
        <f t="shared" si="410"/>
        <v>0</v>
      </c>
      <c r="AI482" s="27" t="s">
        <v>3645</v>
      </c>
      <c r="AJ482" s="18">
        <f t="shared" si="411"/>
        <v>0</v>
      </c>
      <c r="AK482" s="18">
        <f t="shared" si="412"/>
        <v>0</v>
      </c>
      <c r="AL482" s="18">
        <f t="shared" si="413"/>
        <v>0</v>
      </c>
      <c r="AN482" s="34">
        <v>21</v>
      </c>
      <c r="AO482" s="34">
        <f t="shared" si="414"/>
        <v>0</v>
      </c>
      <c r="AP482" s="34">
        <f t="shared" si="415"/>
        <v>0</v>
      </c>
      <c r="AQ482" s="28" t="s">
        <v>13</v>
      </c>
      <c r="AV482" s="34">
        <f t="shared" si="416"/>
        <v>0</v>
      </c>
      <c r="AW482" s="34">
        <f t="shared" si="417"/>
        <v>0</v>
      </c>
      <c r="AX482" s="34">
        <f t="shared" si="418"/>
        <v>0</v>
      </c>
      <c r="AY482" s="35" t="s">
        <v>3679</v>
      </c>
      <c r="AZ482" s="35" t="s">
        <v>3714</v>
      </c>
      <c r="BA482" s="27" t="s">
        <v>3729</v>
      </c>
      <c r="BC482" s="34">
        <f t="shared" si="419"/>
        <v>0</v>
      </c>
      <c r="BD482" s="34">
        <f t="shared" si="420"/>
        <v>0</v>
      </c>
      <c r="BE482" s="34">
        <v>0</v>
      </c>
      <c r="BF482" s="34">
        <f>482</f>
        <v>482</v>
      </c>
      <c r="BH482" s="18">
        <f t="shared" si="421"/>
        <v>0</v>
      </c>
      <c r="BI482" s="18">
        <f t="shared" si="422"/>
        <v>0</v>
      </c>
      <c r="BJ482" s="18">
        <f t="shared" si="423"/>
        <v>0</v>
      </c>
    </row>
    <row r="483" spans="1:62" x14ac:dyDescent="0.2">
      <c r="A483" s="5" t="s">
        <v>444</v>
      </c>
      <c r="B483" s="5" t="s">
        <v>1634</v>
      </c>
      <c r="C483" s="135" t="s">
        <v>2871</v>
      </c>
      <c r="D483" s="136"/>
      <c r="E483" s="136"/>
      <c r="F483" s="136"/>
      <c r="G483" s="136"/>
      <c r="H483" s="5" t="s">
        <v>3612</v>
      </c>
      <c r="I483" s="18">
        <v>1</v>
      </c>
      <c r="J483" s="18">
        <v>0</v>
      </c>
      <c r="K483" s="18">
        <f t="shared" si="402"/>
        <v>0</v>
      </c>
      <c r="L483" s="28" t="s">
        <v>3635</v>
      </c>
      <c r="Z483" s="34">
        <f t="shared" si="403"/>
        <v>0</v>
      </c>
      <c r="AB483" s="34">
        <f t="shared" si="404"/>
        <v>0</v>
      </c>
      <c r="AC483" s="34">
        <f t="shared" si="405"/>
        <v>0</v>
      </c>
      <c r="AD483" s="34">
        <f t="shared" si="406"/>
        <v>0</v>
      </c>
      <c r="AE483" s="34">
        <f t="shared" si="407"/>
        <v>0</v>
      </c>
      <c r="AF483" s="34">
        <f t="shared" si="408"/>
        <v>0</v>
      </c>
      <c r="AG483" s="34">
        <f t="shared" si="409"/>
        <v>0</v>
      </c>
      <c r="AH483" s="34">
        <f t="shared" si="410"/>
        <v>0</v>
      </c>
      <c r="AI483" s="27" t="s">
        <v>3645</v>
      </c>
      <c r="AJ483" s="18">
        <f t="shared" si="411"/>
        <v>0</v>
      </c>
      <c r="AK483" s="18">
        <f t="shared" si="412"/>
        <v>0</v>
      </c>
      <c r="AL483" s="18">
        <f t="shared" si="413"/>
        <v>0</v>
      </c>
      <c r="AN483" s="34">
        <v>21</v>
      </c>
      <c r="AO483" s="34">
        <f t="shared" si="414"/>
        <v>0</v>
      </c>
      <c r="AP483" s="34">
        <f t="shared" si="415"/>
        <v>0</v>
      </c>
      <c r="AQ483" s="28" t="s">
        <v>13</v>
      </c>
      <c r="AV483" s="34">
        <f t="shared" si="416"/>
        <v>0</v>
      </c>
      <c r="AW483" s="34">
        <f t="shared" si="417"/>
        <v>0</v>
      </c>
      <c r="AX483" s="34">
        <f t="shared" si="418"/>
        <v>0</v>
      </c>
      <c r="AY483" s="35" t="s">
        <v>3679</v>
      </c>
      <c r="AZ483" s="35" t="s">
        <v>3714</v>
      </c>
      <c r="BA483" s="27" t="s">
        <v>3729</v>
      </c>
      <c r="BC483" s="34">
        <f t="shared" si="419"/>
        <v>0</v>
      </c>
      <c r="BD483" s="34">
        <f t="shared" si="420"/>
        <v>0</v>
      </c>
      <c r="BE483" s="34">
        <v>0</v>
      </c>
      <c r="BF483" s="34">
        <f>483</f>
        <v>483</v>
      </c>
      <c r="BH483" s="18">
        <f t="shared" si="421"/>
        <v>0</v>
      </c>
      <c r="BI483" s="18">
        <f t="shared" si="422"/>
        <v>0</v>
      </c>
      <c r="BJ483" s="18">
        <f t="shared" si="423"/>
        <v>0</v>
      </c>
    </row>
    <row r="484" spans="1:62" x14ac:dyDescent="0.2">
      <c r="A484" s="5" t="s">
        <v>445</v>
      </c>
      <c r="B484" s="5" t="s">
        <v>1552</v>
      </c>
      <c r="C484" s="135" t="s">
        <v>2787</v>
      </c>
      <c r="D484" s="136"/>
      <c r="E484" s="136"/>
      <c r="F484" s="136"/>
      <c r="G484" s="136"/>
      <c r="H484" s="5" t="s">
        <v>3612</v>
      </c>
      <c r="I484" s="18">
        <v>29</v>
      </c>
      <c r="J484" s="18">
        <v>0</v>
      </c>
      <c r="K484" s="18">
        <f t="shared" si="402"/>
        <v>0</v>
      </c>
      <c r="L484" s="28" t="s">
        <v>3635</v>
      </c>
      <c r="Z484" s="34">
        <f t="shared" si="403"/>
        <v>0</v>
      </c>
      <c r="AB484" s="34">
        <f t="shared" si="404"/>
        <v>0</v>
      </c>
      <c r="AC484" s="34">
        <f t="shared" si="405"/>
        <v>0</v>
      </c>
      <c r="AD484" s="34">
        <f t="shared" si="406"/>
        <v>0</v>
      </c>
      <c r="AE484" s="34">
        <f t="shared" si="407"/>
        <v>0</v>
      </c>
      <c r="AF484" s="34">
        <f t="shared" si="408"/>
        <v>0</v>
      </c>
      <c r="AG484" s="34">
        <f t="shared" si="409"/>
        <v>0</v>
      </c>
      <c r="AH484" s="34">
        <f t="shared" si="410"/>
        <v>0</v>
      </c>
      <c r="AI484" s="27" t="s">
        <v>3645</v>
      </c>
      <c r="AJ484" s="18">
        <f t="shared" si="411"/>
        <v>0</v>
      </c>
      <c r="AK484" s="18">
        <f t="shared" si="412"/>
        <v>0</v>
      </c>
      <c r="AL484" s="18">
        <f t="shared" si="413"/>
        <v>0</v>
      </c>
      <c r="AN484" s="34">
        <v>21</v>
      </c>
      <c r="AO484" s="34">
        <f t="shared" si="414"/>
        <v>0</v>
      </c>
      <c r="AP484" s="34">
        <f t="shared" si="415"/>
        <v>0</v>
      </c>
      <c r="AQ484" s="28" t="s">
        <v>13</v>
      </c>
      <c r="AV484" s="34">
        <f t="shared" si="416"/>
        <v>0</v>
      </c>
      <c r="AW484" s="34">
        <f t="shared" si="417"/>
        <v>0</v>
      </c>
      <c r="AX484" s="34">
        <f t="shared" si="418"/>
        <v>0</v>
      </c>
      <c r="AY484" s="35" t="s">
        <v>3679</v>
      </c>
      <c r="AZ484" s="35" t="s">
        <v>3714</v>
      </c>
      <c r="BA484" s="27" t="s">
        <v>3729</v>
      </c>
      <c r="BC484" s="34">
        <f t="shared" si="419"/>
        <v>0</v>
      </c>
      <c r="BD484" s="34">
        <f t="shared" si="420"/>
        <v>0</v>
      </c>
      <c r="BE484" s="34">
        <v>0</v>
      </c>
      <c r="BF484" s="34">
        <f>484</f>
        <v>484</v>
      </c>
      <c r="BH484" s="18">
        <f t="shared" si="421"/>
        <v>0</v>
      </c>
      <c r="BI484" s="18">
        <f t="shared" si="422"/>
        <v>0</v>
      </c>
      <c r="BJ484" s="18">
        <f t="shared" si="423"/>
        <v>0</v>
      </c>
    </row>
    <row r="485" spans="1:62" x14ac:dyDescent="0.2">
      <c r="A485" s="5" t="s">
        <v>446</v>
      </c>
      <c r="B485" s="5" t="s">
        <v>1635</v>
      </c>
      <c r="C485" s="135" t="s">
        <v>2872</v>
      </c>
      <c r="D485" s="136"/>
      <c r="E485" s="136"/>
      <c r="F485" s="136"/>
      <c r="G485" s="136"/>
      <c r="H485" s="5" t="s">
        <v>3619</v>
      </c>
      <c r="I485" s="18">
        <v>15</v>
      </c>
      <c r="J485" s="18">
        <v>0</v>
      </c>
      <c r="K485" s="18">
        <f t="shared" si="402"/>
        <v>0</v>
      </c>
      <c r="L485" s="28" t="s">
        <v>3635</v>
      </c>
      <c r="Z485" s="34">
        <f t="shared" si="403"/>
        <v>0</v>
      </c>
      <c r="AB485" s="34">
        <f t="shared" si="404"/>
        <v>0</v>
      </c>
      <c r="AC485" s="34">
        <f t="shared" si="405"/>
        <v>0</v>
      </c>
      <c r="AD485" s="34">
        <f t="shared" si="406"/>
        <v>0</v>
      </c>
      <c r="AE485" s="34">
        <f t="shared" si="407"/>
        <v>0</v>
      </c>
      <c r="AF485" s="34">
        <f t="shared" si="408"/>
        <v>0</v>
      </c>
      <c r="AG485" s="34">
        <f t="shared" si="409"/>
        <v>0</v>
      </c>
      <c r="AH485" s="34">
        <f t="shared" si="410"/>
        <v>0</v>
      </c>
      <c r="AI485" s="27" t="s">
        <v>3645</v>
      </c>
      <c r="AJ485" s="18">
        <f t="shared" si="411"/>
        <v>0</v>
      </c>
      <c r="AK485" s="18">
        <f t="shared" si="412"/>
        <v>0</v>
      </c>
      <c r="AL485" s="18">
        <f t="shared" si="413"/>
        <v>0</v>
      </c>
      <c r="AN485" s="34">
        <v>21</v>
      </c>
      <c r="AO485" s="34">
        <f t="shared" si="414"/>
        <v>0</v>
      </c>
      <c r="AP485" s="34">
        <f t="shared" si="415"/>
        <v>0</v>
      </c>
      <c r="AQ485" s="28" t="s">
        <v>13</v>
      </c>
      <c r="AV485" s="34">
        <f t="shared" si="416"/>
        <v>0</v>
      </c>
      <c r="AW485" s="34">
        <f t="shared" si="417"/>
        <v>0</v>
      </c>
      <c r="AX485" s="34">
        <f t="shared" si="418"/>
        <v>0</v>
      </c>
      <c r="AY485" s="35" t="s">
        <v>3679</v>
      </c>
      <c r="AZ485" s="35" t="s">
        <v>3714</v>
      </c>
      <c r="BA485" s="27" t="s">
        <v>3729</v>
      </c>
      <c r="BC485" s="34">
        <f t="shared" si="419"/>
        <v>0</v>
      </c>
      <c r="BD485" s="34">
        <f t="shared" si="420"/>
        <v>0</v>
      </c>
      <c r="BE485" s="34">
        <v>0</v>
      </c>
      <c r="BF485" s="34">
        <f>485</f>
        <v>485</v>
      </c>
      <c r="BH485" s="18">
        <f t="shared" si="421"/>
        <v>0</v>
      </c>
      <c r="BI485" s="18">
        <f t="shared" si="422"/>
        <v>0</v>
      </c>
      <c r="BJ485" s="18">
        <f t="shared" si="423"/>
        <v>0</v>
      </c>
    </row>
    <row r="486" spans="1:62" x14ac:dyDescent="0.2">
      <c r="A486" s="5" t="s">
        <v>447</v>
      </c>
      <c r="B486" s="5" t="s">
        <v>1636</v>
      </c>
      <c r="C486" s="135" t="s">
        <v>2873</v>
      </c>
      <c r="D486" s="136"/>
      <c r="E486" s="136"/>
      <c r="F486" s="136"/>
      <c r="G486" s="136"/>
      <c r="H486" s="5" t="s">
        <v>3619</v>
      </c>
      <c r="I486" s="18">
        <v>15</v>
      </c>
      <c r="J486" s="18">
        <v>0</v>
      </c>
      <c r="K486" s="18">
        <f t="shared" si="402"/>
        <v>0</v>
      </c>
      <c r="L486" s="28" t="s">
        <v>3635</v>
      </c>
      <c r="Z486" s="34">
        <f t="shared" si="403"/>
        <v>0</v>
      </c>
      <c r="AB486" s="34">
        <f t="shared" si="404"/>
        <v>0</v>
      </c>
      <c r="AC486" s="34">
        <f t="shared" si="405"/>
        <v>0</v>
      </c>
      <c r="AD486" s="34">
        <f t="shared" si="406"/>
        <v>0</v>
      </c>
      <c r="AE486" s="34">
        <f t="shared" si="407"/>
        <v>0</v>
      </c>
      <c r="AF486" s="34">
        <f t="shared" si="408"/>
        <v>0</v>
      </c>
      <c r="AG486" s="34">
        <f t="shared" si="409"/>
        <v>0</v>
      </c>
      <c r="AH486" s="34">
        <f t="shared" si="410"/>
        <v>0</v>
      </c>
      <c r="AI486" s="27" t="s">
        <v>3645</v>
      </c>
      <c r="AJ486" s="18">
        <f t="shared" si="411"/>
        <v>0</v>
      </c>
      <c r="AK486" s="18">
        <f t="shared" si="412"/>
        <v>0</v>
      </c>
      <c r="AL486" s="18">
        <f t="shared" si="413"/>
        <v>0</v>
      </c>
      <c r="AN486" s="34">
        <v>21</v>
      </c>
      <c r="AO486" s="34">
        <f t="shared" si="414"/>
        <v>0</v>
      </c>
      <c r="AP486" s="34">
        <f t="shared" si="415"/>
        <v>0</v>
      </c>
      <c r="AQ486" s="28" t="s">
        <v>13</v>
      </c>
      <c r="AV486" s="34">
        <f t="shared" si="416"/>
        <v>0</v>
      </c>
      <c r="AW486" s="34">
        <f t="shared" si="417"/>
        <v>0</v>
      </c>
      <c r="AX486" s="34">
        <f t="shared" si="418"/>
        <v>0</v>
      </c>
      <c r="AY486" s="35" t="s">
        <v>3679</v>
      </c>
      <c r="AZ486" s="35" t="s">
        <v>3714</v>
      </c>
      <c r="BA486" s="27" t="s">
        <v>3729</v>
      </c>
      <c r="BC486" s="34">
        <f t="shared" si="419"/>
        <v>0</v>
      </c>
      <c r="BD486" s="34">
        <f t="shared" si="420"/>
        <v>0</v>
      </c>
      <c r="BE486" s="34">
        <v>0</v>
      </c>
      <c r="BF486" s="34">
        <f>486</f>
        <v>486</v>
      </c>
      <c r="BH486" s="18">
        <f t="shared" si="421"/>
        <v>0</v>
      </c>
      <c r="BI486" s="18">
        <f t="shared" si="422"/>
        <v>0</v>
      </c>
      <c r="BJ486" s="18">
        <f t="shared" si="423"/>
        <v>0</v>
      </c>
    </row>
    <row r="487" spans="1:62" x14ac:dyDescent="0.2">
      <c r="A487" s="5" t="s">
        <v>448</v>
      </c>
      <c r="B487" s="5" t="s">
        <v>1637</v>
      </c>
      <c r="C487" s="135" t="s">
        <v>2874</v>
      </c>
      <c r="D487" s="136"/>
      <c r="E487" s="136"/>
      <c r="F487" s="136"/>
      <c r="G487" s="136"/>
      <c r="H487" s="5" t="s">
        <v>3612</v>
      </c>
      <c r="I487" s="18">
        <v>5</v>
      </c>
      <c r="J487" s="18">
        <v>0</v>
      </c>
      <c r="K487" s="18">
        <f t="shared" si="402"/>
        <v>0</v>
      </c>
      <c r="L487" s="28" t="s">
        <v>3635</v>
      </c>
      <c r="Z487" s="34">
        <f t="shared" si="403"/>
        <v>0</v>
      </c>
      <c r="AB487" s="34">
        <f t="shared" si="404"/>
        <v>0</v>
      </c>
      <c r="AC487" s="34">
        <f t="shared" si="405"/>
        <v>0</v>
      </c>
      <c r="AD487" s="34">
        <f t="shared" si="406"/>
        <v>0</v>
      </c>
      <c r="AE487" s="34">
        <f t="shared" si="407"/>
        <v>0</v>
      </c>
      <c r="AF487" s="34">
        <f t="shared" si="408"/>
        <v>0</v>
      </c>
      <c r="AG487" s="34">
        <f t="shared" si="409"/>
        <v>0</v>
      </c>
      <c r="AH487" s="34">
        <f t="shared" si="410"/>
        <v>0</v>
      </c>
      <c r="AI487" s="27" t="s">
        <v>3645</v>
      </c>
      <c r="AJ487" s="18">
        <f t="shared" si="411"/>
        <v>0</v>
      </c>
      <c r="AK487" s="18">
        <f t="shared" si="412"/>
        <v>0</v>
      </c>
      <c r="AL487" s="18">
        <f t="shared" si="413"/>
        <v>0</v>
      </c>
      <c r="AN487" s="34">
        <v>21</v>
      </c>
      <c r="AO487" s="34">
        <f t="shared" si="414"/>
        <v>0</v>
      </c>
      <c r="AP487" s="34">
        <f t="shared" si="415"/>
        <v>0</v>
      </c>
      <c r="AQ487" s="28" t="s">
        <v>13</v>
      </c>
      <c r="AV487" s="34">
        <f t="shared" si="416"/>
        <v>0</v>
      </c>
      <c r="AW487" s="34">
        <f t="shared" si="417"/>
        <v>0</v>
      </c>
      <c r="AX487" s="34">
        <f t="shared" si="418"/>
        <v>0</v>
      </c>
      <c r="AY487" s="35" t="s">
        <v>3679</v>
      </c>
      <c r="AZ487" s="35" t="s">
        <v>3714</v>
      </c>
      <c r="BA487" s="27" t="s">
        <v>3729</v>
      </c>
      <c r="BC487" s="34">
        <f t="shared" si="419"/>
        <v>0</v>
      </c>
      <c r="BD487" s="34">
        <f t="shared" si="420"/>
        <v>0</v>
      </c>
      <c r="BE487" s="34">
        <v>0</v>
      </c>
      <c r="BF487" s="34">
        <f>487</f>
        <v>487</v>
      </c>
      <c r="BH487" s="18">
        <f t="shared" si="421"/>
        <v>0</v>
      </c>
      <c r="BI487" s="18">
        <f t="shared" si="422"/>
        <v>0</v>
      </c>
      <c r="BJ487" s="18">
        <f t="shared" si="423"/>
        <v>0</v>
      </c>
    </row>
    <row r="488" spans="1:62" x14ac:dyDescent="0.2">
      <c r="A488" s="5" t="s">
        <v>449</v>
      </c>
      <c r="B488" s="5" t="s">
        <v>1638</v>
      </c>
      <c r="C488" s="135" t="s">
        <v>2875</v>
      </c>
      <c r="D488" s="136"/>
      <c r="E488" s="136"/>
      <c r="F488" s="136"/>
      <c r="G488" s="136"/>
      <c r="H488" s="5" t="s">
        <v>3612</v>
      </c>
      <c r="I488" s="18">
        <v>11</v>
      </c>
      <c r="J488" s="18">
        <v>0</v>
      </c>
      <c r="K488" s="18">
        <f t="shared" si="402"/>
        <v>0</v>
      </c>
      <c r="L488" s="28" t="s">
        <v>3635</v>
      </c>
      <c r="Z488" s="34">
        <f t="shared" si="403"/>
        <v>0</v>
      </c>
      <c r="AB488" s="34">
        <f t="shared" si="404"/>
        <v>0</v>
      </c>
      <c r="AC488" s="34">
        <f t="shared" si="405"/>
        <v>0</v>
      </c>
      <c r="AD488" s="34">
        <f t="shared" si="406"/>
        <v>0</v>
      </c>
      <c r="AE488" s="34">
        <f t="shared" si="407"/>
        <v>0</v>
      </c>
      <c r="AF488" s="34">
        <f t="shared" si="408"/>
        <v>0</v>
      </c>
      <c r="AG488" s="34">
        <f t="shared" si="409"/>
        <v>0</v>
      </c>
      <c r="AH488" s="34">
        <f t="shared" si="410"/>
        <v>0</v>
      </c>
      <c r="AI488" s="27" t="s">
        <v>3645</v>
      </c>
      <c r="AJ488" s="18">
        <f t="shared" si="411"/>
        <v>0</v>
      </c>
      <c r="AK488" s="18">
        <f t="shared" si="412"/>
        <v>0</v>
      </c>
      <c r="AL488" s="18">
        <f t="shared" si="413"/>
        <v>0</v>
      </c>
      <c r="AN488" s="34">
        <v>21</v>
      </c>
      <c r="AO488" s="34">
        <f t="shared" si="414"/>
        <v>0</v>
      </c>
      <c r="AP488" s="34">
        <f t="shared" si="415"/>
        <v>0</v>
      </c>
      <c r="AQ488" s="28" t="s">
        <v>13</v>
      </c>
      <c r="AV488" s="34">
        <f t="shared" si="416"/>
        <v>0</v>
      </c>
      <c r="AW488" s="34">
        <f t="shared" si="417"/>
        <v>0</v>
      </c>
      <c r="AX488" s="34">
        <f t="shared" si="418"/>
        <v>0</v>
      </c>
      <c r="AY488" s="35" t="s">
        <v>3679</v>
      </c>
      <c r="AZ488" s="35" t="s">
        <v>3714</v>
      </c>
      <c r="BA488" s="27" t="s">
        <v>3729</v>
      </c>
      <c r="BC488" s="34">
        <f t="shared" si="419"/>
        <v>0</v>
      </c>
      <c r="BD488" s="34">
        <f t="shared" si="420"/>
        <v>0</v>
      </c>
      <c r="BE488" s="34">
        <v>0</v>
      </c>
      <c r="BF488" s="34">
        <f>488</f>
        <v>488</v>
      </c>
      <c r="BH488" s="18">
        <f t="shared" si="421"/>
        <v>0</v>
      </c>
      <c r="BI488" s="18">
        <f t="shared" si="422"/>
        <v>0</v>
      </c>
      <c r="BJ488" s="18">
        <f t="shared" si="423"/>
        <v>0</v>
      </c>
    </row>
    <row r="489" spans="1:62" x14ac:dyDescent="0.2">
      <c r="A489" s="5" t="s">
        <v>450</v>
      </c>
      <c r="B489" s="5" t="s">
        <v>1639</v>
      </c>
      <c r="C489" s="135" t="s">
        <v>2792</v>
      </c>
      <c r="D489" s="136"/>
      <c r="E489" s="136"/>
      <c r="F489" s="136"/>
      <c r="G489" s="136"/>
      <c r="H489" s="5" t="s">
        <v>3619</v>
      </c>
      <c r="I489" s="18">
        <v>30</v>
      </c>
      <c r="J489" s="18">
        <v>0</v>
      </c>
      <c r="K489" s="18">
        <f t="shared" si="402"/>
        <v>0</v>
      </c>
      <c r="L489" s="28" t="s">
        <v>3635</v>
      </c>
      <c r="Z489" s="34">
        <f t="shared" si="403"/>
        <v>0</v>
      </c>
      <c r="AB489" s="34">
        <f t="shared" si="404"/>
        <v>0</v>
      </c>
      <c r="AC489" s="34">
        <f t="shared" si="405"/>
        <v>0</v>
      </c>
      <c r="AD489" s="34">
        <f t="shared" si="406"/>
        <v>0</v>
      </c>
      <c r="AE489" s="34">
        <f t="shared" si="407"/>
        <v>0</v>
      </c>
      <c r="AF489" s="34">
        <f t="shared" si="408"/>
        <v>0</v>
      </c>
      <c r="AG489" s="34">
        <f t="shared" si="409"/>
        <v>0</v>
      </c>
      <c r="AH489" s="34">
        <f t="shared" si="410"/>
        <v>0</v>
      </c>
      <c r="AI489" s="27" t="s">
        <v>3645</v>
      </c>
      <c r="AJ489" s="18">
        <f t="shared" si="411"/>
        <v>0</v>
      </c>
      <c r="AK489" s="18">
        <f t="shared" si="412"/>
        <v>0</v>
      </c>
      <c r="AL489" s="18">
        <f t="shared" si="413"/>
        <v>0</v>
      </c>
      <c r="AN489" s="34">
        <v>21</v>
      </c>
      <c r="AO489" s="34">
        <f t="shared" si="414"/>
        <v>0</v>
      </c>
      <c r="AP489" s="34">
        <f t="shared" si="415"/>
        <v>0</v>
      </c>
      <c r="AQ489" s="28" t="s">
        <v>13</v>
      </c>
      <c r="AV489" s="34">
        <f t="shared" si="416"/>
        <v>0</v>
      </c>
      <c r="AW489" s="34">
        <f t="shared" si="417"/>
        <v>0</v>
      </c>
      <c r="AX489" s="34">
        <f t="shared" si="418"/>
        <v>0</v>
      </c>
      <c r="AY489" s="35" t="s">
        <v>3679</v>
      </c>
      <c r="AZ489" s="35" t="s">
        <v>3714</v>
      </c>
      <c r="BA489" s="27" t="s">
        <v>3729</v>
      </c>
      <c r="BC489" s="34">
        <f t="shared" si="419"/>
        <v>0</v>
      </c>
      <c r="BD489" s="34">
        <f t="shared" si="420"/>
        <v>0</v>
      </c>
      <c r="BE489" s="34">
        <v>0</v>
      </c>
      <c r="BF489" s="34">
        <f>489</f>
        <v>489</v>
      </c>
      <c r="BH489" s="18">
        <f t="shared" si="421"/>
        <v>0</v>
      </c>
      <c r="BI489" s="18">
        <f t="shared" si="422"/>
        <v>0</v>
      </c>
      <c r="BJ489" s="18">
        <f t="shared" si="423"/>
        <v>0</v>
      </c>
    </row>
    <row r="490" spans="1:62" x14ac:dyDescent="0.2">
      <c r="A490" s="5" t="s">
        <v>451</v>
      </c>
      <c r="B490" s="5" t="s">
        <v>1640</v>
      </c>
      <c r="C490" s="135" t="s">
        <v>2876</v>
      </c>
      <c r="D490" s="136"/>
      <c r="E490" s="136"/>
      <c r="F490" s="136"/>
      <c r="G490" s="136"/>
      <c r="H490" s="5" t="s">
        <v>3612</v>
      </c>
      <c r="I490" s="18">
        <v>1</v>
      </c>
      <c r="J490" s="18">
        <v>0</v>
      </c>
      <c r="K490" s="18">
        <f t="shared" si="402"/>
        <v>0</v>
      </c>
      <c r="L490" s="28" t="s">
        <v>3635</v>
      </c>
      <c r="Z490" s="34">
        <f t="shared" si="403"/>
        <v>0</v>
      </c>
      <c r="AB490" s="34">
        <f t="shared" si="404"/>
        <v>0</v>
      </c>
      <c r="AC490" s="34">
        <f t="shared" si="405"/>
        <v>0</v>
      </c>
      <c r="AD490" s="34">
        <f t="shared" si="406"/>
        <v>0</v>
      </c>
      <c r="AE490" s="34">
        <f t="shared" si="407"/>
        <v>0</v>
      </c>
      <c r="AF490" s="34">
        <f t="shared" si="408"/>
        <v>0</v>
      </c>
      <c r="AG490" s="34">
        <f t="shared" si="409"/>
        <v>0</v>
      </c>
      <c r="AH490" s="34">
        <f t="shared" si="410"/>
        <v>0</v>
      </c>
      <c r="AI490" s="27" t="s">
        <v>3645</v>
      </c>
      <c r="AJ490" s="18">
        <f t="shared" si="411"/>
        <v>0</v>
      </c>
      <c r="AK490" s="18">
        <f t="shared" si="412"/>
        <v>0</v>
      </c>
      <c r="AL490" s="18">
        <f t="shared" si="413"/>
        <v>0</v>
      </c>
      <c r="AN490" s="34">
        <v>21</v>
      </c>
      <c r="AO490" s="34">
        <f t="shared" si="414"/>
        <v>0</v>
      </c>
      <c r="AP490" s="34">
        <f t="shared" si="415"/>
        <v>0</v>
      </c>
      <c r="AQ490" s="28" t="s">
        <v>13</v>
      </c>
      <c r="AV490" s="34">
        <f t="shared" si="416"/>
        <v>0</v>
      </c>
      <c r="AW490" s="34">
        <f t="shared" si="417"/>
        <v>0</v>
      </c>
      <c r="AX490" s="34">
        <f t="shared" si="418"/>
        <v>0</v>
      </c>
      <c r="AY490" s="35" t="s">
        <v>3679</v>
      </c>
      <c r="AZ490" s="35" t="s">
        <v>3714</v>
      </c>
      <c r="BA490" s="27" t="s">
        <v>3729</v>
      </c>
      <c r="BC490" s="34">
        <f t="shared" si="419"/>
        <v>0</v>
      </c>
      <c r="BD490" s="34">
        <f t="shared" si="420"/>
        <v>0</v>
      </c>
      <c r="BE490" s="34">
        <v>0</v>
      </c>
      <c r="BF490" s="34">
        <f>490</f>
        <v>490</v>
      </c>
      <c r="BH490" s="18">
        <f t="shared" si="421"/>
        <v>0</v>
      </c>
      <c r="BI490" s="18">
        <f t="shared" si="422"/>
        <v>0</v>
      </c>
      <c r="BJ490" s="18">
        <f t="shared" si="423"/>
        <v>0</v>
      </c>
    </row>
    <row r="491" spans="1:62" x14ac:dyDescent="0.2">
      <c r="A491" s="5" t="s">
        <v>452</v>
      </c>
      <c r="B491" s="5" t="s">
        <v>1641</v>
      </c>
      <c r="C491" s="135" t="s">
        <v>2877</v>
      </c>
      <c r="D491" s="136"/>
      <c r="E491" s="136"/>
      <c r="F491" s="136"/>
      <c r="G491" s="136"/>
      <c r="H491" s="5" t="s">
        <v>3612</v>
      </c>
      <c r="I491" s="18">
        <v>1</v>
      </c>
      <c r="J491" s="18">
        <v>0</v>
      </c>
      <c r="K491" s="18">
        <f t="shared" si="402"/>
        <v>0</v>
      </c>
      <c r="L491" s="28" t="s">
        <v>3635</v>
      </c>
      <c r="Z491" s="34">
        <f t="shared" si="403"/>
        <v>0</v>
      </c>
      <c r="AB491" s="34">
        <f t="shared" si="404"/>
        <v>0</v>
      </c>
      <c r="AC491" s="34">
        <f t="shared" si="405"/>
        <v>0</v>
      </c>
      <c r="AD491" s="34">
        <f t="shared" si="406"/>
        <v>0</v>
      </c>
      <c r="AE491" s="34">
        <f t="shared" si="407"/>
        <v>0</v>
      </c>
      <c r="AF491" s="34">
        <f t="shared" si="408"/>
        <v>0</v>
      </c>
      <c r="AG491" s="34">
        <f t="shared" si="409"/>
        <v>0</v>
      </c>
      <c r="AH491" s="34">
        <f t="shared" si="410"/>
        <v>0</v>
      </c>
      <c r="AI491" s="27" t="s">
        <v>3645</v>
      </c>
      <c r="AJ491" s="18">
        <f t="shared" si="411"/>
        <v>0</v>
      </c>
      <c r="AK491" s="18">
        <f t="shared" si="412"/>
        <v>0</v>
      </c>
      <c r="AL491" s="18">
        <f t="shared" si="413"/>
        <v>0</v>
      </c>
      <c r="AN491" s="34">
        <v>21</v>
      </c>
      <c r="AO491" s="34">
        <f t="shared" si="414"/>
        <v>0</v>
      </c>
      <c r="AP491" s="34">
        <f t="shared" si="415"/>
        <v>0</v>
      </c>
      <c r="AQ491" s="28" t="s">
        <v>13</v>
      </c>
      <c r="AV491" s="34">
        <f t="shared" si="416"/>
        <v>0</v>
      </c>
      <c r="AW491" s="34">
        <f t="shared" si="417"/>
        <v>0</v>
      </c>
      <c r="AX491" s="34">
        <f t="shared" si="418"/>
        <v>0</v>
      </c>
      <c r="AY491" s="35" t="s">
        <v>3679</v>
      </c>
      <c r="AZ491" s="35" t="s">
        <v>3714</v>
      </c>
      <c r="BA491" s="27" t="s">
        <v>3729</v>
      </c>
      <c r="BC491" s="34">
        <f t="shared" si="419"/>
        <v>0</v>
      </c>
      <c r="BD491" s="34">
        <f t="shared" si="420"/>
        <v>0</v>
      </c>
      <c r="BE491" s="34">
        <v>0</v>
      </c>
      <c r="BF491" s="34">
        <f>491</f>
        <v>491</v>
      </c>
      <c r="BH491" s="18">
        <f t="shared" si="421"/>
        <v>0</v>
      </c>
      <c r="BI491" s="18">
        <f t="shared" si="422"/>
        <v>0</v>
      </c>
      <c r="BJ491" s="18">
        <f t="shared" si="423"/>
        <v>0</v>
      </c>
    </row>
    <row r="492" spans="1:62" x14ac:dyDescent="0.2">
      <c r="A492" s="5" t="s">
        <v>453</v>
      </c>
      <c r="B492" s="5" t="s">
        <v>1642</v>
      </c>
      <c r="C492" s="135" t="s">
        <v>2878</v>
      </c>
      <c r="D492" s="136"/>
      <c r="E492" s="136"/>
      <c r="F492" s="136"/>
      <c r="G492" s="136"/>
      <c r="H492" s="5" t="s">
        <v>3612</v>
      </c>
      <c r="I492" s="18">
        <v>6</v>
      </c>
      <c r="J492" s="18">
        <v>0</v>
      </c>
      <c r="K492" s="18">
        <f t="shared" si="402"/>
        <v>0</v>
      </c>
      <c r="L492" s="28" t="s">
        <v>3635</v>
      </c>
      <c r="Z492" s="34">
        <f t="shared" si="403"/>
        <v>0</v>
      </c>
      <c r="AB492" s="34">
        <f t="shared" si="404"/>
        <v>0</v>
      </c>
      <c r="AC492" s="34">
        <f t="shared" si="405"/>
        <v>0</v>
      </c>
      <c r="AD492" s="34">
        <f t="shared" si="406"/>
        <v>0</v>
      </c>
      <c r="AE492" s="34">
        <f t="shared" si="407"/>
        <v>0</v>
      </c>
      <c r="AF492" s="34">
        <f t="shared" si="408"/>
        <v>0</v>
      </c>
      <c r="AG492" s="34">
        <f t="shared" si="409"/>
        <v>0</v>
      </c>
      <c r="AH492" s="34">
        <f t="shared" si="410"/>
        <v>0</v>
      </c>
      <c r="AI492" s="27" t="s">
        <v>3645</v>
      </c>
      <c r="AJ492" s="18">
        <f t="shared" si="411"/>
        <v>0</v>
      </c>
      <c r="AK492" s="18">
        <f t="shared" si="412"/>
        <v>0</v>
      </c>
      <c r="AL492" s="18">
        <f t="shared" si="413"/>
        <v>0</v>
      </c>
      <c r="AN492" s="34">
        <v>21</v>
      </c>
      <c r="AO492" s="34">
        <f t="shared" si="414"/>
        <v>0</v>
      </c>
      <c r="AP492" s="34">
        <f t="shared" si="415"/>
        <v>0</v>
      </c>
      <c r="AQ492" s="28" t="s">
        <v>13</v>
      </c>
      <c r="AV492" s="34">
        <f t="shared" si="416"/>
        <v>0</v>
      </c>
      <c r="AW492" s="34">
        <f t="shared" si="417"/>
        <v>0</v>
      </c>
      <c r="AX492" s="34">
        <f t="shared" si="418"/>
        <v>0</v>
      </c>
      <c r="AY492" s="35" t="s">
        <v>3679</v>
      </c>
      <c r="AZ492" s="35" t="s">
        <v>3714</v>
      </c>
      <c r="BA492" s="27" t="s">
        <v>3729</v>
      </c>
      <c r="BC492" s="34">
        <f t="shared" si="419"/>
        <v>0</v>
      </c>
      <c r="BD492" s="34">
        <f t="shared" si="420"/>
        <v>0</v>
      </c>
      <c r="BE492" s="34">
        <v>0</v>
      </c>
      <c r="BF492" s="34">
        <f>492</f>
        <v>492</v>
      </c>
      <c r="BH492" s="18">
        <f t="shared" si="421"/>
        <v>0</v>
      </c>
      <c r="BI492" s="18">
        <f t="shared" si="422"/>
        <v>0</v>
      </c>
      <c r="BJ492" s="18">
        <f t="shared" si="423"/>
        <v>0</v>
      </c>
    </row>
    <row r="493" spans="1:62" x14ac:dyDescent="0.2">
      <c r="A493" s="5" t="s">
        <v>454</v>
      </c>
      <c r="B493" s="5" t="s">
        <v>1643</v>
      </c>
      <c r="C493" s="135" t="s">
        <v>2879</v>
      </c>
      <c r="D493" s="136"/>
      <c r="E493" s="136"/>
      <c r="F493" s="136"/>
      <c r="G493" s="136"/>
      <c r="H493" s="5" t="s">
        <v>3614</v>
      </c>
      <c r="I493" s="18">
        <v>828</v>
      </c>
      <c r="J493" s="18">
        <v>0</v>
      </c>
      <c r="K493" s="18">
        <f t="shared" si="402"/>
        <v>0</v>
      </c>
      <c r="L493" s="28" t="s">
        <v>3635</v>
      </c>
      <c r="Z493" s="34">
        <f t="shared" si="403"/>
        <v>0</v>
      </c>
      <c r="AB493" s="34">
        <f t="shared" si="404"/>
        <v>0</v>
      </c>
      <c r="AC493" s="34">
        <f t="shared" si="405"/>
        <v>0</v>
      </c>
      <c r="AD493" s="34">
        <f t="shared" si="406"/>
        <v>0</v>
      </c>
      <c r="AE493" s="34">
        <f t="shared" si="407"/>
        <v>0</v>
      </c>
      <c r="AF493" s="34">
        <f t="shared" si="408"/>
        <v>0</v>
      </c>
      <c r="AG493" s="34">
        <f t="shared" si="409"/>
        <v>0</v>
      </c>
      <c r="AH493" s="34">
        <f t="shared" si="410"/>
        <v>0</v>
      </c>
      <c r="AI493" s="27" t="s">
        <v>3645</v>
      </c>
      <c r="AJ493" s="18">
        <f t="shared" si="411"/>
        <v>0</v>
      </c>
      <c r="AK493" s="18">
        <f t="shared" si="412"/>
        <v>0</v>
      </c>
      <c r="AL493" s="18">
        <f t="shared" si="413"/>
        <v>0</v>
      </c>
      <c r="AN493" s="34">
        <v>21</v>
      </c>
      <c r="AO493" s="34">
        <f t="shared" si="414"/>
        <v>0</v>
      </c>
      <c r="AP493" s="34">
        <f t="shared" si="415"/>
        <v>0</v>
      </c>
      <c r="AQ493" s="28" t="s">
        <v>13</v>
      </c>
      <c r="AV493" s="34">
        <f t="shared" si="416"/>
        <v>0</v>
      </c>
      <c r="AW493" s="34">
        <f t="shared" si="417"/>
        <v>0</v>
      </c>
      <c r="AX493" s="34">
        <f t="shared" si="418"/>
        <v>0</v>
      </c>
      <c r="AY493" s="35" t="s">
        <v>3679</v>
      </c>
      <c r="AZ493" s="35" t="s">
        <v>3714</v>
      </c>
      <c r="BA493" s="27" t="s">
        <v>3729</v>
      </c>
      <c r="BC493" s="34">
        <f t="shared" si="419"/>
        <v>0</v>
      </c>
      <c r="BD493" s="34">
        <f t="shared" si="420"/>
        <v>0</v>
      </c>
      <c r="BE493" s="34">
        <v>0</v>
      </c>
      <c r="BF493" s="34">
        <f>493</f>
        <v>493</v>
      </c>
      <c r="BH493" s="18">
        <f t="shared" si="421"/>
        <v>0</v>
      </c>
      <c r="BI493" s="18">
        <f t="shared" si="422"/>
        <v>0</v>
      </c>
      <c r="BJ493" s="18">
        <f t="shared" si="423"/>
        <v>0</v>
      </c>
    </row>
    <row r="494" spans="1:62" x14ac:dyDescent="0.2">
      <c r="A494" s="5" t="s">
        <v>455</v>
      </c>
      <c r="B494" s="5" t="s">
        <v>1644</v>
      </c>
      <c r="C494" s="135" t="s">
        <v>2880</v>
      </c>
      <c r="D494" s="136"/>
      <c r="E494" s="136"/>
      <c r="F494" s="136"/>
      <c r="G494" s="136"/>
      <c r="H494" s="5" t="s">
        <v>3614</v>
      </c>
      <c r="I494" s="18">
        <v>828</v>
      </c>
      <c r="J494" s="18">
        <v>0</v>
      </c>
      <c r="K494" s="18">
        <f t="shared" si="402"/>
        <v>0</v>
      </c>
      <c r="L494" s="28" t="s">
        <v>3635</v>
      </c>
      <c r="Z494" s="34">
        <f t="shared" si="403"/>
        <v>0</v>
      </c>
      <c r="AB494" s="34">
        <f t="shared" si="404"/>
        <v>0</v>
      </c>
      <c r="AC494" s="34">
        <f t="shared" si="405"/>
        <v>0</v>
      </c>
      <c r="AD494" s="34">
        <f t="shared" si="406"/>
        <v>0</v>
      </c>
      <c r="AE494" s="34">
        <f t="shared" si="407"/>
        <v>0</v>
      </c>
      <c r="AF494" s="34">
        <f t="shared" si="408"/>
        <v>0</v>
      </c>
      <c r="AG494" s="34">
        <f t="shared" si="409"/>
        <v>0</v>
      </c>
      <c r="AH494" s="34">
        <f t="shared" si="410"/>
        <v>0</v>
      </c>
      <c r="AI494" s="27" t="s">
        <v>3645</v>
      </c>
      <c r="AJ494" s="18">
        <f t="shared" si="411"/>
        <v>0</v>
      </c>
      <c r="AK494" s="18">
        <f t="shared" si="412"/>
        <v>0</v>
      </c>
      <c r="AL494" s="18">
        <f t="shared" si="413"/>
        <v>0</v>
      </c>
      <c r="AN494" s="34">
        <v>21</v>
      </c>
      <c r="AO494" s="34">
        <f t="shared" si="414"/>
        <v>0</v>
      </c>
      <c r="AP494" s="34">
        <f t="shared" si="415"/>
        <v>0</v>
      </c>
      <c r="AQ494" s="28" t="s">
        <v>13</v>
      </c>
      <c r="AV494" s="34">
        <f t="shared" si="416"/>
        <v>0</v>
      </c>
      <c r="AW494" s="34">
        <f t="shared" si="417"/>
        <v>0</v>
      </c>
      <c r="AX494" s="34">
        <f t="shared" si="418"/>
        <v>0</v>
      </c>
      <c r="AY494" s="35" t="s">
        <v>3679</v>
      </c>
      <c r="AZ494" s="35" t="s">
        <v>3714</v>
      </c>
      <c r="BA494" s="27" t="s">
        <v>3729</v>
      </c>
      <c r="BC494" s="34">
        <f t="shared" si="419"/>
        <v>0</v>
      </c>
      <c r="BD494" s="34">
        <f t="shared" si="420"/>
        <v>0</v>
      </c>
      <c r="BE494" s="34">
        <v>0</v>
      </c>
      <c r="BF494" s="34">
        <f>494</f>
        <v>494</v>
      </c>
      <c r="BH494" s="18">
        <f t="shared" si="421"/>
        <v>0</v>
      </c>
      <c r="BI494" s="18">
        <f t="shared" si="422"/>
        <v>0</v>
      </c>
      <c r="BJ494" s="18">
        <f t="shared" si="423"/>
        <v>0</v>
      </c>
    </row>
    <row r="495" spans="1:62" x14ac:dyDescent="0.2">
      <c r="A495" s="5" t="s">
        <v>456</v>
      </c>
      <c r="B495" s="5" t="s">
        <v>1645</v>
      </c>
      <c r="C495" s="135" t="s">
        <v>2881</v>
      </c>
      <c r="D495" s="136"/>
      <c r="E495" s="136"/>
      <c r="F495" s="136"/>
      <c r="G495" s="136"/>
      <c r="H495" s="5" t="s">
        <v>3614</v>
      </c>
      <c r="I495" s="18">
        <v>828</v>
      </c>
      <c r="J495" s="18">
        <v>0</v>
      </c>
      <c r="K495" s="18">
        <f t="shared" si="402"/>
        <v>0</v>
      </c>
      <c r="L495" s="28" t="s">
        <v>3635</v>
      </c>
      <c r="Z495" s="34">
        <f t="shared" si="403"/>
        <v>0</v>
      </c>
      <c r="AB495" s="34">
        <f t="shared" si="404"/>
        <v>0</v>
      </c>
      <c r="AC495" s="34">
        <f t="shared" si="405"/>
        <v>0</v>
      </c>
      <c r="AD495" s="34">
        <f t="shared" si="406"/>
        <v>0</v>
      </c>
      <c r="AE495" s="34">
        <f t="shared" si="407"/>
        <v>0</v>
      </c>
      <c r="AF495" s="34">
        <f t="shared" si="408"/>
        <v>0</v>
      </c>
      <c r="AG495" s="34">
        <f t="shared" si="409"/>
        <v>0</v>
      </c>
      <c r="AH495" s="34">
        <f t="shared" si="410"/>
        <v>0</v>
      </c>
      <c r="AI495" s="27" t="s">
        <v>3645</v>
      </c>
      <c r="AJ495" s="18">
        <f t="shared" si="411"/>
        <v>0</v>
      </c>
      <c r="AK495" s="18">
        <f t="shared" si="412"/>
        <v>0</v>
      </c>
      <c r="AL495" s="18">
        <f t="shared" si="413"/>
        <v>0</v>
      </c>
      <c r="AN495" s="34">
        <v>21</v>
      </c>
      <c r="AO495" s="34">
        <f t="shared" si="414"/>
        <v>0</v>
      </c>
      <c r="AP495" s="34">
        <f t="shared" si="415"/>
        <v>0</v>
      </c>
      <c r="AQ495" s="28" t="s">
        <v>13</v>
      </c>
      <c r="AV495" s="34">
        <f t="shared" si="416"/>
        <v>0</v>
      </c>
      <c r="AW495" s="34">
        <f t="shared" si="417"/>
        <v>0</v>
      </c>
      <c r="AX495" s="34">
        <f t="shared" si="418"/>
        <v>0</v>
      </c>
      <c r="AY495" s="35" t="s">
        <v>3679</v>
      </c>
      <c r="AZ495" s="35" t="s">
        <v>3714</v>
      </c>
      <c r="BA495" s="27" t="s">
        <v>3729</v>
      </c>
      <c r="BC495" s="34">
        <f t="shared" si="419"/>
        <v>0</v>
      </c>
      <c r="BD495" s="34">
        <f t="shared" si="420"/>
        <v>0</v>
      </c>
      <c r="BE495" s="34">
        <v>0</v>
      </c>
      <c r="BF495" s="34">
        <f>495</f>
        <v>495</v>
      </c>
      <c r="BH495" s="18">
        <f t="shared" si="421"/>
        <v>0</v>
      </c>
      <c r="BI495" s="18">
        <f t="shared" si="422"/>
        <v>0</v>
      </c>
      <c r="BJ495" s="18">
        <f t="shared" si="423"/>
        <v>0</v>
      </c>
    </row>
    <row r="496" spans="1:62" x14ac:dyDescent="0.2">
      <c r="A496" s="5" t="s">
        <v>457</v>
      </c>
      <c r="B496" s="5" t="s">
        <v>1646</v>
      </c>
      <c r="C496" s="135" t="s">
        <v>2798</v>
      </c>
      <c r="D496" s="136"/>
      <c r="E496" s="136"/>
      <c r="F496" s="136"/>
      <c r="G496" s="136"/>
      <c r="H496" s="5" t="s">
        <v>3619</v>
      </c>
      <c r="I496" s="18">
        <v>15</v>
      </c>
      <c r="J496" s="18">
        <v>0</v>
      </c>
      <c r="K496" s="18">
        <f t="shared" si="402"/>
        <v>0</v>
      </c>
      <c r="L496" s="28" t="s">
        <v>3635</v>
      </c>
      <c r="Z496" s="34">
        <f t="shared" si="403"/>
        <v>0</v>
      </c>
      <c r="AB496" s="34">
        <f t="shared" si="404"/>
        <v>0</v>
      </c>
      <c r="AC496" s="34">
        <f t="shared" si="405"/>
        <v>0</v>
      </c>
      <c r="AD496" s="34">
        <f t="shared" si="406"/>
        <v>0</v>
      </c>
      <c r="AE496" s="34">
        <f t="shared" si="407"/>
        <v>0</v>
      </c>
      <c r="AF496" s="34">
        <f t="shared" si="408"/>
        <v>0</v>
      </c>
      <c r="AG496" s="34">
        <f t="shared" si="409"/>
        <v>0</v>
      </c>
      <c r="AH496" s="34">
        <f t="shared" si="410"/>
        <v>0</v>
      </c>
      <c r="AI496" s="27" t="s">
        <v>3645</v>
      </c>
      <c r="AJ496" s="18">
        <f t="shared" si="411"/>
        <v>0</v>
      </c>
      <c r="AK496" s="18">
        <f t="shared" si="412"/>
        <v>0</v>
      </c>
      <c r="AL496" s="18">
        <f t="shared" si="413"/>
        <v>0</v>
      </c>
      <c r="AN496" s="34">
        <v>21</v>
      </c>
      <c r="AO496" s="34">
        <f t="shared" si="414"/>
        <v>0</v>
      </c>
      <c r="AP496" s="34">
        <f t="shared" si="415"/>
        <v>0</v>
      </c>
      <c r="AQ496" s="28" t="s">
        <v>13</v>
      </c>
      <c r="AV496" s="34">
        <f t="shared" si="416"/>
        <v>0</v>
      </c>
      <c r="AW496" s="34">
        <f t="shared" si="417"/>
        <v>0</v>
      </c>
      <c r="AX496" s="34">
        <f t="shared" si="418"/>
        <v>0</v>
      </c>
      <c r="AY496" s="35" t="s">
        <v>3679</v>
      </c>
      <c r="AZ496" s="35" t="s">
        <v>3714</v>
      </c>
      <c r="BA496" s="27" t="s">
        <v>3729</v>
      </c>
      <c r="BC496" s="34">
        <f t="shared" si="419"/>
        <v>0</v>
      </c>
      <c r="BD496" s="34">
        <f t="shared" si="420"/>
        <v>0</v>
      </c>
      <c r="BE496" s="34">
        <v>0</v>
      </c>
      <c r="BF496" s="34">
        <f>496</f>
        <v>496</v>
      </c>
      <c r="BH496" s="18">
        <f t="shared" si="421"/>
        <v>0</v>
      </c>
      <c r="BI496" s="18">
        <f t="shared" si="422"/>
        <v>0</v>
      </c>
      <c r="BJ496" s="18">
        <f t="shared" si="423"/>
        <v>0</v>
      </c>
    </row>
    <row r="497" spans="1:62" x14ac:dyDescent="0.2">
      <c r="A497" s="5" t="s">
        <v>458</v>
      </c>
      <c r="B497" s="5" t="s">
        <v>1647</v>
      </c>
      <c r="C497" s="135" t="s">
        <v>2799</v>
      </c>
      <c r="D497" s="136"/>
      <c r="E497" s="136"/>
      <c r="F497" s="136"/>
      <c r="G497" s="136"/>
      <c r="H497" s="5" t="s">
        <v>3612</v>
      </c>
      <c r="I497" s="18">
        <v>1</v>
      </c>
      <c r="J497" s="18">
        <v>0</v>
      </c>
      <c r="K497" s="18">
        <f t="shared" si="402"/>
        <v>0</v>
      </c>
      <c r="L497" s="28" t="s">
        <v>3635</v>
      </c>
      <c r="Z497" s="34">
        <f t="shared" si="403"/>
        <v>0</v>
      </c>
      <c r="AB497" s="34">
        <f t="shared" si="404"/>
        <v>0</v>
      </c>
      <c r="AC497" s="34">
        <f t="shared" si="405"/>
        <v>0</v>
      </c>
      <c r="AD497" s="34">
        <f t="shared" si="406"/>
        <v>0</v>
      </c>
      <c r="AE497" s="34">
        <f t="shared" si="407"/>
        <v>0</v>
      </c>
      <c r="AF497" s="34">
        <f t="shared" si="408"/>
        <v>0</v>
      </c>
      <c r="AG497" s="34">
        <f t="shared" si="409"/>
        <v>0</v>
      </c>
      <c r="AH497" s="34">
        <f t="shared" si="410"/>
        <v>0</v>
      </c>
      <c r="AI497" s="27" t="s">
        <v>3645</v>
      </c>
      <c r="AJ497" s="18">
        <f t="shared" si="411"/>
        <v>0</v>
      </c>
      <c r="AK497" s="18">
        <f t="shared" si="412"/>
        <v>0</v>
      </c>
      <c r="AL497" s="18">
        <f t="shared" si="413"/>
        <v>0</v>
      </c>
      <c r="AN497" s="34">
        <v>21</v>
      </c>
      <c r="AO497" s="34">
        <f t="shared" si="414"/>
        <v>0</v>
      </c>
      <c r="AP497" s="34">
        <f t="shared" si="415"/>
        <v>0</v>
      </c>
      <c r="AQ497" s="28" t="s">
        <v>13</v>
      </c>
      <c r="AV497" s="34">
        <f t="shared" si="416"/>
        <v>0</v>
      </c>
      <c r="AW497" s="34">
        <f t="shared" si="417"/>
        <v>0</v>
      </c>
      <c r="AX497" s="34">
        <f t="shared" si="418"/>
        <v>0</v>
      </c>
      <c r="AY497" s="35" t="s">
        <v>3679</v>
      </c>
      <c r="AZ497" s="35" t="s">
        <v>3714</v>
      </c>
      <c r="BA497" s="27" t="s">
        <v>3729</v>
      </c>
      <c r="BC497" s="34">
        <f t="shared" si="419"/>
        <v>0</v>
      </c>
      <c r="BD497" s="34">
        <f t="shared" si="420"/>
        <v>0</v>
      </c>
      <c r="BE497" s="34">
        <v>0</v>
      </c>
      <c r="BF497" s="34">
        <f>497</f>
        <v>497</v>
      </c>
      <c r="BH497" s="18">
        <f t="shared" si="421"/>
        <v>0</v>
      </c>
      <c r="BI497" s="18">
        <f t="shared" si="422"/>
        <v>0</v>
      </c>
      <c r="BJ497" s="18">
        <f t="shared" si="423"/>
        <v>0</v>
      </c>
    </row>
    <row r="498" spans="1:62" x14ac:dyDescent="0.2">
      <c r="A498" s="5" t="s">
        <v>459</v>
      </c>
      <c r="B498" s="5" t="s">
        <v>1648</v>
      </c>
      <c r="C498" s="135" t="s">
        <v>2800</v>
      </c>
      <c r="D498" s="136"/>
      <c r="E498" s="136"/>
      <c r="F498" s="136"/>
      <c r="G498" s="136"/>
      <c r="H498" s="5" t="s">
        <v>3612</v>
      </c>
      <c r="I498" s="18">
        <v>1</v>
      </c>
      <c r="J498" s="18">
        <v>0</v>
      </c>
      <c r="K498" s="18">
        <f t="shared" si="402"/>
        <v>0</v>
      </c>
      <c r="L498" s="28" t="s">
        <v>3635</v>
      </c>
      <c r="Z498" s="34">
        <f t="shared" si="403"/>
        <v>0</v>
      </c>
      <c r="AB498" s="34">
        <f t="shared" si="404"/>
        <v>0</v>
      </c>
      <c r="AC498" s="34">
        <f t="shared" si="405"/>
        <v>0</v>
      </c>
      <c r="AD498" s="34">
        <f t="shared" si="406"/>
        <v>0</v>
      </c>
      <c r="AE498" s="34">
        <f t="shared" si="407"/>
        <v>0</v>
      </c>
      <c r="AF498" s="34">
        <f t="shared" si="408"/>
        <v>0</v>
      </c>
      <c r="AG498" s="34">
        <f t="shared" si="409"/>
        <v>0</v>
      </c>
      <c r="AH498" s="34">
        <f t="shared" si="410"/>
        <v>0</v>
      </c>
      <c r="AI498" s="27" t="s">
        <v>3645</v>
      </c>
      <c r="AJ498" s="18">
        <f t="shared" si="411"/>
        <v>0</v>
      </c>
      <c r="AK498" s="18">
        <f t="shared" si="412"/>
        <v>0</v>
      </c>
      <c r="AL498" s="18">
        <f t="shared" si="413"/>
        <v>0</v>
      </c>
      <c r="AN498" s="34">
        <v>21</v>
      </c>
      <c r="AO498" s="34">
        <f t="shared" si="414"/>
        <v>0</v>
      </c>
      <c r="AP498" s="34">
        <f t="shared" si="415"/>
        <v>0</v>
      </c>
      <c r="AQ498" s="28" t="s">
        <v>13</v>
      </c>
      <c r="AV498" s="34">
        <f t="shared" si="416"/>
        <v>0</v>
      </c>
      <c r="AW498" s="34">
        <f t="shared" si="417"/>
        <v>0</v>
      </c>
      <c r="AX498" s="34">
        <f t="shared" si="418"/>
        <v>0</v>
      </c>
      <c r="AY498" s="35" t="s">
        <v>3679</v>
      </c>
      <c r="AZ498" s="35" t="s">
        <v>3714</v>
      </c>
      <c r="BA498" s="27" t="s">
        <v>3729</v>
      </c>
      <c r="BC498" s="34">
        <f t="shared" si="419"/>
        <v>0</v>
      </c>
      <c r="BD498" s="34">
        <f t="shared" si="420"/>
        <v>0</v>
      </c>
      <c r="BE498" s="34">
        <v>0</v>
      </c>
      <c r="BF498" s="34">
        <f>498</f>
        <v>498</v>
      </c>
      <c r="BH498" s="18">
        <f t="shared" si="421"/>
        <v>0</v>
      </c>
      <c r="BI498" s="18">
        <f t="shared" si="422"/>
        <v>0</v>
      </c>
      <c r="BJ498" s="18">
        <f t="shared" si="423"/>
        <v>0</v>
      </c>
    </row>
    <row r="499" spans="1:62" x14ac:dyDescent="0.2">
      <c r="A499" s="5" t="s">
        <v>460</v>
      </c>
      <c r="B499" s="5" t="s">
        <v>1649</v>
      </c>
      <c r="C499" s="135" t="s">
        <v>2801</v>
      </c>
      <c r="D499" s="136"/>
      <c r="E499" s="136"/>
      <c r="F499" s="136"/>
      <c r="G499" s="136"/>
      <c r="H499" s="5" t="s">
        <v>3612</v>
      </c>
      <c r="I499" s="18">
        <v>1</v>
      </c>
      <c r="J499" s="18">
        <v>0</v>
      </c>
      <c r="K499" s="18">
        <f t="shared" si="402"/>
        <v>0</v>
      </c>
      <c r="L499" s="28" t="s">
        <v>3635</v>
      </c>
      <c r="Z499" s="34">
        <f t="shared" si="403"/>
        <v>0</v>
      </c>
      <c r="AB499" s="34">
        <f t="shared" si="404"/>
        <v>0</v>
      </c>
      <c r="AC499" s="34">
        <f t="shared" si="405"/>
        <v>0</v>
      </c>
      <c r="AD499" s="34">
        <f t="shared" si="406"/>
        <v>0</v>
      </c>
      <c r="AE499" s="34">
        <f t="shared" si="407"/>
        <v>0</v>
      </c>
      <c r="AF499" s="34">
        <f t="shared" si="408"/>
        <v>0</v>
      </c>
      <c r="AG499" s="34">
        <f t="shared" si="409"/>
        <v>0</v>
      </c>
      <c r="AH499" s="34">
        <f t="shared" si="410"/>
        <v>0</v>
      </c>
      <c r="AI499" s="27" t="s">
        <v>3645</v>
      </c>
      <c r="AJ499" s="18">
        <f t="shared" si="411"/>
        <v>0</v>
      </c>
      <c r="AK499" s="18">
        <f t="shared" si="412"/>
        <v>0</v>
      </c>
      <c r="AL499" s="18">
        <f t="shared" si="413"/>
        <v>0</v>
      </c>
      <c r="AN499" s="34">
        <v>21</v>
      </c>
      <c r="AO499" s="34">
        <f t="shared" si="414"/>
        <v>0</v>
      </c>
      <c r="AP499" s="34">
        <f t="shared" si="415"/>
        <v>0</v>
      </c>
      <c r="AQ499" s="28" t="s">
        <v>13</v>
      </c>
      <c r="AV499" s="34">
        <f t="shared" si="416"/>
        <v>0</v>
      </c>
      <c r="AW499" s="34">
        <f t="shared" si="417"/>
        <v>0</v>
      </c>
      <c r="AX499" s="34">
        <f t="shared" si="418"/>
        <v>0</v>
      </c>
      <c r="AY499" s="35" t="s">
        <v>3679</v>
      </c>
      <c r="AZ499" s="35" t="s">
        <v>3714</v>
      </c>
      <c r="BA499" s="27" t="s">
        <v>3729</v>
      </c>
      <c r="BC499" s="34">
        <f t="shared" si="419"/>
        <v>0</v>
      </c>
      <c r="BD499" s="34">
        <f t="shared" si="420"/>
        <v>0</v>
      </c>
      <c r="BE499" s="34">
        <v>0</v>
      </c>
      <c r="BF499" s="34">
        <f>499</f>
        <v>499</v>
      </c>
      <c r="BH499" s="18">
        <f t="shared" si="421"/>
        <v>0</v>
      </c>
      <c r="BI499" s="18">
        <f t="shared" si="422"/>
        <v>0</v>
      </c>
      <c r="BJ499" s="18">
        <f t="shared" si="423"/>
        <v>0</v>
      </c>
    </row>
    <row r="500" spans="1:62" x14ac:dyDescent="0.2">
      <c r="A500" s="4"/>
      <c r="B500" s="14" t="s">
        <v>734</v>
      </c>
      <c r="C500" s="133" t="s">
        <v>2882</v>
      </c>
      <c r="D500" s="134"/>
      <c r="E500" s="134"/>
      <c r="F500" s="134"/>
      <c r="G500" s="134"/>
      <c r="H500" s="4" t="s">
        <v>6</v>
      </c>
      <c r="I500" s="4" t="s">
        <v>6</v>
      </c>
      <c r="J500" s="4" t="s">
        <v>6</v>
      </c>
      <c r="K500" s="37">
        <f>SUM(K501:K595)</f>
        <v>0</v>
      </c>
      <c r="L500" s="27"/>
      <c r="AI500" s="27" t="s">
        <v>3645</v>
      </c>
      <c r="AS500" s="37">
        <f>SUM(AJ501:AJ595)</f>
        <v>0</v>
      </c>
      <c r="AT500" s="37">
        <f>SUM(AK501:AK595)</f>
        <v>0</v>
      </c>
      <c r="AU500" s="37">
        <f>SUM(AL501:AL595)</f>
        <v>0</v>
      </c>
    </row>
    <row r="501" spans="1:62" x14ac:dyDescent="0.2">
      <c r="A501" s="5" t="s">
        <v>461</v>
      </c>
      <c r="B501" s="5" t="s">
        <v>1650</v>
      </c>
      <c r="C501" s="135" t="s">
        <v>2883</v>
      </c>
      <c r="D501" s="136"/>
      <c r="E501" s="136"/>
      <c r="F501" s="136"/>
      <c r="G501" s="136"/>
      <c r="H501" s="5" t="s">
        <v>3614</v>
      </c>
      <c r="I501" s="18">
        <v>1</v>
      </c>
      <c r="J501" s="18">
        <v>0</v>
      </c>
      <c r="K501" s="18">
        <f t="shared" ref="K501:K532" si="424">I501*J501</f>
        <v>0</v>
      </c>
      <c r="L501" s="28" t="s">
        <v>3635</v>
      </c>
      <c r="Z501" s="34">
        <f t="shared" ref="Z501:Z532" si="425">IF(AQ501="5",BJ501,0)</f>
        <v>0</v>
      </c>
      <c r="AB501" s="34">
        <f t="shared" ref="AB501:AB532" si="426">IF(AQ501="1",BH501,0)</f>
        <v>0</v>
      </c>
      <c r="AC501" s="34">
        <f t="shared" ref="AC501:AC532" si="427">IF(AQ501="1",BI501,0)</f>
        <v>0</v>
      </c>
      <c r="AD501" s="34">
        <f t="shared" ref="AD501:AD532" si="428">IF(AQ501="7",BH501,0)</f>
        <v>0</v>
      </c>
      <c r="AE501" s="34">
        <f t="shared" ref="AE501:AE532" si="429">IF(AQ501="7",BI501,0)</f>
        <v>0</v>
      </c>
      <c r="AF501" s="34">
        <f t="shared" ref="AF501:AF532" si="430">IF(AQ501="2",BH501,0)</f>
        <v>0</v>
      </c>
      <c r="AG501" s="34">
        <f t="shared" ref="AG501:AG532" si="431">IF(AQ501="2",BI501,0)</f>
        <v>0</v>
      </c>
      <c r="AH501" s="34">
        <f t="shared" ref="AH501:AH532" si="432">IF(AQ501="0",BJ501,0)</f>
        <v>0</v>
      </c>
      <c r="AI501" s="27" t="s">
        <v>3645</v>
      </c>
      <c r="AJ501" s="18">
        <f t="shared" ref="AJ501:AJ532" si="433">IF(AN501=0,K501,0)</f>
        <v>0</v>
      </c>
      <c r="AK501" s="18">
        <f t="shared" ref="AK501:AK532" si="434">IF(AN501=15,K501,0)</f>
        <v>0</v>
      </c>
      <c r="AL501" s="18">
        <f t="shared" ref="AL501:AL532" si="435">IF(AN501=21,K501,0)</f>
        <v>0</v>
      </c>
      <c r="AN501" s="34">
        <v>21</v>
      </c>
      <c r="AO501" s="34">
        <f t="shared" ref="AO501:AO532" si="436">J501*0</f>
        <v>0</v>
      </c>
      <c r="AP501" s="34">
        <f t="shared" ref="AP501:AP532" si="437">J501*(1-0)</f>
        <v>0</v>
      </c>
      <c r="AQ501" s="28" t="s">
        <v>13</v>
      </c>
      <c r="AV501" s="34">
        <f t="shared" ref="AV501:AV532" si="438">AW501+AX501</f>
        <v>0</v>
      </c>
      <c r="AW501" s="34">
        <f t="shared" ref="AW501:AW532" si="439">I501*AO501</f>
        <v>0</v>
      </c>
      <c r="AX501" s="34">
        <f t="shared" ref="AX501:AX532" si="440">I501*AP501</f>
        <v>0</v>
      </c>
      <c r="AY501" s="35" t="s">
        <v>3680</v>
      </c>
      <c r="AZ501" s="35" t="s">
        <v>3714</v>
      </c>
      <c r="BA501" s="27" t="s">
        <v>3729</v>
      </c>
      <c r="BC501" s="34">
        <f t="shared" ref="BC501:BC532" si="441">AW501+AX501</f>
        <v>0</v>
      </c>
      <c r="BD501" s="34">
        <f t="shared" ref="BD501:BD532" si="442">J501/(100-BE501)*100</f>
        <v>0</v>
      </c>
      <c r="BE501" s="34">
        <v>0</v>
      </c>
      <c r="BF501" s="34">
        <f>501</f>
        <v>501</v>
      </c>
      <c r="BH501" s="18">
        <f t="shared" ref="BH501:BH532" si="443">I501*AO501</f>
        <v>0</v>
      </c>
      <c r="BI501" s="18">
        <f t="shared" ref="BI501:BI532" si="444">I501*AP501</f>
        <v>0</v>
      </c>
      <c r="BJ501" s="18">
        <f t="shared" ref="BJ501:BJ532" si="445">I501*J501</f>
        <v>0</v>
      </c>
    </row>
    <row r="502" spans="1:62" x14ac:dyDescent="0.2">
      <c r="A502" s="5" t="s">
        <v>462</v>
      </c>
      <c r="B502" s="5" t="s">
        <v>1651</v>
      </c>
      <c r="C502" s="135" t="s">
        <v>2884</v>
      </c>
      <c r="D502" s="136"/>
      <c r="E502" s="136"/>
      <c r="F502" s="136"/>
      <c r="G502" s="136"/>
      <c r="H502" s="5" t="s">
        <v>3614</v>
      </c>
      <c r="I502" s="18">
        <v>1</v>
      </c>
      <c r="J502" s="18">
        <v>0</v>
      </c>
      <c r="K502" s="18">
        <f t="shared" si="424"/>
        <v>0</v>
      </c>
      <c r="L502" s="28" t="s">
        <v>3635</v>
      </c>
      <c r="Z502" s="34">
        <f t="shared" si="425"/>
        <v>0</v>
      </c>
      <c r="AB502" s="34">
        <f t="shared" si="426"/>
        <v>0</v>
      </c>
      <c r="AC502" s="34">
        <f t="shared" si="427"/>
        <v>0</v>
      </c>
      <c r="AD502" s="34">
        <f t="shared" si="428"/>
        <v>0</v>
      </c>
      <c r="AE502" s="34">
        <f t="shared" si="429"/>
        <v>0</v>
      </c>
      <c r="AF502" s="34">
        <f t="shared" si="430"/>
        <v>0</v>
      </c>
      <c r="AG502" s="34">
        <f t="shared" si="431"/>
        <v>0</v>
      </c>
      <c r="AH502" s="34">
        <f t="shared" si="432"/>
        <v>0</v>
      </c>
      <c r="AI502" s="27" t="s">
        <v>3645</v>
      </c>
      <c r="AJ502" s="18">
        <f t="shared" si="433"/>
        <v>0</v>
      </c>
      <c r="AK502" s="18">
        <f t="shared" si="434"/>
        <v>0</v>
      </c>
      <c r="AL502" s="18">
        <f t="shared" si="435"/>
        <v>0</v>
      </c>
      <c r="AN502" s="34">
        <v>21</v>
      </c>
      <c r="AO502" s="34">
        <f t="shared" si="436"/>
        <v>0</v>
      </c>
      <c r="AP502" s="34">
        <f t="shared" si="437"/>
        <v>0</v>
      </c>
      <c r="AQ502" s="28" t="s">
        <v>13</v>
      </c>
      <c r="AV502" s="34">
        <f t="shared" si="438"/>
        <v>0</v>
      </c>
      <c r="AW502" s="34">
        <f t="shared" si="439"/>
        <v>0</v>
      </c>
      <c r="AX502" s="34">
        <f t="shared" si="440"/>
        <v>0</v>
      </c>
      <c r="AY502" s="35" t="s">
        <v>3680</v>
      </c>
      <c r="AZ502" s="35" t="s">
        <v>3714</v>
      </c>
      <c r="BA502" s="27" t="s">
        <v>3729</v>
      </c>
      <c r="BC502" s="34">
        <f t="shared" si="441"/>
        <v>0</v>
      </c>
      <c r="BD502" s="34">
        <f t="shared" si="442"/>
        <v>0</v>
      </c>
      <c r="BE502" s="34">
        <v>0</v>
      </c>
      <c r="BF502" s="34">
        <f>502</f>
        <v>502</v>
      </c>
      <c r="BH502" s="18">
        <f t="shared" si="443"/>
        <v>0</v>
      </c>
      <c r="BI502" s="18">
        <f t="shared" si="444"/>
        <v>0</v>
      </c>
      <c r="BJ502" s="18">
        <f t="shared" si="445"/>
        <v>0</v>
      </c>
    </row>
    <row r="503" spans="1:62" x14ac:dyDescent="0.2">
      <c r="A503" s="5" t="s">
        <v>463</v>
      </c>
      <c r="B503" s="5" t="s">
        <v>1652</v>
      </c>
      <c r="C503" s="135" t="s">
        <v>2885</v>
      </c>
      <c r="D503" s="136"/>
      <c r="E503" s="136"/>
      <c r="F503" s="136"/>
      <c r="G503" s="136"/>
      <c r="H503" s="5" t="s">
        <v>3612</v>
      </c>
      <c r="I503" s="18">
        <v>1</v>
      </c>
      <c r="J503" s="18">
        <v>0</v>
      </c>
      <c r="K503" s="18">
        <f t="shared" si="424"/>
        <v>0</v>
      </c>
      <c r="L503" s="28" t="s">
        <v>3635</v>
      </c>
      <c r="Z503" s="34">
        <f t="shared" si="425"/>
        <v>0</v>
      </c>
      <c r="AB503" s="34">
        <f t="shared" si="426"/>
        <v>0</v>
      </c>
      <c r="AC503" s="34">
        <f t="shared" si="427"/>
        <v>0</v>
      </c>
      <c r="AD503" s="34">
        <f t="shared" si="428"/>
        <v>0</v>
      </c>
      <c r="AE503" s="34">
        <f t="shared" si="429"/>
        <v>0</v>
      </c>
      <c r="AF503" s="34">
        <f t="shared" si="430"/>
        <v>0</v>
      </c>
      <c r="AG503" s="34">
        <f t="shared" si="431"/>
        <v>0</v>
      </c>
      <c r="AH503" s="34">
        <f t="shared" si="432"/>
        <v>0</v>
      </c>
      <c r="AI503" s="27" t="s">
        <v>3645</v>
      </c>
      <c r="AJ503" s="18">
        <f t="shared" si="433"/>
        <v>0</v>
      </c>
      <c r="AK503" s="18">
        <f t="shared" si="434"/>
        <v>0</v>
      </c>
      <c r="AL503" s="18">
        <f t="shared" si="435"/>
        <v>0</v>
      </c>
      <c r="AN503" s="34">
        <v>21</v>
      </c>
      <c r="AO503" s="34">
        <f t="shared" si="436"/>
        <v>0</v>
      </c>
      <c r="AP503" s="34">
        <f t="shared" si="437"/>
        <v>0</v>
      </c>
      <c r="AQ503" s="28" t="s">
        <v>13</v>
      </c>
      <c r="AV503" s="34">
        <f t="shared" si="438"/>
        <v>0</v>
      </c>
      <c r="AW503" s="34">
        <f t="shared" si="439"/>
        <v>0</v>
      </c>
      <c r="AX503" s="34">
        <f t="shared" si="440"/>
        <v>0</v>
      </c>
      <c r="AY503" s="35" t="s">
        <v>3680</v>
      </c>
      <c r="AZ503" s="35" t="s">
        <v>3714</v>
      </c>
      <c r="BA503" s="27" t="s">
        <v>3729</v>
      </c>
      <c r="BC503" s="34">
        <f t="shared" si="441"/>
        <v>0</v>
      </c>
      <c r="BD503" s="34">
        <f t="shared" si="442"/>
        <v>0</v>
      </c>
      <c r="BE503" s="34">
        <v>0</v>
      </c>
      <c r="BF503" s="34">
        <f>503</f>
        <v>503</v>
      </c>
      <c r="BH503" s="18">
        <f t="shared" si="443"/>
        <v>0</v>
      </c>
      <c r="BI503" s="18">
        <f t="shared" si="444"/>
        <v>0</v>
      </c>
      <c r="BJ503" s="18">
        <f t="shared" si="445"/>
        <v>0</v>
      </c>
    </row>
    <row r="504" spans="1:62" x14ac:dyDescent="0.2">
      <c r="A504" s="5" t="s">
        <v>464</v>
      </c>
      <c r="B504" s="5" t="s">
        <v>1653</v>
      </c>
      <c r="C504" s="135" t="s">
        <v>2886</v>
      </c>
      <c r="D504" s="136"/>
      <c r="E504" s="136"/>
      <c r="F504" s="136"/>
      <c r="G504" s="136"/>
      <c r="H504" s="5" t="s">
        <v>3612</v>
      </c>
      <c r="I504" s="18">
        <v>1</v>
      </c>
      <c r="J504" s="18">
        <v>0</v>
      </c>
      <c r="K504" s="18">
        <f t="shared" si="424"/>
        <v>0</v>
      </c>
      <c r="L504" s="28" t="s">
        <v>3635</v>
      </c>
      <c r="Z504" s="34">
        <f t="shared" si="425"/>
        <v>0</v>
      </c>
      <c r="AB504" s="34">
        <f t="shared" si="426"/>
        <v>0</v>
      </c>
      <c r="AC504" s="34">
        <f t="shared" si="427"/>
        <v>0</v>
      </c>
      <c r="AD504" s="34">
        <f t="shared" si="428"/>
        <v>0</v>
      </c>
      <c r="AE504" s="34">
        <f t="shared" si="429"/>
        <v>0</v>
      </c>
      <c r="AF504" s="34">
        <f t="shared" si="430"/>
        <v>0</v>
      </c>
      <c r="AG504" s="34">
        <f t="shared" si="431"/>
        <v>0</v>
      </c>
      <c r="AH504" s="34">
        <f t="shared" si="432"/>
        <v>0</v>
      </c>
      <c r="AI504" s="27" t="s">
        <v>3645</v>
      </c>
      <c r="AJ504" s="18">
        <f t="shared" si="433"/>
        <v>0</v>
      </c>
      <c r="AK504" s="18">
        <f t="shared" si="434"/>
        <v>0</v>
      </c>
      <c r="AL504" s="18">
        <f t="shared" si="435"/>
        <v>0</v>
      </c>
      <c r="AN504" s="34">
        <v>21</v>
      </c>
      <c r="AO504" s="34">
        <f t="shared" si="436"/>
        <v>0</v>
      </c>
      <c r="AP504" s="34">
        <f t="shared" si="437"/>
        <v>0</v>
      </c>
      <c r="AQ504" s="28" t="s">
        <v>13</v>
      </c>
      <c r="AV504" s="34">
        <f t="shared" si="438"/>
        <v>0</v>
      </c>
      <c r="AW504" s="34">
        <f t="shared" si="439"/>
        <v>0</v>
      </c>
      <c r="AX504" s="34">
        <f t="shared" si="440"/>
        <v>0</v>
      </c>
      <c r="AY504" s="35" t="s">
        <v>3680</v>
      </c>
      <c r="AZ504" s="35" t="s">
        <v>3714</v>
      </c>
      <c r="BA504" s="27" t="s">
        <v>3729</v>
      </c>
      <c r="BC504" s="34">
        <f t="shared" si="441"/>
        <v>0</v>
      </c>
      <c r="BD504" s="34">
        <f t="shared" si="442"/>
        <v>0</v>
      </c>
      <c r="BE504" s="34">
        <v>0</v>
      </c>
      <c r="BF504" s="34">
        <f>504</f>
        <v>504</v>
      </c>
      <c r="BH504" s="18">
        <f t="shared" si="443"/>
        <v>0</v>
      </c>
      <c r="BI504" s="18">
        <f t="shared" si="444"/>
        <v>0</v>
      </c>
      <c r="BJ504" s="18">
        <f t="shared" si="445"/>
        <v>0</v>
      </c>
    </row>
    <row r="505" spans="1:62" x14ac:dyDescent="0.2">
      <c r="A505" s="5" t="s">
        <v>465</v>
      </c>
      <c r="B505" s="5" t="s">
        <v>1654</v>
      </c>
      <c r="C505" s="135" t="s">
        <v>2887</v>
      </c>
      <c r="D505" s="136"/>
      <c r="E505" s="136"/>
      <c r="F505" s="136"/>
      <c r="G505" s="136"/>
      <c r="H505" s="5" t="s">
        <v>3612</v>
      </c>
      <c r="I505" s="18">
        <v>1</v>
      </c>
      <c r="J505" s="18">
        <v>0</v>
      </c>
      <c r="K505" s="18">
        <f t="shared" si="424"/>
        <v>0</v>
      </c>
      <c r="L505" s="28" t="s">
        <v>3635</v>
      </c>
      <c r="Z505" s="34">
        <f t="shared" si="425"/>
        <v>0</v>
      </c>
      <c r="AB505" s="34">
        <f t="shared" si="426"/>
        <v>0</v>
      </c>
      <c r="AC505" s="34">
        <f t="shared" si="427"/>
        <v>0</v>
      </c>
      <c r="AD505" s="34">
        <f t="shared" si="428"/>
        <v>0</v>
      </c>
      <c r="AE505" s="34">
        <f t="shared" si="429"/>
        <v>0</v>
      </c>
      <c r="AF505" s="34">
        <f t="shared" si="430"/>
        <v>0</v>
      </c>
      <c r="AG505" s="34">
        <f t="shared" si="431"/>
        <v>0</v>
      </c>
      <c r="AH505" s="34">
        <f t="shared" si="432"/>
        <v>0</v>
      </c>
      <c r="AI505" s="27" t="s">
        <v>3645</v>
      </c>
      <c r="AJ505" s="18">
        <f t="shared" si="433"/>
        <v>0</v>
      </c>
      <c r="AK505" s="18">
        <f t="shared" si="434"/>
        <v>0</v>
      </c>
      <c r="AL505" s="18">
        <f t="shared" si="435"/>
        <v>0</v>
      </c>
      <c r="AN505" s="34">
        <v>21</v>
      </c>
      <c r="AO505" s="34">
        <f t="shared" si="436"/>
        <v>0</v>
      </c>
      <c r="AP505" s="34">
        <f t="shared" si="437"/>
        <v>0</v>
      </c>
      <c r="AQ505" s="28" t="s">
        <v>13</v>
      </c>
      <c r="AV505" s="34">
        <f t="shared" si="438"/>
        <v>0</v>
      </c>
      <c r="AW505" s="34">
        <f t="shared" si="439"/>
        <v>0</v>
      </c>
      <c r="AX505" s="34">
        <f t="shared" si="440"/>
        <v>0</v>
      </c>
      <c r="AY505" s="35" t="s">
        <v>3680</v>
      </c>
      <c r="AZ505" s="35" t="s">
        <v>3714</v>
      </c>
      <c r="BA505" s="27" t="s">
        <v>3729</v>
      </c>
      <c r="BC505" s="34">
        <f t="shared" si="441"/>
        <v>0</v>
      </c>
      <c r="BD505" s="34">
        <f t="shared" si="442"/>
        <v>0</v>
      </c>
      <c r="BE505" s="34">
        <v>0</v>
      </c>
      <c r="BF505" s="34">
        <f>505</f>
        <v>505</v>
      </c>
      <c r="BH505" s="18">
        <f t="shared" si="443"/>
        <v>0</v>
      </c>
      <c r="BI505" s="18">
        <f t="shared" si="444"/>
        <v>0</v>
      </c>
      <c r="BJ505" s="18">
        <f t="shared" si="445"/>
        <v>0</v>
      </c>
    </row>
    <row r="506" spans="1:62" x14ac:dyDescent="0.2">
      <c r="A506" s="5" t="s">
        <v>466</v>
      </c>
      <c r="B506" s="5" t="s">
        <v>1655</v>
      </c>
      <c r="C506" s="135" t="s">
        <v>2888</v>
      </c>
      <c r="D506" s="136"/>
      <c r="E506" s="136"/>
      <c r="F506" s="136"/>
      <c r="G506" s="136"/>
      <c r="H506" s="5" t="s">
        <v>3612</v>
      </c>
      <c r="I506" s="18">
        <v>1</v>
      </c>
      <c r="J506" s="18">
        <v>0</v>
      </c>
      <c r="K506" s="18">
        <f t="shared" si="424"/>
        <v>0</v>
      </c>
      <c r="L506" s="28" t="s">
        <v>3635</v>
      </c>
      <c r="Z506" s="34">
        <f t="shared" si="425"/>
        <v>0</v>
      </c>
      <c r="AB506" s="34">
        <f t="shared" si="426"/>
        <v>0</v>
      </c>
      <c r="AC506" s="34">
        <f t="shared" si="427"/>
        <v>0</v>
      </c>
      <c r="AD506" s="34">
        <f t="shared" si="428"/>
        <v>0</v>
      </c>
      <c r="AE506" s="34">
        <f t="shared" si="429"/>
        <v>0</v>
      </c>
      <c r="AF506" s="34">
        <f t="shared" si="430"/>
        <v>0</v>
      </c>
      <c r="AG506" s="34">
        <f t="shared" si="431"/>
        <v>0</v>
      </c>
      <c r="AH506" s="34">
        <f t="shared" si="432"/>
        <v>0</v>
      </c>
      <c r="AI506" s="27" t="s">
        <v>3645</v>
      </c>
      <c r="AJ506" s="18">
        <f t="shared" si="433"/>
        <v>0</v>
      </c>
      <c r="AK506" s="18">
        <f t="shared" si="434"/>
        <v>0</v>
      </c>
      <c r="AL506" s="18">
        <f t="shared" si="435"/>
        <v>0</v>
      </c>
      <c r="AN506" s="34">
        <v>21</v>
      </c>
      <c r="AO506" s="34">
        <f t="shared" si="436"/>
        <v>0</v>
      </c>
      <c r="AP506" s="34">
        <f t="shared" si="437"/>
        <v>0</v>
      </c>
      <c r="AQ506" s="28" t="s">
        <v>13</v>
      </c>
      <c r="AV506" s="34">
        <f t="shared" si="438"/>
        <v>0</v>
      </c>
      <c r="AW506" s="34">
        <f t="shared" si="439"/>
        <v>0</v>
      </c>
      <c r="AX506" s="34">
        <f t="shared" si="440"/>
        <v>0</v>
      </c>
      <c r="AY506" s="35" t="s">
        <v>3680</v>
      </c>
      <c r="AZ506" s="35" t="s">
        <v>3714</v>
      </c>
      <c r="BA506" s="27" t="s">
        <v>3729</v>
      </c>
      <c r="BC506" s="34">
        <f t="shared" si="441"/>
        <v>0</v>
      </c>
      <c r="BD506" s="34">
        <f t="shared" si="442"/>
        <v>0</v>
      </c>
      <c r="BE506" s="34">
        <v>0</v>
      </c>
      <c r="BF506" s="34">
        <f>506</f>
        <v>506</v>
      </c>
      <c r="BH506" s="18">
        <f t="shared" si="443"/>
        <v>0</v>
      </c>
      <c r="BI506" s="18">
        <f t="shared" si="444"/>
        <v>0</v>
      </c>
      <c r="BJ506" s="18">
        <f t="shared" si="445"/>
        <v>0</v>
      </c>
    </row>
    <row r="507" spans="1:62" x14ac:dyDescent="0.2">
      <c r="A507" s="5" t="s">
        <v>467</v>
      </c>
      <c r="B507" s="5" t="s">
        <v>1656</v>
      </c>
      <c r="C507" s="135" t="s">
        <v>2886</v>
      </c>
      <c r="D507" s="136"/>
      <c r="E507" s="136"/>
      <c r="F507" s="136"/>
      <c r="G507" s="136"/>
      <c r="H507" s="5" t="s">
        <v>3612</v>
      </c>
      <c r="I507" s="18">
        <v>1</v>
      </c>
      <c r="J507" s="18">
        <v>0</v>
      </c>
      <c r="K507" s="18">
        <f t="shared" si="424"/>
        <v>0</v>
      </c>
      <c r="L507" s="28" t="s">
        <v>3635</v>
      </c>
      <c r="Z507" s="34">
        <f t="shared" si="425"/>
        <v>0</v>
      </c>
      <c r="AB507" s="34">
        <f t="shared" si="426"/>
        <v>0</v>
      </c>
      <c r="AC507" s="34">
        <f t="shared" si="427"/>
        <v>0</v>
      </c>
      <c r="AD507" s="34">
        <f t="shared" si="428"/>
        <v>0</v>
      </c>
      <c r="AE507" s="34">
        <f t="shared" si="429"/>
        <v>0</v>
      </c>
      <c r="AF507" s="34">
        <f t="shared" si="430"/>
        <v>0</v>
      </c>
      <c r="AG507" s="34">
        <f t="shared" si="431"/>
        <v>0</v>
      </c>
      <c r="AH507" s="34">
        <f t="shared" si="432"/>
        <v>0</v>
      </c>
      <c r="AI507" s="27" t="s">
        <v>3645</v>
      </c>
      <c r="AJ507" s="18">
        <f t="shared" si="433"/>
        <v>0</v>
      </c>
      <c r="AK507" s="18">
        <f t="shared" si="434"/>
        <v>0</v>
      </c>
      <c r="AL507" s="18">
        <f t="shared" si="435"/>
        <v>0</v>
      </c>
      <c r="AN507" s="34">
        <v>21</v>
      </c>
      <c r="AO507" s="34">
        <f t="shared" si="436"/>
        <v>0</v>
      </c>
      <c r="AP507" s="34">
        <f t="shared" si="437"/>
        <v>0</v>
      </c>
      <c r="AQ507" s="28" t="s">
        <v>13</v>
      </c>
      <c r="AV507" s="34">
        <f t="shared" si="438"/>
        <v>0</v>
      </c>
      <c r="AW507" s="34">
        <f t="shared" si="439"/>
        <v>0</v>
      </c>
      <c r="AX507" s="34">
        <f t="shared" si="440"/>
        <v>0</v>
      </c>
      <c r="AY507" s="35" t="s">
        <v>3680</v>
      </c>
      <c r="AZ507" s="35" t="s">
        <v>3714</v>
      </c>
      <c r="BA507" s="27" t="s">
        <v>3729</v>
      </c>
      <c r="BC507" s="34">
        <f t="shared" si="441"/>
        <v>0</v>
      </c>
      <c r="BD507" s="34">
        <f t="shared" si="442"/>
        <v>0</v>
      </c>
      <c r="BE507" s="34">
        <v>0</v>
      </c>
      <c r="BF507" s="34">
        <f>507</f>
        <v>507</v>
      </c>
      <c r="BH507" s="18">
        <f t="shared" si="443"/>
        <v>0</v>
      </c>
      <c r="BI507" s="18">
        <f t="shared" si="444"/>
        <v>0</v>
      </c>
      <c r="BJ507" s="18">
        <f t="shared" si="445"/>
        <v>0</v>
      </c>
    </row>
    <row r="508" spans="1:62" x14ac:dyDescent="0.2">
      <c r="A508" s="5" t="s">
        <v>468</v>
      </c>
      <c r="B508" s="5" t="s">
        <v>1657</v>
      </c>
      <c r="C508" s="135" t="s">
        <v>2887</v>
      </c>
      <c r="D508" s="136"/>
      <c r="E508" s="136"/>
      <c r="F508" s="136"/>
      <c r="G508" s="136"/>
      <c r="H508" s="5" t="s">
        <v>3612</v>
      </c>
      <c r="I508" s="18">
        <v>1</v>
      </c>
      <c r="J508" s="18">
        <v>0</v>
      </c>
      <c r="K508" s="18">
        <f t="shared" si="424"/>
        <v>0</v>
      </c>
      <c r="L508" s="28" t="s">
        <v>3635</v>
      </c>
      <c r="Z508" s="34">
        <f t="shared" si="425"/>
        <v>0</v>
      </c>
      <c r="AB508" s="34">
        <f t="shared" si="426"/>
        <v>0</v>
      </c>
      <c r="AC508" s="34">
        <f t="shared" si="427"/>
        <v>0</v>
      </c>
      <c r="AD508" s="34">
        <f t="shared" si="428"/>
        <v>0</v>
      </c>
      <c r="AE508" s="34">
        <f t="shared" si="429"/>
        <v>0</v>
      </c>
      <c r="AF508" s="34">
        <f t="shared" si="430"/>
        <v>0</v>
      </c>
      <c r="AG508" s="34">
        <f t="shared" si="431"/>
        <v>0</v>
      </c>
      <c r="AH508" s="34">
        <f t="shared" si="432"/>
        <v>0</v>
      </c>
      <c r="AI508" s="27" t="s">
        <v>3645</v>
      </c>
      <c r="AJ508" s="18">
        <f t="shared" si="433"/>
        <v>0</v>
      </c>
      <c r="AK508" s="18">
        <f t="shared" si="434"/>
        <v>0</v>
      </c>
      <c r="AL508" s="18">
        <f t="shared" si="435"/>
        <v>0</v>
      </c>
      <c r="AN508" s="34">
        <v>21</v>
      </c>
      <c r="AO508" s="34">
        <f t="shared" si="436"/>
        <v>0</v>
      </c>
      <c r="AP508" s="34">
        <f t="shared" si="437"/>
        <v>0</v>
      </c>
      <c r="AQ508" s="28" t="s">
        <v>13</v>
      </c>
      <c r="AV508" s="34">
        <f t="shared" si="438"/>
        <v>0</v>
      </c>
      <c r="AW508" s="34">
        <f t="shared" si="439"/>
        <v>0</v>
      </c>
      <c r="AX508" s="34">
        <f t="shared" si="440"/>
        <v>0</v>
      </c>
      <c r="AY508" s="35" t="s">
        <v>3680</v>
      </c>
      <c r="AZ508" s="35" t="s">
        <v>3714</v>
      </c>
      <c r="BA508" s="27" t="s">
        <v>3729</v>
      </c>
      <c r="BC508" s="34">
        <f t="shared" si="441"/>
        <v>0</v>
      </c>
      <c r="BD508" s="34">
        <f t="shared" si="442"/>
        <v>0</v>
      </c>
      <c r="BE508" s="34">
        <v>0</v>
      </c>
      <c r="BF508" s="34">
        <f>508</f>
        <v>508</v>
      </c>
      <c r="BH508" s="18">
        <f t="shared" si="443"/>
        <v>0</v>
      </c>
      <c r="BI508" s="18">
        <f t="shared" si="444"/>
        <v>0</v>
      </c>
      <c r="BJ508" s="18">
        <f t="shared" si="445"/>
        <v>0</v>
      </c>
    </row>
    <row r="509" spans="1:62" x14ac:dyDescent="0.2">
      <c r="A509" s="5" t="s">
        <v>469</v>
      </c>
      <c r="B509" s="5" t="s">
        <v>1658</v>
      </c>
      <c r="C509" s="135" t="s">
        <v>2889</v>
      </c>
      <c r="D509" s="136"/>
      <c r="E509" s="136"/>
      <c r="F509" s="136"/>
      <c r="G509" s="136"/>
      <c r="H509" s="5" t="s">
        <v>3612</v>
      </c>
      <c r="I509" s="18">
        <v>7</v>
      </c>
      <c r="J509" s="18">
        <v>0</v>
      </c>
      <c r="K509" s="18">
        <f t="shared" si="424"/>
        <v>0</v>
      </c>
      <c r="L509" s="28" t="s">
        <v>3635</v>
      </c>
      <c r="Z509" s="34">
        <f t="shared" si="425"/>
        <v>0</v>
      </c>
      <c r="AB509" s="34">
        <f t="shared" si="426"/>
        <v>0</v>
      </c>
      <c r="AC509" s="34">
        <f t="shared" si="427"/>
        <v>0</v>
      </c>
      <c r="AD509" s="34">
        <f t="shared" si="428"/>
        <v>0</v>
      </c>
      <c r="AE509" s="34">
        <f t="shared" si="429"/>
        <v>0</v>
      </c>
      <c r="AF509" s="34">
        <f t="shared" si="430"/>
        <v>0</v>
      </c>
      <c r="AG509" s="34">
        <f t="shared" si="431"/>
        <v>0</v>
      </c>
      <c r="AH509" s="34">
        <f t="shared" si="432"/>
        <v>0</v>
      </c>
      <c r="AI509" s="27" t="s">
        <v>3645</v>
      </c>
      <c r="AJ509" s="18">
        <f t="shared" si="433"/>
        <v>0</v>
      </c>
      <c r="AK509" s="18">
        <f t="shared" si="434"/>
        <v>0</v>
      </c>
      <c r="AL509" s="18">
        <f t="shared" si="435"/>
        <v>0</v>
      </c>
      <c r="AN509" s="34">
        <v>21</v>
      </c>
      <c r="AO509" s="34">
        <f t="shared" si="436"/>
        <v>0</v>
      </c>
      <c r="AP509" s="34">
        <f t="shared" si="437"/>
        <v>0</v>
      </c>
      <c r="AQ509" s="28" t="s">
        <v>13</v>
      </c>
      <c r="AV509" s="34">
        <f t="shared" si="438"/>
        <v>0</v>
      </c>
      <c r="AW509" s="34">
        <f t="shared" si="439"/>
        <v>0</v>
      </c>
      <c r="AX509" s="34">
        <f t="shared" si="440"/>
        <v>0</v>
      </c>
      <c r="AY509" s="35" t="s">
        <v>3680</v>
      </c>
      <c r="AZ509" s="35" t="s">
        <v>3714</v>
      </c>
      <c r="BA509" s="27" t="s">
        <v>3729</v>
      </c>
      <c r="BC509" s="34">
        <f t="shared" si="441"/>
        <v>0</v>
      </c>
      <c r="BD509" s="34">
        <f t="shared" si="442"/>
        <v>0</v>
      </c>
      <c r="BE509" s="34">
        <v>0</v>
      </c>
      <c r="BF509" s="34">
        <f>509</f>
        <v>509</v>
      </c>
      <c r="BH509" s="18">
        <f t="shared" si="443"/>
        <v>0</v>
      </c>
      <c r="BI509" s="18">
        <f t="shared" si="444"/>
        <v>0</v>
      </c>
      <c r="BJ509" s="18">
        <f t="shared" si="445"/>
        <v>0</v>
      </c>
    </row>
    <row r="510" spans="1:62" x14ac:dyDescent="0.2">
      <c r="A510" s="5" t="s">
        <v>470</v>
      </c>
      <c r="B510" s="5" t="s">
        <v>1659</v>
      </c>
      <c r="C510" s="135" t="s">
        <v>2886</v>
      </c>
      <c r="D510" s="136"/>
      <c r="E510" s="136"/>
      <c r="F510" s="136"/>
      <c r="G510" s="136"/>
      <c r="H510" s="5" t="s">
        <v>3612</v>
      </c>
      <c r="I510" s="18">
        <v>7</v>
      </c>
      <c r="J510" s="18">
        <v>0</v>
      </c>
      <c r="K510" s="18">
        <f t="shared" si="424"/>
        <v>0</v>
      </c>
      <c r="L510" s="28" t="s">
        <v>3635</v>
      </c>
      <c r="Z510" s="34">
        <f t="shared" si="425"/>
        <v>0</v>
      </c>
      <c r="AB510" s="34">
        <f t="shared" si="426"/>
        <v>0</v>
      </c>
      <c r="AC510" s="34">
        <f t="shared" si="427"/>
        <v>0</v>
      </c>
      <c r="AD510" s="34">
        <f t="shared" si="428"/>
        <v>0</v>
      </c>
      <c r="AE510" s="34">
        <f t="shared" si="429"/>
        <v>0</v>
      </c>
      <c r="AF510" s="34">
        <f t="shared" si="430"/>
        <v>0</v>
      </c>
      <c r="AG510" s="34">
        <f t="shared" si="431"/>
        <v>0</v>
      </c>
      <c r="AH510" s="34">
        <f t="shared" si="432"/>
        <v>0</v>
      </c>
      <c r="AI510" s="27" t="s">
        <v>3645</v>
      </c>
      <c r="AJ510" s="18">
        <f t="shared" si="433"/>
        <v>0</v>
      </c>
      <c r="AK510" s="18">
        <f t="shared" si="434"/>
        <v>0</v>
      </c>
      <c r="AL510" s="18">
        <f t="shared" si="435"/>
        <v>0</v>
      </c>
      <c r="AN510" s="34">
        <v>21</v>
      </c>
      <c r="AO510" s="34">
        <f t="shared" si="436"/>
        <v>0</v>
      </c>
      <c r="AP510" s="34">
        <f t="shared" si="437"/>
        <v>0</v>
      </c>
      <c r="AQ510" s="28" t="s">
        <v>13</v>
      </c>
      <c r="AV510" s="34">
        <f t="shared" si="438"/>
        <v>0</v>
      </c>
      <c r="AW510" s="34">
        <f t="shared" si="439"/>
        <v>0</v>
      </c>
      <c r="AX510" s="34">
        <f t="shared" si="440"/>
        <v>0</v>
      </c>
      <c r="AY510" s="35" t="s">
        <v>3680</v>
      </c>
      <c r="AZ510" s="35" t="s">
        <v>3714</v>
      </c>
      <c r="BA510" s="27" t="s">
        <v>3729</v>
      </c>
      <c r="BC510" s="34">
        <f t="shared" si="441"/>
        <v>0</v>
      </c>
      <c r="BD510" s="34">
        <f t="shared" si="442"/>
        <v>0</v>
      </c>
      <c r="BE510" s="34">
        <v>0</v>
      </c>
      <c r="BF510" s="34">
        <f>510</f>
        <v>510</v>
      </c>
      <c r="BH510" s="18">
        <f t="shared" si="443"/>
        <v>0</v>
      </c>
      <c r="BI510" s="18">
        <f t="shared" si="444"/>
        <v>0</v>
      </c>
      <c r="BJ510" s="18">
        <f t="shared" si="445"/>
        <v>0</v>
      </c>
    </row>
    <row r="511" spans="1:62" x14ac:dyDescent="0.2">
      <c r="A511" s="5" t="s">
        <v>471</v>
      </c>
      <c r="B511" s="5" t="s">
        <v>1660</v>
      </c>
      <c r="C511" s="135" t="s">
        <v>2890</v>
      </c>
      <c r="D511" s="136"/>
      <c r="E511" s="136"/>
      <c r="F511" s="136"/>
      <c r="G511" s="136"/>
      <c r="H511" s="5" t="s">
        <v>3612</v>
      </c>
      <c r="I511" s="18">
        <v>7</v>
      </c>
      <c r="J511" s="18">
        <v>0</v>
      </c>
      <c r="K511" s="18">
        <f t="shared" si="424"/>
        <v>0</v>
      </c>
      <c r="L511" s="28" t="s">
        <v>3635</v>
      </c>
      <c r="Z511" s="34">
        <f t="shared" si="425"/>
        <v>0</v>
      </c>
      <c r="AB511" s="34">
        <f t="shared" si="426"/>
        <v>0</v>
      </c>
      <c r="AC511" s="34">
        <f t="shared" si="427"/>
        <v>0</v>
      </c>
      <c r="AD511" s="34">
        <f t="shared" si="428"/>
        <v>0</v>
      </c>
      <c r="AE511" s="34">
        <f t="shared" si="429"/>
        <v>0</v>
      </c>
      <c r="AF511" s="34">
        <f t="shared" si="430"/>
        <v>0</v>
      </c>
      <c r="AG511" s="34">
        <f t="shared" si="431"/>
        <v>0</v>
      </c>
      <c r="AH511" s="34">
        <f t="shared" si="432"/>
        <v>0</v>
      </c>
      <c r="AI511" s="27" t="s">
        <v>3645</v>
      </c>
      <c r="AJ511" s="18">
        <f t="shared" si="433"/>
        <v>0</v>
      </c>
      <c r="AK511" s="18">
        <f t="shared" si="434"/>
        <v>0</v>
      </c>
      <c r="AL511" s="18">
        <f t="shared" si="435"/>
        <v>0</v>
      </c>
      <c r="AN511" s="34">
        <v>21</v>
      </c>
      <c r="AO511" s="34">
        <f t="shared" si="436"/>
        <v>0</v>
      </c>
      <c r="AP511" s="34">
        <f t="shared" si="437"/>
        <v>0</v>
      </c>
      <c r="AQ511" s="28" t="s">
        <v>13</v>
      </c>
      <c r="AV511" s="34">
        <f t="shared" si="438"/>
        <v>0</v>
      </c>
      <c r="AW511" s="34">
        <f t="shared" si="439"/>
        <v>0</v>
      </c>
      <c r="AX511" s="34">
        <f t="shared" si="440"/>
        <v>0</v>
      </c>
      <c r="AY511" s="35" t="s">
        <v>3680</v>
      </c>
      <c r="AZ511" s="35" t="s">
        <v>3714</v>
      </c>
      <c r="BA511" s="27" t="s">
        <v>3729</v>
      </c>
      <c r="BC511" s="34">
        <f t="shared" si="441"/>
        <v>0</v>
      </c>
      <c r="BD511" s="34">
        <f t="shared" si="442"/>
        <v>0</v>
      </c>
      <c r="BE511" s="34">
        <v>0</v>
      </c>
      <c r="BF511" s="34">
        <f>511</f>
        <v>511</v>
      </c>
      <c r="BH511" s="18">
        <f t="shared" si="443"/>
        <v>0</v>
      </c>
      <c r="BI511" s="18">
        <f t="shared" si="444"/>
        <v>0</v>
      </c>
      <c r="BJ511" s="18">
        <f t="shared" si="445"/>
        <v>0</v>
      </c>
    </row>
    <row r="512" spans="1:62" x14ac:dyDescent="0.2">
      <c r="A512" s="5" t="s">
        <v>472</v>
      </c>
      <c r="B512" s="5" t="s">
        <v>1661</v>
      </c>
      <c r="C512" s="135" t="s">
        <v>2887</v>
      </c>
      <c r="D512" s="136"/>
      <c r="E512" s="136"/>
      <c r="F512" s="136"/>
      <c r="G512" s="136"/>
      <c r="H512" s="5" t="s">
        <v>3612</v>
      </c>
      <c r="I512" s="18">
        <v>7</v>
      </c>
      <c r="J512" s="18">
        <v>0</v>
      </c>
      <c r="K512" s="18">
        <f t="shared" si="424"/>
        <v>0</v>
      </c>
      <c r="L512" s="28" t="s">
        <v>3635</v>
      </c>
      <c r="Z512" s="34">
        <f t="shared" si="425"/>
        <v>0</v>
      </c>
      <c r="AB512" s="34">
        <f t="shared" si="426"/>
        <v>0</v>
      </c>
      <c r="AC512" s="34">
        <f t="shared" si="427"/>
        <v>0</v>
      </c>
      <c r="AD512" s="34">
        <f t="shared" si="428"/>
        <v>0</v>
      </c>
      <c r="AE512" s="34">
        <f t="shared" si="429"/>
        <v>0</v>
      </c>
      <c r="AF512" s="34">
        <f t="shared" si="430"/>
        <v>0</v>
      </c>
      <c r="AG512" s="34">
        <f t="shared" si="431"/>
        <v>0</v>
      </c>
      <c r="AH512" s="34">
        <f t="shared" si="432"/>
        <v>0</v>
      </c>
      <c r="AI512" s="27" t="s">
        <v>3645</v>
      </c>
      <c r="AJ512" s="18">
        <f t="shared" si="433"/>
        <v>0</v>
      </c>
      <c r="AK512" s="18">
        <f t="shared" si="434"/>
        <v>0</v>
      </c>
      <c r="AL512" s="18">
        <f t="shared" si="435"/>
        <v>0</v>
      </c>
      <c r="AN512" s="34">
        <v>21</v>
      </c>
      <c r="AO512" s="34">
        <f t="shared" si="436"/>
        <v>0</v>
      </c>
      <c r="AP512" s="34">
        <f t="shared" si="437"/>
        <v>0</v>
      </c>
      <c r="AQ512" s="28" t="s">
        <v>13</v>
      </c>
      <c r="AV512" s="34">
        <f t="shared" si="438"/>
        <v>0</v>
      </c>
      <c r="AW512" s="34">
        <f t="shared" si="439"/>
        <v>0</v>
      </c>
      <c r="AX512" s="34">
        <f t="shared" si="440"/>
        <v>0</v>
      </c>
      <c r="AY512" s="35" t="s">
        <v>3680</v>
      </c>
      <c r="AZ512" s="35" t="s">
        <v>3714</v>
      </c>
      <c r="BA512" s="27" t="s">
        <v>3729</v>
      </c>
      <c r="BC512" s="34">
        <f t="shared" si="441"/>
        <v>0</v>
      </c>
      <c r="BD512" s="34">
        <f t="shared" si="442"/>
        <v>0</v>
      </c>
      <c r="BE512" s="34">
        <v>0</v>
      </c>
      <c r="BF512" s="34">
        <f>512</f>
        <v>512</v>
      </c>
      <c r="BH512" s="18">
        <f t="shared" si="443"/>
        <v>0</v>
      </c>
      <c r="BI512" s="18">
        <f t="shared" si="444"/>
        <v>0</v>
      </c>
      <c r="BJ512" s="18">
        <f t="shared" si="445"/>
        <v>0</v>
      </c>
    </row>
    <row r="513" spans="1:62" x14ac:dyDescent="0.2">
      <c r="A513" s="5" t="s">
        <v>473</v>
      </c>
      <c r="B513" s="5" t="s">
        <v>1662</v>
      </c>
      <c r="C513" s="135" t="s">
        <v>2891</v>
      </c>
      <c r="D513" s="136"/>
      <c r="E513" s="136"/>
      <c r="F513" s="136"/>
      <c r="G513" s="136"/>
      <c r="H513" s="5" t="s">
        <v>3612</v>
      </c>
      <c r="I513" s="18">
        <v>2</v>
      </c>
      <c r="J513" s="18">
        <v>0</v>
      </c>
      <c r="K513" s="18">
        <f t="shared" si="424"/>
        <v>0</v>
      </c>
      <c r="L513" s="28" t="s">
        <v>3635</v>
      </c>
      <c r="Z513" s="34">
        <f t="shared" si="425"/>
        <v>0</v>
      </c>
      <c r="AB513" s="34">
        <f t="shared" si="426"/>
        <v>0</v>
      </c>
      <c r="AC513" s="34">
        <f t="shared" si="427"/>
        <v>0</v>
      </c>
      <c r="AD513" s="34">
        <f t="shared" si="428"/>
        <v>0</v>
      </c>
      <c r="AE513" s="34">
        <f t="shared" si="429"/>
        <v>0</v>
      </c>
      <c r="AF513" s="34">
        <f t="shared" si="430"/>
        <v>0</v>
      </c>
      <c r="AG513" s="34">
        <f t="shared" si="431"/>
        <v>0</v>
      </c>
      <c r="AH513" s="34">
        <f t="shared" si="432"/>
        <v>0</v>
      </c>
      <c r="AI513" s="27" t="s">
        <v>3645</v>
      </c>
      <c r="AJ513" s="18">
        <f t="shared" si="433"/>
        <v>0</v>
      </c>
      <c r="AK513" s="18">
        <f t="shared" si="434"/>
        <v>0</v>
      </c>
      <c r="AL513" s="18">
        <f t="shared" si="435"/>
        <v>0</v>
      </c>
      <c r="AN513" s="34">
        <v>21</v>
      </c>
      <c r="AO513" s="34">
        <f t="shared" si="436"/>
        <v>0</v>
      </c>
      <c r="AP513" s="34">
        <f t="shared" si="437"/>
        <v>0</v>
      </c>
      <c r="AQ513" s="28" t="s">
        <v>13</v>
      </c>
      <c r="AV513" s="34">
        <f t="shared" si="438"/>
        <v>0</v>
      </c>
      <c r="AW513" s="34">
        <f t="shared" si="439"/>
        <v>0</v>
      </c>
      <c r="AX513" s="34">
        <f t="shared" si="440"/>
        <v>0</v>
      </c>
      <c r="AY513" s="35" t="s">
        <v>3680</v>
      </c>
      <c r="AZ513" s="35" t="s">
        <v>3714</v>
      </c>
      <c r="BA513" s="27" t="s">
        <v>3729</v>
      </c>
      <c r="BC513" s="34">
        <f t="shared" si="441"/>
        <v>0</v>
      </c>
      <c r="BD513" s="34">
        <f t="shared" si="442"/>
        <v>0</v>
      </c>
      <c r="BE513" s="34">
        <v>0</v>
      </c>
      <c r="BF513" s="34">
        <f>513</f>
        <v>513</v>
      </c>
      <c r="BH513" s="18">
        <f t="shared" si="443"/>
        <v>0</v>
      </c>
      <c r="BI513" s="18">
        <f t="shared" si="444"/>
        <v>0</v>
      </c>
      <c r="BJ513" s="18">
        <f t="shared" si="445"/>
        <v>0</v>
      </c>
    </row>
    <row r="514" spans="1:62" x14ac:dyDescent="0.2">
      <c r="A514" s="5" t="s">
        <v>474</v>
      </c>
      <c r="B514" s="5" t="s">
        <v>1663</v>
      </c>
      <c r="C514" s="135" t="s">
        <v>2886</v>
      </c>
      <c r="D514" s="136"/>
      <c r="E514" s="136"/>
      <c r="F514" s="136"/>
      <c r="G514" s="136"/>
      <c r="H514" s="5" t="s">
        <v>3612</v>
      </c>
      <c r="I514" s="18">
        <v>2</v>
      </c>
      <c r="J514" s="18">
        <v>0</v>
      </c>
      <c r="K514" s="18">
        <f t="shared" si="424"/>
        <v>0</v>
      </c>
      <c r="L514" s="28" t="s">
        <v>3635</v>
      </c>
      <c r="Z514" s="34">
        <f t="shared" si="425"/>
        <v>0</v>
      </c>
      <c r="AB514" s="34">
        <f t="shared" si="426"/>
        <v>0</v>
      </c>
      <c r="AC514" s="34">
        <f t="shared" si="427"/>
        <v>0</v>
      </c>
      <c r="AD514" s="34">
        <f t="shared" si="428"/>
        <v>0</v>
      </c>
      <c r="AE514" s="34">
        <f t="shared" si="429"/>
        <v>0</v>
      </c>
      <c r="AF514" s="34">
        <f t="shared" si="430"/>
        <v>0</v>
      </c>
      <c r="AG514" s="34">
        <f t="shared" si="431"/>
        <v>0</v>
      </c>
      <c r="AH514" s="34">
        <f t="shared" si="432"/>
        <v>0</v>
      </c>
      <c r="AI514" s="27" t="s">
        <v>3645</v>
      </c>
      <c r="AJ514" s="18">
        <f t="shared" si="433"/>
        <v>0</v>
      </c>
      <c r="AK514" s="18">
        <f t="shared" si="434"/>
        <v>0</v>
      </c>
      <c r="AL514" s="18">
        <f t="shared" si="435"/>
        <v>0</v>
      </c>
      <c r="AN514" s="34">
        <v>21</v>
      </c>
      <c r="AO514" s="34">
        <f t="shared" si="436"/>
        <v>0</v>
      </c>
      <c r="AP514" s="34">
        <f t="shared" si="437"/>
        <v>0</v>
      </c>
      <c r="AQ514" s="28" t="s">
        <v>13</v>
      </c>
      <c r="AV514" s="34">
        <f t="shared" si="438"/>
        <v>0</v>
      </c>
      <c r="AW514" s="34">
        <f t="shared" si="439"/>
        <v>0</v>
      </c>
      <c r="AX514" s="34">
        <f t="shared" si="440"/>
        <v>0</v>
      </c>
      <c r="AY514" s="35" t="s">
        <v>3680</v>
      </c>
      <c r="AZ514" s="35" t="s">
        <v>3714</v>
      </c>
      <c r="BA514" s="27" t="s">
        <v>3729</v>
      </c>
      <c r="BC514" s="34">
        <f t="shared" si="441"/>
        <v>0</v>
      </c>
      <c r="BD514" s="34">
        <f t="shared" si="442"/>
        <v>0</v>
      </c>
      <c r="BE514" s="34">
        <v>0</v>
      </c>
      <c r="BF514" s="34">
        <f>514</f>
        <v>514</v>
      </c>
      <c r="BH514" s="18">
        <f t="shared" si="443"/>
        <v>0</v>
      </c>
      <c r="BI514" s="18">
        <f t="shared" si="444"/>
        <v>0</v>
      </c>
      <c r="BJ514" s="18">
        <f t="shared" si="445"/>
        <v>0</v>
      </c>
    </row>
    <row r="515" spans="1:62" x14ac:dyDescent="0.2">
      <c r="A515" s="5" t="s">
        <v>475</v>
      </c>
      <c r="B515" s="5" t="s">
        <v>1664</v>
      </c>
      <c r="C515" s="135" t="s">
        <v>2890</v>
      </c>
      <c r="D515" s="136"/>
      <c r="E515" s="136"/>
      <c r="F515" s="136"/>
      <c r="G515" s="136"/>
      <c r="H515" s="5" t="s">
        <v>3612</v>
      </c>
      <c r="I515" s="18">
        <v>2</v>
      </c>
      <c r="J515" s="18">
        <v>0</v>
      </c>
      <c r="K515" s="18">
        <f t="shared" si="424"/>
        <v>0</v>
      </c>
      <c r="L515" s="28" t="s">
        <v>3635</v>
      </c>
      <c r="Z515" s="34">
        <f t="shared" si="425"/>
        <v>0</v>
      </c>
      <c r="AB515" s="34">
        <f t="shared" si="426"/>
        <v>0</v>
      </c>
      <c r="AC515" s="34">
        <f t="shared" si="427"/>
        <v>0</v>
      </c>
      <c r="AD515" s="34">
        <f t="shared" si="428"/>
        <v>0</v>
      </c>
      <c r="AE515" s="34">
        <f t="shared" si="429"/>
        <v>0</v>
      </c>
      <c r="AF515" s="34">
        <f t="shared" si="430"/>
        <v>0</v>
      </c>
      <c r="AG515" s="34">
        <f t="shared" si="431"/>
        <v>0</v>
      </c>
      <c r="AH515" s="34">
        <f t="shared" si="432"/>
        <v>0</v>
      </c>
      <c r="AI515" s="27" t="s">
        <v>3645</v>
      </c>
      <c r="AJ515" s="18">
        <f t="shared" si="433"/>
        <v>0</v>
      </c>
      <c r="AK515" s="18">
        <f t="shared" si="434"/>
        <v>0</v>
      </c>
      <c r="AL515" s="18">
        <f t="shared" si="435"/>
        <v>0</v>
      </c>
      <c r="AN515" s="34">
        <v>21</v>
      </c>
      <c r="AO515" s="34">
        <f t="shared" si="436"/>
        <v>0</v>
      </c>
      <c r="AP515" s="34">
        <f t="shared" si="437"/>
        <v>0</v>
      </c>
      <c r="AQ515" s="28" t="s">
        <v>13</v>
      </c>
      <c r="AV515" s="34">
        <f t="shared" si="438"/>
        <v>0</v>
      </c>
      <c r="AW515" s="34">
        <f t="shared" si="439"/>
        <v>0</v>
      </c>
      <c r="AX515" s="34">
        <f t="shared" si="440"/>
        <v>0</v>
      </c>
      <c r="AY515" s="35" t="s">
        <v>3680</v>
      </c>
      <c r="AZ515" s="35" t="s">
        <v>3714</v>
      </c>
      <c r="BA515" s="27" t="s">
        <v>3729</v>
      </c>
      <c r="BC515" s="34">
        <f t="shared" si="441"/>
        <v>0</v>
      </c>
      <c r="BD515" s="34">
        <f t="shared" si="442"/>
        <v>0</v>
      </c>
      <c r="BE515" s="34">
        <v>0</v>
      </c>
      <c r="BF515" s="34">
        <f>515</f>
        <v>515</v>
      </c>
      <c r="BH515" s="18">
        <f t="shared" si="443"/>
        <v>0</v>
      </c>
      <c r="BI515" s="18">
        <f t="shared" si="444"/>
        <v>0</v>
      </c>
      <c r="BJ515" s="18">
        <f t="shared" si="445"/>
        <v>0</v>
      </c>
    </row>
    <row r="516" spans="1:62" x14ac:dyDescent="0.2">
      <c r="A516" s="5" t="s">
        <v>476</v>
      </c>
      <c r="B516" s="5" t="s">
        <v>1665</v>
      </c>
      <c r="C516" s="135" t="s">
        <v>2887</v>
      </c>
      <c r="D516" s="136"/>
      <c r="E516" s="136"/>
      <c r="F516" s="136"/>
      <c r="G516" s="136"/>
      <c r="H516" s="5" t="s">
        <v>3612</v>
      </c>
      <c r="I516" s="18">
        <v>2</v>
      </c>
      <c r="J516" s="18">
        <v>0</v>
      </c>
      <c r="K516" s="18">
        <f t="shared" si="424"/>
        <v>0</v>
      </c>
      <c r="L516" s="28" t="s">
        <v>3635</v>
      </c>
      <c r="Z516" s="34">
        <f t="shared" si="425"/>
        <v>0</v>
      </c>
      <c r="AB516" s="34">
        <f t="shared" si="426"/>
        <v>0</v>
      </c>
      <c r="AC516" s="34">
        <f t="shared" si="427"/>
        <v>0</v>
      </c>
      <c r="AD516" s="34">
        <f t="shared" si="428"/>
        <v>0</v>
      </c>
      <c r="AE516" s="34">
        <f t="shared" si="429"/>
        <v>0</v>
      </c>
      <c r="AF516" s="34">
        <f t="shared" si="430"/>
        <v>0</v>
      </c>
      <c r="AG516" s="34">
        <f t="shared" si="431"/>
        <v>0</v>
      </c>
      <c r="AH516" s="34">
        <f t="shared" si="432"/>
        <v>0</v>
      </c>
      <c r="AI516" s="27" t="s">
        <v>3645</v>
      </c>
      <c r="AJ516" s="18">
        <f t="shared" si="433"/>
        <v>0</v>
      </c>
      <c r="AK516" s="18">
        <f t="shared" si="434"/>
        <v>0</v>
      </c>
      <c r="AL516" s="18">
        <f t="shared" si="435"/>
        <v>0</v>
      </c>
      <c r="AN516" s="34">
        <v>21</v>
      </c>
      <c r="AO516" s="34">
        <f t="shared" si="436"/>
        <v>0</v>
      </c>
      <c r="AP516" s="34">
        <f t="shared" si="437"/>
        <v>0</v>
      </c>
      <c r="AQ516" s="28" t="s">
        <v>13</v>
      </c>
      <c r="AV516" s="34">
        <f t="shared" si="438"/>
        <v>0</v>
      </c>
      <c r="AW516" s="34">
        <f t="shared" si="439"/>
        <v>0</v>
      </c>
      <c r="AX516" s="34">
        <f t="shared" si="440"/>
        <v>0</v>
      </c>
      <c r="AY516" s="35" t="s">
        <v>3680</v>
      </c>
      <c r="AZ516" s="35" t="s">
        <v>3714</v>
      </c>
      <c r="BA516" s="27" t="s">
        <v>3729</v>
      </c>
      <c r="BC516" s="34">
        <f t="shared" si="441"/>
        <v>0</v>
      </c>
      <c r="BD516" s="34">
        <f t="shared" si="442"/>
        <v>0</v>
      </c>
      <c r="BE516" s="34">
        <v>0</v>
      </c>
      <c r="BF516" s="34">
        <f>516</f>
        <v>516</v>
      </c>
      <c r="BH516" s="18">
        <f t="shared" si="443"/>
        <v>0</v>
      </c>
      <c r="BI516" s="18">
        <f t="shared" si="444"/>
        <v>0</v>
      </c>
      <c r="BJ516" s="18">
        <f t="shared" si="445"/>
        <v>0</v>
      </c>
    </row>
    <row r="517" spans="1:62" x14ac:dyDescent="0.2">
      <c r="A517" s="5" t="s">
        <v>477</v>
      </c>
      <c r="B517" s="5" t="s">
        <v>1666</v>
      </c>
      <c r="C517" s="135" t="s">
        <v>2892</v>
      </c>
      <c r="D517" s="136"/>
      <c r="E517" s="136"/>
      <c r="F517" s="136"/>
      <c r="G517" s="136"/>
      <c r="H517" s="5" t="s">
        <v>3612</v>
      </c>
      <c r="I517" s="18">
        <v>1</v>
      </c>
      <c r="J517" s="18">
        <v>0</v>
      </c>
      <c r="K517" s="18">
        <f t="shared" si="424"/>
        <v>0</v>
      </c>
      <c r="L517" s="28" t="s">
        <v>3635</v>
      </c>
      <c r="Z517" s="34">
        <f t="shared" si="425"/>
        <v>0</v>
      </c>
      <c r="AB517" s="34">
        <f t="shared" si="426"/>
        <v>0</v>
      </c>
      <c r="AC517" s="34">
        <f t="shared" si="427"/>
        <v>0</v>
      </c>
      <c r="AD517" s="34">
        <f t="shared" si="428"/>
        <v>0</v>
      </c>
      <c r="AE517" s="34">
        <f t="shared" si="429"/>
        <v>0</v>
      </c>
      <c r="AF517" s="34">
        <f t="shared" si="430"/>
        <v>0</v>
      </c>
      <c r="AG517" s="34">
        <f t="shared" si="431"/>
        <v>0</v>
      </c>
      <c r="AH517" s="34">
        <f t="shared" si="432"/>
        <v>0</v>
      </c>
      <c r="AI517" s="27" t="s">
        <v>3645</v>
      </c>
      <c r="AJ517" s="18">
        <f t="shared" si="433"/>
        <v>0</v>
      </c>
      <c r="AK517" s="18">
        <f t="shared" si="434"/>
        <v>0</v>
      </c>
      <c r="AL517" s="18">
        <f t="shared" si="435"/>
        <v>0</v>
      </c>
      <c r="AN517" s="34">
        <v>21</v>
      </c>
      <c r="AO517" s="34">
        <f t="shared" si="436"/>
        <v>0</v>
      </c>
      <c r="AP517" s="34">
        <f t="shared" si="437"/>
        <v>0</v>
      </c>
      <c r="AQ517" s="28" t="s">
        <v>13</v>
      </c>
      <c r="AV517" s="34">
        <f t="shared" si="438"/>
        <v>0</v>
      </c>
      <c r="AW517" s="34">
        <f t="shared" si="439"/>
        <v>0</v>
      </c>
      <c r="AX517" s="34">
        <f t="shared" si="440"/>
        <v>0</v>
      </c>
      <c r="AY517" s="35" t="s">
        <v>3680</v>
      </c>
      <c r="AZ517" s="35" t="s">
        <v>3714</v>
      </c>
      <c r="BA517" s="27" t="s">
        <v>3729</v>
      </c>
      <c r="BC517" s="34">
        <f t="shared" si="441"/>
        <v>0</v>
      </c>
      <c r="BD517" s="34">
        <f t="shared" si="442"/>
        <v>0</v>
      </c>
      <c r="BE517" s="34">
        <v>0</v>
      </c>
      <c r="BF517" s="34">
        <f>517</f>
        <v>517</v>
      </c>
      <c r="BH517" s="18">
        <f t="shared" si="443"/>
        <v>0</v>
      </c>
      <c r="BI517" s="18">
        <f t="shared" si="444"/>
        <v>0</v>
      </c>
      <c r="BJ517" s="18">
        <f t="shared" si="445"/>
        <v>0</v>
      </c>
    </row>
    <row r="518" spans="1:62" x14ac:dyDescent="0.2">
      <c r="A518" s="5" t="s">
        <v>478</v>
      </c>
      <c r="B518" s="5" t="s">
        <v>1667</v>
      </c>
      <c r="C518" s="135" t="s">
        <v>2886</v>
      </c>
      <c r="D518" s="136"/>
      <c r="E518" s="136"/>
      <c r="F518" s="136"/>
      <c r="G518" s="136"/>
      <c r="H518" s="5" t="s">
        <v>3612</v>
      </c>
      <c r="I518" s="18">
        <v>1</v>
      </c>
      <c r="J518" s="18">
        <v>0</v>
      </c>
      <c r="K518" s="18">
        <f t="shared" si="424"/>
        <v>0</v>
      </c>
      <c r="L518" s="28" t="s">
        <v>3635</v>
      </c>
      <c r="Z518" s="34">
        <f t="shared" si="425"/>
        <v>0</v>
      </c>
      <c r="AB518" s="34">
        <f t="shared" si="426"/>
        <v>0</v>
      </c>
      <c r="AC518" s="34">
        <f t="shared" si="427"/>
        <v>0</v>
      </c>
      <c r="AD518" s="34">
        <f t="shared" si="428"/>
        <v>0</v>
      </c>
      <c r="AE518" s="34">
        <f t="shared" si="429"/>
        <v>0</v>
      </c>
      <c r="AF518" s="34">
        <f t="shared" si="430"/>
        <v>0</v>
      </c>
      <c r="AG518" s="34">
        <f t="shared" si="431"/>
        <v>0</v>
      </c>
      <c r="AH518" s="34">
        <f t="shared" si="432"/>
        <v>0</v>
      </c>
      <c r="AI518" s="27" t="s">
        <v>3645</v>
      </c>
      <c r="AJ518" s="18">
        <f t="shared" si="433"/>
        <v>0</v>
      </c>
      <c r="AK518" s="18">
        <f t="shared" si="434"/>
        <v>0</v>
      </c>
      <c r="AL518" s="18">
        <f t="shared" si="435"/>
        <v>0</v>
      </c>
      <c r="AN518" s="34">
        <v>21</v>
      </c>
      <c r="AO518" s="34">
        <f t="shared" si="436"/>
        <v>0</v>
      </c>
      <c r="AP518" s="34">
        <f t="shared" si="437"/>
        <v>0</v>
      </c>
      <c r="AQ518" s="28" t="s">
        <v>13</v>
      </c>
      <c r="AV518" s="34">
        <f t="shared" si="438"/>
        <v>0</v>
      </c>
      <c r="AW518" s="34">
        <f t="shared" si="439"/>
        <v>0</v>
      </c>
      <c r="AX518" s="34">
        <f t="shared" si="440"/>
        <v>0</v>
      </c>
      <c r="AY518" s="35" t="s">
        <v>3680</v>
      </c>
      <c r="AZ518" s="35" t="s">
        <v>3714</v>
      </c>
      <c r="BA518" s="27" t="s">
        <v>3729</v>
      </c>
      <c r="BC518" s="34">
        <f t="shared" si="441"/>
        <v>0</v>
      </c>
      <c r="BD518" s="34">
        <f t="shared" si="442"/>
        <v>0</v>
      </c>
      <c r="BE518" s="34">
        <v>0</v>
      </c>
      <c r="BF518" s="34">
        <f>518</f>
        <v>518</v>
      </c>
      <c r="BH518" s="18">
        <f t="shared" si="443"/>
        <v>0</v>
      </c>
      <c r="BI518" s="18">
        <f t="shared" si="444"/>
        <v>0</v>
      </c>
      <c r="BJ518" s="18">
        <f t="shared" si="445"/>
        <v>0</v>
      </c>
    </row>
    <row r="519" spans="1:62" x14ac:dyDescent="0.2">
      <c r="A519" s="5" t="s">
        <v>479</v>
      </c>
      <c r="B519" s="5" t="s">
        <v>1668</v>
      </c>
      <c r="C519" s="135" t="s">
        <v>2893</v>
      </c>
      <c r="D519" s="136"/>
      <c r="E519" s="136"/>
      <c r="F519" s="136"/>
      <c r="G519" s="136"/>
      <c r="H519" s="5" t="s">
        <v>3612</v>
      </c>
      <c r="I519" s="18">
        <v>1</v>
      </c>
      <c r="J519" s="18">
        <v>0</v>
      </c>
      <c r="K519" s="18">
        <f t="shared" si="424"/>
        <v>0</v>
      </c>
      <c r="L519" s="28" t="s">
        <v>3635</v>
      </c>
      <c r="Z519" s="34">
        <f t="shared" si="425"/>
        <v>0</v>
      </c>
      <c r="AB519" s="34">
        <f t="shared" si="426"/>
        <v>0</v>
      </c>
      <c r="AC519" s="34">
        <f t="shared" si="427"/>
        <v>0</v>
      </c>
      <c r="AD519" s="34">
        <f t="shared" si="428"/>
        <v>0</v>
      </c>
      <c r="AE519" s="34">
        <f t="shared" si="429"/>
        <v>0</v>
      </c>
      <c r="AF519" s="34">
        <f t="shared" si="430"/>
        <v>0</v>
      </c>
      <c r="AG519" s="34">
        <f t="shared" si="431"/>
        <v>0</v>
      </c>
      <c r="AH519" s="34">
        <f t="shared" si="432"/>
        <v>0</v>
      </c>
      <c r="AI519" s="27" t="s">
        <v>3645</v>
      </c>
      <c r="AJ519" s="18">
        <f t="shared" si="433"/>
        <v>0</v>
      </c>
      <c r="AK519" s="18">
        <f t="shared" si="434"/>
        <v>0</v>
      </c>
      <c r="AL519" s="18">
        <f t="shared" si="435"/>
        <v>0</v>
      </c>
      <c r="AN519" s="34">
        <v>21</v>
      </c>
      <c r="AO519" s="34">
        <f t="shared" si="436"/>
        <v>0</v>
      </c>
      <c r="AP519" s="34">
        <f t="shared" si="437"/>
        <v>0</v>
      </c>
      <c r="AQ519" s="28" t="s">
        <v>13</v>
      </c>
      <c r="AV519" s="34">
        <f t="shared" si="438"/>
        <v>0</v>
      </c>
      <c r="AW519" s="34">
        <f t="shared" si="439"/>
        <v>0</v>
      </c>
      <c r="AX519" s="34">
        <f t="shared" si="440"/>
        <v>0</v>
      </c>
      <c r="AY519" s="35" t="s">
        <v>3680</v>
      </c>
      <c r="AZ519" s="35" t="s">
        <v>3714</v>
      </c>
      <c r="BA519" s="27" t="s">
        <v>3729</v>
      </c>
      <c r="BC519" s="34">
        <f t="shared" si="441"/>
        <v>0</v>
      </c>
      <c r="BD519" s="34">
        <f t="shared" si="442"/>
        <v>0</v>
      </c>
      <c r="BE519" s="34">
        <v>0</v>
      </c>
      <c r="BF519" s="34">
        <f>519</f>
        <v>519</v>
      </c>
      <c r="BH519" s="18">
        <f t="shared" si="443"/>
        <v>0</v>
      </c>
      <c r="BI519" s="18">
        <f t="shared" si="444"/>
        <v>0</v>
      </c>
      <c r="BJ519" s="18">
        <f t="shared" si="445"/>
        <v>0</v>
      </c>
    </row>
    <row r="520" spans="1:62" x14ac:dyDescent="0.2">
      <c r="A520" s="5" t="s">
        <v>480</v>
      </c>
      <c r="B520" s="5" t="s">
        <v>1669</v>
      </c>
      <c r="C520" s="135" t="s">
        <v>2894</v>
      </c>
      <c r="D520" s="136"/>
      <c r="E520" s="136"/>
      <c r="F520" s="136"/>
      <c r="G520" s="136"/>
      <c r="H520" s="5" t="s">
        <v>3612</v>
      </c>
      <c r="I520" s="18">
        <v>1</v>
      </c>
      <c r="J520" s="18">
        <v>0</v>
      </c>
      <c r="K520" s="18">
        <f t="shared" si="424"/>
        <v>0</v>
      </c>
      <c r="L520" s="28" t="s">
        <v>3635</v>
      </c>
      <c r="Z520" s="34">
        <f t="shared" si="425"/>
        <v>0</v>
      </c>
      <c r="AB520" s="34">
        <f t="shared" si="426"/>
        <v>0</v>
      </c>
      <c r="AC520" s="34">
        <f t="shared" si="427"/>
        <v>0</v>
      </c>
      <c r="AD520" s="34">
        <f t="shared" si="428"/>
        <v>0</v>
      </c>
      <c r="AE520" s="34">
        <f t="shared" si="429"/>
        <v>0</v>
      </c>
      <c r="AF520" s="34">
        <f t="shared" si="430"/>
        <v>0</v>
      </c>
      <c r="AG520" s="34">
        <f t="shared" si="431"/>
        <v>0</v>
      </c>
      <c r="AH520" s="34">
        <f t="shared" si="432"/>
        <v>0</v>
      </c>
      <c r="AI520" s="27" t="s">
        <v>3645</v>
      </c>
      <c r="AJ520" s="18">
        <f t="shared" si="433"/>
        <v>0</v>
      </c>
      <c r="AK520" s="18">
        <f t="shared" si="434"/>
        <v>0</v>
      </c>
      <c r="AL520" s="18">
        <f t="shared" si="435"/>
        <v>0</v>
      </c>
      <c r="AN520" s="34">
        <v>21</v>
      </c>
      <c r="AO520" s="34">
        <f t="shared" si="436"/>
        <v>0</v>
      </c>
      <c r="AP520" s="34">
        <f t="shared" si="437"/>
        <v>0</v>
      </c>
      <c r="AQ520" s="28" t="s">
        <v>13</v>
      </c>
      <c r="AV520" s="34">
        <f t="shared" si="438"/>
        <v>0</v>
      </c>
      <c r="AW520" s="34">
        <f t="shared" si="439"/>
        <v>0</v>
      </c>
      <c r="AX520" s="34">
        <f t="shared" si="440"/>
        <v>0</v>
      </c>
      <c r="AY520" s="35" t="s">
        <v>3680</v>
      </c>
      <c r="AZ520" s="35" t="s">
        <v>3714</v>
      </c>
      <c r="BA520" s="27" t="s">
        <v>3729</v>
      </c>
      <c r="BC520" s="34">
        <f t="shared" si="441"/>
        <v>0</v>
      </c>
      <c r="BD520" s="34">
        <f t="shared" si="442"/>
        <v>0</v>
      </c>
      <c r="BE520" s="34">
        <v>0</v>
      </c>
      <c r="BF520" s="34">
        <f>520</f>
        <v>520</v>
      </c>
      <c r="BH520" s="18">
        <f t="shared" si="443"/>
        <v>0</v>
      </c>
      <c r="BI520" s="18">
        <f t="shared" si="444"/>
        <v>0</v>
      </c>
      <c r="BJ520" s="18">
        <f t="shared" si="445"/>
        <v>0</v>
      </c>
    </row>
    <row r="521" spans="1:62" x14ac:dyDescent="0.2">
      <c r="A521" s="5" t="s">
        <v>481</v>
      </c>
      <c r="B521" s="5" t="s">
        <v>1670</v>
      </c>
      <c r="C521" s="135" t="s">
        <v>2895</v>
      </c>
      <c r="D521" s="136"/>
      <c r="E521" s="136"/>
      <c r="F521" s="136"/>
      <c r="G521" s="136"/>
      <c r="H521" s="5" t="s">
        <v>3612</v>
      </c>
      <c r="I521" s="18">
        <v>1</v>
      </c>
      <c r="J521" s="18">
        <v>0</v>
      </c>
      <c r="K521" s="18">
        <f t="shared" si="424"/>
        <v>0</v>
      </c>
      <c r="L521" s="28" t="s">
        <v>3635</v>
      </c>
      <c r="Z521" s="34">
        <f t="shared" si="425"/>
        <v>0</v>
      </c>
      <c r="AB521" s="34">
        <f t="shared" si="426"/>
        <v>0</v>
      </c>
      <c r="AC521" s="34">
        <f t="shared" si="427"/>
        <v>0</v>
      </c>
      <c r="AD521" s="34">
        <f t="shared" si="428"/>
        <v>0</v>
      </c>
      <c r="AE521" s="34">
        <f t="shared" si="429"/>
        <v>0</v>
      </c>
      <c r="AF521" s="34">
        <f t="shared" si="430"/>
        <v>0</v>
      </c>
      <c r="AG521" s="34">
        <f t="shared" si="431"/>
        <v>0</v>
      </c>
      <c r="AH521" s="34">
        <f t="shared" si="432"/>
        <v>0</v>
      </c>
      <c r="AI521" s="27" t="s">
        <v>3645</v>
      </c>
      <c r="AJ521" s="18">
        <f t="shared" si="433"/>
        <v>0</v>
      </c>
      <c r="AK521" s="18">
        <f t="shared" si="434"/>
        <v>0</v>
      </c>
      <c r="AL521" s="18">
        <f t="shared" si="435"/>
        <v>0</v>
      </c>
      <c r="AN521" s="34">
        <v>21</v>
      </c>
      <c r="AO521" s="34">
        <f t="shared" si="436"/>
        <v>0</v>
      </c>
      <c r="AP521" s="34">
        <f t="shared" si="437"/>
        <v>0</v>
      </c>
      <c r="AQ521" s="28" t="s">
        <v>13</v>
      </c>
      <c r="AV521" s="34">
        <f t="shared" si="438"/>
        <v>0</v>
      </c>
      <c r="AW521" s="34">
        <f t="shared" si="439"/>
        <v>0</v>
      </c>
      <c r="AX521" s="34">
        <f t="shared" si="440"/>
        <v>0</v>
      </c>
      <c r="AY521" s="35" t="s">
        <v>3680</v>
      </c>
      <c r="AZ521" s="35" t="s">
        <v>3714</v>
      </c>
      <c r="BA521" s="27" t="s">
        <v>3729</v>
      </c>
      <c r="BC521" s="34">
        <f t="shared" si="441"/>
        <v>0</v>
      </c>
      <c r="BD521" s="34">
        <f t="shared" si="442"/>
        <v>0</v>
      </c>
      <c r="BE521" s="34">
        <v>0</v>
      </c>
      <c r="BF521" s="34">
        <f>521</f>
        <v>521</v>
      </c>
      <c r="BH521" s="18">
        <f t="shared" si="443"/>
        <v>0</v>
      </c>
      <c r="BI521" s="18">
        <f t="shared" si="444"/>
        <v>0</v>
      </c>
      <c r="BJ521" s="18">
        <f t="shared" si="445"/>
        <v>0</v>
      </c>
    </row>
    <row r="522" spans="1:62" x14ac:dyDescent="0.2">
      <c r="A522" s="5" t="s">
        <v>482</v>
      </c>
      <c r="B522" s="5" t="s">
        <v>1671</v>
      </c>
      <c r="C522" s="135" t="s">
        <v>2887</v>
      </c>
      <c r="D522" s="136"/>
      <c r="E522" s="136"/>
      <c r="F522" s="136"/>
      <c r="G522" s="136"/>
      <c r="H522" s="5" t="s">
        <v>3612</v>
      </c>
      <c r="I522" s="18">
        <v>1</v>
      </c>
      <c r="J522" s="18">
        <v>0</v>
      </c>
      <c r="K522" s="18">
        <f t="shared" si="424"/>
        <v>0</v>
      </c>
      <c r="L522" s="28" t="s">
        <v>3635</v>
      </c>
      <c r="Z522" s="34">
        <f t="shared" si="425"/>
        <v>0</v>
      </c>
      <c r="AB522" s="34">
        <f t="shared" si="426"/>
        <v>0</v>
      </c>
      <c r="AC522" s="34">
        <f t="shared" si="427"/>
        <v>0</v>
      </c>
      <c r="AD522" s="34">
        <f t="shared" si="428"/>
        <v>0</v>
      </c>
      <c r="AE522" s="34">
        <f t="shared" si="429"/>
        <v>0</v>
      </c>
      <c r="AF522" s="34">
        <f t="shared" si="430"/>
        <v>0</v>
      </c>
      <c r="AG522" s="34">
        <f t="shared" si="431"/>
        <v>0</v>
      </c>
      <c r="AH522" s="34">
        <f t="shared" si="432"/>
        <v>0</v>
      </c>
      <c r="AI522" s="27" t="s">
        <v>3645</v>
      </c>
      <c r="AJ522" s="18">
        <f t="shared" si="433"/>
        <v>0</v>
      </c>
      <c r="AK522" s="18">
        <f t="shared" si="434"/>
        <v>0</v>
      </c>
      <c r="AL522" s="18">
        <f t="shared" si="435"/>
        <v>0</v>
      </c>
      <c r="AN522" s="34">
        <v>21</v>
      </c>
      <c r="AO522" s="34">
        <f t="shared" si="436"/>
        <v>0</v>
      </c>
      <c r="AP522" s="34">
        <f t="shared" si="437"/>
        <v>0</v>
      </c>
      <c r="AQ522" s="28" t="s">
        <v>13</v>
      </c>
      <c r="AV522" s="34">
        <f t="shared" si="438"/>
        <v>0</v>
      </c>
      <c r="AW522" s="34">
        <f t="shared" si="439"/>
        <v>0</v>
      </c>
      <c r="AX522" s="34">
        <f t="shared" si="440"/>
        <v>0</v>
      </c>
      <c r="AY522" s="35" t="s">
        <v>3680</v>
      </c>
      <c r="AZ522" s="35" t="s">
        <v>3714</v>
      </c>
      <c r="BA522" s="27" t="s">
        <v>3729</v>
      </c>
      <c r="BC522" s="34">
        <f t="shared" si="441"/>
        <v>0</v>
      </c>
      <c r="BD522" s="34">
        <f t="shared" si="442"/>
        <v>0</v>
      </c>
      <c r="BE522" s="34">
        <v>0</v>
      </c>
      <c r="BF522" s="34">
        <f>522</f>
        <v>522</v>
      </c>
      <c r="BH522" s="18">
        <f t="shared" si="443"/>
        <v>0</v>
      </c>
      <c r="BI522" s="18">
        <f t="shared" si="444"/>
        <v>0</v>
      </c>
      <c r="BJ522" s="18">
        <f t="shared" si="445"/>
        <v>0</v>
      </c>
    </row>
    <row r="523" spans="1:62" x14ac:dyDescent="0.2">
      <c r="A523" s="5" t="s">
        <v>483</v>
      </c>
      <c r="B523" s="5" t="s">
        <v>1672</v>
      </c>
      <c r="C523" s="135" t="s">
        <v>2896</v>
      </c>
      <c r="D523" s="136"/>
      <c r="E523" s="136"/>
      <c r="F523" s="136"/>
      <c r="G523" s="136"/>
      <c r="H523" s="5" t="s">
        <v>3612</v>
      </c>
      <c r="I523" s="18">
        <v>1</v>
      </c>
      <c r="J523" s="18">
        <v>0</v>
      </c>
      <c r="K523" s="18">
        <f t="shared" si="424"/>
        <v>0</v>
      </c>
      <c r="L523" s="28" t="s">
        <v>3635</v>
      </c>
      <c r="Z523" s="34">
        <f t="shared" si="425"/>
        <v>0</v>
      </c>
      <c r="AB523" s="34">
        <f t="shared" si="426"/>
        <v>0</v>
      </c>
      <c r="AC523" s="34">
        <f t="shared" si="427"/>
        <v>0</v>
      </c>
      <c r="AD523" s="34">
        <f t="shared" si="428"/>
        <v>0</v>
      </c>
      <c r="AE523" s="34">
        <f t="shared" si="429"/>
        <v>0</v>
      </c>
      <c r="AF523" s="34">
        <f t="shared" si="430"/>
        <v>0</v>
      </c>
      <c r="AG523" s="34">
        <f t="shared" si="431"/>
        <v>0</v>
      </c>
      <c r="AH523" s="34">
        <f t="shared" si="432"/>
        <v>0</v>
      </c>
      <c r="AI523" s="27" t="s">
        <v>3645</v>
      </c>
      <c r="AJ523" s="18">
        <f t="shared" si="433"/>
        <v>0</v>
      </c>
      <c r="AK523" s="18">
        <f t="shared" si="434"/>
        <v>0</v>
      </c>
      <c r="AL523" s="18">
        <f t="shared" si="435"/>
        <v>0</v>
      </c>
      <c r="AN523" s="34">
        <v>21</v>
      </c>
      <c r="AO523" s="34">
        <f t="shared" si="436"/>
        <v>0</v>
      </c>
      <c r="AP523" s="34">
        <f t="shared" si="437"/>
        <v>0</v>
      </c>
      <c r="AQ523" s="28" t="s">
        <v>13</v>
      </c>
      <c r="AV523" s="34">
        <f t="shared" si="438"/>
        <v>0</v>
      </c>
      <c r="AW523" s="34">
        <f t="shared" si="439"/>
        <v>0</v>
      </c>
      <c r="AX523" s="34">
        <f t="shared" si="440"/>
        <v>0</v>
      </c>
      <c r="AY523" s="35" t="s">
        <v>3680</v>
      </c>
      <c r="AZ523" s="35" t="s">
        <v>3714</v>
      </c>
      <c r="BA523" s="27" t="s">
        <v>3729</v>
      </c>
      <c r="BC523" s="34">
        <f t="shared" si="441"/>
        <v>0</v>
      </c>
      <c r="BD523" s="34">
        <f t="shared" si="442"/>
        <v>0</v>
      </c>
      <c r="BE523" s="34">
        <v>0</v>
      </c>
      <c r="BF523" s="34">
        <f>523</f>
        <v>523</v>
      </c>
      <c r="BH523" s="18">
        <f t="shared" si="443"/>
        <v>0</v>
      </c>
      <c r="BI523" s="18">
        <f t="shared" si="444"/>
        <v>0</v>
      </c>
      <c r="BJ523" s="18">
        <f t="shared" si="445"/>
        <v>0</v>
      </c>
    </row>
    <row r="524" spans="1:62" x14ac:dyDescent="0.2">
      <c r="A524" s="5" t="s">
        <v>484</v>
      </c>
      <c r="B524" s="5" t="s">
        <v>1673</v>
      </c>
      <c r="C524" s="135" t="s">
        <v>2886</v>
      </c>
      <c r="D524" s="136"/>
      <c r="E524" s="136"/>
      <c r="F524" s="136"/>
      <c r="G524" s="136"/>
      <c r="H524" s="5" t="s">
        <v>3612</v>
      </c>
      <c r="I524" s="18">
        <v>1</v>
      </c>
      <c r="J524" s="18">
        <v>0</v>
      </c>
      <c r="K524" s="18">
        <f t="shared" si="424"/>
        <v>0</v>
      </c>
      <c r="L524" s="28" t="s">
        <v>3635</v>
      </c>
      <c r="Z524" s="34">
        <f t="shared" si="425"/>
        <v>0</v>
      </c>
      <c r="AB524" s="34">
        <f t="shared" si="426"/>
        <v>0</v>
      </c>
      <c r="AC524" s="34">
        <f t="shared" si="427"/>
        <v>0</v>
      </c>
      <c r="AD524" s="34">
        <f t="shared" si="428"/>
        <v>0</v>
      </c>
      <c r="AE524" s="34">
        <f t="shared" si="429"/>
        <v>0</v>
      </c>
      <c r="AF524" s="34">
        <f t="shared" si="430"/>
        <v>0</v>
      </c>
      <c r="AG524" s="34">
        <f t="shared" si="431"/>
        <v>0</v>
      </c>
      <c r="AH524" s="34">
        <f t="shared" si="432"/>
        <v>0</v>
      </c>
      <c r="AI524" s="27" t="s">
        <v>3645</v>
      </c>
      <c r="AJ524" s="18">
        <f t="shared" si="433"/>
        <v>0</v>
      </c>
      <c r="AK524" s="18">
        <f t="shared" si="434"/>
        <v>0</v>
      </c>
      <c r="AL524" s="18">
        <f t="shared" si="435"/>
        <v>0</v>
      </c>
      <c r="AN524" s="34">
        <v>21</v>
      </c>
      <c r="AO524" s="34">
        <f t="shared" si="436"/>
        <v>0</v>
      </c>
      <c r="AP524" s="34">
        <f t="shared" si="437"/>
        <v>0</v>
      </c>
      <c r="AQ524" s="28" t="s">
        <v>13</v>
      </c>
      <c r="AV524" s="34">
        <f t="shared" si="438"/>
        <v>0</v>
      </c>
      <c r="AW524" s="34">
        <f t="shared" si="439"/>
        <v>0</v>
      </c>
      <c r="AX524" s="34">
        <f t="shared" si="440"/>
        <v>0</v>
      </c>
      <c r="AY524" s="35" t="s">
        <v>3680</v>
      </c>
      <c r="AZ524" s="35" t="s">
        <v>3714</v>
      </c>
      <c r="BA524" s="27" t="s">
        <v>3729</v>
      </c>
      <c r="BC524" s="34">
        <f t="shared" si="441"/>
        <v>0</v>
      </c>
      <c r="BD524" s="34">
        <f t="shared" si="442"/>
        <v>0</v>
      </c>
      <c r="BE524" s="34">
        <v>0</v>
      </c>
      <c r="BF524" s="34">
        <f>524</f>
        <v>524</v>
      </c>
      <c r="BH524" s="18">
        <f t="shared" si="443"/>
        <v>0</v>
      </c>
      <c r="BI524" s="18">
        <f t="shared" si="444"/>
        <v>0</v>
      </c>
      <c r="BJ524" s="18">
        <f t="shared" si="445"/>
        <v>0</v>
      </c>
    </row>
    <row r="525" spans="1:62" x14ac:dyDescent="0.2">
      <c r="A525" s="5" t="s">
        <v>485</v>
      </c>
      <c r="B525" s="5" t="s">
        <v>1674</v>
      </c>
      <c r="C525" s="135" t="s">
        <v>2893</v>
      </c>
      <c r="D525" s="136"/>
      <c r="E525" s="136"/>
      <c r="F525" s="136"/>
      <c r="G525" s="136"/>
      <c r="H525" s="5" t="s">
        <v>3612</v>
      </c>
      <c r="I525" s="18">
        <v>1</v>
      </c>
      <c r="J525" s="18">
        <v>0</v>
      </c>
      <c r="K525" s="18">
        <f t="shared" si="424"/>
        <v>0</v>
      </c>
      <c r="L525" s="28" t="s">
        <v>3635</v>
      </c>
      <c r="Z525" s="34">
        <f t="shared" si="425"/>
        <v>0</v>
      </c>
      <c r="AB525" s="34">
        <f t="shared" si="426"/>
        <v>0</v>
      </c>
      <c r="AC525" s="34">
        <f t="shared" si="427"/>
        <v>0</v>
      </c>
      <c r="AD525" s="34">
        <f t="shared" si="428"/>
        <v>0</v>
      </c>
      <c r="AE525" s="34">
        <f t="shared" si="429"/>
        <v>0</v>
      </c>
      <c r="AF525" s="34">
        <f t="shared" si="430"/>
        <v>0</v>
      </c>
      <c r="AG525" s="34">
        <f t="shared" si="431"/>
        <v>0</v>
      </c>
      <c r="AH525" s="34">
        <f t="shared" si="432"/>
        <v>0</v>
      </c>
      <c r="AI525" s="27" t="s">
        <v>3645</v>
      </c>
      <c r="AJ525" s="18">
        <f t="shared" si="433"/>
        <v>0</v>
      </c>
      <c r="AK525" s="18">
        <f t="shared" si="434"/>
        <v>0</v>
      </c>
      <c r="AL525" s="18">
        <f t="shared" si="435"/>
        <v>0</v>
      </c>
      <c r="AN525" s="34">
        <v>21</v>
      </c>
      <c r="AO525" s="34">
        <f t="shared" si="436"/>
        <v>0</v>
      </c>
      <c r="AP525" s="34">
        <f t="shared" si="437"/>
        <v>0</v>
      </c>
      <c r="AQ525" s="28" t="s">
        <v>13</v>
      </c>
      <c r="AV525" s="34">
        <f t="shared" si="438"/>
        <v>0</v>
      </c>
      <c r="AW525" s="34">
        <f t="shared" si="439"/>
        <v>0</v>
      </c>
      <c r="AX525" s="34">
        <f t="shared" si="440"/>
        <v>0</v>
      </c>
      <c r="AY525" s="35" t="s">
        <v>3680</v>
      </c>
      <c r="AZ525" s="35" t="s">
        <v>3714</v>
      </c>
      <c r="BA525" s="27" t="s">
        <v>3729</v>
      </c>
      <c r="BC525" s="34">
        <f t="shared" si="441"/>
        <v>0</v>
      </c>
      <c r="BD525" s="34">
        <f t="shared" si="442"/>
        <v>0</v>
      </c>
      <c r="BE525" s="34">
        <v>0</v>
      </c>
      <c r="BF525" s="34">
        <f>525</f>
        <v>525</v>
      </c>
      <c r="BH525" s="18">
        <f t="shared" si="443"/>
        <v>0</v>
      </c>
      <c r="BI525" s="18">
        <f t="shared" si="444"/>
        <v>0</v>
      </c>
      <c r="BJ525" s="18">
        <f t="shared" si="445"/>
        <v>0</v>
      </c>
    </row>
    <row r="526" spans="1:62" x14ac:dyDescent="0.2">
      <c r="A526" s="5" t="s">
        <v>486</v>
      </c>
      <c r="B526" s="5" t="s">
        <v>1675</v>
      </c>
      <c r="C526" s="135" t="s">
        <v>2894</v>
      </c>
      <c r="D526" s="136"/>
      <c r="E526" s="136"/>
      <c r="F526" s="136"/>
      <c r="G526" s="136"/>
      <c r="H526" s="5" t="s">
        <v>3612</v>
      </c>
      <c r="I526" s="18">
        <v>1</v>
      </c>
      <c r="J526" s="18">
        <v>0</v>
      </c>
      <c r="K526" s="18">
        <f t="shared" si="424"/>
        <v>0</v>
      </c>
      <c r="L526" s="28" t="s">
        <v>3635</v>
      </c>
      <c r="Z526" s="34">
        <f t="shared" si="425"/>
        <v>0</v>
      </c>
      <c r="AB526" s="34">
        <f t="shared" si="426"/>
        <v>0</v>
      </c>
      <c r="AC526" s="34">
        <f t="shared" si="427"/>
        <v>0</v>
      </c>
      <c r="AD526" s="34">
        <f t="shared" si="428"/>
        <v>0</v>
      </c>
      <c r="AE526" s="34">
        <f t="shared" si="429"/>
        <v>0</v>
      </c>
      <c r="AF526" s="34">
        <f t="shared" si="430"/>
        <v>0</v>
      </c>
      <c r="AG526" s="34">
        <f t="shared" si="431"/>
        <v>0</v>
      </c>
      <c r="AH526" s="34">
        <f t="shared" si="432"/>
        <v>0</v>
      </c>
      <c r="AI526" s="27" t="s">
        <v>3645</v>
      </c>
      <c r="AJ526" s="18">
        <f t="shared" si="433"/>
        <v>0</v>
      </c>
      <c r="AK526" s="18">
        <f t="shared" si="434"/>
        <v>0</v>
      </c>
      <c r="AL526" s="18">
        <f t="shared" si="435"/>
        <v>0</v>
      </c>
      <c r="AN526" s="34">
        <v>21</v>
      </c>
      <c r="AO526" s="34">
        <f t="shared" si="436"/>
        <v>0</v>
      </c>
      <c r="AP526" s="34">
        <f t="shared" si="437"/>
        <v>0</v>
      </c>
      <c r="AQ526" s="28" t="s">
        <v>13</v>
      </c>
      <c r="AV526" s="34">
        <f t="shared" si="438"/>
        <v>0</v>
      </c>
      <c r="AW526" s="34">
        <f t="shared" si="439"/>
        <v>0</v>
      </c>
      <c r="AX526" s="34">
        <f t="shared" si="440"/>
        <v>0</v>
      </c>
      <c r="AY526" s="35" t="s">
        <v>3680</v>
      </c>
      <c r="AZ526" s="35" t="s">
        <v>3714</v>
      </c>
      <c r="BA526" s="27" t="s">
        <v>3729</v>
      </c>
      <c r="BC526" s="34">
        <f t="shared" si="441"/>
        <v>0</v>
      </c>
      <c r="BD526" s="34">
        <f t="shared" si="442"/>
        <v>0</v>
      </c>
      <c r="BE526" s="34">
        <v>0</v>
      </c>
      <c r="BF526" s="34">
        <f>526</f>
        <v>526</v>
      </c>
      <c r="BH526" s="18">
        <f t="shared" si="443"/>
        <v>0</v>
      </c>
      <c r="BI526" s="18">
        <f t="shared" si="444"/>
        <v>0</v>
      </c>
      <c r="BJ526" s="18">
        <f t="shared" si="445"/>
        <v>0</v>
      </c>
    </row>
    <row r="527" spans="1:62" x14ac:dyDescent="0.2">
      <c r="A527" s="5" t="s">
        <v>487</v>
      </c>
      <c r="B527" s="5" t="s">
        <v>1676</v>
      </c>
      <c r="C527" s="135" t="s">
        <v>2895</v>
      </c>
      <c r="D527" s="136"/>
      <c r="E527" s="136"/>
      <c r="F527" s="136"/>
      <c r="G527" s="136"/>
      <c r="H527" s="5" t="s">
        <v>3612</v>
      </c>
      <c r="I527" s="18">
        <v>1</v>
      </c>
      <c r="J527" s="18">
        <v>0</v>
      </c>
      <c r="K527" s="18">
        <f t="shared" si="424"/>
        <v>0</v>
      </c>
      <c r="L527" s="28" t="s">
        <v>3635</v>
      </c>
      <c r="Z527" s="34">
        <f t="shared" si="425"/>
        <v>0</v>
      </c>
      <c r="AB527" s="34">
        <f t="shared" si="426"/>
        <v>0</v>
      </c>
      <c r="AC527" s="34">
        <f t="shared" si="427"/>
        <v>0</v>
      </c>
      <c r="AD527" s="34">
        <f t="shared" si="428"/>
        <v>0</v>
      </c>
      <c r="AE527" s="34">
        <f t="shared" si="429"/>
        <v>0</v>
      </c>
      <c r="AF527" s="34">
        <f t="shared" si="430"/>
        <v>0</v>
      </c>
      <c r="AG527" s="34">
        <f t="shared" si="431"/>
        <v>0</v>
      </c>
      <c r="AH527" s="34">
        <f t="shared" si="432"/>
        <v>0</v>
      </c>
      <c r="AI527" s="27" t="s">
        <v>3645</v>
      </c>
      <c r="AJ527" s="18">
        <f t="shared" si="433"/>
        <v>0</v>
      </c>
      <c r="AK527" s="18">
        <f t="shared" si="434"/>
        <v>0</v>
      </c>
      <c r="AL527" s="18">
        <f t="shared" si="435"/>
        <v>0</v>
      </c>
      <c r="AN527" s="34">
        <v>21</v>
      </c>
      <c r="AO527" s="34">
        <f t="shared" si="436"/>
        <v>0</v>
      </c>
      <c r="AP527" s="34">
        <f t="shared" si="437"/>
        <v>0</v>
      </c>
      <c r="AQ527" s="28" t="s">
        <v>13</v>
      </c>
      <c r="AV527" s="34">
        <f t="shared" si="438"/>
        <v>0</v>
      </c>
      <c r="AW527" s="34">
        <f t="shared" si="439"/>
        <v>0</v>
      </c>
      <c r="AX527" s="34">
        <f t="shared" si="440"/>
        <v>0</v>
      </c>
      <c r="AY527" s="35" t="s">
        <v>3680</v>
      </c>
      <c r="AZ527" s="35" t="s">
        <v>3714</v>
      </c>
      <c r="BA527" s="27" t="s">
        <v>3729</v>
      </c>
      <c r="BC527" s="34">
        <f t="shared" si="441"/>
        <v>0</v>
      </c>
      <c r="BD527" s="34">
        <f t="shared" si="442"/>
        <v>0</v>
      </c>
      <c r="BE527" s="34">
        <v>0</v>
      </c>
      <c r="BF527" s="34">
        <f>527</f>
        <v>527</v>
      </c>
      <c r="BH527" s="18">
        <f t="shared" si="443"/>
        <v>0</v>
      </c>
      <c r="BI527" s="18">
        <f t="shared" si="444"/>
        <v>0</v>
      </c>
      <c r="BJ527" s="18">
        <f t="shared" si="445"/>
        <v>0</v>
      </c>
    </row>
    <row r="528" spans="1:62" x14ac:dyDescent="0.2">
      <c r="A528" s="5" t="s">
        <v>488</v>
      </c>
      <c r="B528" s="5" t="s">
        <v>1677</v>
      </c>
      <c r="C528" s="135" t="s">
        <v>2887</v>
      </c>
      <c r="D528" s="136"/>
      <c r="E528" s="136"/>
      <c r="F528" s="136"/>
      <c r="G528" s="136"/>
      <c r="H528" s="5" t="s">
        <v>3612</v>
      </c>
      <c r="I528" s="18">
        <v>1</v>
      </c>
      <c r="J528" s="18">
        <v>0</v>
      </c>
      <c r="K528" s="18">
        <f t="shared" si="424"/>
        <v>0</v>
      </c>
      <c r="L528" s="28" t="s">
        <v>3635</v>
      </c>
      <c r="Z528" s="34">
        <f t="shared" si="425"/>
        <v>0</v>
      </c>
      <c r="AB528" s="34">
        <f t="shared" si="426"/>
        <v>0</v>
      </c>
      <c r="AC528" s="34">
        <f t="shared" si="427"/>
        <v>0</v>
      </c>
      <c r="AD528" s="34">
        <f t="shared" si="428"/>
        <v>0</v>
      </c>
      <c r="AE528" s="34">
        <f t="shared" si="429"/>
        <v>0</v>
      </c>
      <c r="AF528" s="34">
        <f t="shared" si="430"/>
        <v>0</v>
      </c>
      <c r="AG528" s="34">
        <f t="shared" si="431"/>
        <v>0</v>
      </c>
      <c r="AH528" s="34">
        <f t="shared" si="432"/>
        <v>0</v>
      </c>
      <c r="AI528" s="27" t="s">
        <v>3645</v>
      </c>
      <c r="AJ528" s="18">
        <f t="shared" si="433"/>
        <v>0</v>
      </c>
      <c r="AK528" s="18">
        <f t="shared" si="434"/>
        <v>0</v>
      </c>
      <c r="AL528" s="18">
        <f t="shared" si="435"/>
        <v>0</v>
      </c>
      <c r="AN528" s="34">
        <v>21</v>
      </c>
      <c r="AO528" s="34">
        <f t="shared" si="436"/>
        <v>0</v>
      </c>
      <c r="AP528" s="34">
        <f t="shared" si="437"/>
        <v>0</v>
      </c>
      <c r="AQ528" s="28" t="s">
        <v>13</v>
      </c>
      <c r="AV528" s="34">
        <f t="shared" si="438"/>
        <v>0</v>
      </c>
      <c r="AW528" s="34">
        <f t="shared" si="439"/>
        <v>0</v>
      </c>
      <c r="AX528" s="34">
        <f t="shared" si="440"/>
        <v>0</v>
      </c>
      <c r="AY528" s="35" t="s">
        <v>3680</v>
      </c>
      <c r="AZ528" s="35" t="s">
        <v>3714</v>
      </c>
      <c r="BA528" s="27" t="s">
        <v>3729</v>
      </c>
      <c r="BC528" s="34">
        <f t="shared" si="441"/>
        <v>0</v>
      </c>
      <c r="BD528" s="34">
        <f t="shared" si="442"/>
        <v>0</v>
      </c>
      <c r="BE528" s="34">
        <v>0</v>
      </c>
      <c r="BF528" s="34">
        <f>528</f>
        <v>528</v>
      </c>
      <c r="BH528" s="18">
        <f t="shared" si="443"/>
        <v>0</v>
      </c>
      <c r="BI528" s="18">
        <f t="shared" si="444"/>
        <v>0</v>
      </c>
      <c r="BJ528" s="18">
        <f t="shared" si="445"/>
        <v>0</v>
      </c>
    </row>
    <row r="529" spans="1:62" x14ac:dyDescent="0.2">
      <c r="A529" s="5" t="s">
        <v>489</v>
      </c>
      <c r="B529" s="5" t="s">
        <v>1678</v>
      </c>
      <c r="C529" s="135" t="s">
        <v>2897</v>
      </c>
      <c r="D529" s="136"/>
      <c r="E529" s="136"/>
      <c r="F529" s="136"/>
      <c r="G529" s="136"/>
      <c r="H529" s="5" t="s">
        <v>3614</v>
      </c>
      <c r="I529" s="18">
        <v>1.8</v>
      </c>
      <c r="J529" s="18">
        <v>0</v>
      </c>
      <c r="K529" s="18">
        <f t="shared" si="424"/>
        <v>0</v>
      </c>
      <c r="L529" s="28" t="s">
        <v>3635</v>
      </c>
      <c r="Z529" s="34">
        <f t="shared" si="425"/>
        <v>0</v>
      </c>
      <c r="AB529" s="34">
        <f t="shared" si="426"/>
        <v>0</v>
      </c>
      <c r="AC529" s="34">
        <f t="shared" si="427"/>
        <v>0</v>
      </c>
      <c r="AD529" s="34">
        <f t="shared" si="428"/>
        <v>0</v>
      </c>
      <c r="AE529" s="34">
        <f t="shared" si="429"/>
        <v>0</v>
      </c>
      <c r="AF529" s="34">
        <f t="shared" si="430"/>
        <v>0</v>
      </c>
      <c r="AG529" s="34">
        <f t="shared" si="431"/>
        <v>0</v>
      </c>
      <c r="AH529" s="34">
        <f t="shared" si="432"/>
        <v>0</v>
      </c>
      <c r="AI529" s="27" t="s">
        <v>3645</v>
      </c>
      <c r="AJ529" s="18">
        <f t="shared" si="433"/>
        <v>0</v>
      </c>
      <c r="AK529" s="18">
        <f t="shared" si="434"/>
        <v>0</v>
      </c>
      <c r="AL529" s="18">
        <f t="shared" si="435"/>
        <v>0</v>
      </c>
      <c r="AN529" s="34">
        <v>21</v>
      </c>
      <c r="AO529" s="34">
        <f t="shared" si="436"/>
        <v>0</v>
      </c>
      <c r="AP529" s="34">
        <f t="shared" si="437"/>
        <v>0</v>
      </c>
      <c r="AQ529" s="28" t="s">
        <v>13</v>
      </c>
      <c r="AV529" s="34">
        <f t="shared" si="438"/>
        <v>0</v>
      </c>
      <c r="AW529" s="34">
        <f t="shared" si="439"/>
        <v>0</v>
      </c>
      <c r="AX529" s="34">
        <f t="shared" si="440"/>
        <v>0</v>
      </c>
      <c r="AY529" s="35" t="s">
        <v>3680</v>
      </c>
      <c r="AZ529" s="35" t="s">
        <v>3714</v>
      </c>
      <c r="BA529" s="27" t="s">
        <v>3729</v>
      </c>
      <c r="BC529" s="34">
        <f t="shared" si="441"/>
        <v>0</v>
      </c>
      <c r="BD529" s="34">
        <f t="shared" si="442"/>
        <v>0</v>
      </c>
      <c r="BE529" s="34">
        <v>0</v>
      </c>
      <c r="BF529" s="34">
        <f>529</f>
        <v>529</v>
      </c>
      <c r="BH529" s="18">
        <f t="shared" si="443"/>
        <v>0</v>
      </c>
      <c r="BI529" s="18">
        <f t="shared" si="444"/>
        <v>0</v>
      </c>
      <c r="BJ529" s="18">
        <f t="shared" si="445"/>
        <v>0</v>
      </c>
    </row>
    <row r="530" spans="1:62" x14ac:dyDescent="0.2">
      <c r="A530" s="5" t="s">
        <v>490</v>
      </c>
      <c r="B530" s="5" t="s">
        <v>1679</v>
      </c>
      <c r="C530" s="135" t="s">
        <v>2898</v>
      </c>
      <c r="D530" s="136"/>
      <c r="E530" s="136"/>
      <c r="F530" s="136"/>
      <c r="G530" s="136"/>
      <c r="H530" s="5" t="s">
        <v>3614</v>
      </c>
      <c r="I530" s="18">
        <v>9.4</v>
      </c>
      <c r="J530" s="18">
        <v>0</v>
      </c>
      <c r="K530" s="18">
        <f t="shared" si="424"/>
        <v>0</v>
      </c>
      <c r="L530" s="28" t="s">
        <v>3635</v>
      </c>
      <c r="Z530" s="34">
        <f t="shared" si="425"/>
        <v>0</v>
      </c>
      <c r="AB530" s="34">
        <f t="shared" si="426"/>
        <v>0</v>
      </c>
      <c r="AC530" s="34">
        <f t="shared" si="427"/>
        <v>0</v>
      </c>
      <c r="AD530" s="34">
        <f t="shared" si="428"/>
        <v>0</v>
      </c>
      <c r="AE530" s="34">
        <f t="shared" si="429"/>
        <v>0</v>
      </c>
      <c r="AF530" s="34">
        <f t="shared" si="430"/>
        <v>0</v>
      </c>
      <c r="AG530" s="34">
        <f t="shared" si="431"/>
        <v>0</v>
      </c>
      <c r="AH530" s="34">
        <f t="shared" si="432"/>
        <v>0</v>
      </c>
      <c r="AI530" s="27" t="s">
        <v>3645</v>
      </c>
      <c r="AJ530" s="18">
        <f t="shared" si="433"/>
        <v>0</v>
      </c>
      <c r="AK530" s="18">
        <f t="shared" si="434"/>
        <v>0</v>
      </c>
      <c r="AL530" s="18">
        <f t="shared" si="435"/>
        <v>0</v>
      </c>
      <c r="AN530" s="34">
        <v>21</v>
      </c>
      <c r="AO530" s="34">
        <f t="shared" si="436"/>
        <v>0</v>
      </c>
      <c r="AP530" s="34">
        <f t="shared" si="437"/>
        <v>0</v>
      </c>
      <c r="AQ530" s="28" t="s">
        <v>13</v>
      </c>
      <c r="AV530" s="34">
        <f t="shared" si="438"/>
        <v>0</v>
      </c>
      <c r="AW530" s="34">
        <f t="shared" si="439"/>
        <v>0</v>
      </c>
      <c r="AX530" s="34">
        <f t="shared" si="440"/>
        <v>0</v>
      </c>
      <c r="AY530" s="35" t="s">
        <v>3680</v>
      </c>
      <c r="AZ530" s="35" t="s">
        <v>3714</v>
      </c>
      <c r="BA530" s="27" t="s">
        <v>3729</v>
      </c>
      <c r="BC530" s="34">
        <f t="shared" si="441"/>
        <v>0</v>
      </c>
      <c r="BD530" s="34">
        <f t="shared" si="442"/>
        <v>0</v>
      </c>
      <c r="BE530" s="34">
        <v>0</v>
      </c>
      <c r="BF530" s="34">
        <f>530</f>
        <v>530</v>
      </c>
      <c r="BH530" s="18">
        <f t="shared" si="443"/>
        <v>0</v>
      </c>
      <c r="BI530" s="18">
        <f t="shared" si="444"/>
        <v>0</v>
      </c>
      <c r="BJ530" s="18">
        <f t="shared" si="445"/>
        <v>0</v>
      </c>
    </row>
    <row r="531" spans="1:62" x14ac:dyDescent="0.2">
      <c r="A531" s="5" t="s">
        <v>491</v>
      </c>
      <c r="B531" s="5" t="s">
        <v>1680</v>
      </c>
      <c r="C531" s="135" t="s">
        <v>2899</v>
      </c>
      <c r="D531" s="136"/>
      <c r="E531" s="136"/>
      <c r="F531" s="136"/>
      <c r="G531" s="136"/>
      <c r="H531" s="5" t="s">
        <v>3614</v>
      </c>
      <c r="I531" s="18">
        <v>8.1</v>
      </c>
      <c r="J531" s="18">
        <v>0</v>
      </c>
      <c r="K531" s="18">
        <f t="shared" si="424"/>
        <v>0</v>
      </c>
      <c r="L531" s="28" t="s">
        <v>3635</v>
      </c>
      <c r="Z531" s="34">
        <f t="shared" si="425"/>
        <v>0</v>
      </c>
      <c r="AB531" s="34">
        <f t="shared" si="426"/>
        <v>0</v>
      </c>
      <c r="AC531" s="34">
        <f t="shared" si="427"/>
        <v>0</v>
      </c>
      <c r="AD531" s="34">
        <f t="shared" si="428"/>
        <v>0</v>
      </c>
      <c r="AE531" s="34">
        <f t="shared" si="429"/>
        <v>0</v>
      </c>
      <c r="AF531" s="34">
        <f t="shared" si="430"/>
        <v>0</v>
      </c>
      <c r="AG531" s="34">
        <f t="shared" si="431"/>
        <v>0</v>
      </c>
      <c r="AH531" s="34">
        <f t="shared" si="432"/>
        <v>0</v>
      </c>
      <c r="AI531" s="27" t="s">
        <v>3645</v>
      </c>
      <c r="AJ531" s="18">
        <f t="shared" si="433"/>
        <v>0</v>
      </c>
      <c r="AK531" s="18">
        <f t="shared" si="434"/>
        <v>0</v>
      </c>
      <c r="AL531" s="18">
        <f t="shared" si="435"/>
        <v>0</v>
      </c>
      <c r="AN531" s="34">
        <v>21</v>
      </c>
      <c r="AO531" s="34">
        <f t="shared" si="436"/>
        <v>0</v>
      </c>
      <c r="AP531" s="34">
        <f t="shared" si="437"/>
        <v>0</v>
      </c>
      <c r="AQ531" s="28" t="s">
        <v>13</v>
      </c>
      <c r="AV531" s="34">
        <f t="shared" si="438"/>
        <v>0</v>
      </c>
      <c r="AW531" s="34">
        <f t="shared" si="439"/>
        <v>0</v>
      </c>
      <c r="AX531" s="34">
        <f t="shared" si="440"/>
        <v>0</v>
      </c>
      <c r="AY531" s="35" t="s">
        <v>3680</v>
      </c>
      <c r="AZ531" s="35" t="s">
        <v>3714</v>
      </c>
      <c r="BA531" s="27" t="s">
        <v>3729</v>
      </c>
      <c r="BC531" s="34">
        <f t="shared" si="441"/>
        <v>0</v>
      </c>
      <c r="BD531" s="34">
        <f t="shared" si="442"/>
        <v>0</v>
      </c>
      <c r="BE531" s="34">
        <v>0</v>
      </c>
      <c r="BF531" s="34">
        <f>531</f>
        <v>531</v>
      </c>
      <c r="BH531" s="18">
        <f t="shared" si="443"/>
        <v>0</v>
      </c>
      <c r="BI531" s="18">
        <f t="shared" si="444"/>
        <v>0</v>
      </c>
      <c r="BJ531" s="18">
        <f t="shared" si="445"/>
        <v>0</v>
      </c>
    </row>
    <row r="532" spans="1:62" x14ac:dyDescent="0.2">
      <c r="A532" s="5" t="s">
        <v>492</v>
      </c>
      <c r="B532" s="5" t="s">
        <v>1681</v>
      </c>
      <c r="C532" s="135" t="s">
        <v>2900</v>
      </c>
      <c r="D532" s="136"/>
      <c r="E532" s="136"/>
      <c r="F532" s="136"/>
      <c r="G532" s="136"/>
      <c r="H532" s="5" t="s">
        <v>3614</v>
      </c>
      <c r="I532" s="18">
        <v>16</v>
      </c>
      <c r="J532" s="18">
        <v>0</v>
      </c>
      <c r="K532" s="18">
        <f t="shared" si="424"/>
        <v>0</v>
      </c>
      <c r="L532" s="28" t="s">
        <v>3635</v>
      </c>
      <c r="Z532" s="34">
        <f t="shared" si="425"/>
        <v>0</v>
      </c>
      <c r="AB532" s="34">
        <f t="shared" si="426"/>
        <v>0</v>
      </c>
      <c r="AC532" s="34">
        <f t="shared" si="427"/>
        <v>0</v>
      </c>
      <c r="AD532" s="34">
        <f t="shared" si="428"/>
        <v>0</v>
      </c>
      <c r="AE532" s="34">
        <f t="shared" si="429"/>
        <v>0</v>
      </c>
      <c r="AF532" s="34">
        <f t="shared" si="430"/>
        <v>0</v>
      </c>
      <c r="AG532" s="34">
        <f t="shared" si="431"/>
        <v>0</v>
      </c>
      <c r="AH532" s="34">
        <f t="shared" si="432"/>
        <v>0</v>
      </c>
      <c r="AI532" s="27" t="s">
        <v>3645</v>
      </c>
      <c r="AJ532" s="18">
        <f t="shared" si="433"/>
        <v>0</v>
      </c>
      <c r="AK532" s="18">
        <f t="shared" si="434"/>
        <v>0</v>
      </c>
      <c r="AL532" s="18">
        <f t="shared" si="435"/>
        <v>0</v>
      </c>
      <c r="AN532" s="34">
        <v>21</v>
      </c>
      <c r="AO532" s="34">
        <f t="shared" si="436"/>
        <v>0</v>
      </c>
      <c r="AP532" s="34">
        <f t="shared" si="437"/>
        <v>0</v>
      </c>
      <c r="AQ532" s="28" t="s">
        <v>13</v>
      </c>
      <c r="AV532" s="34">
        <f t="shared" si="438"/>
        <v>0</v>
      </c>
      <c r="AW532" s="34">
        <f t="shared" si="439"/>
        <v>0</v>
      </c>
      <c r="AX532" s="34">
        <f t="shared" si="440"/>
        <v>0</v>
      </c>
      <c r="AY532" s="35" t="s">
        <v>3680</v>
      </c>
      <c r="AZ532" s="35" t="s">
        <v>3714</v>
      </c>
      <c r="BA532" s="27" t="s">
        <v>3729</v>
      </c>
      <c r="BC532" s="34">
        <f t="shared" si="441"/>
        <v>0</v>
      </c>
      <c r="BD532" s="34">
        <f t="shared" si="442"/>
        <v>0</v>
      </c>
      <c r="BE532" s="34">
        <v>0</v>
      </c>
      <c r="BF532" s="34">
        <f>532</f>
        <v>532</v>
      </c>
      <c r="BH532" s="18">
        <f t="shared" si="443"/>
        <v>0</v>
      </c>
      <c r="BI532" s="18">
        <f t="shared" si="444"/>
        <v>0</v>
      </c>
      <c r="BJ532" s="18">
        <f t="shared" si="445"/>
        <v>0</v>
      </c>
    </row>
    <row r="533" spans="1:62" x14ac:dyDescent="0.2">
      <c r="A533" s="5" t="s">
        <v>493</v>
      </c>
      <c r="B533" s="5" t="s">
        <v>1682</v>
      </c>
      <c r="C533" s="135" t="s">
        <v>2901</v>
      </c>
      <c r="D533" s="136"/>
      <c r="E533" s="136"/>
      <c r="F533" s="136"/>
      <c r="G533" s="136"/>
      <c r="H533" s="5" t="s">
        <v>3614</v>
      </c>
      <c r="I533" s="18">
        <v>5.2</v>
      </c>
      <c r="J533" s="18">
        <v>0</v>
      </c>
      <c r="K533" s="18">
        <f t="shared" ref="K533:K564" si="446">I533*J533</f>
        <v>0</v>
      </c>
      <c r="L533" s="28" t="s">
        <v>3635</v>
      </c>
      <c r="Z533" s="34">
        <f t="shared" ref="Z533:Z564" si="447">IF(AQ533="5",BJ533,0)</f>
        <v>0</v>
      </c>
      <c r="AB533" s="34">
        <f t="shared" ref="AB533:AB564" si="448">IF(AQ533="1",BH533,0)</f>
        <v>0</v>
      </c>
      <c r="AC533" s="34">
        <f t="shared" ref="AC533:AC564" si="449">IF(AQ533="1",BI533,0)</f>
        <v>0</v>
      </c>
      <c r="AD533" s="34">
        <f t="shared" ref="AD533:AD564" si="450">IF(AQ533="7",BH533,0)</f>
        <v>0</v>
      </c>
      <c r="AE533" s="34">
        <f t="shared" ref="AE533:AE564" si="451">IF(AQ533="7",BI533,0)</f>
        <v>0</v>
      </c>
      <c r="AF533" s="34">
        <f t="shared" ref="AF533:AF564" si="452">IF(AQ533="2",BH533,0)</f>
        <v>0</v>
      </c>
      <c r="AG533" s="34">
        <f t="shared" ref="AG533:AG564" si="453">IF(AQ533="2",BI533,0)</f>
        <v>0</v>
      </c>
      <c r="AH533" s="34">
        <f t="shared" ref="AH533:AH564" si="454">IF(AQ533="0",BJ533,0)</f>
        <v>0</v>
      </c>
      <c r="AI533" s="27" t="s">
        <v>3645</v>
      </c>
      <c r="AJ533" s="18">
        <f t="shared" ref="AJ533:AJ564" si="455">IF(AN533=0,K533,0)</f>
        <v>0</v>
      </c>
      <c r="AK533" s="18">
        <f t="shared" ref="AK533:AK564" si="456">IF(AN533=15,K533,0)</f>
        <v>0</v>
      </c>
      <c r="AL533" s="18">
        <f t="shared" ref="AL533:AL564" si="457">IF(AN533=21,K533,0)</f>
        <v>0</v>
      </c>
      <c r="AN533" s="34">
        <v>21</v>
      </c>
      <c r="AO533" s="34">
        <f t="shared" ref="AO533:AO564" si="458">J533*0</f>
        <v>0</v>
      </c>
      <c r="AP533" s="34">
        <f t="shared" ref="AP533:AP564" si="459">J533*(1-0)</f>
        <v>0</v>
      </c>
      <c r="AQ533" s="28" t="s">
        <v>13</v>
      </c>
      <c r="AV533" s="34">
        <f t="shared" ref="AV533:AV564" si="460">AW533+AX533</f>
        <v>0</v>
      </c>
      <c r="AW533" s="34">
        <f t="shared" ref="AW533:AW564" si="461">I533*AO533</f>
        <v>0</v>
      </c>
      <c r="AX533" s="34">
        <f t="shared" ref="AX533:AX564" si="462">I533*AP533</f>
        <v>0</v>
      </c>
      <c r="AY533" s="35" t="s">
        <v>3680</v>
      </c>
      <c r="AZ533" s="35" t="s">
        <v>3714</v>
      </c>
      <c r="BA533" s="27" t="s">
        <v>3729</v>
      </c>
      <c r="BC533" s="34">
        <f t="shared" ref="BC533:BC564" si="463">AW533+AX533</f>
        <v>0</v>
      </c>
      <c r="BD533" s="34">
        <f t="shared" ref="BD533:BD564" si="464">J533/(100-BE533)*100</f>
        <v>0</v>
      </c>
      <c r="BE533" s="34">
        <v>0</v>
      </c>
      <c r="BF533" s="34">
        <f>533</f>
        <v>533</v>
      </c>
      <c r="BH533" s="18">
        <f t="shared" ref="BH533:BH564" si="465">I533*AO533</f>
        <v>0</v>
      </c>
      <c r="BI533" s="18">
        <f t="shared" ref="BI533:BI564" si="466">I533*AP533</f>
        <v>0</v>
      </c>
      <c r="BJ533" s="18">
        <f t="shared" ref="BJ533:BJ564" si="467">I533*J533</f>
        <v>0</v>
      </c>
    </row>
    <row r="534" spans="1:62" x14ac:dyDescent="0.2">
      <c r="A534" s="5" t="s">
        <v>494</v>
      </c>
      <c r="B534" s="5" t="s">
        <v>1683</v>
      </c>
      <c r="C534" s="135" t="s">
        <v>2902</v>
      </c>
      <c r="D534" s="136"/>
      <c r="E534" s="136"/>
      <c r="F534" s="136"/>
      <c r="G534" s="136"/>
      <c r="H534" s="5" t="s">
        <v>3614</v>
      </c>
      <c r="I534" s="18">
        <v>30.6</v>
      </c>
      <c r="J534" s="18">
        <v>0</v>
      </c>
      <c r="K534" s="18">
        <f t="shared" si="446"/>
        <v>0</v>
      </c>
      <c r="L534" s="28" t="s">
        <v>3635</v>
      </c>
      <c r="Z534" s="34">
        <f t="shared" si="447"/>
        <v>0</v>
      </c>
      <c r="AB534" s="34">
        <f t="shared" si="448"/>
        <v>0</v>
      </c>
      <c r="AC534" s="34">
        <f t="shared" si="449"/>
        <v>0</v>
      </c>
      <c r="AD534" s="34">
        <f t="shared" si="450"/>
        <v>0</v>
      </c>
      <c r="AE534" s="34">
        <f t="shared" si="451"/>
        <v>0</v>
      </c>
      <c r="AF534" s="34">
        <f t="shared" si="452"/>
        <v>0</v>
      </c>
      <c r="AG534" s="34">
        <f t="shared" si="453"/>
        <v>0</v>
      </c>
      <c r="AH534" s="34">
        <f t="shared" si="454"/>
        <v>0</v>
      </c>
      <c r="AI534" s="27" t="s">
        <v>3645</v>
      </c>
      <c r="AJ534" s="18">
        <f t="shared" si="455"/>
        <v>0</v>
      </c>
      <c r="AK534" s="18">
        <f t="shared" si="456"/>
        <v>0</v>
      </c>
      <c r="AL534" s="18">
        <f t="shared" si="457"/>
        <v>0</v>
      </c>
      <c r="AN534" s="34">
        <v>21</v>
      </c>
      <c r="AO534" s="34">
        <f t="shared" si="458"/>
        <v>0</v>
      </c>
      <c r="AP534" s="34">
        <f t="shared" si="459"/>
        <v>0</v>
      </c>
      <c r="AQ534" s="28" t="s">
        <v>13</v>
      </c>
      <c r="AV534" s="34">
        <f t="shared" si="460"/>
        <v>0</v>
      </c>
      <c r="AW534" s="34">
        <f t="shared" si="461"/>
        <v>0</v>
      </c>
      <c r="AX534" s="34">
        <f t="shared" si="462"/>
        <v>0</v>
      </c>
      <c r="AY534" s="35" t="s">
        <v>3680</v>
      </c>
      <c r="AZ534" s="35" t="s">
        <v>3714</v>
      </c>
      <c r="BA534" s="27" t="s">
        <v>3729</v>
      </c>
      <c r="BC534" s="34">
        <f t="shared" si="463"/>
        <v>0</v>
      </c>
      <c r="BD534" s="34">
        <f t="shared" si="464"/>
        <v>0</v>
      </c>
      <c r="BE534" s="34">
        <v>0</v>
      </c>
      <c r="BF534" s="34">
        <f>534</f>
        <v>534</v>
      </c>
      <c r="BH534" s="18">
        <f t="shared" si="465"/>
        <v>0</v>
      </c>
      <c r="BI534" s="18">
        <f t="shared" si="466"/>
        <v>0</v>
      </c>
      <c r="BJ534" s="18">
        <f t="shared" si="467"/>
        <v>0</v>
      </c>
    </row>
    <row r="535" spans="1:62" x14ac:dyDescent="0.2">
      <c r="A535" s="5" t="s">
        <v>495</v>
      </c>
      <c r="B535" s="5" t="s">
        <v>1684</v>
      </c>
      <c r="C535" s="135" t="s">
        <v>2903</v>
      </c>
      <c r="D535" s="136"/>
      <c r="E535" s="136"/>
      <c r="F535" s="136"/>
      <c r="G535" s="136"/>
      <c r="H535" s="5" t="s">
        <v>3614</v>
      </c>
      <c r="I535" s="18">
        <v>1.9</v>
      </c>
      <c r="J535" s="18">
        <v>0</v>
      </c>
      <c r="K535" s="18">
        <f t="shared" si="446"/>
        <v>0</v>
      </c>
      <c r="L535" s="28" t="s">
        <v>3635</v>
      </c>
      <c r="Z535" s="34">
        <f t="shared" si="447"/>
        <v>0</v>
      </c>
      <c r="AB535" s="34">
        <f t="shared" si="448"/>
        <v>0</v>
      </c>
      <c r="AC535" s="34">
        <f t="shared" si="449"/>
        <v>0</v>
      </c>
      <c r="AD535" s="34">
        <f t="shared" si="450"/>
        <v>0</v>
      </c>
      <c r="AE535" s="34">
        <f t="shared" si="451"/>
        <v>0</v>
      </c>
      <c r="AF535" s="34">
        <f t="shared" si="452"/>
        <v>0</v>
      </c>
      <c r="AG535" s="34">
        <f t="shared" si="453"/>
        <v>0</v>
      </c>
      <c r="AH535" s="34">
        <f t="shared" si="454"/>
        <v>0</v>
      </c>
      <c r="AI535" s="27" t="s">
        <v>3645</v>
      </c>
      <c r="AJ535" s="18">
        <f t="shared" si="455"/>
        <v>0</v>
      </c>
      <c r="AK535" s="18">
        <f t="shared" si="456"/>
        <v>0</v>
      </c>
      <c r="AL535" s="18">
        <f t="shared" si="457"/>
        <v>0</v>
      </c>
      <c r="AN535" s="34">
        <v>21</v>
      </c>
      <c r="AO535" s="34">
        <f t="shared" si="458"/>
        <v>0</v>
      </c>
      <c r="AP535" s="34">
        <f t="shared" si="459"/>
        <v>0</v>
      </c>
      <c r="AQ535" s="28" t="s">
        <v>13</v>
      </c>
      <c r="AV535" s="34">
        <f t="shared" si="460"/>
        <v>0</v>
      </c>
      <c r="AW535" s="34">
        <f t="shared" si="461"/>
        <v>0</v>
      </c>
      <c r="AX535" s="34">
        <f t="shared" si="462"/>
        <v>0</v>
      </c>
      <c r="AY535" s="35" t="s">
        <v>3680</v>
      </c>
      <c r="AZ535" s="35" t="s">
        <v>3714</v>
      </c>
      <c r="BA535" s="27" t="s">
        <v>3729</v>
      </c>
      <c r="BC535" s="34">
        <f t="shared" si="463"/>
        <v>0</v>
      </c>
      <c r="BD535" s="34">
        <f t="shared" si="464"/>
        <v>0</v>
      </c>
      <c r="BE535" s="34">
        <v>0</v>
      </c>
      <c r="BF535" s="34">
        <f>535</f>
        <v>535</v>
      </c>
      <c r="BH535" s="18">
        <f t="shared" si="465"/>
        <v>0</v>
      </c>
      <c r="BI535" s="18">
        <f t="shared" si="466"/>
        <v>0</v>
      </c>
      <c r="BJ535" s="18">
        <f t="shared" si="467"/>
        <v>0</v>
      </c>
    </row>
    <row r="536" spans="1:62" x14ac:dyDescent="0.2">
      <c r="A536" s="5" t="s">
        <v>496</v>
      </c>
      <c r="B536" s="5" t="s">
        <v>1685</v>
      </c>
      <c r="C536" s="135" t="s">
        <v>2904</v>
      </c>
      <c r="D536" s="136"/>
      <c r="E536" s="136"/>
      <c r="F536" s="136"/>
      <c r="G536" s="136"/>
      <c r="H536" s="5" t="s">
        <v>3612</v>
      </c>
      <c r="I536" s="18">
        <v>3</v>
      </c>
      <c r="J536" s="18">
        <v>0</v>
      </c>
      <c r="K536" s="18">
        <f t="shared" si="446"/>
        <v>0</v>
      </c>
      <c r="L536" s="28" t="s">
        <v>3635</v>
      </c>
      <c r="Z536" s="34">
        <f t="shared" si="447"/>
        <v>0</v>
      </c>
      <c r="AB536" s="34">
        <f t="shared" si="448"/>
        <v>0</v>
      </c>
      <c r="AC536" s="34">
        <f t="shared" si="449"/>
        <v>0</v>
      </c>
      <c r="AD536" s="34">
        <f t="shared" si="450"/>
        <v>0</v>
      </c>
      <c r="AE536" s="34">
        <f t="shared" si="451"/>
        <v>0</v>
      </c>
      <c r="AF536" s="34">
        <f t="shared" si="452"/>
        <v>0</v>
      </c>
      <c r="AG536" s="34">
        <f t="shared" si="453"/>
        <v>0</v>
      </c>
      <c r="AH536" s="34">
        <f t="shared" si="454"/>
        <v>0</v>
      </c>
      <c r="AI536" s="27" t="s">
        <v>3645</v>
      </c>
      <c r="AJ536" s="18">
        <f t="shared" si="455"/>
        <v>0</v>
      </c>
      <c r="AK536" s="18">
        <f t="shared" si="456"/>
        <v>0</v>
      </c>
      <c r="AL536" s="18">
        <f t="shared" si="457"/>
        <v>0</v>
      </c>
      <c r="AN536" s="34">
        <v>21</v>
      </c>
      <c r="AO536" s="34">
        <f t="shared" si="458"/>
        <v>0</v>
      </c>
      <c r="AP536" s="34">
        <f t="shared" si="459"/>
        <v>0</v>
      </c>
      <c r="AQ536" s="28" t="s">
        <v>13</v>
      </c>
      <c r="AV536" s="34">
        <f t="shared" si="460"/>
        <v>0</v>
      </c>
      <c r="AW536" s="34">
        <f t="shared" si="461"/>
        <v>0</v>
      </c>
      <c r="AX536" s="34">
        <f t="shared" si="462"/>
        <v>0</v>
      </c>
      <c r="AY536" s="35" t="s">
        <v>3680</v>
      </c>
      <c r="AZ536" s="35" t="s">
        <v>3714</v>
      </c>
      <c r="BA536" s="27" t="s">
        <v>3729</v>
      </c>
      <c r="BC536" s="34">
        <f t="shared" si="463"/>
        <v>0</v>
      </c>
      <c r="BD536" s="34">
        <f t="shared" si="464"/>
        <v>0</v>
      </c>
      <c r="BE536" s="34">
        <v>0</v>
      </c>
      <c r="BF536" s="34">
        <f>536</f>
        <v>536</v>
      </c>
      <c r="BH536" s="18">
        <f t="shared" si="465"/>
        <v>0</v>
      </c>
      <c r="BI536" s="18">
        <f t="shared" si="466"/>
        <v>0</v>
      </c>
      <c r="BJ536" s="18">
        <f t="shared" si="467"/>
        <v>0</v>
      </c>
    </row>
    <row r="537" spans="1:62" x14ac:dyDescent="0.2">
      <c r="A537" s="5" t="s">
        <v>497</v>
      </c>
      <c r="B537" s="5" t="s">
        <v>1686</v>
      </c>
      <c r="C537" s="135" t="s">
        <v>2905</v>
      </c>
      <c r="D537" s="136"/>
      <c r="E537" s="136"/>
      <c r="F537" s="136"/>
      <c r="G537" s="136"/>
      <c r="H537" s="5" t="s">
        <v>3612</v>
      </c>
      <c r="I537" s="18">
        <v>3</v>
      </c>
      <c r="J537" s="18">
        <v>0</v>
      </c>
      <c r="K537" s="18">
        <f t="shared" si="446"/>
        <v>0</v>
      </c>
      <c r="L537" s="28" t="s">
        <v>3635</v>
      </c>
      <c r="Z537" s="34">
        <f t="shared" si="447"/>
        <v>0</v>
      </c>
      <c r="AB537" s="34">
        <f t="shared" si="448"/>
        <v>0</v>
      </c>
      <c r="AC537" s="34">
        <f t="shared" si="449"/>
        <v>0</v>
      </c>
      <c r="AD537" s="34">
        <f t="shared" si="450"/>
        <v>0</v>
      </c>
      <c r="AE537" s="34">
        <f t="shared" si="451"/>
        <v>0</v>
      </c>
      <c r="AF537" s="34">
        <f t="shared" si="452"/>
        <v>0</v>
      </c>
      <c r="AG537" s="34">
        <f t="shared" si="453"/>
        <v>0</v>
      </c>
      <c r="AH537" s="34">
        <f t="shared" si="454"/>
        <v>0</v>
      </c>
      <c r="AI537" s="27" t="s">
        <v>3645</v>
      </c>
      <c r="AJ537" s="18">
        <f t="shared" si="455"/>
        <v>0</v>
      </c>
      <c r="AK537" s="18">
        <f t="shared" si="456"/>
        <v>0</v>
      </c>
      <c r="AL537" s="18">
        <f t="shared" si="457"/>
        <v>0</v>
      </c>
      <c r="AN537" s="34">
        <v>21</v>
      </c>
      <c r="AO537" s="34">
        <f t="shared" si="458"/>
        <v>0</v>
      </c>
      <c r="AP537" s="34">
        <f t="shared" si="459"/>
        <v>0</v>
      </c>
      <c r="AQ537" s="28" t="s">
        <v>13</v>
      </c>
      <c r="AV537" s="34">
        <f t="shared" si="460"/>
        <v>0</v>
      </c>
      <c r="AW537" s="34">
        <f t="shared" si="461"/>
        <v>0</v>
      </c>
      <c r="AX537" s="34">
        <f t="shared" si="462"/>
        <v>0</v>
      </c>
      <c r="AY537" s="35" t="s">
        <v>3680</v>
      </c>
      <c r="AZ537" s="35" t="s">
        <v>3714</v>
      </c>
      <c r="BA537" s="27" t="s">
        <v>3729</v>
      </c>
      <c r="BC537" s="34">
        <f t="shared" si="463"/>
        <v>0</v>
      </c>
      <c r="BD537" s="34">
        <f t="shared" si="464"/>
        <v>0</v>
      </c>
      <c r="BE537" s="34">
        <v>0</v>
      </c>
      <c r="BF537" s="34">
        <f>537</f>
        <v>537</v>
      </c>
      <c r="BH537" s="18">
        <f t="shared" si="465"/>
        <v>0</v>
      </c>
      <c r="BI537" s="18">
        <f t="shared" si="466"/>
        <v>0</v>
      </c>
      <c r="BJ537" s="18">
        <f t="shared" si="467"/>
        <v>0</v>
      </c>
    </row>
    <row r="538" spans="1:62" x14ac:dyDescent="0.2">
      <c r="A538" s="5" t="s">
        <v>498</v>
      </c>
      <c r="B538" s="5" t="s">
        <v>1687</v>
      </c>
      <c r="C538" s="135" t="s">
        <v>2906</v>
      </c>
      <c r="D538" s="136"/>
      <c r="E538" s="136"/>
      <c r="F538" s="136"/>
      <c r="G538" s="136"/>
      <c r="H538" s="5" t="s">
        <v>3612</v>
      </c>
      <c r="I538" s="18">
        <v>1</v>
      </c>
      <c r="J538" s="18">
        <v>0</v>
      </c>
      <c r="K538" s="18">
        <f t="shared" si="446"/>
        <v>0</v>
      </c>
      <c r="L538" s="28" t="s">
        <v>3635</v>
      </c>
      <c r="Z538" s="34">
        <f t="shared" si="447"/>
        <v>0</v>
      </c>
      <c r="AB538" s="34">
        <f t="shared" si="448"/>
        <v>0</v>
      </c>
      <c r="AC538" s="34">
        <f t="shared" si="449"/>
        <v>0</v>
      </c>
      <c r="AD538" s="34">
        <f t="shared" si="450"/>
        <v>0</v>
      </c>
      <c r="AE538" s="34">
        <f t="shared" si="451"/>
        <v>0</v>
      </c>
      <c r="AF538" s="34">
        <f t="shared" si="452"/>
        <v>0</v>
      </c>
      <c r="AG538" s="34">
        <f t="shared" si="453"/>
        <v>0</v>
      </c>
      <c r="AH538" s="34">
        <f t="shared" si="454"/>
        <v>0</v>
      </c>
      <c r="AI538" s="27" t="s">
        <v>3645</v>
      </c>
      <c r="AJ538" s="18">
        <f t="shared" si="455"/>
        <v>0</v>
      </c>
      <c r="AK538" s="18">
        <f t="shared" si="456"/>
        <v>0</v>
      </c>
      <c r="AL538" s="18">
        <f t="shared" si="457"/>
        <v>0</v>
      </c>
      <c r="AN538" s="34">
        <v>21</v>
      </c>
      <c r="AO538" s="34">
        <f t="shared" si="458"/>
        <v>0</v>
      </c>
      <c r="AP538" s="34">
        <f t="shared" si="459"/>
        <v>0</v>
      </c>
      <c r="AQ538" s="28" t="s">
        <v>13</v>
      </c>
      <c r="AV538" s="34">
        <f t="shared" si="460"/>
        <v>0</v>
      </c>
      <c r="AW538" s="34">
        <f t="shared" si="461"/>
        <v>0</v>
      </c>
      <c r="AX538" s="34">
        <f t="shared" si="462"/>
        <v>0</v>
      </c>
      <c r="AY538" s="35" t="s">
        <v>3680</v>
      </c>
      <c r="AZ538" s="35" t="s">
        <v>3714</v>
      </c>
      <c r="BA538" s="27" t="s">
        <v>3729</v>
      </c>
      <c r="BC538" s="34">
        <f t="shared" si="463"/>
        <v>0</v>
      </c>
      <c r="BD538" s="34">
        <f t="shared" si="464"/>
        <v>0</v>
      </c>
      <c r="BE538" s="34">
        <v>0</v>
      </c>
      <c r="BF538" s="34">
        <f>538</f>
        <v>538</v>
      </c>
      <c r="BH538" s="18">
        <f t="shared" si="465"/>
        <v>0</v>
      </c>
      <c r="BI538" s="18">
        <f t="shared" si="466"/>
        <v>0</v>
      </c>
      <c r="BJ538" s="18">
        <f t="shared" si="467"/>
        <v>0</v>
      </c>
    </row>
    <row r="539" spans="1:62" x14ac:dyDescent="0.2">
      <c r="A539" s="5" t="s">
        <v>499</v>
      </c>
      <c r="B539" s="5" t="s">
        <v>1688</v>
      </c>
      <c r="C539" s="135" t="s">
        <v>2907</v>
      </c>
      <c r="D539" s="136"/>
      <c r="E539" s="136"/>
      <c r="F539" s="136"/>
      <c r="G539" s="136"/>
      <c r="H539" s="5" t="s">
        <v>3612</v>
      </c>
      <c r="I539" s="18">
        <v>1</v>
      </c>
      <c r="J539" s="18">
        <v>0</v>
      </c>
      <c r="K539" s="18">
        <f t="shared" si="446"/>
        <v>0</v>
      </c>
      <c r="L539" s="28" t="s">
        <v>3635</v>
      </c>
      <c r="Z539" s="34">
        <f t="shared" si="447"/>
        <v>0</v>
      </c>
      <c r="AB539" s="34">
        <f t="shared" si="448"/>
        <v>0</v>
      </c>
      <c r="AC539" s="34">
        <f t="shared" si="449"/>
        <v>0</v>
      </c>
      <c r="AD539" s="34">
        <f t="shared" si="450"/>
        <v>0</v>
      </c>
      <c r="AE539" s="34">
        <f t="shared" si="451"/>
        <v>0</v>
      </c>
      <c r="AF539" s="34">
        <f t="shared" si="452"/>
        <v>0</v>
      </c>
      <c r="AG539" s="34">
        <f t="shared" si="453"/>
        <v>0</v>
      </c>
      <c r="AH539" s="34">
        <f t="shared" si="454"/>
        <v>0</v>
      </c>
      <c r="AI539" s="27" t="s">
        <v>3645</v>
      </c>
      <c r="AJ539" s="18">
        <f t="shared" si="455"/>
        <v>0</v>
      </c>
      <c r="AK539" s="18">
        <f t="shared" si="456"/>
        <v>0</v>
      </c>
      <c r="AL539" s="18">
        <f t="shared" si="457"/>
        <v>0</v>
      </c>
      <c r="AN539" s="34">
        <v>21</v>
      </c>
      <c r="AO539" s="34">
        <f t="shared" si="458"/>
        <v>0</v>
      </c>
      <c r="AP539" s="34">
        <f t="shared" si="459"/>
        <v>0</v>
      </c>
      <c r="AQ539" s="28" t="s">
        <v>13</v>
      </c>
      <c r="AV539" s="34">
        <f t="shared" si="460"/>
        <v>0</v>
      </c>
      <c r="AW539" s="34">
        <f t="shared" si="461"/>
        <v>0</v>
      </c>
      <c r="AX539" s="34">
        <f t="shared" si="462"/>
        <v>0</v>
      </c>
      <c r="AY539" s="35" t="s">
        <v>3680</v>
      </c>
      <c r="AZ539" s="35" t="s">
        <v>3714</v>
      </c>
      <c r="BA539" s="27" t="s">
        <v>3729</v>
      </c>
      <c r="BC539" s="34">
        <f t="shared" si="463"/>
        <v>0</v>
      </c>
      <c r="BD539" s="34">
        <f t="shared" si="464"/>
        <v>0</v>
      </c>
      <c r="BE539" s="34">
        <v>0</v>
      </c>
      <c r="BF539" s="34">
        <f>539</f>
        <v>539</v>
      </c>
      <c r="BH539" s="18">
        <f t="shared" si="465"/>
        <v>0</v>
      </c>
      <c r="BI539" s="18">
        <f t="shared" si="466"/>
        <v>0</v>
      </c>
      <c r="BJ539" s="18">
        <f t="shared" si="467"/>
        <v>0</v>
      </c>
    </row>
    <row r="540" spans="1:62" x14ac:dyDescent="0.2">
      <c r="A540" s="5" t="s">
        <v>500</v>
      </c>
      <c r="B540" s="5" t="s">
        <v>1689</v>
      </c>
      <c r="C540" s="135" t="s">
        <v>2908</v>
      </c>
      <c r="D540" s="136"/>
      <c r="E540" s="136"/>
      <c r="F540" s="136"/>
      <c r="G540" s="136"/>
      <c r="H540" s="5" t="s">
        <v>3612</v>
      </c>
      <c r="I540" s="18">
        <v>3</v>
      </c>
      <c r="J540" s="18">
        <v>0</v>
      </c>
      <c r="K540" s="18">
        <f t="shared" si="446"/>
        <v>0</v>
      </c>
      <c r="L540" s="28" t="s">
        <v>3635</v>
      </c>
      <c r="Z540" s="34">
        <f t="shared" si="447"/>
        <v>0</v>
      </c>
      <c r="AB540" s="34">
        <f t="shared" si="448"/>
        <v>0</v>
      </c>
      <c r="AC540" s="34">
        <f t="shared" si="449"/>
        <v>0</v>
      </c>
      <c r="AD540" s="34">
        <f t="shared" si="450"/>
        <v>0</v>
      </c>
      <c r="AE540" s="34">
        <f t="shared" si="451"/>
        <v>0</v>
      </c>
      <c r="AF540" s="34">
        <f t="shared" si="452"/>
        <v>0</v>
      </c>
      <c r="AG540" s="34">
        <f t="shared" si="453"/>
        <v>0</v>
      </c>
      <c r="AH540" s="34">
        <f t="shared" si="454"/>
        <v>0</v>
      </c>
      <c r="AI540" s="27" t="s">
        <v>3645</v>
      </c>
      <c r="AJ540" s="18">
        <f t="shared" si="455"/>
        <v>0</v>
      </c>
      <c r="AK540" s="18">
        <f t="shared" si="456"/>
        <v>0</v>
      </c>
      <c r="AL540" s="18">
        <f t="shared" si="457"/>
        <v>0</v>
      </c>
      <c r="AN540" s="34">
        <v>21</v>
      </c>
      <c r="AO540" s="34">
        <f t="shared" si="458"/>
        <v>0</v>
      </c>
      <c r="AP540" s="34">
        <f t="shared" si="459"/>
        <v>0</v>
      </c>
      <c r="AQ540" s="28" t="s">
        <v>13</v>
      </c>
      <c r="AV540" s="34">
        <f t="shared" si="460"/>
        <v>0</v>
      </c>
      <c r="AW540" s="34">
        <f t="shared" si="461"/>
        <v>0</v>
      </c>
      <c r="AX540" s="34">
        <f t="shared" si="462"/>
        <v>0</v>
      </c>
      <c r="AY540" s="35" t="s">
        <v>3680</v>
      </c>
      <c r="AZ540" s="35" t="s">
        <v>3714</v>
      </c>
      <c r="BA540" s="27" t="s">
        <v>3729</v>
      </c>
      <c r="BC540" s="34">
        <f t="shared" si="463"/>
        <v>0</v>
      </c>
      <c r="BD540" s="34">
        <f t="shared" si="464"/>
        <v>0</v>
      </c>
      <c r="BE540" s="34">
        <v>0</v>
      </c>
      <c r="BF540" s="34">
        <f>540</f>
        <v>540</v>
      </c>
      <c r="BH540" s="18">
        <f t="shared" si="465"/>
        <v>0</v>
      </c>
      <c r="BI540" s="18">
        <f t="shared" si="466"/>
        <v>0</v>
      </c>
      <c r="BJ540" s="18">
        <f t="shared" si="467"/>
        <v>0</v>
      </c>
    </row>
    <row r="541" spans="1:62" x14ac:dyDescent="0.2">
      <c r="A541" s="5" t="s">
        <v>501</v>
      </c>
      <c r="B541" s="5" t="s">
        <v>1690</v>
      </c>
      <c r="C541" s="135" t="s">
        <v>2909</v>
      </c>
      <c r="D541" s="136"/>
      <c r="E541" s="136"/>
      <c r="F541" s="136"/>
      <c r="G541" s="136"/>
      <c r="H541" s="5" t="s">
        <v>3612</v>
      </c>
      <c r="I541" s="18">
        <v>1</v>
      </c>
      <c r="J541" s="18">
        <v>0</v>
      </c>
      <c r="K541" s="18">
        <f t="shared" si="446"/>
        <v>0</v>
      </c>
      <c r="L541" s="28" t="s">
        <v>3635</v>
      </c>
      <c r="Z541" s="34">
        <f t="shared" si="447"/>
        <v>0</v>
      </c>
      <c r="AB541" s="34">
        <f t="shared" si="448"/>
        <v>0</v>
      </c>
      <c r="AC541" s="34">
        <f t="shared" si="449"/>
        <v>0</v>
      </c>
      <c r="AD541" s="34">
        <f t="shared" si="450"/>
        <v>0</v>
      </c>
      <c r="AE541" s="34">
        <f t="shared" si="451"/>
        <v>0</v>
      </c>
      <c r="AF541" s="34">
        <f t="shared" si="452"/>
        <v>0</v>
      </c>
      <c r="AG541" s="34">
        <f t="shared" si="453"/>
        <v>0</v>
      </c>
      <c r="AH541" s="34">
        <f t="shared" si="454"/>
        <v>0</v>
      </c>
      <c r="AI541" s="27" t="s">
        <v>3645</v>
      </c>
      <c r="AJ541" s="18">
        <f t="shared" si="455"/>
        <v>0</v>
      </c>
      <c r="AK541" s="18">
        <f t="shared" si="456"/>
        <v>0</v>
      </c>
      <c r="AL541" s="18">
        <f t="shared" si="457"/>
        <v>0</v>
      </c>
      <c r="AN541" s="34">
        <v>21</v>
      </c>
      <c r="AO541" s="34">
        <f t="shared" si="458"/>
        <v>0</v>
      </c>
      <c r="AP541" s="34">
        <f t="shared" si="459"/>
        <v>0</v>
      </c>
      <c r="AQ541" s="28" t="s">
        <v>13</v>
      </c>
      <c r="AV541" s="34">
        <f t="shared" si="460"/>
        <v>0</v>
      </c>
      <c r="AW541" s="34">
        <f t="shared" si="461"/>
        <v>0</v>
      </c>
      <c r="AX541" s="34">
        <f t="shared" si="462"/>
        <v>0</v>
      </c>
      <c r="AY541" s="35" t="s">
        <v>3680</v>
      </c>
      <c r="AZ541" s="35" t="s">
        <v>3714</v>
      </c>
      <c r="BA541" s="27" t="s">
        <v>3729</v>
      </c>
      <c r="BC541" s="34">
        <f t="shared" si="463"/>
        <v>0</v>
      </c>
      <c r="BD541" s="34">
        <f t="shared" si="464"/>
        <v>0</v>
      </c>
      <c r="BE541" s="34">
        <v>0</v>
      </c>
      <c r="BF541" s="34">
        <f>541</f>
        <v>541</v>
      </c>
      <c r="BH541" s="18">
        <f t="shared" si="465"/>
        <v>0</v>
      </c>
      <c r="BI541" s="18">
        <f t="shared" si="466"/>
        <v>0</v>
      </c>
      <c r="BJ541" s="18">
        <f t="shared" si="467"/>
        <v>0</v>
      </c>
    </row>
    <row r="542" spans="1:62" x14ac:dyDescent="0.2">
      <c r="A542" s="5" t="s">
        <v>502</v>
      </c>
      <c r="B542" s="5" t="s">
        <v>1691</v>
      </c>
      <c r="C542" s="135" t="s">
        <v>2910</v>
      </c>
      <c r="D542" s="136"/>
      <c r="E542" s="136"/>
      <c r="F542" s="136"/>
      <c r="G542" s="136"/>
      <c r="H542" s="5" t="s">
        <v>3612</v>
      </c>
      <c r="I542" s="18">
        <v>1</v>
      </c>
      <c r="J542" s="18">
        <v>0</v>
      </c>
      <c r="K542" s="18">
        <f t="shared" si="446"/>
        <v>0</v>
      </c>
      <c r="L542" s="28" t="s">
        <v>3635</v>
      </c>
      <c r="Z542" s="34">
        <f t="shared" si="447"/>
        <v>0</v>
      </c>
      <c r="AB542" s="34">
        <f t="shared" si="448"/>
        <v>0</v>
      </c>
      <c r="AC542" s="34">
        <f t="shared" si="449"/>
        <v>0</v>
      </c>
      <c r="AD542" s="34">
        <f t="shared" si="450"/>
        <v>0</v>
      </c>
      <c r="AE542" s="34">
        <f t="shared" si="451"/>
        <v>0</v>
      </c>
      <c r="AF542" s="34">
        <f t="shared" si="452"/>
        <v>0</v>
      </c>
      <c r="AG542" s="34">
        <f t="shared" si="453"/>
        <v>0</v>
      </c>
      <c r="AH542" s="34">
        <f t="shared" si="454"/>
        <v>0</v>
      </c>
      <c r="AI542" s="27" t="s">
        <v>3645</v>
      </c>
      <c r="AJ542" s="18">
        <f t="shared" si="455"/>
        <v>0</v>
      </c>
      <c r="AK542" s="18">
        <f t="shared" si="456"/>
        <v>0</v>
      </c>
      <c r="AL542" s="18">
        <f t="shared" si="457"/>
        <v>0</v>
      </c>
      <c r="AN542" s="34">
        <v>21</v>
      </c>
      <c r="AO542" s="34">
        <f t="shared" si="458"/>
        <v>0</v>
      </c>
      <c r="AP542" s="34">
        <f t="shared" si="459"/>
        <v>0</v>
      </c>
      <c r="AQ542" s="28" t="s">
        <v>13</v>
      </c>
      <c r="AV542" s="34">
        <f t="shared" si="460"/>
        <v>0</v>
      </c>
      <c r="AW542" s="34">
        <f t="shared" si="461"/>
        <v>0</v>
      </c>
      <c r="AX542" s="34">
        <f t="shared" si="462"/>
        <v>0</v>
      </c>
      <c r="AY542" s="35" t="s">
        <v>3680</v>
      </c>
      <c r="AZ542" s="35" t="s">
        <v>3714</v>
      </c>
      <c r="BA542" s="27" t="s">
        <v>3729</v>
      </c>
      <c r="BC542" s="34">
        <f t="shared" si="463"/>
        <v>0</v>
      </c>
      <c r="BD542" s="34">
        <f t="shared" si="464"/>
        <v>0</v>
      </c>
      <c r="BE542" s="34">
        <v>0</v>
      </c>
      <c r="BF542" s="34">
        <f>542</f>
        <v>542</v>
      </c>
      <c r="BH542" s="18">
        <f t="shared" si="465"/>
        <v>0</v>
      </c>
      <c r="BI542" s="18">
        <f t="shared" si="466"/>
        <v>0</v>
      </c>
      <c r="BJ542" s="18">
        <f t="shared" si="467"/>
        <v>0</v>
      </c>
    </row>
    <row r="543" spans="1:62" x14ac:dyDescent="0.2">
      <c r="A543" s="5" t="s">
        <v>503</v>
      </c>
      <c r="B543" s="5" t="s">
        <v>1692</v>
      </c>
      <c r="C543" s="135" t="s">
        <v>2911</v>
      </c>
      <c r="D543" s="136"/>
      <c r="E543" s="136"/>
      <c r="F543" s="136"/>
      <c r="G543" s="136"/>
      <c r="H543" s="5" t="s">
        <v>3612</v>
      </c>
      <c r="I543" s="18">
        <v>1</v>
      </c>
      <c r="J543" s="18">
        <v>0</v>
      </c>
      <c r="K543" s="18">
        <f t="shared" si="446"/>
        <v>0</v>
      </c>
      <c r="L543" s="28" t="s">
        <v>3635</v>
      </c>
      <c r="Z543" s="34">
        <f t="shared" si="447"/>
        <v>0</v>
      </c>
      <c r="AB543" s="34">
        <f t="shared" si="448"/>
        <v>0</v>
      </c>
      <c r="AC543" s="34">
        <f t="shared" si="449"/>
        <v>0</v>
      </c>
      <c r="AD543" s="34">
        <f t="shared" si="450"/>
        <v>0</v>
      </c>
      <c r="AE543" s="34">
        <f t="shared" si="451"/>
        <v>0</v>
      </c>
      <c r="AF543" s="34">
        <f t="shared" si="452"/>
        <v>0</v>
      </c>
      <c r="AG543" s="34">
        <f t="shared" si="453"/>
        <v>0</v>
      </c>
      <c r="AH543" s="34">
        <f t="shared" si="454"/>
        <v>0</v>
      </c>
      <c r="AI543" s="27" t="s">
        <v>3645</v>
      </c>
      <c r="AJ543" s="18">
        <f t="shared" si="455"/>
        <v>0</v>
      </c>
      <c r="AK543" s="18">
        <f t="shared" si="456"/>
        <v>0</v>
      </c>
      <c r="AL543" s="18">
        <f t="shared" si="457"/>
        <v>0</v>
      </c>
      <c r="AN543" s="34">
        <v>21</v>
      </c>
      <c r="AO543" s="34">
        <f t="shared" si="458"/>
        <v>0</v>
      </c>
      <c r="AP543" s="34">
        <f t="shared" si="459"/>
        <v>0</v>
      </c>
      <c r="AQ543" s="28" t="s">
        <v>13</v>
      </c>
      <c r="AV543" s="34">
        <f t="shared" si="460"/>
        <v>0</v>
      </c>
      <c r="AW543" s="34">
        <f t="shared" si="461"/>
        <v>0</v>
      </c>
      <c r="AX543" s="34">
        <f t="shared" si="462"/>
        <v>0</v>
      </c>
      <c r="AY543" s="35" t="s">
        <v>3680</v>
      </c>
      <c r="AZ543" s="35" t="s">
        <v>3714</v>
      </c>
      <c r="BA543" s="27" t="s">
        <v>3729</v>
      </c>
      <c r="BC543" s="34">
        <f t="shared" si="463"/>
        <v>0</v>
      </c>
      <c r="BD543" s="34">
        <f t="shared" si="464"/>
        <v>0</v>
      </c>
      <c r="BE543" s="34">
        <v>0</v>
      </c>
      <c r="BF543" s="34">
        <f>543</f>
        <v>543</v>
      </c>
      <c r="BH543" s="18">
        <f t="shared" si="465"/>
        <v>0</v>
      </c>
      <c r="BI543" s="18">
        <f t="shared" si="466"/>
        <v>0</v>
      </c>
      <c r="BJ543" s="18">
        <f t="shared" si="467"/>
        <v>0</v>
      </c>
    </row>
    <row r="544" spans="1:62" x14ac:dyDescent="0.2">
      <c r="A544" s="5" t="s">
        <v>504</v>
      </c>
      <c r="B544" s="5" t="s">
        <v>1693</v>
      </c>
      <c r="C544" s="135" t="s">
        <v>2912</v>
      </c>
      <c r="D544" s="136"/>
      <c r="E544" s="136"/>
      <c r="F544" s="136"/>
      <c r="G544" s="136"/>
      <c r="H544" s="5" t="s">
        <v>3612</v>
      </c>
      <c r="I544" s="18">
        <v>1</v>
      </c>
      <c r="J544" s="18">
        <v>0</v>
      </c>
      <c r="K544" s="18">
        <f t="shared" si="446"/>
        <v>0</v>
      </c>
      <c r="L544" s="28" t="s">
        <v>3635</v>
      </c>
      <c r="Z544" s="34">
        <f t="shared" si="447"/>
        <v>0</v>
      </c>
      <c r="AB544" s="34">
        <f t="shared" si="448"/>
        <v>0</v>
      </c>
      <c r="AC544" s="34">
        <f t="shared" si="449"/>
        <v>0</v>
      </c>
      <c r="AD544" s="34">
        <f t="shared" si="450"/>
        <v>0</v>
      </c>
      <c r="AE544" s="34">
        <f t="shared" si="451"/>
        <v>0</v>
      </c>
      <c r="AF544" s="34">
        <f t="shared" si="452"/>
        <v>0</v>
      </c>
      <c r="AG544" s="34">
        <f t="shared" si="453"/>
        <v>0</v>
      </c>
      <c r="AH544" s="34">
        <f t="shared" si="454"/>
        <v>0</v>
      </c>
      <c r="AI544" s="27" t="s">
        <v>3645</v>
      </c>
      <c r="AJ544" s="18">
        <f t="shared" si="455"/>
        <v>0</v>
      </c>
      <c r="AK544" s="18">
        <f t="shared" si="456"/>
        <v>0</v>
      </c>
      <c r="AL544" s="18">
        <f t="shared" si="457"/>
        <v>0</v>
      </c>
      <c r="AN544" s="34">
        <v>21</v>
      </c>
      <c r="AO544" s="34">
        <f t="shared" si="458"/>
        <v>0</v>
      </c>
      <c r="AP544" s="34">
        <f t="shared" si="459"/>
        <v>0</v>
      </c>
      <c r="AQ544" s="28" t="s">
        <v>13</v>
      </c>
      <c r="AV544" s="34">
        <f t="shared" si="460"/>
        <v>0</v>
      </c>
      <c r="AW544" s="34">
        <f t="shared" si="461"/>
        <v>0</v>
      </c>
      <c r="AX544" s="34">
        <f t="shared" si="462"/>
        <v>0</v>
      </c>
      <c r="AY544" s="35" t="s">
        <v>3680</v>
      </c>
      <c r="AZ544" s="35" t="s">
        <v>3714</v>
      </c>
      <c r="BA544" s="27" t="s">
        <v>3729</v>
      </c>
      <c r="BC544" s="34">
        <f t="shared" si="463"/>
        <v>0</v>
      </c>
      <c r="BD544" s="34">
        <f t="shared" si="464"/>
        <v>0</v>
      </c>
      <c r="BE544" s="34">
        <v>0</v>
      </c>
      <c r="BF544" s="34">
        <f>544</f>
        <v>544</v>
      </c>
      <c r="BH544" s="18">
        <f t="shared" si="465"/>
        <v>0</v>
      </c>
      <c r="BI544" s="18">
        <f t="shared" si="466"/>
        <v>0</v>
      </c>
      <c r="BJ544" s="18">
        <f t="shared" si="467"/>
        <v>0</v>
      </c>
    </row>
    <row r="545" spans="1:62" x14ac:dyDescent="0.2">
      <c r="A545" s="5" t="s">
        <v>505</v>
      </c>
      <c r="B545" s="5" t="s">
        <v>1694</v>
      </c>
      <c r="C545" s="135" t="s">
        <v>2913</v>
      </c>
      <c r="D545" s="136"/>
      <c r="E545" s="136"/>
      <c r="F545" s="136"/>
      <c r="G545" s="136"/>
      <c r="H545" s="5" t="s">
        <v>3612</v>
      </c>
      <c r="I545" s="18">
        <v>4</v>
      </c>
      <c r="J545" s="18">
        <v>0</v>
      </c>
      <c r="K545" s="18">
        <f t="shared" si="446"/>
        <v>0</v>
      </c>
      <c r="L545" s="28" t="s">
        <v>3635</v>
      </c>
      <c r="Z545" s="34">
        <f t="shared" si="447"/>
        <v>0</v>
      </c>
      <c r="AB545" s="34">
        <f t="shared" si="448"/>
        <v>0</v>
      </c>
      <c r="AC545" s="34">
        <f t="shared" si="449"/>
        <v>0</v>
      </c>
      <c r="AD545" s="34">
        <f t="shared" si="450"/>
        <v>0</v>
      </c>
      <c r="AE545" s="34">
        <f t="shared" si="451"/>
        <v>0</v>
      </c>
      <c r="AF545" s="34">
        <f t="shared" si="452"/>
        <v>0</v>
      </c>
      <c r="AG545" s="34">
        <f t="shared" si="453"/>
        <v>0</v>
      </c>
      <c r="AH545" s="34">
        <f t="shared" si="454"/>
        <v>0</v>
      </c>
      <c r="AI545" s="27" t="s">
        <v>3645</v>
      </c>
      <c r="AJ545" s="18">
        <f t="shared" si="455"/>
        <v>0</v>
      </c>
      <c r="AK545" s="18">
        <f t="shared" si="456"/>
        <v>0</v>
      </c>
      <c r="AL545" s="18">
        <f t="shared" si="457"/>
        <v>0</v>
      </c>
      <c r="AN545" s="34">
        <v>21</v>
      </c>
      <c r="AO545" s="34">
        <f t="shared" si="458"/>
        <v>0</v>
      </c>
      <c r="AP545" s="34">
        <f t="shared" si="459"/>
        <v>0</v>
      </c>
      <c r="AQ545" s="28" t="s">
        <v>13</v>
      </c>
      <c r="AV545" s="34">
        <f t="shared" si="460"/>
        <v>0</v>
      </c>
      <c r="AW545" s="34">
        <f t="shared" si="461"/>
        <v>0</v>
      </c>
      <c r="AX545" s="34">
        <f t="shared" si="462"/>
        <v>0</v>
      </c>
      <c r="AY545" s="35" t="s">
        <v>3680</v>
      </c>
      <c r="AZ545" s="35" t="s">
        <v>3714</v>
      </c>
      <c r="BA545" s="27" t="s">
        <v>3729</v>
      </c>
      <c r="BC545" s="34">
        <f t="shared" si="463"/>
        <v>0</v>
      </c>
      <c r="BD545" s="34">
        <f t="shared" si="464"/>
        <v>0</v>
      </c>
      <c r="BE545" s="34">
        <v>0</v>
      </c>
      <c r="BF545" s="34">
        <f>545</f>
        <v>545</v>
      </c>
      <c r="BH545" s="18">
        <f t="shared" si="465"/>
        <v>0</v>
      </c>
      <c r="BI545" s="18">
        <f t="shared" si="466"/>
        <v>0</v>
      </c>
      <c r="BJ545" s="18">
        <f t="shared" si="467"/>
        <v>0</v>
      </c>
    </row>
    <row r="546" spans="1:62" x14ac:dyDescent="0.2">
      <c r="A546" s="5" t="s">
        <v>506</v>
      </c>
      <c r="B546" s="5" t="s">
        <v>1695</v>
      </c>
      <c r="C546" s="135" t="s">
        <v>2914</v>
      </c>
      <c r="D546" s="136"/>
      <c r="E546" s="136"/>
      <c r="F546" s="136"/>
      <c r="G546" s="136"/>
      <c r="H546" s="5" t="s">
        <v>3612</v>
      </c>
      <c r="I546" s="18">
        <v>2</v>
      </c>
      <c r="J546" s="18">
        <v>0</v>
      </c>
      <c r="K546" s="18">
        <f t="shared" si="446"/>
        <v>0</v>
      </c>
      <c r="L546" s="28" t="s">
        <v>3635</v>
      </c>
      <c r="Z546" s="34">
        <f t="shared" si="447"/>
        <v>0</v>
      </c>
      <c r="AB546" s="34">
        <f t="shared" si="448"/>
        <v>0</v>
      </c>
      <c r="AC546" s="34">
        <f t="shared" si="449"/>
        <v>0</v>
      </c>
      <c r="AD546" s="34">
        <f t="shared" si="450"/>
        <v>0</v>
      </c>
      <c r="AE546" s="34">
        <f t="shared" si="451"/>
        <v>0</v>
      </c>
      <c r="AF546" s="34">
        <f t="shared" si="452"/>
        <v>0</v>
      </c>
      <c r="AG546" s="34">
        <f t="shared" si="453"/>
        <v>0</v>
      </c>
      <c r="AH546" s="34">
        <f t="shared" si="454"/>
        <v>0</v>
      </c>
      <c r="AI546" s="27" t="s">
        <v>3645</v>
      </c>
      <c r="AJ546" s="18">
        <f t="shared" si="455"/>
        <v>0</v>
      </c>
      <c r="AK546" s="18">
        <f t="shared" si="456"/>
        <v>0</v>
      </c>
      <c r="AL546" s="18">
        <f t="shared" si="457"/>
        <v>0</v>
      </c>
      <c r="AN546" s="34">
        <v>21</v>
      </c>
      <c r="AO546" s="34">
        <f t="shared" si="458"/>
        <v>0</v>
      </c>
      <c r="AP546" s="34">
        <f t="shared" si="459"/>
        <v>0</v>
      </c>
      <c r="AQ546" s="28" t="s">
        <v>13</v>
      </c>
      <c r="AV546" s="34">
        <f t="shared" si="460"/>
        <v>0</v>
      </c>
      <c r="AW546" s="34">
        <f t="shared" si="461"/>
        <v>0</v>
      </c>
      <c r="AX546" s="34">
        <f t="shared" si="462"/>
        <v>0</v>
      </c>
      <c r="AY546" s="35" t="s">
        <v>3680</v>
      </c>
      <c r="AZ546" s="35" t="s">
        <v>3714</v>
      </c>
      <c r="BA546" s="27" t="s">
        <v>3729</v>
      </c>
      <c r="BC546" s="34">
        <f t="shared" si="463"/>
        <v>0</v>
      </c>
      <c r="BD546" s="34">
        <f t="shared" si="464"/>
        <v>0</v>
      </c>
      <c r="BE546" s="34">
        <v>0</v>
      </c>
      <c r="BF546" s="34">
        <f>546</f>
        <v>546</v>
      </c>
      <c r="BH546" s="18">
        <f t="shared" si="465"/>
        <v>0</v>
      </c>
      <c r="BI546" s="18">
        <f t="shared" si="466"/>
        <v>0</v>
      </c>
      <c r="BJ546" s="18">
        <f t="shared" si="467"/>
        <v>0</v>
      </c>
    </row>
    <row r="547" spans="1:62" x14ac:dyDescent="0.2">
      <c r="A547" s="5" t="s">
        <v>507</v>
      </c>
      <c r="B547" s="5" t="s">
        <v>1696</v>
      </c>
      <c r="C547" s="135" t="s">
        <v>2915</v>
      </c>
      <c r="D547" s="136"/>
      <c r="E547" s="136"/>
      <c r="F547" s="136"/>
      <c r="G547" s="136"/>
      <c r="H547" s="5" t="s">
        <v>3612</v>
      </c>
      <c r="I547" s="18">
        <v>2</v>
      </c>
      <c r="J547" s="18">
        <v>0</v>
      </c>
      <c r="K547" s="18">
        <f t="shared" si="446"/>
        <v>0</v>
      </c>
      <c r="L547" s="28" t="s">
        <v>3635</v>
      </c>
      <c r="Z547" s="34">
        <f t="shared" si="447"/>
        <v>0</v>
      </c>
      <c r="AB547" s="34">
        <f t="shared" si="448"/>
        <v>0</v>
      </c>
      <c r="AC547" s="34">
        <f t="shared" si="449"/>
        <v>0</v>
      </c>
      <c r="AD547" s="34">
        <f t="shared" si="450"/>
        <v>0</v>
      </c>
      <c r="AE547" s="34">
        <f t="shared" si="451"/>
        <v>0</v>
      </c>
      <c r="AF547" s="34">
        <f t="shared" si="452"/>
        <v>0</v>
      </c>
      <c r="AG547" s="34">
        <f t="shared" si="453"/>
        <v>0</v>
      </c>
      <c r="AH547" s="34">
        <f t="shared" si="454"/>
        <v>0</v>
      </c>
      <c r="AI547" s="27" t="s">
        <v>3645</v>
      </c>
      <c r="AJ547" s="18">
        <f t="shared" si="455"/>
        <v>0</v>
      </c>
      <c r="AK547" s="18">
        <f t="shared" si="456"/>
        <v>0</v>
      </c>
      <c r="AL547" s="18">
        <f t="shared" si="457"/>
        <v>0</v>
      </c>
      <c r="AN547" s="34">
        <v>21</v>
      </c>
      <c r="AO547" s="34">
        <f t="shared" si="458"/>
        <v>0</v>
      </c>
      <c r="AP547" s="34">
        <f t="shared" si="459"/>
        <v>0</v>
      </c>
      <c r="AQ547" s="28" t="s">
        <v>13</v>
      </c>
      <c r="AV547" s="34">
        <f t="shared" si="460"/>
        <v>0</v>
      </c>
      <c r="AW547" s="34">
        <f t="shared" si="461"/>
        <v>0</v>
      </c>
      <c r="AX547" s="34">
        <f t="shared" si="462"/>
        <v>0</v>
      </c>
      <c r="AY547" s="35" t="s">
        <v>3680</v>
      </c>
      <c r="AZ547" s="35" t="s">
        <v>3714</v>
      </c>
      <c r="BA547" s="27" t="s">
        <v>3729</v>
      </c>
      <c r="BC547" s="34">
        <f t="shared" si="463"/>
        <v>0</v>
      </c>
      <c r="BD547" s="34">
        <f t="shared" si="464"/>
        <v>0</v>
      </c>
      <c r="BE547" s="34">
        <v>0</v>
      </c>
      <c r="BF547" s="34">
        <f>547</f>
        <v>547</v>
      </c>
      <c r="BH547" s="18">
        <f t="shared" si="465"/>
        <v>0</v>
      </c>
      <c r="BI547" s="18">
        <f t="shared" si="466"/>
        <v>0</v>
      </c>
      <c r="BJ547" s="18">
        <f t="shared" si="467"/>
        <v>0</v>
      </c>
    </row>
    <row r="548" spans="1:62" x14ac:dyDescent="0.2">
      <c r="A548" s="5" t="s">
        <v>508</v>
      </c>
      <c r="B548" s="5" t="s">
        <v>1697</v>
      </c>
      <c r="C548" s="135" t="s">
        <v>2916</v>
      </c>
      <c r="D548" s="136"/>
      <c r="E548" s="136"/>
      <c r="F548" s="136"/>
      <c r="G548" s="136"/>
      <c r="H548" s="5" t="s">
        <v>3615</v>
      </c>
      <c r="I548" s="18">
        <v>16.814620000000001</v>
      </c>
      <c r="J548" s="18">
        <v>0</v>
      </c>
      <c r="K548" s="18">
        <f t="shared" si="446"/>
        <v>0</v>
      </c>
      <c r="L548" s="28" t="s">
        <v>3635</v>
      </c>
      <c r="Z548" s="34">
        <f t="shared" si="447"/>
        <v>0</v>
      </c>
      <c r="AB548" s="34">
        <f t="shared" si="448"/>
        <v>0</v>
      </c>
      <c r="AC548" s="34">
        <f t="shared" si="449"/>
        <v>0</v>
      </c>
      <c r="AD548" s="34">
        <f t="shared" si="450"/>
        <v>0</v>
      </c>
      <c r="AE548" s="34">
        <f t="shared" si="451"/>
        <v>0</v>
      </c>
      <c r="AF548" s="34">
        <f t="shared" si="452"/>
        <v>0</v>
      </c>
      <c r="AG548" s="34">
        <f t="shared" si="453"/>
        <v>0</v>
      </c>
      <c r="AH548" s="34">
        <f t="shared" si="454"/>
        <v>0</v>
      </c>
      <c r="AI548" s="27" t="s">
        <v>3645</v>
      </c>
      <c r="AJ548" s="18">
        <f t="shared" si="455"/>
        <v>0</v>
      </c>
      <c r="AK548" s="18">
        <f t="shared" si="456"/>
        <v>0</v>
      </c>
      <c r="AL548" s="18">
        <f t="shared" si="457"/>
        <v>0</v>
      </c>
      <c r="AN548" s="34">
        <v>21</v>
      </c>
      <c r="AO548" s="34">
        <f t="shared" si="458"/>
        <v>0</v>
      </c>
      <c r="AP548" s="34">
        <f t="shared" si="459"/>
        <v>0</v>
      </c>
      <c r="AQ548" s="28" t="s">
        <v>13</v>
      </c>
      <c r="AV548" s="34">
        <f t="shared" si="460"/>
        <v>0</v>
      </c>
      <c r="AW548" s="34">
        <f t="shared" si="461"/>
        <v>0</v>
      </c>
      <c r="AX548" s="34">
        <f t="shared" si="462"/>
        <v>0</v>
      </c>
      <c r="AY548" s="35" t="s">
        <v>3680</v>
      </c>
      <c r="AZ548" s="35" t="s">
        <v>3714</v>
      </c>
      <c r="BA548" s="27" t="s">
        <v>3729</v>
      </c>
      <c r="BC548" s="34">
        <f t="shared" si="463"/>
        <v>0</v>
      </c>
      <c r="BD548" s="34">
        <f t="shared" si="464"/>
        <v>0</v>
      </c>
      <c r="BE548" s="34">
        <v>0</v>
      </c>
      <c r="BF548" s="34">
        <f>548</f>
        <v>548</v>
      </c>
      <c r="BH548" s="18">
        <f t="shared" si="465"/>
        <v>0</v>
      </c>
      <c r="BI548" s="18">
        <f t="shared" si="466"/>
        <v>0</v>
      </c>
      <c r="BJ548" s="18">
        <f t="shared" si="467"/>
        <v>0</v>
      </c>
    </row>
    <row r="549" spans="1:62" x14ac:dyDescent="0.2">
      <c r="A549" s="5" t="s">
        <v>509</v>
      </c>
      <c r="B549" s="5" t="s">
        <v>1698</v>
      </c>
      <c r="C549" s="135" t="s">
        <v>2917</v>
      </c>
      <c r="D549" s="136"/>
      <c r="E549" s="136"/>
      <c r="F549" s="136"/>
      <c r="G549" s="136"/>
      <c r="H549" s="5" t="s">
        <v>3620</v>
      </c>
      <c r="I549" s="18">
        <v>75</v>
      </c>
      <c r="J549" s="18">
        <v>0</v>
      </c>
      <c r="K549" s="18">
        <f t="shared" si="446"/>
        <v>0</v>
      </c>
      <c r="L549" s="28" t="s">
        <v>3635</v>
      </c>
      <c r="Z549" s="34">
        <f t="shared" si="447"/>
        <v>0</v>
      </c>
      <c r="AB549" s="34">
        <f t="shared" si="448"/>
        <v>0</v>
      </c>
      <c r="AC549" s="34">
        <f t="shared" si="449"/>
        <v>0</v>
      </c>
      <c r="AD549" s="34">
        <f t="shared" si="450"/>
        <v>0</v>
      </c>
      <c r="AE549" s="34">
        <f t="shared" si="451"/>
        <v>0</v>
      </c>
      <c r="AF549" s="34">
        <f t="shared" si="452"/>
        <v>0</v>
      </c>
      <c r="AG549" s="34">
        <f t="shared" si="453"/>
        <v>0</v>
      </c>
      <c r="AH549" s="34">
        <f t="shared" si="454"/>
        <v>0</v>
      </c>
      <c r="AI549" s="27" t="s">
        <v>3645</v>
      </c>
      <c r="AJ549" s="18">
        <f t="shared" si="455"/>
        <v>0</v>
      </c>
      <c r="AK549" s="18">
        <f t="shared" si="456"/>
        <v>0</v>
      </c>
      <c r="AL549" s="18">
        <f t="shared" si="457"/>
        <v>0</v>
      </c>
      <c r="AN549" s="34">
        <v>21</v>
      </c>
      <c r="AO549" s="34">
        <f t="shared" si="458"/>
        <v>0</v>
      </c>
      <c r="AP549" s="34">
        <f t="shared" si="459"/>
        <v>0</v>
      </c>
      <c r="AQ549" s="28" t="s">
        <v>13</v>
      </c>
      <c r="AV549" s="34">
        <f t="shared" si="460"/>
        <v>0</v>
      </c>
      <c r="AW549" s="34">
        <f t="shared" si="461"/>
        <v>0</v>
      </c>
      <c r="AX549" s="34">
        <f t="shared" si="462"/>
        <v>0</v>
      </c>
      <c r="AY549" s="35" t="s">
        <v>3680</v>
      </c>
      <c r="AZ549" s="35" t="s">
        <v>3714</v>
      </c>
      <c r="BA549" s="27" t="s">
        <v>3729</v>
      </c>
      <c r="BC549" s="34">
        <f t="shared" si="463"/>
        <v>0</v>
      </c>
      <c r="BD549" s="34">
        <f t="shared" si="464"/>
        <v>0</v>
      </c>
      <c r="BE549" s="34">
        <v>0</v>
      </c>
      <c r="BF549" s="34">
        <f>549</f>
        <v>549</v>
      </c>
      <c r="BH549" s="18">
        <f t="shared" si="465"/>
        <v>0</v>
      </c>
      <c r="BI549" s="18">
        <f t="shared" si="466"/>
        <v>0</v>
      </c>
      <c r="BJ549" s="18">
        <f t="shared" si="467"/>
        <v>0</v>
      </c>
    </row>
    <row r="550" spans="1:62" x14ac:dyDescent="0.2">
      <c r="A550" s="5" t="s">
        <v>510</v>
      </c>
      <c r="B550" s="5" t="s">
        <v>1699</v>
      </c>
      <c r="C550" s="135" t="s">
        <v>2918</v>
      </c>
      <c r="D550" s="136"/>
      <c r="E550" s="136"/>
      <c r="F550" s="136"/>
      <c r="G550" s="136"/>
      <c r="H550" s="5" t="s">
        <v>3620</v>
      </c>
      <c r="I550" s="18">
        <v>60</v>
      </c>
      <c r="J550" s="18">
        <v>0</v>
      </c>
      <c r="K550" s="18">
        <f t="shared" si="446"/>
        <v>0</v>
      </c>
      <c r="L550" s="28" t="s">
        <v>3635</v>
      </c>
      <c r="Z550" s="34">
        <f t="shared" si="447"/>
        <v>0</v>
      </c>
      <c r="AB550" s="34">
        <f t="shared" si="448"/>
        <v>0</v>
      </c>
      <c r="AC550" s="34">
        <f t="shared" si="449"/>
        <v>0</v>
      </c>
      <c r="AD550" s="34">
        <f t="shared" si="450"/>
        <v>0</v>
      </c>
      <c r="AE550" s="34">
        <f t="shared" si="451"/>
        <v>0</v>
      </c>
      <c r="AF550" s="34">
        <f t="shared" si="452"/>
        <v>0</v>
      </c>
      <c r="AG550" s="34">
        <f t="shared" si="453"/>
        <v>0</v>
      </c>
      <c r="AH550" s="34">
        <f t="shared" si="454"/>
        <v>0</v>
      </c>
      <c r="AI550" s="27" t="s">
        <v>3645</v>
      </c>
      <c r="AJ550" s="18">
        <f t="shared" si="455"/>
        <v>0</v>
      </c>
      <c r="AK550" s="18">
        <f t="shared" si="456"/>
        <v>0</v>
      </c>
      <c r="AL550" s="18">
        <f t="shared" si="457"/>
        <v>0</v>
      </c>
      <c r="AN550" s="34">
        <v>21</v>
      </c>
      <c r="AO550" s="34">
        <f t="shared" si="458"/>
        <v>0</v>
      </c>
      <c r="AP550" s="34">
        <f t="shared" si="459"/>
        <v>0</v>
      </c>
      <c r="AQ550" s="28" t="s">
        <v>13</v>
      </c>
      <c r="AV550" s="34">
        <f t="shared" si="460"/>
        <v>0</v>
      </c>
      <c r="AW550" s="34">
        <f t="shared" si="461"/>
        <v>0</v>
      </c>
      <c r="AX550" s="34">
        <f t="shared" si="462"/>
        <v>0</v>
      </c>
      <c r="AY550" s="35" t="s">
        <v>3680</v>
      </c>
      <c r="AZ550" s="35" t="s">
        <v>3714</v>
      </c>
      <c r="BA550" s="27" t="s">
        <v>3729</v>
      </c>
      <c r="BC550" s="34">
        <f t="shared" si="463"/>
        <v>0</v>
      </c>
      <c r="BD550" s="34">
        <f t="shared" si="464"/>
        <v>0</v>
      </c>
      <c r="BE550" s="34">
        <v>0</v>
      </c>
      <c r="BF550" s="34">
        <f>550</f>
        <v>550</v>
      </c>
      <c r="BH550" s="18">
        <f t="shared" si="465"/>
        <v>0</v>
      </c>
      <c r="BI550" s="18">
        <f t="shared" si="466"/>
        <v>0</v>
      </c>
      <c r="BJ550" s="18">
        <f t="shared" si="467"/>
        <v>0</v>
      </c>
    </row>
    <row r="551" spans="1:62" x14ac:dyDescent="0.2">
      <c r="A551" s="5" t="s">
        <v>511</v>
      </c>
      <c r="B551" s="5" t="s">
        <v>1700</v>
      </c>
      <c r="C551" s="135" t="s">
        <v>2919</v>
      </c>
      <c r="D551" s="136"/>
      <c r="E551" s="136"/>
      <c r="F551" s="136"/>
      <c r="G551" s="136"/>
      <c r="H551" s="5" t="s">
        <v>3612</v>
      </c>
      <c r="I551" s="18">
        <v>1</v>
      </c>
      <c r="J551" s="18">
        <v>0</v>
      </c>
      <c r="K551" s="18">
        <f t="shared" si="446"/>
        <v>0</v>
      </c>
      <c r="L551" s="28" t="s">
        <v>3635</v>
      </c>
      <c r="Z551" s="34">
        <f t="shared" si="447"/>
        <v>0</v>
      </c>
      <c r="AB551" s="34">
        <f t="shared" si="448"/>
        <v>0</v>
      </c>
      <c r="AC551" s="34">
        <f t="shared" si="449"/>
        <v>0</v>
      </c>
      <c r="AD551" s="34">
        <f t="shared" si="450"/>
        <v>0</v>
      </c>
      <c r="AE551" s="34">
        <f t="shared" si="451"/>
        <v>0</v>
      </c>
      <c r="AF551" s="34">
        <f t="shared" si="452"/>
        <v>0</v>
      </c>
      <c r="AG551" s="34">
        <f t="shared" si="453"/>
        <v>0</v>
      </c>
      <c r="AH551" s="34">
        <f t="shared" si="454"/>
        <v>0</v>
      </c>
      <c r="AI551" s="27" t="s">
        <v>3645</v>
      </c>
      <c r="AJ551" s="18">
        <f t="shared" si="455"/>
        <v>0</v>
      </c>
      <c r="AK551" s="18">
        <f t="shared" si="456"/>
        <v>0</v>
      </c>
      <c r="AL551" s="18">
        <f t="shared" si="457"/>
        <v>0</v>
      </c>
      <c r="AN551" s="34">
        <v>21</v>
      </c>
      <c r="AO551" s="34">
        <f t="shared" si="458"/>
        <v>0</v>
      </c>
      <c r="AP551" s="34">
        <f t="shared" si="459"/>
        <v>0</v>
      </c>
      <c r="AQ551" s="28" t="s">
        <v>13</v>
      </c>
      <c r="AV551" s="34">
        <f t="shared" si="460"/>
        <v>0</v>
      </c>
      <c r="AW551" s="34">
        <f t="shared" si="461"/>
        <v>0</v>
      </c>
      <c r="AX551" s="34">
        <f t="shared" si="462"/>
        <v>0</v>
      </c>
      <c r="AY551" s="35" t="s">
        <v>3680</v>
      </c>
      <c r="AZ551" s="35" t="s">
        <v>3714</v>
      </c>
      <c r="BA551" s="27" t="s">
        <v>3729</v>
      </c>
      <c r="BC551" s="34">
        <f t="shared" si="463"/>
        <v>0</v>
      </c>
      <c r="BD551" s="34">
        <f t="shared" si="464"/>
        <v>0</v>
      </c>
      <c r="BE551" s="34">
        <v>0</v>
      </c>
      <c r="BF551" s="34">
        <f>551</f>
        <v>551</v>
      </c>
      <c r="BH551" s="18">
        <f t="shared" si="465"/>
        <v>0</v>
      </c>
      <c r="BI551" s="18">
        <f t="shared" si="466"/>
        <v>0</v>
      </c>
      <c r="BJ551" s="18">
        <f t="shared" si="467"/>
        <v>0</v>
      </c>
    </row>
    <row r="552" spans="1:62" x14ac:dyDescent="0.2">
      <c r="A552" s="5" t="s">
        <v>512</v>
      </c>
      <c r="B552" s="5" t="s">
        <v>1701</v>
      </c>
      <c r="C552" s="135" t="s">
        <v>2920</v>
      </c>
      <c r="D552" s="136"/>
      <c r="E552" s="136"/>
      <c r="F552" s="136"/>
      <c r="G552" s="136"/>
      <c r="H552" s="5" t="s">
        <v>3612</v>
      </c>
      <c r="I552" s="18">
        <v>1</v>
      </c>
      <c r="J552" s="18">
        <v>0</v>
      </c>
      <c r="K552" s="18">
        <f t="shared" si="446"/>
        <v>0</v>
      </c>
      <c r="L552" s="28" t="s">
        <v>3635</v>
      </c>
      <c r="Z552" s="34">
        <f t="shared" si="447"/>
        <v>0</v>
      </c>
      <c r="AB552" s="34">
        <f t="shared" si="448"/>
        <v>0</v>
      </c>
      <c r="AC552" s="34">
        <f t="shared" si="449"/>
        <v>0</v>
      </c>
      <c r="AD552" s="34">
        <f t="shared" si="450"/>
        <v>0</v>
      </c>
      <c r="AE552" s="34">
        <f t="shared" si="451"/>
        <v>0</v>
      </c>
      <c r="AF552" s="34">
        <f t="shared" si="452"/>
        <v>0</v>
      </c>
      <c r="AG552" s="34">
        <f t="shared" si="453"/>
        <v>0</v>
      </c>
      <c r="AH552" s="34">
        <f t="shared" si="454"/>
        <v>0</v>
      </c>
      <c r="AI552" s="27" t="s">
        <v>3645</v>
      </c>
      <c r="AJ552" s="18">
        <f t="shared" si="455"/>
        <v>0</v>
      </c>
      <c r="AK552" s="18">
        <f t="shared" si="456"/>
        <v>0</v>
      </c>
      <c r="AL552" s="18">
        <f t="shared" si="457"/>
        <v>0</v>
      </c>
      <c r="AN552" s="34">
        <v>21</v>
      </c>
      <c r="AO552" s="34">
        <f t="shared" si="458"/>
        <v>0</v>
      </c>
      <c r="AP552" s="34">
        <f t="shared" si="459"/>
        <v>0</v>
      </c>
      <c r="AQ552" s="28" t="s">
        <v>13</v>
      </c>
      <c r="AV552" s="34">
        <f t="shared" si="460"/>
        <v>0</v>
      </c>
      <c r="AW552" s="34">
        <f t="shared" si="461"/>
        <v>0</v>
      </c>
      <c r="AX552" s="34">
        <f t="shared" si="462"/>
        <v>0</v>
      </c>
      <c r="AY552" s="35" t="s">
        <v>3680</v>
      </c>
      <c r="AZ552" s="35" t="s">
        <v>3714</v>
      </c>
      <c r="BA552" s="27" t="s">
        <v>3729</v>
      </c>
      <c r="BC552" s="34">
        <f t="shared" si="463"/>
        <v>0</v>
      </c>
      <c r="BD552" s="34">
        <f t="shared" si="464"/>
        <v>0</v>
      </c>
      <c r="BE552" s="34">
        <v>0</v>
      </c>
      <c r="BF552" s="34">
        <f>552</f>
        <v>552</v>
      </c>
      <c r="BH552" s="18">
        <f t="shared" si="465"/>
        <v>0</v>
      </c>
      <c r="BI552" s="18">
        <f t="shared" si="466"/>
        <v>0</v>
      </c>
      <c r="BJ552" s="18">
        <f t="shared" si="467"/>
        <v>0</v>
      </c>
    </row>
    <row r="553" spans="1:62" x14ac:dyDescent="0.2">
      <c r="A553" s="5" t="s">
        <v>513</v>
      </c>
      <c r="B553" s="5" t="s">
        <v>1702</v>
      </c>
      <c r="C553" s="135" t="s">
        <v>2921</v>
      </c>
      <c r="D553" s="136"/>
      <c r="E553" s="136"/>
      <c r="F553" s="136"/>
      <c r="G553" s="136"/>
      <c r="H553" s="5" t="s">
        <v>3614</v>
      </c>
      <c r="I553" s="18">
        <v>17.899999999999999</v>
      </c>
      <c r="J553" s="18">
        <v>0</v>
      </c>
      <c r="K553" s="18">
        <f t="shared" si="446"/>
        <v>0</v>
      </c>
      <c r="L553" s="28" t="s">
        <v>3635</v>
      </c>
      <c r="Z553" s="34">
        <f t="shared" si="447"/>
        <v>0</v>
      </c>
      <c r="AB553" s="34">
        <f t="shared" si="448"/>
        <v>0</v>
      </c>
      <c r="AC553" s="34">
        <f t="shared" si="449"/>
        <v>0</v>
      </c>
      <c r="AD553" s="34">
        <f t="shared" si="450"/>
        <v>0</v>
      </c>
      <c r="AE553" s="34">
        <f t="shared" si="451"/>
        <v>0</v>
      </c>
      <c r="AF553" s="34">
        <f t="shared" si="452"/>
        <v>0</v>
      </c>
      <c r="AG553" s="34">
        <f t="shared" si="453"/>
        <v>0</v>
      </c>
      <c r="AH553" s="34">
        <f t="shared" si="454"/>
        <v>0</v>
      </c>
      <c r="AI553" s="27" t="s">
        <v>3645</v>
      </c>
      <c r="AJ553" s="18">
        <f t="shared" si="455"/>
        <v>0</v>
      </c>
      <c r="AK553" s="18">
        <f t="shared" si="456"/>
        <v>0</v>
      </c>
      <c r="AL553" s="18">
        <f t="shared" si="457"/>
        <v>0</v>
      </c>
      <c r="AN553" s="34">
        <v>21</v>
      </c>
      <c r="AO553" s="34">
        <f t="shared" si="458"/>
        <v>0</v>
      </c>
      <c r="AP553" s="34">
        <f t="shared" si="459"/>
        <v>0</v>
      </c>
      <c r="AQ553" s="28" t="s">
        <v>13</v>
      </c>
      <c r="AV553" s="34">
        <f t="shared" si="460"/>
        <v>0</v>
      </c>
      <c r="AW553" s="34">
        <f t="shared" si="461"/>
        <v>0</v>
      </c>
      <c r="AX553" s="34">
        <f t="shared" si="462"/>
        <v>0</v>
      </c>
      <c r="AY553" s="35" t="s">
        <v>3680</v>
      </c>
      <c r="AZ553" s="35" t="s">
        <v>3714</v>
      </c>
      <c r="BA553" s="27" t="s">
        <v>3729</v>
      </c>
      <c r="BC553" s="34">
        <f t="shared" si="463"/>
        <v>0</v>
      </c>
      <c r="BD553" s="34">
        <f t="shared" si="464"/>
        <v>0</v>
      </c>
      <c r="BE553" s="34">
        <v>0</v>
      </c>
      <c r="BF553" s="34">
        <f>553</f>
        <v>553</v>
      </c>
      <c r="BH553" s="18">
        <f t="shared" si="465"/>
        <v>0</v>
      </c>
      <c r="BI553" s="18">
        <f t="shared" si="466"/>
        <v>0</v>
      </c>
      <c r="BJ553" s="18">
        <f t="shared" si="467"/>
        <v>0</v>
      </c>
    </row>
    <row r="554" spans="1:62" x14ac:dyDescent="0.2">
      <c r="A554" s="5" t="s">
        <v>514</v>
      </c>
      <c r="B554" s="5" t="s">
        <v>1703</v>
      </c>
      <c r="C554" s="135" t="s">
        <v>2922</v>
      </c>
      <c r="D554" s="136"/>
      <c r="E554" s="136"/>
      <c r="F554" s="136"/>
      <c r="G554" s="136"/>
      <c r="H554" s="5" t="s">
        <v>3614</v>
      </c>
      <c r="I554" s="18">
        <v>1.7</v>
      </c>
      <c r="J554" s="18">
        <v>0</v>
      </c>
      <c r="K554" s="18">
        <f t="shared" si="446"/>
        <v>0</v>
      </c>
      <c r="L554" s="28" t="s">
        <v>3635</v>
      </c>
      <c r="Z554" s="34">
        <f t="shared" si="447"/>
        <v>0</v>
      </c>
      <c r="AB554" s="34">
        <f t="shared" si="448"/>
        <v>0</v>
      </c>
      <c r="AC554" s="34">
        <f t="shared" si="449"/>
        <v>0</v>
      </c>
      <c r="AD554" s="34">
        <f t="shared" si="450"/>
        <v>0</v>
      </c>
      <c r="AE554" s="34">
        <f t="shared" si="451"/>
        <v>0</v>
      </c>
      <c r="AF554" s="34">
        <f t="shared" si="452"/>
        <v>0</v>
      </c>
      <c r="AG554" s="34">
        <f t="shared" si="453"/>
        <v>0</v>
      </c>
      <c r="AH554" s="34">
        <f t="shared" si="454"/>
        <v>0</v>
      </c>
      <c r="AI554" s="27" t="s">
        <v>3645</v>
      </c>
      <c r="AJ554" s="18">
        <f t="shared" si="455"/>
        <v>0</v>
      </c>
      <c r="AK554" s="18">
        <f t="shared" si="456"/>
        <v>0</v>
      </c>
      <c r="AL554" s="18">
        <f t="shared" si="457"/>
        <v>0</v>
      </c>
      <c r="AN554" s="34">
        <v>21</v>
      </c>
      <c r="AO554" s="34">
        <f t="shared" si="458"/>
        <v>0</v>
      </c>
      <c r="AP554" s="34">
        <f t="shared" si="459"/>
        <v>0</v>
      </c>
      <c r="AQ554" s="28" t="s">
        <v>13</v>
      </c>
      <c r="AV554" s="34">
        <f t="shared" si="460"/>
        <v>0</v>
      </c>
      <c r="AW554" s="34">
        <f t="shared" si="461"/>
        <v>0</v>
      </c>
      <c r="AX554" s="34">
        <f t="shared" si="462"/>
        <v>0</v>
      </c>
      <c r="AY554" s="35" t="s">
        <v>3680</v>
      </c>
      <c r="AZ554" s="35" t="s">
        <v>3714</v>
      </c>
      <c r="BA554" s="27" t="s">
        <v>3729</v>
      </c>
      <c r="BC554" s="34">
        <f t="shared" si="463"/>
        <v>0</v>
      </c>
      <c r="BD554" s="34">
        <f t="shared" si="464"/>
        <v>0</v>
      </c>
      <c r="BE554" s="34">
        <v>0</v>
      </c>
      <c r="BF554" s="34">
        <f>554</f>
        <v>554</v>
      </c>
      <c r="BH554" s="18">
        <f t="shared" si="465"/>
        <v>0</v>
      </c>
      <c r="BI554" s="18">
        <f t="shared" si="466"/>
        <v>0</v>
      </c>
      <c r="BJ554" s="18">
        <f t="shared" si="467"/>
        <v>0</v>
      </c>
    </row>
    <row r="555" spans="1:62" x14ac:dyDescent="0.2">
      <c r="A555" s="5" t="s">
        <v>515</v>
      </c>
      <c r="B555" s="5" t="s">
        <v>1704</v>
      </c>
      <c r="C555" s="135" t="s">
        <v>2923</v>
      </c>
      <c r="D555" s="136"/>
      <c r="E555" s="136"/>
      <c r="F555" s="136"/>
      <c r="G555" s="136"/>
      <c r="H555" s="5" t="s">
        <v>3614</v>
      </c>
      <c r="I555" s="18">
        <v>5.5</v>
      </c>
      <c r="J555" s="18">
        <v>0</v>
      </c>
      <c r="K555" s="18">
        <f t="shared" si="446"/>
        <v>0</v>
      </c>
      <c r="L555" s="28" t="s">
        <v>3635</v>
      </c>
      <c r="Z555" s="34">
        <f t="shared" si="447"/>
        <v>0</v>
      </c>
      <c r="AB555" s="34">
        <f t="shared" si="448"/>
        <v>0</v>
      </c>
      <c r="AC555" s="34">
        <f t="shared" si="449"/>
        <v>0</v>
      </c>
      <c r="AD555" s="34">
        <f t="shared" si="450"/>
        <v>0</v>
      </c>
      <c r="AE555" s="34">
        <f t="shared" si="451"/>
        <v>0</v>
      </c>
      <c r="AF555" s="34">
        <f t="shared" si="452"/>
        <v>0</v>
      </c>
      <c r="AG555" s="34">
        <f t="shared" si="453"/>
        <v>0</v>
      </c>
      <c r="AH555" s="34">
        <f t="shared" si="454"/>
        <v>0</v>
      </c>
      <c r="AI555" s="27" t="s">
        <v>3645</v>
      </c>
      <c r="AJ555" s="18">
        <f t="shared" si="455"/>
        <v>0</v>
      </c>
      <c r="AK555" s="18">
        <f t="shared" si="456"/>
        <v>0</v>
      </c>
      <c r="AL555" s="18">
        <f t="shared" si="457"/>
        <v>0</v>
      </c>
      <c r="AN555" s="34">
        <v>21</v>
      </c>
      <c r="AO555" s="34">
        <f t="shared" si="458"/>
        <v>0</v>
      </c>
      <c r="AP555" s="34">
        <f t="shared" si="459"/>
        <v>0</v>
      </c>
      <c r="AQ555" s="28" t="s">
        <v>13</v>
      </c>
      <c r="AV555" s="34">
        <f t="shared" si="460"/>
        <v>0</v>
      </c>
      <c r="AW555" s="34">
        <f t="shared" si="461"/>
        <v>0</v>
      </c>
      <c r="AX555" s="34">
        <f t="shared" si="462"/>
        <v>0</v>
      </c>
      <c r="AY555" s="35" t="s">
        <v>3680</v>
      </c>
      <c r="AZ555" s="35" t="s">
        <v>3714</v>
      </c>
      <c r="BA555" s="27" t="s">
        <v>3729</v>
      </c>
      <c r="BC555" s="34">
        <f t="shared" si="463"/>
        <v>0</v>
      </c>
      <c r="BD555" s="34">
        <f t="shared" si="464"/>
        <v>0</v>
      </c>
      <c r="BE555" s="34">
        <v>0</v>
      </c>
      <c r="BF555" s="34">
        <f>555</f>
        <v>555</v>
      </c>
      <c r="BH555" s="18">
        <f t="shared" si="465"/>
        <v>0</v>
      </c>
      <c r="BI555" s="18">
        <f t="shared" si="466"/>
        <v>0</v>
      </c>
      <c r="BJ555" s="18">
        <f t="shared" si="467"/>
        <v>0</v>
      </c>
    </row>
    <row r="556" spans="1:62" x14ac:dyDescent="0.2">
      <c r="A556" s="5" t="s">
        <v>516</v>
      </c>
      <c r="B556" s="5" t="s">
        <v>1705</v>
      </c>
      <c r="C556" s="135" t="s">
        <v>2924</v>
      </c>
      <c r="D556" s="136"/>
      <c r="E556" s="136"/>
      <c r="F556" s="136"/>
      <c r="G556" s="136"/>
      <c r="H556" s="5" t="s">
        <v>3614</v>
      </c>
      <c r="I556" s="18">
        <v>5.9</v>
      </c>
      <c r="J556" s="18">
        <v>0</v>
      </c>
      <c r="K556" s="18">
        <f t="shared" si="446"/>
        <v>0</v>
      </c>
      <c r="L556" s="28" t="s">
        <v>3635</v>
      </c>
      <c r="Z556" s="34">
        <f t="shared" si="447"/>
        <v>0</v>
      </c>
      <c r="AB556" s="34">
        <f t="shared" si="448"/>
        <v>0</v>
      </c>
      <c r="AC556" s="34">
        <f t="shared" si="449"/>
        <v>0</v>
      </c>
      <c r="AD556" s="34">
        <f t="shared" si="450"/>
        <v>0</v>
      </c>
      <c r="AE556" s="34">
        <f t="shared" si="451"/>
        <v>0</v>
      </c>
      <c r="AF556" s="34">
        <f t="shared" si="452"/>
        <v>0</v>
      </c>
      <c r="AG556" s="34">
        <f t="shared" si="453"/>
        <v>0</v>
      </c>
      <c r="AH556" s="34">
        <f t="shared" si="454"/>
        <v>0</v>
      </c>
      <c r="AI556" s="27" t="s">
        <v>3645</v>
      </c>
      <c r="AJ556" s="18">
        <f t="shared" si="455"/>
        <v>0</v>
      </c>
      <c r="AK556" s="18">
        <f t="shared" si="456"/>
        <v>0</v>
      </c>
      <c r="AL556" s="18">
        <f t="shared" si="457"/>
        <v>0</v>
      </c>
      <c r="AN556" s="34">
        <v>21</v>
      </c>
      <c r="AO556" s="34">
        <f t="shared" si="458"/>
        <v>0</v>
      </c>
      <c r="AP556" s="34">
        <f t="shared" si="459"/>
        <v>0</v>
      </c>
      <c r="AQ556" s="28" t="s">
        <v>13</v>
      </c>
      <c r="AV556" s="34">
        <f t="shared" si="460"/>
        <v>0</v>
      </c>
      <c r="AW556" s="34">
        <f t="shared" si="461"/>
        <v>0</v>
      </c>
      <c r="AX556" s="34">
        <f t="shared" si="462"/>
        <v>0</v>
      </c>
      <c r="AY556" s="35" t="s">
        <v>3680</v>
      </c>
      <c r="AZ556" s="35" t="s">
        <v>3714</v>
      </c>
      <c r="BA556" s="27" t="s">
        <v>3729</v>
      </c>
      <c r="BC556" s="34">
        <f t="shared" si="463"/>
        <v>0</v>
      </c>
      <c r="BD556" s="34">
        <f t="shared" si="464"/>
        <v>0</v>
      </c>
      <c r="BE556" s="34">
        <v>0</v>
      </c>
      <c r="BF556" s="34">
        <f>556</f>
        <v>556</v>
      </c>
      <c r="BH556" s="18">
        <f t="shared" si="465"/>
        <v>0</v>
      </c>
      <c r="BI556" s="18">
        <f t="shared" si="466"/>
        <v>0</v>
      </c>
      <c r="BJ556" s="18">
        <f t="shared" si="467"/>
        <v>0</v>
      </c>
    </row>
    <row r="557" spans="1:62" x14ac:dyDescent="0.2">
      <c r="A557" s="5" t="s">
        <v>517</v>
      </c>
      <c r="B557" s="5" t="s">
        <v>1706</v>
      </c>
      <c r="C557" s="135" t="s">
        <v>2925</v>
      </c>
      <c r="D557" s="136"/>
      <c r="E557" s="136"/>
      <c r="F557" s="136"/>
      <c r="G557" s="136"/>
      <c r="H557" s="5" t="s">
        <v>3614</v>
      </c>
      <c r="I557" s="18">
        <v>46.4</v>
      </c>
      <c r="J557" s="18">
        <v>0</v>
      </c>
      <c r="K557" s="18">
        <f t="shared" si="446"/>
        <v>0</v>
      </c>
      <c r="L557" s="28" t="s">
        <v>3635</v>
      </c>
      <c r="Z557" s="34">
        <f t="shared" si="447"/>
        <v>0</v>
      </c>
      <c r="AB557" s="34">
        <f t="shared" si="448"/>
        <v>0</v>
      </c>
      <c r="AC557" s="34">
        <f t="shared" si="449"/>
        <v>0</v>
      </c>
      <c r="AD557" s="34">
        <f t="shared" si="450"/>
        <v>0</v>
      </c>
      <c r="AE557" s="34">
        <f t="shared" si="451"/>
        <v>0</v>
      </c>
      <c r="AF557" s="34">
        <f t="shared" si="452"/>
        <v>0</v>
      </c>
      <c r="AG557" s="34">
        <f t="shared" si="453"/>
        <v>0</v>
      </c>
      <c r="AH557" s="34">
        <f t="shared" si="454"/>
        <v>0</v>
      </c>
      <c r="AI557" s="27" t="s">
        <v>3645</v>
      </c>
      <c r="AJ557" s="18">
        <f t="shared" si="455"/>
        <v>0</v>
      </c>
      <c r="AK557" s="18">
        <f t="shared" si="456"/>
        <v>0</v>
      </c>
      <c r="AL557" s="18">
        <f t="shared" si="457"/>
        <v>0</v>
      </c>
      <c r="AN557" s="34">
        <v>21</v>
      </c>
      <c r="AO557" s="34">
        <f t="shared" si="458"/>
        <v>0</v>
      </c>
      <c r="AP557" s="34">
        <f t="shared" si="459"/>
        <v>0</v>
      </c>
      <c r="AQ557" s="28" t="s">
        <v>13</v>
      </c>
      <c r="AV557" s="34">
        <f t="shared" si="460"/>
        <v>0</v>
      </c>
      <c r="AW557" s="34">
        <f t="shared" si="461"/>
        <v>0</v>
      </c>
      <c r="AX557" s="34">
        <f t="shared" si="462"/>
        <v>0</v>
      </c>
      <c r="AY557" s="35" t="s">
        <v>3680</v>
      </c>
      <c r="AZ557" s="35" t="s">
        <v>3714</v>
      </c>
      <c r="BA557" s="27" t="s">
        <v>3729</v>
      </c>
      <c r="BC557" s="34">
        <f t="shared" si="463"/>
        <v>0</v>
      </c>
      <c r="BD557" s="34">
        <f t="shared" si="464"/>
        <v>0</v>
      </c>
      <c r="BE557" s="34">
        <v>0</v>
      </c>
      <c r="BF557" s="34">
        <f>557</f>
        <v>557</v>
      </c>
      <c r="BH557" s="18">
        <f t="shared" si="465"/>
        <v>0</v>
      </c>
      <c r="BI557" s="18">
        <f t="shared" si="466"/>
        <v>0</v>
      </c>
      <c r="BJ557" s="18">
        <f t="shared" si="467"/>
        <v>0</v>
      </c>
    </row>
    <row r="558" spans="1:62" x14ac:dyDescent="0.2">
      <c r="A558" s="5" t="s">
        <v>518</v>
      </c>
      <c r="B558" s="5" t="s">
        <v>1707</v>
      </c>
      <c r="C558" s="135" t="s">
        <v>2926</v>
      </c>
      <c r="D558" s="136"/>
      <c r="E558" s="136"/>
      <c r="F558" s="136"/>
      <c r="G558" s="136"/>
      <c r="H558" s="5" t="s">
        <v>3614</v>
      </c>
      <c r="I558" s="18">
        <v>1</v>
      </c>
      <c r="J558" s="18">
        <v>0</v>
      </c>
      <c r="K558" s="18">
        <f t="shared" si="446"/>
        <v>0</v>
      </c>
      <c r="L558" s="28" t="s">
        <v>3635</v>
      </c>
      <c r="Z558" s="34">
        <f t="shared" si="447"/>
        <v>0</v>
      </c>
      <c r="AB558" s="34">
        <f t="shared" si="448"/>
        <v>0</v>
      </c>
      <c r="AC558" s="34">
        <f t="shared" si="449"/>
        <v>0</v>
      </c>
      <c r="AD558" s="34">
        <f t="shared" si="450"/>
        <v>0</v>
      </c>
      <c r="AE558" s="34">
        <f t="shared" si="451"/>
        <v>0</v>
      </c>
      <c r="AF558" s="34">
        <f t="shared" si="452"/>
        <v>0</v>
      </c>
      <c r="AG558" s="34">
        <f t="shared" si="453"/>
        <v>0</v>
      </c>
      <c r="AH558" s="34">
        <f t="shared" si="454"/>
        <v>0</v>
      </c>
      <c r="AI558" s="27" t="s">
        <v>3645</v>
      </c>
      <c r="AJ558" s="18">
        <f t="shared" si="455"/>
        <v>0</v>
      </c>
      <c r="AK558" s="18">
        <f t="shared" si="456"/>
        <v>0</v>
      </c>
      <c r="AL558" s="18">
        <f t="shared" si="457"/>
        <v>0</v>
      </c>
      <c r="AN558" s="34">
        <v>21</v>
      </c>
      <c r="AO558" s="34">
        <f t="shared" si="458"/>
        <v>0</v>
      </c>
      <c r="AP558" s="34">
        <f t="shared" si="459"/>
        <v>0</v>
      </c>
      <c r="AQ558" s="28" t="s">
        <v>13</v>
      </c>
      <c r="AV558" s="34">
        <f t="shared" si="460"/>
        <v>0</v>
      </c>
      <c r="AW558" s="34">
        <f t="shared" si="461"/>
        <v>0</v>
      </c>
      <c r="AX558" s="34">
        <f t="shared" si="462"/>
        <v>0</v>
      </c>
      <c r="AY558" s="35" t="s">
        <v>3680</v>
      </c>
      <c r="AZ558" s="35" t="s">
        <v>3714</v>
      </c>
      <c r="BA558" s="27" t="s">
        <v>3729</v>
      </c>
      <c r="BC558" s="34">
        <f t="shared" si="463"/>
        <v>0</v>
      </c>
      <c r="BD558" s="34">
        <f t="shared" si="464"/>
        <v>0</v>
      </c>
      <c r="BE558" s="34">
        <v>0</v>
      </c>
      <c r="BF558" s="34">
        <f>558</f>
        <v>558</v>
      </c>
      <c r="BH558" s="18">
        <f t="shared" si="465"/>
        <v>0</v>
      </c>
      <c r="BI558" s="18">
        <f t="shared" si="466"/>
        <v>0</v>
      </c>
      <c r="BJ558" s="18">
        <f t="shared" si="467"/>
        <v>0</v>
      </c>
    </row>
    <row r="559" spans="1:62" x14ac:dyDescent="0.2">
      <c r="A559" s="5" t="s">
        <v>519</v>
      </c>
      <c r="B559" s="5" t="s">
        <v>1708</v>
      </c>
      <c r="C559" s="135" t="s">
        <v>2927</v>
      </c>
      <c r="D559" s="136"/>
      <c r="E559" s="136"/>
      <c r="F559" s="136"/>
      <c r="G559" s="136"/>
      <c r="H559" s="5" t="s">
        <v>3612</v>
      </c>
      <c r="I559" s="18">
        <v>6</v>
      </c>
      <c r="J559" s="18">
        <v>0</v>
      </c>
      <c r="K559" s="18">
        <f t="shared" si="446"/>
        <v>0</v>
      </c>
      <c r="L559" s="28" t="s">
        <v>3635</v>
      </c>
      <c r="Z559" s="34">
        <f t="shared" si="447"/>
        <v>0</v>
      </c>
      <c r="AB559" s="34">
        <f t="shared" si="448"/>
        <v>0</v>
      </c>
      <c r="AC559" s="34">
        <f t="shared" si="449"/>
        <v>0</v>
      </c>
      <c r="AD559" s="34">
        <f t="shared" si="450"/>
        <v>0</v>
      </c>
      <c r="AE559" s="34">
        <f t="shared" si="451"/>
        <v>0</v>
      </c>
      <c r="AF559" s="34">
        <f t="shared" si="452"/>
        <v>0</v>
      </c>
      <c r="AG559" s="34">
        <f t="shared" si="453"/>
        <v>0</v>
      </c>
      <c r="AH559" s="34">
        <f t="shared" si="454"/>
        <v>0</v>
      </c>
      <c r="AI559" s="27" t="s">
        <v>3645</v>
      </c>
      <c r="AJ559" s="18">
        <f t="shared" si="455"/>
        <v>0</v>
      </c>
      <c r="AK559" s="18">
        <f t="shared" si="456"/>
        <v>0</v>
      </c>
      <c r="AL559" s="18">
        <f t="shared" si="457"/>
        <v>0</v>
      </c>
      <c r="AN559" s="34">
        <v>21</v>
      </c>
      <c r="AO559" s="34">
        <f t="shared" si="458"/>
        <v>0</v>
      </c>
      <c r="AP559" s="34">
        <f t="shared" si="459"/>
        <v>0</v>
      </c>
      <c r="AQ559" s="28" t="s">
        <v>13</v>
      </c>
      <c r="AV559" s="34">
        <f t="shared" si="460"/>
        <v>0</v>
      </c>
      <c r="AW559" s="34">
        <f t="shared" si="461"/>
        <v>0</v>
      </c>
      <c r="AX559" s="34">
        <f t="shared" si="462"/>
        <v>0</v>
      </c>
      <c r="AY559" s="35" t="s">
        <v>3680</v>
      </c>
      <c r="AZ559" s="35" t="s">
        <v>3714</v>
      </c>
      <c r="BA559" s="27" t="s">
        <v>3729</v>
      </c>
      <c r="BC559" s="34">
        <f t="shared" si="463"/>
        <v>0</v>
      </c>
      <c r="BD559" s="34">
        <f t="shared" si="464"/>
        <v>0</v>
      </c>
      <c r="BE559" s="34">
        <v>0</v>
      </c>
      <c r="BF559" s="34">
        <f>559</f>
        <v>559</v>
      </c>
      <c r="BH559" s="18">
        <f t="shared" si="465"/>
        <v>0</v>
      </c>
      <c r="BI559" s="18">
        <f t="shared" si="466"/>
        <v>0</v>
      </c>
      <c r="BJ559" s="18">
        <f t="shared" si="467"/>
        <v>0</v>
      </c>
    </row>
    <row r="560" spans="1:62" x14ac:dyDescent="0.2">
      <c r="A560" s="5" t="s">
        <v>520</v>
      </c>
      <c r="B560" s="5" t="s">
        <v>1709</v>
      </c>
      <c r="C560" s="135" t="s">
        <v>2928</v>
      </c>
      <c r="D560" s="136"/>
      <c r="E560" s="136"/>
      <c r="F560" s="136"/>
      <c r="G560" s="136"/>
      <c r="H560" s="5" t="s">
        <v>3612</v>
      </c>
      <c r="I560" s="18">
        <v>3</v>
      </c>
      <c r="J560" s="18">
        <v>0</v>
      </c>
      <c r="K560" s="18">
        <f t="shared" si="446"/>
        <v>0</v>
      </c>
      <c r="L560" s="28" t="s">
        <v>3635</v>
      </c>
      <c r="Z560" s="34">
        <f t="shared" si="447"/>
        <v>0</v>
      </c>
      <c r="AB560" s="34">
        <f t="shared" si="448"/>
        <v>0</v>
      </c>
      <c r="AC560" s="34">
        <f t="shared" si="449"/>
        <v>0</v>
      </c>
      <c r="AD560" s="34">
        <f t="shared" si="450"/>
        <v>0</v>
      </c>
      <c r="AE560" s="34">
        <f t="shared" si="451"/>
        <v>0</v>
      </c>
      <c r="AF560" s="34">
        <f t="shared" si="452"/>
        <v>0</v>
      </c>
      <c r="AG560" s="34">
        <f t="shared" si="453"/>
        <v>0</v>
      </c>
      <c r="AH560" s="34">
        <f t="shared" si="454"/>
        <v>0</v>
      </c>
      <c r="AI560" s="27" t="s">
        <v>3645</v>
      </c>
      <c r="AJ560" s="18">
        <f t="shared" si="455"/>
        <v>0</v>
      </c>
      <c r="AK560" s="18">
        <f t="shared" si="456"/>
        <v>0</v>
      </c>
      <c r="AL560" s="18">
        <f t="shared" si="457"/>
        <v>0</v>
      </c>
      <c r="AN560" s="34">
        <v>21</v>
      </c>
      <c r="AO560" s="34">
        <f t="shared" si="458"/>
        <v>0</v>
      </c>
      <c r="AP560" s="34">
        <f t="shared" si="459"/>
        <v>0</v>
      </c>
      <c r="AQ560" s="28" t="s">
        <v>13</v>
      </c>
      <c r="AV560" s="34">
        <f t="shared" si="460"/>
        <v>0</v>
      </c>
      <c r="AW560" s="34">
        <f t="shared" si="461"/>
        <v>0</v>
      </c>
      <c r="AX560" s="34">
        <f t="shared" si="462"/>
        <v>0</v>
      </c>
      <c r="AY560" s="35" t="s">
        <v>3680</v>
      </c>
      <c r="AZ560" s="35" t="s">
        <v>3714</v>
      </c>
      <c r="BA560" s="27" t="s">
        <v>3729</v>
      </c>
      <c r="BC560" s="34">
        <f t="shared" si="463"/>
        <v>0</v>
      </c>
      <c r="BD560" s="34">
        <f t="shared" si="464"/>
        <v>0</v>
      </c>
      <c r="BE560" s="34">
        <v>0</v>
      </c>
      <c r="BF560" s="34">
        <f>560</f>
        <v>560</v>
      </c>
      <c r="BH560" s="18">
        <f t="shared" si="465"/>
        <v>0</v>
      </c>
      <c r="BI560" s="18">
        <f t="shared" si="466"/>
        <v>0</v>
      </c>
      <c r="BJ560" s="18">
        <f t="shared" si="467"/>
        <v>0</v>
      </c>
    </row>
    <row r="561" spans="1:62" x14ac:dyDescent="0.2">
      <c r="A561" s="5" t="s">
        <v>521</v>
      </c>
      <c r="B561" s="5" t="s">
        <v>1710</v>
      </c>
      <c r="C561" s="135" t="s">
        <v>2929</v>
      </c>
      <c r="D561" s="136"/>
      <c r="E561" s="136"/>
      <c r="F561" s="136"/>
      <c r="G561" s="136"/>
      <c r="H561" s="5" t="s">
        <v>3612</v>
      </c>
      <c r="I561" s="18">
        <v>2</v>
      </c>
      <c r="J561" s="18">
        <v>0</v>
      </c>
      <c r="K561" s="18">
        <f t="shared" si="446"/>
        <v>0</v>
      </c>
      <c r="L561" s="28" t="s">
        <v>3635</v>
      </c>
      <c r="Z561" s="34">
        <f t="shared" si="447"/>
        <v>0</v>
      </c>
      <c r="AB561" s="34">
        <f t="shared" si="448"/>
        <v>0</v>
      </c>
      <c r="AC561" s="34">
        <f t="shared" si="449"/>
        <v>0</v>
      </c>
      <c r="AD561" s="34">
        <f t="shared" si="450"/>
        <v>0</v>
      </c>
      <c r="AE561" s="34">
        <f t="shared" si="451"/>
        <v>0</v>
      </c>
      <c r="AF561" s="34">
        <f t="shared" si="452"/>
        <v>0</v>
      </c>
      <c r="AG561" s="34">
        <f t="shared" si="453"/>
        <v>0</v>
      </c>
      <c r="AH561" s="34">
        <f t="shared" si="454"/>
        <v>0</v>
      </c>
      <c r="AI561" s="27" t="s">
        <v>3645</v>
      </c>
      <c r="AJ561" s="18">
        <f t="shared" si="455"/>
        <v>0</v>
      </c>
      <c r="AK561" s="18">
        <f t="shared" si="456"/>
        <v>0</v>
      </c>
      <c r="AL561" s="18">
        <f t="shared" si="457"/>
        <v>0</v>
      </c>
      <c r="AN561" s="34">
        <v>21</v>
      </c>
      <c r="AO561" s="34">
        <f t="shared" si="458"/>
        <v>0</v>
      </c>
      <c r="AP561" s="34">
        <f t="shared" si="459"/>
        <v>0</v>
      </c>
      <c r="AQ561" s="28" t="s">
        <v>13</v>
      </c>
      <c r="AV561" s="34">
        <f t="shared" si="460"/>
        <v>0</v>
      </c>
      <c r="AW561" s="34">
        <f t="shared" si="461"/>
        <v>0</v>
      </c>
      <c r="AX561" s="34">
        <f t="shared" si="462"/>
        <v>0</v>
      </c>
      <c r="AY561" s="35" t="s">
        <v>3680</v>
      </c>
      <c r="AZ561" s="35" t="s">
        <v>3714</v>
      </c>
      <c r="BA561" s="27" t="s">
        <v>3729</v>
      </c>
      <c r="BC561" s="34">
        <f t="shared" si="463"/>
        <v>0</v>
      </c>
      <c r="BD561" s="34">
        <f t="shared" si="464"/>
        <v>0</v>
      </c>
      <c r="BE561" s="34">
        <v>0</v>
      </c>
      <c r="BF561" s="34">
        <f>561</f>
        <v>561</v>
      </c>
      <c r="BH561" s="18">
        <f t="shared" si="465"/>
        <v>0</v>
      </c>
      <c r="BI561" s="18">
        <f t="shared" si="466"/>
        <v>0</v>
      </c>
      <c r="BJ561" s="18">
        <f t="shared" si="467"/>
        <v>0</v>
      </c>
    </row>
    <row r="562" spans="1:62" x14ac:dyDescent="0.2">
      <c r="A562" s="5" t="s">
        <v>522</v>
      </c>
      <c r="B562" s="5" t="s">
        <v>1711</v>
      </c>
      <c r="C562" s="135" t="s">
        <v>2930</v>
      </c>
      <c r="D562" s="136"/>
      <c r="E562" s="136"/>
      <c r="F562" s="136"/>
      <c r="G562" s="136"/>
      <c r="H562" s="5" t="s">
        <v>3612</v>
      </c>
      <c r="I562" s="18">
        <v>4</v>
      </c>
      <c r="J562" s="18">
        <v>0</v>
      </c>
      <c r="K562" s="18">
        <f t="shared" si="446"/>
        <v>0</v>
      </c>
      <c r="L562" s="28" t="s">
        <v>3635</v>
      </c>
      <c r="Z562" s="34">
        <f t="shared" si="447"/>
        <v>0</v>
      </c>
      <c r="AB562" s="34">
        <f t="shared" si="448"/>
        <v>0</v>
      </c>
      <c r="AC562" s="34">
        <f t="shared" si="449"/>
        <v>0</v>
      </c>
      <c r="AD562" s="34">
        <f t="shared" si="450"/>
        <v>0</v>
      </c>
      <c r="AE562" s="34">
        <f t="shared" si="451"/>
        <v>0</v>
      </c>
      <c r="AF562" s="34">
        <f t="shared" si="452"/>
        <v>0</v>
      </c>
      <c r="AG562" s="34">
        <f t="shared" si="453"/>
        <v>0</v>
      </c>
      <c r="AH562" s="34">
        <f t="shared" si="454"/>
        <v>0</v>
      </c>
      <c r="AI562" s="27" t="s">
        <v>3645</v>
      </c>
      <c r="AJ562" s="18">
        <f t="shared" si="455"/>
        <v>0</v>
      </c>
      <c r="AK562" s="18">
        <f t="shared" si="456"/>
        <v>0</v>
      </c>
      <c r="AL562" s="18">
        <f t="shared" si="457"/>
        <v>0</v>
      </c>
      <c r="AN562" s="34">
        <v>21</v>
      </c>
      <c r="AO562" s="34">
        <f t="shared" si="458"/>
        <v>0</v>
      </c>
      <c r="AP562" s="34">
        <f t="shared" si="459"/>
        <v>0</v>
      </c>
      <c r="AQ562" s="28" t="s">
        <v>13</v>
      </c>
      <c r="AV562" s="34">
        <f t="shared" si="460"/>
        <v>0</v>
      </c>
      <c r="AW562" s="34">
        <f t="shared" si="461"/>
        <v>0</v>
      </c>
      <c r="AX562" s="34">
        <f t="shared" si="462"/>
        <v>0</v>
      </c>
      <c r="AY562" s="35" t="s">
        <v>3680</v>
      </c>
      <c r="AZ562" s="35" t="s">
        <v>3714</v>
      </c>
      <c r="BA562" s="27" t="s">
        <v>3729</v>
      </c>
      <c r="BC562" s="34">
        <f t="shared" si="463"/>
        <v>0</v>
      </c>
      <c r="BD562" s="34">
        <f t="shared" si="464"/>
        <v>0</v>
      </c>
      <c r="BE562" s="34">
        <v>0</v>
      </c>
      <c r="BF562" s="34">
        <f>562</f>
        <v>562</v>
      </c>
      <c r="BH562" s="18">
        <f t="shared" si="465"/>
        <v>0</v>
      </c>
      <c r="BI562" s="18">
        <f t="shared" si="466"/>
        <v>0</v>
      </c>
      <c r="BJ562" s="18">
        <f t="shared" si="467"/>
        <v>0</v>
      </c>
    </row>
    <row r="563" spans="1:62" x14ac:dyDescent="0.2">
      <c r="A563" s="5" t="s">
        <v>523</v>
      </c>
      <c r="B563" s="5" t="s">
        <v>1712</v>
      </c>
      <c r="C563" s="135" t="s">
        <v>2931</v>
      </c>
      <c r="D563" s="136"/>
      <c r="E563" s="136"/>
      <c r="F563" s="136"/>
      <c r="G563" s="136"/>
      <c r="H563" s="5" t="s">
        <v>3612</v>
      </c>
      <c r="I563" s="18">
        <v>2</v>
      </c>
      <c r="J563" s="18">
        <v>0</v>
      </c>
      <c r="K563" s="18">
        <f t="shared" si="446"/>
        <v>0</v>
      </c>
      <c r="L563" s="28" t="s">
        <v>3635</v>
      </c>
      <c r="Z563" s="34">
        <f t="shared" si="447"/>
        <v>0</v>
      </c>
      <c r="AB563" s="34">
        <f t="shared" si="448"/>
        <v>0</v>
      </c>
      <c r="AC563" s="34">
        <f t="shared" si="449"/>
        <v>0</v>
      </c>
      <c r="AD563" s="34">
        <f t="shared" si="450"/>
        <v>0</v>
      </c>
      <c r="AE563" s="34">
        <f t="shared" si="451"/>
        <v>0</v>
      </c>
      <c r="AF563" s="34">
        <f t="shared" si="452"/>
        <v>0</v>
      </c>
      <c r="AG563" s="34">
        <f t="shared" si="453"/>
        <v>0</v>
      </c>
      <c r="AH563" s="34">
        <f t="shared" si="454"/>
        <v>0</v>
      </c>
      <c r="AI563" s="27" t="s">
        <v>3645</v>
      </c>
      <c r="AJ563" s="18">
        <f t="shared" si="455"/>
        <v>0</v>
      </c>
      <c r="AK563" s="18">
        <f t="shared" si="456"/>
        <v>0</v>
      </c>
      <c r="AL563" s="18">
        <f t="shared" si="457"/>
        <v>0</v>
      </c>
      <c r="AN563" s="34">
        <v>21</v>
      </c>
      <c r="AO563" s="34">
        <f t="shared" si="458"/>
        <v>0</v>
      </c>
      <c r="AP563" s="34">
        <f t="shared" si="459"/>
        <v>0</v>
      </c>
      <c r="AQ563" s="28" t="s">
        <v>13</v>
      </c>
      <c r="AV563" s="34">
        <f t="shared" si="460"/>
        <v>0</v>
      </c>
      <c r="AW563" s="34">
        <f t="shared" si="461"/>
        <v>0</v>
      </c>
      <c r="AX563" s="34">
        <f t="shared" si="462"/>
        <v>0</v>
      </c>
      <c r="AY563" s="35" t="s">
        <v>3680</v>
      </c>
      <c r="AZ563" s="35" t="s">
        <v>3714</v>
      </c>
      <c r="BA563" s="27" t="s">
        <v>3729</v>
      </c>
      <c r="BC563" s="34">
        <f t="shared" si="463"/>
        <v>0</v>
      </c>
      <c r="BD563" s="34">
        <f t="shared" si="464"/>
        <v>0</v>
      </c>
      <c r="BE563" s="34">
        <v>0</v>
      </c>
      <c r="BF563" s="34">
        <f>563</f>
        <v>563</v>
      </c>
      <c r="BH563" s="18">
        <f t="shared" si="465"/>
        <v>0</v>
      </c>
      <c r="BI563" s="18">
        <f t="shared" si="466"/>
        <v>0</v>
      </c>
      <c r="BJ563" s="18">
        <f t="shared" si="467"/>
        <v>0</v>
      </c>
    </row>
    <row r="564" spans="1:62" x14ac:dyDescent="0.2">
      <c r="A564" s="5" t="s">
        <v>524</v>
      </c>
      <c r="B564" s="5" t="s">
        <v>1713</v>
      </c>
      <c r="C564" s="135" t="s">
        <v>2932</v>
      </c>
      <c r="D564" s="136"/>
      <c r="E564" s="136"/>
      <c r="F564" s="136"/>
      <c r="G564" s="136"/>
      <c r="H564" s="5" t="s">
        <v>3612</v>
      </c>
      <c r="I564" s="18">
        <v>1</v>
      </c>
      <c r="J564" s="18">
        <v>0</v>
      </c>
      <c r="K564" s="18">
        <f t="shared" si="446"/>
        <v>0</v>
      </c>
      <c r="L564" s="28" t="s">
        <v>3635</v>
      </c>
      <c r="Z564" s="34">
        <f t="shared" si="447"/>
        <v>0</v>
      </c>
      <c r="AB564" s="34">
        <f t="shared" si="448"/>
        <v>0</v>
      </c>
      <c r="AC564" s="34">
        <f t="shared" si="449"/>
        <v>0</v>
      </c>
      <c r="AD564" s="34">
        <f t="shared" si="450"/>
        <v>0</v>
      </c>
      <c r="AE564" s="34">
        <f t="shared" si="451"/>
        <v>0</v>
      </c>
      <c r="AF564" s="34">
        <f t="shared" si="452"/>
        <v>0</v>
      </c>
      <c r="AG564" s="34">
        <f t="shared" si="453"/>
        <v>0</v>
      </c>
      <c r="AH564" s="34">
        <f t="shared" si="454"/>
        <v>0</v>
      </c>
      <c r="AI564" s="27" t="s">
        <v>3645</v>
      </c>
      <c r="AJ564" s="18">
        <f t="shared" si="455"/>
        <v>0</v>
      </c>
      <c r="AK564" s="18">
        <f t="shared" si="456"/>
        <v>0</v>
      </c>
      <c r="AL564" s="18">
        <f t="shared" si="457"/>
        <v>0</v>
      </c>
      <c r="AN564" s="34">
        <v>21</v>
      </c>
      <c r="AO564" s="34">
        <f t="shared" si="458"/>
        <v>0</v>
      </c>
      <c r="AP564" s="34">
        <f t="shared" si="459"/>
        <v>0</v>
      </c>
      <c r="AQ564" s="28" t="s">
        <v>13</v>
      </c>
      <c r="AV564" s="34">
        <f t="shared" si="460"/>
        <v>0</v>
      </c>
      <c r="AW564" s="34">
        <f t="shared" si="461"/>
        <v>0</v>
      </c>
      <c r="AX564" s="34">
        <f t="shared" si="462"/>
        <v>0</v>
      </c>
      <c r="AY564" s="35" t="s">
        <v>3680</v>
      </c>
      <c r="AZ564" s="35" t="s">
        <v>3714</v>
      </c>
      <c r="BA564" s="27" t="s">
        <v>3729</v>
      </c>
      <c r="BC564" s="34">
        <f t="shared" si="463"/>
        <v>0</v>
      </c>
      <c r="BD564" s="34">
        <f t="shared" si="464"/>
        <v>0</v>
      </c>
      <c r="BE564" s="34">
        <v>0</v>
      </c>
      <c r="BF564" s="34">
        <f>564</f>
        <v>564</v>
      </c>
      <c r="BH564" s="18">
        <f t="shared" si="465"/>
        <v>0</v>
      </c>
      <c r="BI564" s="18">
        <f t="shared" si="466"/>
        <v>0</v>
      </c>
      <c r="BJ564" s="18">
        <f t="shared" si="467"/>
        <v>0</v>
      </c>
    </row>
    <row r="565" spans="1:62" x14ac:dyDescent="0.2">
      <c r="A565" s="5" t="s">
        <v>525</v>
      </c>
      <c r="B565" s="5" t="s">
        <v>1714</v>
      </c>
      <c r="C565" s="135" t="s">
        <v>2933</v>
      </c>
      <c r="D565" s="136"/>
      <c r="E565" s="136"/>
      <c r="F565" s="136"/>
      <c r="G565" s="136"/>
      <c r="H565" s="5" t="s">
        <v>3612</v>
      </c>
      <c r="I565" s="18">
        <v>1</v>
      </c>
      <c r="J565" s="18">
        <v>0</v>
      </c>
      <c r="K565" s="18">
        <f t="shared" ref="K565:K595" si="468">I565*J565</f>
        <v>0</v>
      </c>
      <c r="L565" s="28" t="s">
        <v>3635</v>
      </c>
      <c r="Z565" s="34">
        <f t="shared" ref="Z565:Z595" si="469">IF(AQ565="5",BJ565,0)</f>
        <v>0</v>
      </c>
      <c r="AB565" s="34">
        <f t="shared" ref="AB565:AB595" si="470">IF(AQ565="1",BH565,0)</f>
        <v>0</v>
      </c>
      <c r="AC565" s="34">
        <f t="shared" ref="AC565:AC595" si="471">IF(AQ565="1",BI565,0)</f>
        <v>0</v>
      </c>
      <c r="AD565" s="34">
        <f t="shared" ref="AD565:AD595" si="472">IF(AQ565="7",BH565,0)</f>
        <v>0</v>
      </c>
      <c r="AE565" s="34">
        <f t="shared" ref="AE565:AE595" si="473">IF(AQ565="7",BI565,0)</f>
        <v>0</v>
      </c>
      <c r="AF565" s="34">
        <f t="shared" ref="AF565:AF595" si="474">IF(AQ565="2",BH565,0)</f>
        <v>0</v>
      </c>
      <c r="AG565" s="34">
        <f t="shared" ref="AG565:AG595" si="475">IF(AQ565="2",BI565,0)</f>
        <v>0</v>
      </c>
      <c r="AH565" s="34">
        <f t="shared" ref="AH565:AH595" si="476">IF(AQ565="0",BJ565,0)</f>
        <v>0</v>
      </c>
      <c r="AI565" s="27" t="s">
        <v>3645</v>
      </c>
      <c r="AJ565" s="18">
        <f t="shared" ref="AJ565:AJ595" si="477">IF(AN565=0,K565,0)</f>
        <v>0</v>
      </c>
      <c r="AK565" s="18">
        <f t="shared" ref="AK565:AK595" si="478">IF(AN565=15,K565,0)</f>
        <v>0</v>
      </c>
      <c r="AL565" s="18">
        <f t="shared" ref="AL565:AL595" si="479">IF(AN565=21,K565,0)</f>
        <v>0</v>
      </c>
      <c r="AN565" s="34">
        <v>21</v>
      </c>
      <c r="AO565" s="34">
        <f t="shared" ref="AO565:AO595" si="480">J565*0</f>
        <v>0</v>
      </c>
      <c r="AP565" s="34">
        <f t="shared" ref="AP565:AP595" si="481">J565*(1-0)</f>
        <v>0</v>
      </c>
      <c r="AQ565" s="28" t="s">
        <v>13</v>
      </c>
      <c r="AV565" s="34">
        <f t="shared" ref="AV565:AV595" si="482">AW565+AX565</f>
        <v>0</v>
      </c>
      <c r="AW565" s="34">
        <f t="shared" ref="AW565:AW595" si="483">I565*AO565</f>
        <v>0</v>
      </c>
      <c r="AX565" s="34">
        <f t="shared" ref="AX565:AX595" si="484">I565*AP565</f>
        <v>0</v>
      </c>
      <c r="AY565" s="35" t="s">
        <v>3680</v>
      </c>
      <c r="AZ565" s="35" t="s">
        <v>3714</v>
      </c>
      <c r="BA565" s="27" t="s">
        <v>3729</v>
      </c>
      <c r="BC565" s="34">
        <f t="shared" ref="BC565:BC595" si="485">AW565+AX565</f>
        <v>0</v>
      </c>
      <c r="BD565" s="34">
        <f t="shared" ref="BD565:BD595" si="486">J565/(100-BE565)*100</f>
        <v>0</v>
      </c>
      <c r="BE565" s="34">
        <v>0</v>
      </c>
      <c r="BF565" s="34">
        <f>565</f>
        <v>565</v>
      </c>
      <c r="BH565" s="18">
        <f t="shared" ref="BH565:BH595" si="487">I565*AO565</f>
        <v>0</v>
      </c>
      <c r="BI565" s="18">
        <f t="shared" ref="BI565:BI595" si="488">I565*AP565</f>
        <v>0</v>
      </c>
      <c r="BJ565" s="18">
        <f t="shared" ref="BJ565:BJ595" si="489">I565*J565</f>
        <v>0</v>
      </c>
    </row>
    <row r="566" spans="1:62" x14ac:dyDescent="0.2">
      <c r="A566" s="5" t="s">
        <v>526</v>
      </c>
      <c r="B566" s="5" t="s">
        <v>1715</v>
      </c>
      <c r="C566" s="135" t="s">
        <v>2934</v>
      </c>
      <c r="D566" s="136"/>
      <c r="E566" s="136"/>
      <c r="F566" s="136"/>
      <c r="G566" s="136"/>
      <c r="H566" s="5" t="s">
        <v>3612</v>
      </c>
      <c r="I566" s="18">
        <v>2</v>
      </c>
      <c r="J566" s="18">
        <v>0</v>
      </c>
      <c r="K566" s="18">
        <f t="shared" si="468"/>
        <v>0</v>
      </c>
      <c r="L566" s="28" t="s">
        <v>3635</v>
      </c>
      <c r="Z566" s="34">
        <f t="shared" si="469"/>
        <v>0</v>
      </c>
      <c r="AB566" s="34">
        <f t="shared" si="470"/>
        <v>0</v>
      </c>
      <c r="AC566" s="34">
        <f t="shared" si="471"/>
        <v>0</v>
      </c>
      <c r="AD566" s="34">
        <f t="shared" si="472"/>
        <v>0</v>
      </c>
      <c r="AE566" s="34">
        <f t="shared" si="473"/>
        <v>0</v>
      </c>
      <c r="AF566" s="34">
        <f t="shared" si="474"/>
        <v>0</v>
      </c>
      <c r="AG566" s="34">
        <f t="shared" si="475"/>
        <v>0</v>
      </c>
      <c r="AH566" s="34">
        <f t="shared" si="476"/>
        <v>0</v>
      </c>
      <c r="AI566" s="27" t="s">
        <v>3645</v>
      </c>
      <c r="AJ566" s="18">
        <f t="shared" si="477"/>
        <v>0</v>
      </c>
      <c r="AK566" s="18">
        <f t="shared" si="478"/>
        <v>0</v>
      </c>
      <c r="AL566" s="18">
        <f t="shared" si="479"/>
        <v>0</v>
      </c>
      <c r="AN566" s="34">
        <v>21</v>
      </c>
      <c r="AO566" s="34">
        <f t="shared" si="480"/>
        <v>0</v>
      </c>
      <c r="AP566" s="34">
        <f t="shared" si="481"/>
        <v>0</v>
      </c>
      <c r="AQ566" s="28" t="s">
        <v>13</v>
      </c>
      <c r="AV566" s="34">
        <f t="shared" si="482"/>
        <v>0</v>
      </c>
      <c r="AW566" s="34">
        <f t="shared" si="483"/>
        <v>0</v>
      </c>
      <c r="AX566" s="34">
        <f t="shared" si="484"/>
        <v>0</v>
      </c>
      <c r="AY566" s="35" t="s">
        <v>3680</v>
      </c>
      <c r="AZ566" s="35" t="s">
        <v>3714</v>
      </c>
      <c r="BA566" s="27" t="s">
        <v>3729</v>
      </c>
      <c r="BC566" s="34">
        <f t="shared" si="485"/>
        <v>0</v>
      </c>
      <c r="BD566" s="34">
        <f t="shared" si="486"/>
        <v>0</v>
      </c>
      <c r="BE566" s="34">
        <v>0</v>
      </c>
      <c r="BF566" s="34">
        <f>566</f>
        <v>566</v>
      </c>
      <c r="BH566" s="18">
        <f t="shared" si="487"/>
        <v>0</v>
      </c>
      <c r="BI566" s="18">
        <f t="shared" si="488"/>
        <v>0</v>
      </c>
      <c r="BJ566" s="18">
        <f t="shared" si="489"/>
        <v>0</v>
      </c>
    </row>
    <row r="567" spans="1:62" x14ac:dyDescent="0.2">
      <c r="A567" s="5" t="s">
        <v>527</v>
      </c>
      <c r="B567" s="5" t="s">
        <v>1716</v>
      </c>
      <c r="C567" s="135" t="s">
        <v>2935</v>
      </c>
      <c r="D567" s="136"/>
      <c r="E567" s="136"/>
      <c r="F567" s="136"/>
      <c r="G567" s="136"/>
      <c r="H567" s="5" t="s">
        <v>3612</v>
      </c>
      <c r="I567" s="18">
        <v>2</v>
      </c>
      <c r="J567" s="18">
        <v>0</v>
      </c>
      <c r="K567" s="18">
        <f t="shared" si="468"/>
        <v>0</v>
      </c>
      <c r="L567" s="28" t="s">
        <v>3635</v>
      </c>
      <c r="Z567" s="34">
        <f t="shared" si="469"/>
        <v>0</v>
      </c>
      <c r="AB567" s="34">
        <f t="shared" si="470"/>
        <v>0</v>
      </c>
      <c r="AC567" s="34">
        <f t="shared" si="471"/>
        <v>0</v>
      </c>
      <c r="AD567" s="34">
        <f t="shared" si="472"/>
        <v>0</v>
      </c>
      <c r="AE567" s="34">
        <f t="shared" si="473"/>
        <v>0</v>
      </c>
      <c r="AF567" s="34">
        <f t="shared" si="474"/>
        <v>0</v>
      </c>
      <c r="AG567" s="34">
        <f t="shared" si="475"/>
        <v>0</v>
      </c>
      <c r="AH567" s="34">
        <f t="shared" si="476"/>
        <v>0</v>
      </c>
      <c r="AI567" s="27" t="s">
        <v>3645</v>
      </c>
      <c r="AJ567" s="18">
        <f t="shared" si="477"/>
        <v>0</v>
      </c>
      <c r="AK567" s="18">
        <f t="shared" si="478"/>
        <v>0</v>
      </c>
      <c r="AL567" s="18">
        <f t="shared" si="479"/>
        <v>0</v>
      </c>
      <c r="AN567" s="34">
        <v>21</v>
      </c>
      <c r="AO567" s="34">
        <f t="shared" si="480"/>
        <v>0</v>
      </c>
      <c r="AP567" s="34">
        <f t="shared" si="481"/>
        <v>0</v>
      </c>
      <c r="AQ567" s="28" t="s">
        <v>13</v>
      </c>
      <c r="AV567" s="34">
        <f t="shared" si="482"/>
        <v>0</v>
      </c>
      <c r="AW567" s="34">
        <f t="shared" si="483"/>
        <v>0</v>
      </c>
      <c r="AX567" s="34">
        <f t="shared" si="484"/>
        <v>0</v>
      </c>
      <c r="AY567" s="35" t="s">
        <v>3680</v>
      </c>
      <c r="AZ567" s="35" t="s">
        <v>3714</v>
      </c>
      <c r="BA567" s="27" t="s">
        <v>3729</v>
      </c>
      <c r="BC567" s="34">
        <f t="shared" si="485"/>
        <v>0</v>
      </c>
      <c r="BD567" s="34">
        <f t="shared" si="486"/>
        <v>0</v>
      </c>
      <c r="BE567" s="34">
        <v>0</v>
      </c>
      <c r="BF567" s="34">
        <f>567</f>
        <v>567</v>
      </c>
      <c r="BH567" s="18">
        <f t="shared" si="487"/>
        <v>0</v>
      </c>
      <c r="BI567" s="18">
        <f t="shared" si="488"/>
        <v>0</v>
      </c>
      <c r="BJ567" s="18">
        <f t="shared" si="489"/>
        <v>0</v>
      </c>
    </row>
    <row r="568" spans="1:62" x14ac:dyDescent="0.2">
      <c r="A568" s="5" t="s">
        <v>528</v>
      </c>
      <c r="B568" s="5" t="s">
        <v>1717</v>
      </c>
      <c r="C568" s="135" t="s">
        <v>2916</v>
      </c>
      <c r="D568" s="136"/>
      <c r="E568" s="136"/>
      <c r="F568" s="136"/>
      <c r="G568" s="136"/>
      <c r="H568" s="5" t="s">
        <v>3615</v>
      </c>
      <c r="I568" s="18">
        <v>54.703090000000003</v>
      </c>
      <c r="J568" s="18">
        <v>0</v>
      </c>
      <c r="K568" s="18">
        <f t="shared" si="468"/>
        <v>0</v>
      </c>
      <c r="L568" s="28" t="s">
        <v>3635</v>
      </c>
      <c r="Z568" s="34">
        <f t="shared" si="469"/>
        <v>0</v>
      </c>
      <c r="AB568" s="34">
        <f t="shared" si="470"/>
        <v>0</v>
      </c>
      <c r="AC568" s="34">
        <f t="shared" si="471"/>
        <v>0</v>
      </c>
      <c r="AD568" s="34">
        <f t="shared" si="472"/>
        <v>0</v>
      </c>
      <c r="AE568" s="34">
        <f t="shared" si="473"/>
        <v>0</v>
      </c>
      <c r="AF568" s="34">
        <f t="shared" si="474"/>
        <v>0</v>
      </c>
      <c r="AG568" s="34">
        <f t="shared" si="475"/>
        <v>0</v>
      </c>
      <c r="AH568" s="34">
        <f t="shared" si="476"/>
        <v>0</v>
      </c>
      <c r="AI568" s="27" t="s">
        <v>3645</v>
      </c>
      <c r="AJ568" s="18">
        <f t="shared" si="477"/>
        <v>0</v>
      </c>
      <c r="AK568" s="18">
        <f t="shared" si="478"/>
        <v>0</v>
      </c>
      <c r="AL568" s="18">
        <f t="shared" si="479"/>
        <v>0</v>
      </c>
      <c r="AN568" s="34">
        <v>21</v>
      </c>
      <c r="AO568" s="34">
        <f t="shared" si="480"/>
        <v>0</v>
      </c>
      <c r="AP568" s="34">
        <f t="shared" si="481"/>
        <v>0</v>
      </c>
      <c r="AQ568" s="28" t="s">
        <v>13</v>
      </c>
      <c r="AV568" s="34">
        <f t="shared" si="482"/>
        <v>0</v>
      </c>
      <c r="AW568" s="34">
        <f t="shared" si="483"/>
        <v>0</v>
      </c>
      <c r="AX568" s="34">
        <f t="shared" si="484"/>
        <v>0</v>
      </c>
      <c r="AY568" s="35" t="s">
        <v>3680</v>
      </c>
      <c r="AZ568" s="35" t="s">
        <v>3714</v>
      </c>
      <c r="BA568" s="27" t="s">
        <v>3729</v>
      </c>
      <c r="BC568" s="34">
        <f t="shared" si="485"/>
        <v>0</v>
      </c>
      <c r="BD568" s="34">
        <f t="shared" si="486"/>
        <v>0</v>
      </c>
      <c r="BE568" s="34">
        <v>0</v>
      </c>
      <c r="BF568" s="34">
        <f>568</f>
        <v>568</v>
      </c>
      <c r="BH568" s="18">
        <f t="shared" si="487"/>
        <v>0</v>
      </c>
      <c r="BI568" s="18">
        <f t="shared" si="488"/>
        <v>0</v>
      </c>
      <c r="BJ568" s="18">
        <f t="shared" si="489"/>
        <v>0</v>
      </c>
    </row>
    <row r="569" spans="1:62" x14ac:dyDescent="0.2">
      <c r="A569" s="5" t="s">
        <v>529</v>
      </c>
      <c r="B569" s="5" t="s">
        <v>1718</v>
      </c>
      <c r="C569" s="135" t="s">
        <v>2917</v>
      </c>
      <c r="D569" s="136"/>
      <c r="E569" s="136"/>
      <c r="F569" s="136"/>
      <c r="G569" s="136"/>
      <c r="H569" s="5" t="s">
        <v>3620</v>
      </c>
      <c r="I569" s="18">
        <v>50</v>
      </c>
      <c r="J569" s="18">
        <v>0</v>
      </c>
      <c r="K569" s="18">
        <f t="shared" si="468"/>
        <v>0</v>
      </c>
      <c r="L569" s="28" t="s">
        <v>3635</v>
      </c>
      <c r="Z569" s="34">
        <f t="shared" si="469"/>
        <v>0</v>
      </c>
      <c r="AB569" s="34">
        <f t="shared" si="470"/>
        <v>0</v>
      </c>
      <c r="AC569" s="34">
        <f t="shared" si="471"/>
        <v>0</v>
      </c>
      <c r="AD569" s="34">
        <f t="shared" si="472"/>
        <v>0</v>
      </c>
      <c r="AE569" s="34">
        <f t="shared" si="473"/>
        <v>0</v>
      </c>
      <c r="AF569" s="34">
        <f t="shared" si="474"/>
        <v>0</v>
      </c>
      <c r="AG569" s="34">
        <f t="shared" si="475"/>
        <v>0</v>
      </c>
      <c r="AH569" s="34">
        <f t="shared" si="476"/>
        <v>0</v>
      </c>
      <c r="AI569" s="27" t="s">
        <v>3645</v>
      </c>
      <c r="AJ569" s="18">
        <f t="shared" si="477"/>
        <v>0</v>
      </c>
      <c r="AK569" s="18">
        <f t="shared" si="478"/>
        <v>0</v>
      </c>
      <c r="AL569" s="18">
        <f t="shared" si="479"/>
        <v>0</v>
      </c>
      <c r="AN569" s="34">
        <v>21</v>
      </c>
      <c r="AO569" s="34">
        <f t="shared" si="480"/>
        <v>0</v>
      </c>
      <c r="AP569" s="34">
        <f t="shared" si="481"/>
        <v>0</v>
      </c>
      <c r="AQ569" s="28" t="s">
        <v>13</v>
      </c>
      <c r="AV569" s="34">
        <f t="shared" si="482"/>
        <v>0</v>
      </c>
      <c r="AW569" s="34">
        <f t="shared" si="483"/>
        <v>0</v>
      </c>
      <c r="AX569" s="34">
        <f t="shared" si="484"/>
        <v>0</v>
      </c>
      <c r="AY569" s="35" t="s">
        <v>3680</v>
      </c>
      <c r="AZ569" s="35" t="s">
        <v>3714</v>
      </c>
      <c r="BA569" s="27" t="s">
        <v>3729</v>
      </c>
      <c r="BC569" s="34">
        <f t="shared" si="485"/>
        <v>0</v>
      </c>
      <c r="BD569" s="34">
        <f t="shared" si="486"/>
        <v>0</v>
      </c>
      <c r="BE569" s="34">
        <v>0</v>
      </c>
      <c r="BF569" s="34">
        <f>569</f>
        <v>569</v>
      </c>
      <c r="BH569" s="18">
        <f t="shared" si="487"/>
        <v>0</v>
      </c>
      <c r="BI569" s="18">
        <f t="shared" si="488"/>
        <v>0</v>
      </c>
      <c r="BJ569" s="18">
        <f t="shared" si="489"/>
        <v>0</v>
      </c>
    </row>
    <row r="570" spans="1:62" x14ac:dyDescent="0.2">
      <c r="A570" s="5" t="s">
        <v>530</v>
      </c>
      <c r="B570" s="5" t="s">
        <v>1719</v>
      </c>
      <c r="C570" s="135" t="s">
        <v>2918</v>
      </c>
      <c r="D570" s="136"/>
      <c r="E570" s="136"/>
      <c r="F570" s="136"/>
      <c r="G570" s="136"/>
      <c r="H570" s="5" t="s">
        <v>3620</v>
      </c>
      <c r="I570" s="18">
        <v>30</v>
      </c>
      <c r="J570" s="18">
        <v>0</v>
      </c>
      <c r="K570" s="18">
        <f t="shared" si="468"/>
        <v>0</v>
      </c>
      <c r="L570" s="28" t="s">
        <v>3635</v>
      </c>
      <c r="Z570" s="34">
        <f t="shared" si="469"/>
        <v>0</v>
      </c>
      <c r="AB570" s="34">
        <f t="shared" si="470"/>
        <v>0</v>
      </c>
      <c r="AC570" s="34">
        <f t="shared" si="471"/>
        <v>0</v>
      </c>
      <c r="AD570" s="34">
        <f t="shared" si="472"/>
        <v>0</v>
      </c>
      <c r="AE570" s="34">
        <f t="shared" si="473"/>
        <v>0</v>
      </c>
      <c r="AF570" s="34">
        <f t="shared" si="474"/>
        <v>0</v>
      </c>
      <c r="AG570" s="34">
        <f t="shared" si="475"/>
        <v>0</v>
      </c>
      <c r="AH570" s="34">
        <f t="shared" si="476"/>
        <v>0</v>
      </c>
      <c r="AI570" s="27" t="s">
        <v>3645</v>
      </c>
      <c r="AJ570" s="18">
        <f t="shared" si="477"/>
        <v>0</v>
      </c>
      <c r="AK570" s="18">
        <f t="shared" si="478"/>
        <v>0</v>
      </c>
      <c r="AL570" s="18">
        <f t="shared" si="479"/>
        <v>0</v>
      </c>
      <c r="AN570" s="34">
        <v>21</v>
      </c>
      <c r="AO570" s="34">
        <f t="shared" si="480"/>
        <v>0</v>
      </c>
      <c r="AP570" s="34">
        <f t="shared" si="481"/>
        <v>0</v>
      </c>
      <c r="AQ570" s="28" t="s">
        <v>13</v>
      </c>
      <c r="AV570" s="34">
        <f t="shared" si="482"/>
        <v>0</v>
      </c>
      <c r="AW570" s="34">
        <f t="shared" si="483"/>
        <v>0</v>
      </c>
      <c r="AX570" s="34">
        <f t="shared" si="484"/>
        <v>0</v>
      </c>
      <c r="AY570" s="35" t="s">
        <v>3680</v>
      </c>
      <c r="AZ570" s="35" t="s">
        <v>3714</v>
      </c>
      <c r="BA570" s="27" t="s">
        <v>3729</v>
      </c>
      <c r="BC570" s="34">
        <f t="shared" si="485"/>
        <v>0</v>
      </c>
      <c r="BD570" s="34">
        <f t="shared" si="486"/>
        <v>0</v>
      </c>
      <c r="BE570" s="34">
        <v>0</v>
      </c>
      <c r="BF570" s="34">
        <f>570</f>
        <v>570</v>
      </c>
      <c r="BH570" s="18">
        <f t="shared" si="487"/>
        <v>0</v>
      </c>
      <c r="BI570" s="18">
        <f t="shared" si="488"/>
        <v>0</v>
      </c>
      <c r="BJ570" s="18">
        <f t="shared" si="489"/>
        <v>0</v>
      </c>
    </row>
    <row r="571" spans="1:62" x14ac:dyDescent="0.2">
      <c r="A571" s="5" t="s">
        <v>531</v>
      </c>
      <c r="B571" s="5" t="s">
        <v>1720</v>
      </c>
      <c r="C571" s="135" t="s">
        <v>2936</v>
      </c>
      <c r="D571" s="136"/>
      <c r="E571" s="136"/>
      <c r="F571" s="136"/>
      <c r="G571" s="136"/>
      <c r="H571" s="5" t="s">
        <v>3612</v>
      </c>
      <c r="I571" s="18">
        <v>1</v>
      </c>
      <c r="J571" s="18">
        <v>0</v>
      </c>
      <c r="K571" s="18">
        <f t="shared" si="468"/>
        <v>0</v>
      </c>
      <c r="L571" s="28" t="s">
        <v>3635</v>
      </c>
      <c r="Z571" s="34">
        <f t="shared" si="469"/>
        <v>0</v>
      </c>
      <c r="AB571" s="34">
        <f t="shared" si="470"/>
        <v>0</v>
      </c>
      <c r="AC571" s="34">
        <f t="shared" si="471"/>
        <v>0</v>
      </c>
      <c r="AD571" s="34">
        <f t="shared" si="472"/>
        <v>0</v>
      </c>
      <c r="AE571" s="34">
        <f t="shared" si="473"/>
        <v>0</v>
      </c>
      <c r="AF571" s="34">
        <f t="shared" si="474"/>
        <v>0</v>
      </c>
      <c r="AG571" s="34">
        <f t="shared" si="475"/>
        <v>0</v>
      </c>
      <c r="AH571" s="34">
        <f t="shared" si="476"/>
        <v>0</v>
      </c>
      <c r="AI571" s="27" t="s">
        <v>3645</v>
      </c>
      <c r="AJ571" s="18">
        <f t="shared" si="477"/>
        <v>0</v>
      </c>
      <c r="AK571" s="18">
        <f t="shared" si="478"/>
        <v>0</v>
      </c>
      <c r="AL571" s="18">
        <f t="shared" si="479"/>
        <v>0</v>
      </c>
      <c r="AN571" s="34">
        <v>21</v>
      </c>
      <c r="AO571" s="34">
        <f t="shared" si="480"/>
        <v>0</v>
      </c>
      <c r="AP571" s="34">
        <f t="shared" si="481"/>
        <v>0</v>
      </c>
      <c r="AQ571" s="28" t="s">
        <v>13</v>
      </c>
      <c r="AV571" s="34">
        <f t="shared" si="482"/>
        <v>0</v>
      </c>
      <c r="AW571" s="34">
        <f t="shared" si="483"/>
        <v>0</v>
      </c>
      <c r="AX571" s="34">
        <f t="shared" si="484"/>
        <v>0</v>
      </c>
      <c r="AY571" s="35" t="s">
        <v>3680</v>
      </c>
      <c r="AZ571" s="35" t="s">
        <v>3714</v>
      </c>
      <c r="BA571" s="27" t="s">
        <v>3729</v>
      </c>
      <c r="BC571" s="34">
        <f t="shared" si="485"/>
        <v>0</v>
      </c>
      <c r="BD571" s="34">
        <f t="shared" si="486"/>
        <v>0</v>
      </c>
      <c r="BE571" s="34">
        <v>0</v>
      </c>
      <c r="BF571" s="34">
        <f>571</f>
        <v>571</v>
      </c>
      <c r="BH571" s="18">
        <f t="shared" si="487"/>
        <v>0</v>
      </c>
      <c r="BI571" s="18">
        <f t="shared" si="488"/>
        <v>0</v>
      </c>
      <c r="BJ571" s="18">
        <f t="shared" si="489"/>
        <v>0</v>
      </c>
    </row>
    <row r="572" spans="1:62" x14ac:dyDescent="0.2">
      <c r="A572" s="5" t="s">
        <v>532</v>
      </c>
      <c r="B572" s="5" t="s">
        <v>1721</v>
      </c>
      <c r="C572" s="135" t="s">
        <v>2937</v>
      </c>
      <c r="D572" s="136"/>
      <c r="E572" s="136"/>
      <c r="F572" s="136"/>
      <c r="G572" s="136"/>
      <c r="H572" s="5" t="s">
        <v>3612</v>
      </c>
      <c r="I572" s="18">
        <v>4</v>
      </c>
      <c r="J572" s="18">
        <v>0</v>
      </c>
      <c r="K572" s="18">
        <f t="shared" si="468"/>
        <v>0</v>
      </c>
      <c r="L572" s="28" t="s">
        <v>3635</v>
      </c>
      <c r="Z572" s="34">
        <f t="shared" si="469"/>
        <v>0</v>
      </c>
      <c r="AB572" s="34">
        <f t="shared" si="470"/>
        <v>0</v>
      </c>
      <c r="AC572" s="34">
        <f t="shared" si="471"/>
        <v>0</v>
      </c>
      <c r="AD572" s="34">
        <f t="shared" si="472"/>
        <v>0</v>
      </c>
      <c r="AE572" s="34">
        <f t="shared" si="473"/>
        <v>0</v>
      </c>
      <c r="AF572" s="34">
        <f t="shared" si="474"/>
        <v>0</v>
      </c>
      <c r="AG572" s="34">
        <f t="shared" si="475"/>
        <v>0</v>
      </c>
      <c r="AH572" s="34">
        <f t="shared" si="476"/>
        <v>0</v>
      </c>
      <c r="AI572" s="27" t="s">
        <v>3645</v>
      </c>
      <c r="AJ572" s="18">
        <f t="shared" si="477"/>
        <v>0</v>
      </c>
      <c r="AK572" s="18">
        <f t="shared" si="478"/>
        <v>0</v>
      </c>
      <c r="AL572" s="18">
        <f t="shared" si="479"/>
        <v>0</v>
      </c>
      <c r="AN572" s="34">
        <v>21</v>
      </c>
      <c r="AO572" s="34">
        <f t="shared" si="480"/>
        <v>0</v>
      </c>
      <c r="AP572" s="34">
        <f t="shared" si="481"/>
        <v>0</v>
      </c>
      <c r="AQ572" s="28" t="s">
        <v>13</v>
      </c>
      <c r="AV572" s="34">
        <f t="shared" si="482"/>
        <v>0</v>
      </c>
      <c r="AW572" s="34">
        <f t="shared" si="483"/>
        <v>0</v>
      </c>
      <c r="AX572" s="34">
        <f t="shared" si="484"/>
        <v>0</v>
      </c>
      <c r="AY572" s="35" t="s">
        <v>3680</v>
      </c>
      <c r="AZ572" s="35" t="s">
        <v>3714</v>
      </c>
      <c r="BA572" s="27" t="s">
        <v>3729</v>
      </c>
      <c r="BC572" s="34">
        <f t="shared" si="485"/>
        <v>0</v>
      </c>
      <c r="BD572" s="34">
        <f t="shared" si="486"/>
        <v>0</v>
      </c>
      <c r="BE572" s="34">
        <v>0</v>
      </c>
      <c r="BF572" s="34">
        <f>572</f>
        <v>572</v>
      </c>
      <c r="BH572" s="18">
        <f t="shared" si="487"/>
        <v>0</v>
      </c>
      <c r="BI572" s="18">
        <f t="shared" si="488"/>
        <v>0</v>
      </c>
      <c r="BJ572" s="18">
        <f t="shared" si="489"/>
        <v>0</v>
      </c>
    </row>
    <row r="573" spans="1:62" x14ac:dyDescent="0.2">
      <c r="A573" s="5" t="s">
        <v>533</v>
      </c>
      <c r="B573" s="5" t="s">
        <v>1722</v>
      </c>
      <c r="C573" s="135" t="s">
        <v>2938</v>
      </c>
      <c r="D573" s="136"/>
      <c r="E573" s="136"/>
      <c r="F573" s="136"/>
      <c r="G573" s="136"/>
      <c r="H573" s="5" t="s">
        <v>3614</v>
      </c>
      <c r="I573" s="18">
        <v>58.9</v>
      </c>
      <c r="J573" s="18">
        <v>0</v>
      </c>
      <c r="K573" s="18">
        <f t="shared" si="468"/>
        <v>0</v>
      </c>
      <c r="L573" s="28" t="s">
        <v>3635</v>
      </c>
      <c r="Z573" s="34">
        <f t="shared" si="469"/>
        <v>0</v>
      </c>
      <c r="AB573" s="34">
        <f t="shared" si="470"/>
        <v>0</v>
      </c>
      <c r="AC573" s="34">
        <f t="shared" si="471"/>
        <v>0</v>
      </c>
      <c r="AD573" s="34">
        <f t="shared" si="472"/>
        <v>0</v>
      </c>
      <c r="AE573" s="34">
        <f t="shared" si="473"/>
        <v>0</v>
      </c>
      <c r="AF573" s="34">
        <f t="shared" si="474"/>
        <v>0</v>
      </c>
      <c r="AG573" s="34">
        <f t="shared" si="475"/>
        <v>0</v>
      </c>
      <c r="AH573" s="34">
        <f t="shared" si="476"/>
        <v>0</v>
      </c>
      <c r="AI573" s="27" t="s">
        <v>3645</v>
      </c>
      <c r="AJ573" s="18">
        <f t="shared" si="477"/>
        <v>0</v>
      </c>
      <c r="AK573" s="18">
        <f t="shared" si="478"/>
        <v>0</v>
      </c>
      <c r="AL573" s="18">
        <f t="shared" si="479"/>
        <v>0</v>
      </c>
      <c r="AN573" s="34">
        <v>21</v>
      </c>
      <c r="AO573" s="34">
        <f t="shared" si="480"/>
        <v>0</v>
      </c>
      <c r="AP573" s="34">
        <f t="shared" si="481"/>
        <v>0</v>
      </c>
      <c r="AQ573" s="28" t="s">
        <v>13</v>
      </c>
      <c r="AV573" s="34">
        <f t="shared" si="482"/>
        <v>0</v>
      </c>
      <c r="AW573" s="34">
        <f t="shared" si="483"/>
        <v>0</v>
      </c>
      <c r="AX573" s="34">
        <f t="shared" si="484"/>
        <v>0</v>
      </c>
      <c r="AY573" s="35" t="s">
        <v>3680</v>
      </c>
      <c r="AZ573" s="35" t="s">
        <v>3714</v>
      </c>
      <c r="BA573" s="27" t="s">
        <v>3729</v>
      </c>
      <c r="BC573" s="34">
        <f t="shared" si="485"/>
        <v>0</v>
      </c>
      <c r="BD573" s="34">
        <f t="shared" si="486"/>
        <v>0</v>
      </c>
      <c r="BE573" s="34">
        <v>0</v>
      </c>
      <c r="BF573" s="34">
        <f>573</f>
        <v>573</v>
      </c>
      <c r="BH573" s="18">
        <f t="shared" si="487"/>
        <v>0</v>
      </c>
      <c r="BI573" s="18">
        <f t="shared" si="488"/>
        <v>0</v>
      </c>
      <c r="BJ573" s="18">
        <f t="shared" si="489"/>
        <v>0</v>
      </c>
    </row>
    <row r="574" spans="1:62" x14ac:dyDescent="0.2">
      <c r="A574" s="5" t="s">
        <v>534</v>
      </c>
      <c r="B574" s="5" t="s">
        <v>1723</v>
      </c>
      <c r="C574" s="135" t="s">
        <v>2917</v>
      </c>
      <c r="D574" s="136"/>
      <c r="E574" s="136"/>
      <c r="F574" s="136"/>
      <c r="G574" s="136"/>
      <c r="H574" s="5" t="s">
        <v>3620</v>
      </c>
      <c r="I574" s="18">
        <v>15</v>
      </c>
      <c r="J574" s="18">
        <v>0</v>
      </c>
      <c r="K574" s="18">
        <f t="shared" si="468"/>
        <v>0</v>
      </c>
      <c r="L574" s="28" t="s">
        <v>3635</v>
      </c>
      <c r="Z574" s="34">
        <f t="shared" si="469"/>
        <v>0</v>
      </c>
      <c r="AB574" s="34">
        <f t="shared" si="470"/>
        <v>0</v>
      </c>
      <c r="AC574" s="34">
        <f t="shared" si="471"/>
        <v>0</v>
      </c>
      <c r="AD574" s="34">
        <f t="shared" si="472"/>
        <v>0</v>
      </c>
      <c r="AE574" s="34">
        <f t="shared" si="473"/>
        <v>0</v>
      </c>
      <c r="AF574" s="34">
        <f t="shared" si="474"/>
        <v>0</v>
      </c>
      <c r="AG574" s="34">
        <f t="shared" si="475"/>
        <v>0</v>
      </c>
      <c r="AH574" s="34">
        <f t="shared" si="476"/>
        <v>0</v>
      </c>
      <c r="AI574" s="27" t="s">
        <v>3645</v>
      </c>
      <c r="AJ574" s="18">
        <f t="shared" si="477"/>
        <v>0</v>
      </c>
      <c r="AK574" s="18">
        <f t="shared" si="478"/>
        <v>0</v>
      </c>
      <c r="AL574" s="18">
        <f t="shared" si="479"/>
        <v>0</v>
      </c>
      <c r="AN574" s="34">
        <v>21</v>
      </c>
      <c r="AO574" s="34">
        <f t="shared" si="480"/>
        <v>0</v>
      </c>
      <c r="AP574" s="34">
        <f t="shared" si="481"/>
        <v>0</v>
      </c>
      <c r="AQ574" s="28" t="s">
        <v>13</v>
      </c>
      <c r="AV574" s="34">
        <f t="shared" si="482"/>
        <v>0</v>
      </c>
      <c r="AW574" s="34">
        <f t="shared" si="483"/>
        <v>0</v>
      </c>
      <c r="AX574" s="34">
        <f t="shared" si="484"/>
        <v>0</v>
      </c>
      <c r="AY574" s="35" t="s">
        <v>3680</v>
      </c>
      <c r="AZ574" s="35" t="s">
        <v>3714</v>
      </c>
      <c r="BA574" s="27" t="s">
        <v>3729</v>
      </c>
      <c r="BC574" s="34">
        <f t="shared" si="485"/>
        <v>0</v>
      </c>
      <c r="BD574" s="34">
        <f t="shared" si="486"/>
        <v>0</v>
      </c>
      <c r="BE574" s="34">
        <v>0</v>
      </c>
      <c r="BF574" s="34">
        <f>574</f>
        <v>574</v>
      </c>
      <c r="BH574" s="18">
        <f t="shared" si="487"/>
        <v>0</v>
      </c>
      <c r="BI574" s="18">
        <f t="shared" si="488"/>
        <v>0</v>
      </c>
      <c r="BJ574" s="18">
        <f t="shared" si="489"/>
        <v>0</v>
      </c>
    </row>
    <row r="575" spans="1:62" x14ac:dyDescent="0.2">
      <c r="A575" s="5" t="s">
        <v>535</v>
      </c>
      <c r="B575" s="5" t="s">
        <v>1724</v>
      </c>
      <c r="C575" s="135" t="s">
        <v>2918</v>
      </c>
      <c r="D575" s="136"/>
      <c r="E575" s="136"/>
      <c r="F575" s="136"/>
      <c r="G575" s="136"/>
      <c r="H575" s="5" t="s">
        <v>3620</v>
      </c>
      <c r="I575" s="18">
        <v>10</v>
      </c>
      <c r="J575" s="18">
        <v>0</v>
      </c>
      <c r="K575" s="18">
        <f t="shared" si="468"/>
        <v>0</v>
      </c>
      <c r="L575" s="28" t="s">
        <v>3635</v>
      </c>
      <c r="Z575" s="34">
        <f t="shared" si="469"/>
        <v>0</v>
      </c>
      <c r="AB575" s="34">
        <f t="shared" si="470"/>
        <v>0</v>
      </c>
      <c r="AC575" s="34">
        <f t="shared" si="471"/>
        <v>0</v>
      </c>
      <c r="AD575" s="34">
        <f t="shared" si="472"/>
        <v>0</v>
      </c>
      <c r="AE575" s="34">
        <f t="shared" si="473"/>
        <v>0</v>
      </c>
      <c r="AF575" s="34">
        <f t="shared" si="474"/>
        <v>0</v>
      </c>
      <c r="AG575" s="34">
        <f t="shared" si="475"/>
        <v>0</v>
      </c>
      <c r="AH575" s="34">
        <f t="shared" si="476"/>
        <v>0</v>
      </c>
      <c r="AI575" s="27" t="s">
        <v>3645</v>
      </c>
      <c r="AJ575" s="18">
        <f t="shared" si="477"/>
        <v>0</v>
      </c>
      <c r="AK575" s="18">
        <f t="shared" si="478"/>
        <v>0</v>
      </c>
      <c r="AL575" s="18">
        <f t="shared" si="479"/>
        <v>0</v>
      </c>
      <c r="AN575" s="34">
        <v>21</v>
      </c>
      <c r="AO575" s="34">
        <f t="shared" si="480"/>
        <v>0</v>
      </c>
      <c r="AP575" s="34">
        <f t="shared" si="481"/>
        <v>0</v>
      </c>
      <c r="AQ575" s="28" t="s">
        <v>13</v>
      </c>
      <c r="AV575" s="34">
        <f t="shared" si="482"/>
        <v>0</v>
      </c>
      <c r="AW575" s="34">
        <f t="shared" si="483"/>
        <v>0</v>
      </c>
      <c r="AX575" s="34">
        <f t="shared" si="484"/>
        <v>0</v>
      </c>
      <c r="AY575" s="35" t="s">
        <v>3680</v>
      </c>
      <c r="AZ575" s="35" t="s">
        <v>3714</v>
      </c>
      <c r="BA575" s="27" t="s">
        <v>3729</v>
      </c>
      <c r="BC575" s="34">
        <f t="shared" si="485"/>
        <v>0</v>
      </c>
      <c r="BD575" s="34">
        <f t="shared" si="486"/>
        <v>0</v>
      </c>
      <c r="BE575" s="34">
        <v>0</v>
      </c>
      <c r="BF575" s="34">
        <f>575</f>
        <v>575</v>
      </c>
      <c r="BH575" s="18">
        <f t="shared" si="487"/>
        <v>0</v>
      </c>
      <c r="BI575" s="18">
        <f t="shared" si="488"/>
        <v>0</v>
      </c>
      <c r="BJ575" s="18">
        <f t="shared" si="489"/>
        <v>0</v>
      </c>
    </row>
    <row r="576" spans="1:62" x14ac:dyDescent="0.2">
      <c r="A576" s="5" t="s">
        <v>536</v>
      </c>
      <c r="B576" s="5" t="s">
        <v>1725</v>
      </c>
      <c r="C576" s="135" t="s">
        <v>2939</v>
      </c>
      <c r="D576" s="136"/>
      <c r="E576" s="136"/>
      <c r="F576" s="136"/>
      <c r="G576" s="136"/>
      <c r="H576" s="5" t="s">
        <v>3612</v>
      </c>
      <c r="I576" s="18">
        <v>1</v>
      </c>
      <c r="J576" s="18">
        <v>0</v>
      </c>
      <c r="K576" s="18">
        <f t="shared" si="468"/>
        <v>0</v>
      </c>
      <c r="L576" s="28" t="s">
        <v>3635</v>
      </c>
      <c r="Z576" s="34">
        <f t="shared" si="469"/>
        <v>0</v>
      </c>
      <c r="AB576" s="34">
        <f t="shared" si="470"/>
        <v>0</v>
      </c>
      <c r="AC576" s="34">
        <f t="shared" si="471"/>
        <v>0</v>
      </c>
      <c r="AD576" s="34">
        <f t="shared" si="472"/>
        <v>0</v>
      </c>
      <c r="AE576" s="34">
        <f t="shared" si="473"/>
        <v>0</v>
      </c>
      <c r="AF576" s="34">
        <f t="shared" si="474"/>
        <v>0</v>
      </c>
      <c r="AG576" s="34">
        <f t="shared" si="475"/>
        <v>0</v>
      </c>
      <c r="AH576" s="34">
        <f t="shared" si="476"/>
        <v>0</v>
      </c>
      <c r="AI576" s="27" t="s">
        <v>3645</v>
      </c>
      <c r="AJ576" s="18">
        <f t="shared" si="477"/>
        <v>0</v>
      </c>
      <c r="AK576" s="18">
        <f t="shared" si="478"/>
        <v>0</v>
      </c>
      <c r="AL576" s="18">
        <f t="shared" si="479"/>
        <v>0</v>
      </c>
      <c r="AN576" s="34">
        <v>21</v>
      </c>
      <c r="AO576" s="34">
        <f t="shared" si="480"/>
        <v>0</v>
      </c>
      <c r="AP576" s="34">
        <f t="shared" si="481"/>
        <v>0</v>
      </c>
      <c r="AQ576" s="28" t="s">
        <v>13</v>
      </c>
      <c r="AV576" s="34">
        <f t="shared" si="482"/>
        <v>0</v>
      </c>
      <c r="AW576" s="34">
        <f t="shared" si="483"/>
        <v>0</v>
      </c>
      <c r="AX576" s="34">
        <f t="shared" si="484"/>
        <v>0</v>
      </c>
      <c r="AY576" s="35" t="s">
        <v>3680</v>
      </c>
      <c r="AZ576" s="35" t="s">
        <v>3714</v>
      </c>
      <c r="BA576" s="27" t="s">
        <v>3729</v>
      </c>
      <c r="BC576" s="34">
        <f t="shared" si="485"/>
        <v>0</v>
      </c>
      <c r="BD576" s="34">
        <f t="shared" si="486"/>
        <v>0</v>
      </c>
      <c r="BE576" s="34">
        <v>0</v>
      </c>
      <c r="BF576" s="34">
        <f>576</f>
        <v>576</v>
      </c>
      <c r="BH576" s="18">
        <f t="shared" si="487"/>
        <v>0</v>
      </c>
      <c r="BI576" s="18">
        <f t="shared" si="488"/>
        <v>0</v>
      </c>
      <c r="BJ576" s="18">
        <f t="shared" si="489"/>
        <v>0</v>
      </c>
    </row>
    <row r="577" spans="1:62" x14ac:dyDescent="0.2">
      <c r="A577" s="5" t="s">
        <v>537</v>
      </c>
      <c r="B577" s="5" t="s">
        <v>1726</v>
      </c>
      <c r="C577" s="135" t="s">
        <v>2940</v>
      </c>
      <c r="D577" s="136"/>
      <c r="E577" s="136"/>
      <c r="F577" s="136"/>
      <c r="G577" s="136"/>
      <c r="H577" s="5" t="s">
        <v>3612</v>
      </c>
      <c r="I577" s="18">
        <v>3</v>
      </c>
      <c r="J577" s="18">
        <v>0</v>
      </c>
      <c r="K577" s="18">
        <f t="shared" si="468"/>
        <v>0</v>
      </c>
      <c r="L577" s="28" t="s">
        <v>3635</v>
      </c>
      <c r="Z577" s="34">
        <f t="shared" si="469"/>
        <v>0</v>
      </c>
      <c r="AB577" s="34">
        <f t="shared" si="470"/>
        <v>0</v>
      </c>
      <c r="AC577" s="34">
        <f t="shared" si="471"/>
        <v>0</v>
      </c>
      <c r="AD577" s="34">
        <f t="shared" si="472"/>
        <v>0</v>
      </c>
      <c r="AE577" s="34">
        <f t="shared" si="473"/>
        <v>0</v>
      </c>
      <c r="AF577" s="34">
        <f t="shared" si="474"/>
        <v>0</v>
      </c>
      <c r="AG577" s="34">
        <f t="shared" si="475"/>
        <v>0</v>
      </c>
      <c r="AH577" s="34">
        <f t="shared" si="476"/>
        <v>0</v>
      </c>
      <c r="AI577" s="27" t="s">
        <v>3645</v>
      </c>
      <c r="AJ577" s="18">
        <f t="shared" si="477"/>
        <v>0</v>
      </c>
      <c r="AK577" s="18">
        <f t="shared" si="478"/>
        <v>0</v>
      </c>
      <c r="AL577" s="18">
        <f t="shared" si="479"/>
        <v>0</v>
      </c>
      <c r="AN577" s="34">
        <v>21</v>
      </c>
      <c r="AO577" s="34">
        <f t="shared" si="480"/>
        <v>0</v>
      </c>
      <c r="AP577" s="34">
        <f t="shared" si="481"/>
        <v>0</v>
      </c>
      <c r="AQ577" s="28" t="s">
        <v>13</v>
      </c>
      <c r="AV577" s="34">
        <f t="shared" si="482"/>
        <v>0</v>
      </c>
      <c r="AW577" s="34">
        <f t="shared" si="483"/>
        <v>0</v>
      </c>
      <c r="AX577" s="34">
        <f t="shared" si="484"/>
        <v>0</v>
      </c>
      <c r="AY577" s="35" t="s">
        <v>3680</v>
      </c>
      <c r="AZ577" s="35" t="s">
        <v>3714</v>
      </c>
      <c r="BA577" s="27" t="s">
        <v>3729</v>
      </c>
      <c r="BC577" s="34">
        <f t="shared" si="485"/>
        <v>0</v>
      </c>
      <c r="BD577" s="34">
        <f t="shared" si="486"/>
        <v>0</v>
      </c>
      <c r="BE577" s="34">
        <v>0</v>
      </c>
      <c r="BF577" s="34">
        <f>577</f>
        <v>577</v>
      </c>
      <c r="BH577" s="18">
        <f t="shared" si="487"/>
        <v>0</v>
      </c>
      <c r="BI577" s="18">
        <f t="shared" si="488"/>
        <v>0</v>
      </c>
      <c r="BJ577" s="18">
        <f t="shared" si="489"/>
        <v>0</v>
      </c>
    </row>
    <row r="578" spans="1:62" x14ac:dyDescent="0.2">
      <c r="A578" s="5" t="s">
        <v>538</v>
      </c>
      <c r="B578" s="5" t="s">
        <v>1727</v>
      </c>
      <c r="C578" s="135" t="s">
        <v>2938</v>
      </c>
      <c r="D578" s="136"/>
      <c r="E578" s="136"/>
      <c r="F578" s="136"/>
      <c r="G578" s="136"/>
      <c r="H578" s="5" t="s">
        <v>3614</v>
      </c>
      <c r="I578" s="18">
        <v>43.9</v>
      </c>
      <c r="J578" s="18">
        <v>0</v>
      </c>
      <c r="K578" s="18">
        <f t="shared" si="468"/>
        <v>0</v>
      </c>
      <c r="L578" s="28" t="s">
        <v>3635</v>
      </c>
      <c r="Z578" s="34">
        <f t="shared" si="469"/>
        <v>0</v>
      </c>
      <c r="AB578" s="34">
        <f t="shared" si="470"/>
        <v>0</v>
      </c>
      <c r="AC578" s="34">
        <f t="shared" si="471"/>
        <v>0</v>
      </c>
      <c r="AD578" s="34">
        <f t="shared" si="472"/>
        <v>0</v>
      </c>
      <c r="AE578" s="34">
        <f t="shared" si="473"/>
        <v>0</v>
      </c>
      <c r="AF578" s="34">
        <f t="shared" si="474"/>
        <v>0</v>
      </c>
      <c r="AG578" s="34">
        <f t="shared" si="475"/>
        <v>0</v>
      </c>
      <c r="AH578" s="34">
        <f t="shared" si="476"/>
        <v>0</v>
      </c>
      <c r="AI578" s="27" t="s">
        <v>3645</v>
      </c>
      <c r="AJ578" s="18">
        <f t="shared" si="477"/>
        <v>0</v>
      </c>
      <c r="AK578" s="18">
        <f t="shared" si="478"/>
        <v>0</v>
      </c>
      <c r="AL578" s="18">
        <f t="shared" si="479"/>
        <v>0</v>
      </c>
      <c r="AN578" s="34">
        <v>21</v>
      </c>
      <c r="AO578" s="34">
        <f t="shared" si="480"/>
        <v>0</v>
      </c>
      <c r="AP578" s="34">
        <f t="shared" si="481"/>
        <v>0</v>
      </c>
      <c r="AQ578" s="28" t="s">
        <v>13</v>
      </c>
      <c r="AV578" s="34">
        <f t="shared" si="482"/>
        <v>0</v>
      </c>
      <c r="AW578" s="34">
        <f t="shared" si="483"/>
        <v>0</v>
      </c>
      <c r="AX578" s="34">
        <f t="shared" si="484"/>
        <v>0</v>
      </c>
      <c r="AY578" s="35" t="s">
        <v>3680</v>
      </c>
      <c r="AZ578" s="35" t="s">
        <v>3714</v>
      </c>
      <c r="BA578" s="27" t="s">
        <v>3729</v>
      </c>
      <c r="BC578" s="34">
        <f t="shared" si="485"/>
        <v>0</v>
      </c>
      <c r="BD578" s="34">
        <f t="shared" si="486"/>
        <v>0</v>
      </c>
      <c r="BE578" s="34">
        <v>0</v>
      </c>
      <c r="BF578" s="34">
        <f>578</f>
        <v>578</v>
      </c>
      <c r="BH578" s="18">
        <f t="shared" si="487"/>
        <v>0</v>
      </c>
      <c r="BI578" s="18">
        <f t="shared" si="488"/>
        <v>0</v>
      </c>
      <c r="BJ578" s="18">
        <f t="shared" si="489"/>
        <v>0</v>
      </c>
    </row>
    <row r="579" spans="1:62" x14ac:dyDescent="0.2">
      <c r="A579" s="5" t="s">
        <v>539</v>
      </c>
      <c r="B579" s="5" t="s">
        <v>1728</v>
      </c>
      <c r="C579" s="135" t="s">
        <v>2917</v>
      </c>
      <c r="D579" s="136"/>
      <c r="E579" s="136"/>
      <c r="F579" s="136"/>
      <c r="G579" s="136"/>
      <c r="H579" s="5" t="s">
        <v>3620</v>
      </c>
      <c r="I579" s="18">
        <v>15</v>
      </c>
      <c r="J579" s="18">
        <v>0</v>
      </c>
      <c r="K579" s="18">
        <f t="shared" si="468"/>
        <v>0</v>
      </c>
      <c r="L579" s="28" t="s">
        <v>3635</v>
      </c>
      <c r="Z579" s="34">
        <f t="shared" si="469"/>
        <v>0</v>
      </c>
      <c r="AB579" s="34">
        <f t="shared" si="470"/>
        <v>0</v>
      </c>
      <c r="AC579" s="34">
        <f t="shared" si="471"/>
        <v>0</v>
      </c>
      <c r="AD579" s="34">
        <f t="shared" si="472"/>
        <v>0</v>
      </c>
      <c r="AE579" s="34">
        <f t="shared" si="473"/>
        <v>0</v>
      </c>
      <c r="AF579" s="34">
        <f t="shared" si="474"/>
        <v>0</v>
      </c>
      <c r="AG579" s="34">
        <f t="shared" si="475"/>
        <v>0</v>
      </c>
      <c r="AH579" s="34">
        <f t="shared" si="476"/>
        <v>0</v>
      </c>
      <c r="AI579" s="27" t="s">
        <v>3645</v>
      </c>
      <c r="AJ579" s="18">
        <f t="shared" si="477"/>
        <v>0</v>
      </c>
      <c r="AK579" s="18">
        <f t="shared" si="478"/>
        <v>0</v>
      </c>
      <c r="AL579" s="18">
        <f t="shared" si="479"/>
        <v>0</v>
      </c>
      <c r="AN579" s="34">
        <v>21</v>
      </c>
      <c r="AO579" s="34">
        <f t="shared" si="480"/>
        <v>0</v>
      </c>
      <c r="AP579" s="34">
        <f t="shared" si="481"/>
        <v>0</v>
      </c>
      <c r="AQ579" s="28" t="s">
        <v>13</v>
      </c>
      <c r="AV579" s="34">
        <f t="shared" si="482"/>
        <v>0</v>
      </c>
      <c r="AW579" s="34">
        <f t="shared" si="483"/>
        <v>0</v>
      </c>
      <c r="AX579" s="34">
        <f t="shared" si="484"/>
        <v>0</v>
      </c>
      <c r="AY579" s="35" t="s">
        <v>3680</v>
      </c>
      <c r="AZ579" s="35" t="s">
        <v>3714</v>
      </c>
      <c r="BA579" s="27" t="s">
        <v>3729</v>
      </c>
      <c r="BC579" s="34">
        <f t="shared" si="485"/>
        <v>0</v>
      </c>
      <c r="BD579" s="34">
        <f t="shared" si="486"/>
        <v>0</v>
      </c>
      <c r="BE579" s="34">
        <v>0</v>
      </c>
      <c r="BF579" s="34">
        <f>579</f>
        <v>579</v>
      </c>
      <c r="BH579" s="18">
        <f t="shared" si="487"/>
        <v>0</v>
      </c>
      <c r="BI579" s="18">
        <f t="shared" si="488"/>
        <v>0</v>
      </c>
      <c r="BJ579" s="18">
        <f t="shared" si="489"/>
        <v>0</v>
      </c>
    </row>
    <row r="580" spans="1:62" x14ac:dyDescent="0.2">
      <c r="A580" s="5" t="s">
        <v>540</v>
      </c>
      <c r="B580" s="5" t="s">
        <v>1729</v>
      </c>
      <c r="C580" s="135" t="s">
        <v>2918</v>
      </c>
      <c r="D580" s="136"/>
      <c r="E580" s="136"/>
      <c r="F580" s="136"/>
      <c r="G580" s="136"/>
      <c r="H580" s="5" t="s">
        <v>3620</v>
      </c>
      <c r="I580" s="18">
        <v>10</v>
      </c>
      <c r="J580" s="18">
        <v>0</v>
      </c>
      <c r="K580" s="18">
        <f t="shared" si="468"/>
        <v>0</v>
      </c>
      <c r="L580" s="28" t="s">
        <v>3635</v>
      </c>
      <c r="Z580" s="34">
        <f t="shared" si="469"/>
        <v>0</v>
      </c>
      <c r="AB580" s="34">
        <f t="shared" si="470"/>
        <v>0</v>
      </c>
      <c r="AC580" s="34">
        <f t="shared" si="471"/>
        <v>0</v>
      </c>
      <c r="AD580" s="34">
        <f t="shared" si="472"/>
        <v>0</v>
      </c>
      <c r="AE580" s="34">
        <f t="shared" si="473"/>
        <v>0</v>
      </c>
      <c r="AF580" s="34">
        <f t="shared" si="474"/>
        <v>0</v>
      </c>
      <c r="AG580" s="34">
        <f t="shared" si="475"/>
        <v>0</v>
      </c>
      <c r="AH580" s="34">
        <f t="shared" si="476"/>
        <v>0</v>
      </c>
      <c r="AI580" s="27" t="s">
        <v>3645</v>
      </c>
      <c r="AJ580" s="18">
        <f t="shared" si="477"/>
        <v>0</v>
      </c>
      <c r="AK580" s="18">
        <f t="shared" si="478"/>
        <v>0</v>
      </c>
      <c r="AL580" s="18">
        <f t="shared" si="479"/>
        <v>0</v>
      </c>
      <c r="AN580" s="34">
        <v>21</v>
      </c>
      <c r="AO580" s="34">
        <f t="shared" si="480"/>
        <v>0</v>
      </c>
      <c r="AP580" s="34">
        <f t="shared" si="481"/>
        <v>0</v>
      </c>
      <c r="AQ580" s="28" t="s">
        <v>13</v>
      </c>
      <c r="AV580" s="34">
        <f t="shared" si="482"/>
        <v>0</v>
      </c>
      <c r="AW580" s="34">
        <f t="shared" si="483"/>
        <v>0</v>
      </c>
      <c r="AX580" s="34">
        <f t="shared" si="484"/>
        <v>0</v>
      </c>
      <c r="AY580" s="35" t="s">
        <v>3680</v>
      </c>
      <c r="AZ580" s="35" t="s">
        <v>3714</v>
      </c>
      <c r="BA580" s="27" t="s">
        <v>3729</v>
      </c>
      <c r="BC580" s="34">
        <f t="shared" si="485"/>
        <v>0</v>
      </c>
      <c r="BD580" s="34">
        <f t="shared" si="486"/>
        <v>0</v>
      </c>
      <c r="BE580" s="34">
        <v>0</v>
      </c>
      <c r="BF580" s="34">
        <f>580</f>
        <v>580</v>
      </c>
      <c r="BH580" s="18">
        <f t="shared" si="487"/>
        <v>0</v>
      </c>
      <c r="BI580" s="18">
        <f t="shared" si="488"/>
        <v>0</v>
      </c>
      <c r="BJ580" s="18">
        <f t="shared" si="489"/>
        <v>0</v>
      </c>
    </row>
    <row r="581" spans="1:62" x14ac:dyDescent="0.2">
      <c r="A581" s="5" t="s">
        <v>541</v>
      </c>
      <c r="B581" s="5" t="s">
        <v>1730</v>
      </c>
      <c r="C581" s="135" t="s">
        <v>2941</v>
      </c>
      <c r="D581" s="136"/>
      <c r="E581" s="136"/>
      <c r="F581" s="136"/>
      <c r="G581" s="136"/>
      <c r="H581" s="5" t="s">
        <v>3612</v>
      </c>
      <c r="I581" s="18">
        <v>21</v>
      </c>
      <c r="J581" s="18">
        <v>0</v>
      </c>
      <c r="K581" s="18">
        <f t="shared" si="468"/>
        <v>0</v>
      </c>
      <c r="L581" s="28" t="s">
        <v>3635</v>
      </c>
      <c r="Z581" s="34">
        <f t="shared" si="469"/>
        <v>0</v>
      </c>
      <c r="AB581" s="34">
        <f t="shared" si="470"/>
        <v>0</v>
      </c>
      <c r="AC581" s="34">
        <f t="shared" si="471"/>
        <v>0</v>
      </c>
      <c r="AD581" s="34">
        <f t="shared" si="472"/>
        <v>0</v>
      </c>
      <c r="AE581" s="34">
        <f t="shared" si="473"/>
        <v>0</v>
      </c>
      <c r="AF581" s="34">
        <f t="shared" si="474"/>
        <v>0</v>
      </c>
      <c r="AG581" s="34">
        <f t="shared" si="475"/>
        <v>0</v>
      </c>
      <c r="AH581" s="34">
        <f t="shared" si="476"/>
        <v>0</v>
      </c>
      <c r="AI581" s="27" t="s">
        <v>3645</v>
      </c>
      <c r="AJ581" s="18">
        <f t="shared" si="477"/>
        <v>0</v>
      </c>
      <c r="AK581" s="18">
        <f t="shared" si="478"/>
        <v>0</v>
      </c>
      <c r="AL581" s="18">
        <f t="shared" si="479"/>
        <v>0</v>
      </c>
      <c r="AN581" s="34">
        <v>21</v>
      </c>
      <c r="AO581" s="34">
        <f t="shared" si="480"/>
        <v>0</v>
      </c>
      <c r="AP581" s="34">
        <f t="shared" si="481"/>
        <v>0</v>
      </c>
      <c r="AQ581" s="28" t="s">
        <v>13</v>
      </c>
      <c r="AV581" s="34">
        <f t="shared" si="482"/>
        <v>0</v>
      </c>
      <c r="AW581" s="34">
        <f t="shared" si="483"/>
        <v>0</v>
      </c>
      <c r="AX581" s="34">
        <f t="shared" si="484"/>
        <v>0</v>
      </c>
      <c r="AY581" s="35" t="s">
        <v>3680</v>
      </c>
      <c r="AZ581" s="35" t="s">
        <v>3714</v>
      </c>
      <c r="BA581" s="27" t="s">
        <v>3729</v>
      </c>
      <c r="BC581" s="34">
        <f t="shared" si="485"/>
        <v>0</v>
      </c>
      <c r="BD581" s="34">
        <f t="shared" si="486"/>
        <v>0</v>
      </c>
      <c r="BE581" s="34">
        <v>0</v>
      </c>
      <c r="BF581" s="34">
        <f>581</f>
        <v>581</v>
      </c>
      <c r="BH581" s="18">
        <f t="shared" si="487"/>
        <v>0</v>
      </c>
      <c r="BI581" s="18">
        <f t="shared" si="488"/>
        <v>0</v>
      </c>
      <c r="BJ581" s="18">
        <f t="shared" si="489"/>
        <v>0</v>
      </c>
    </row>
    <row r="582" spans="1:62" x14ac:dyDescent="0.2">
      <c r="A582" s="5" t="s">
        <v>542</v>
      </c>
      <c r="B582" s="5" t="s">
        <v>1731</v>
      </c>
      <c r="C582" s="135" t="s">
        <v>2942</v>
      </c>
      <c r="D582" s="136"/>
      <c r="E582" s="136"/>
      <c r="F582" s="136"/>
      <c r="G582" s="136"/>
      <c r="H582" s="5" t="s">
        <v>3612</v>
      </c>
      <c r="I582" s="18">
        <v>19</v>
      </c>
      <c r="J582" s="18">
        <v>0</v>
      </c>
      <c r="K582" s="18">
        <f t="shared" si="468"/>
        <v>0</v>
      </c>
      <c r="L582" s="28" t="s">
        <v>3635</v>
      </c>
      <c r="Z582" s="34">
        <f t="shared" si="469"/>
        <v>0</v>
      </c>
      <c r="AB582" s="34">
        <f t="shared" si="470"/>
        <v>0</v>
      </c>
      <c r="AC582" s="34">
        <f t="shared" si="471"/>
        <v>0</v>
      </c>
      <c r="AD582" s="34">
        <f t="shared" si="472"/>
        <v>0</v>
      </c>
      <c r="AE582" s="34">
        <f t="shared" si="473"/>
        <v>0</v>
      </c>
      <c r="AF582" s="34">
        <f t="shared" si="474"/>
        <v>0</v>
      </c>
      <c r="AG582" s="34">
        <f t="shared" si="475"/>
        <v>0</v>
      </c>
      <c r="AH582" s="34">
        <f t="shared" si="476"/>
        <v>0</v>
      </c>
      <c r="AI582" s="27" t="s">
        <v>3645</v>
      </c>
      <c r="AJ582" s="18">
        <f t="shared" si="477"/>
        <v>0</v>
      </c>
      <c r="AK582" s="18">
        <f t="shared" si="478"/>
        <v>0</v>
      </c>
      <c r="AL582" s="18">
        <f t="shared" si="479"/>
        <v>0</v>
      </c>
      <c r="AN582" s="34">
        <v>21</v>
      </c>
      <c r="AO582" s="34">
        <f t="shared" si="480"/>
        <v>0</v>
      </c>
      <c r="AP582" s="34">
        <f t="shared" si="481"/>
        <v>0</v>
      </c>
      <c r="AQ582" s="28" t="s">
        <v>13</v>
      </c>
      <c r="AV582" s="34">
        <f t="shared" si="482"/>
        <v>0</v>
      </c>
      <c r="AW582" s="34">
        <f t="shared" si="483"/>
        <v>0</v>
      </c>
      <c r="AX582" s="34">
        <f t="shared" si="484"/>
        <v>0</v>
      </c>
      <c r="AY582" s="35" t="s">
        <v>3680</v>
      </c>
      <c r="AZ582" s="35" t="s">
        <v>3714</v>
      </c>
      <c r="BA582" s="27" t="s">
        <v>3729</v>
      </c>
      <c r="BC582" s="34">
        <f t="shared" si="485"/>
        <v>0</v>
      </c>
      <c r="BD582" s="34">
        <f t="shared" si="486"/>
        <v>0</v>
      </c>
      <c r="BE582" s="34">
        <v>0</v>
      </c>
      <c r="BF582" s="34">
        <f>582</f>
        <v>582</v>
      </c>
      <c r="BH582" s="18">
        <f t="shared" si="487"/>
        <v>0</v>
      </c>
      <c r="BI582" s="18">
        <f t="shared" si="488"/>
        <v>0</v>
      </c>
      <c r="BJ582" s="18">
        <f t="shared" si="489"/>
        <v>0</v>
      </c>
    </row>
    <row r="583" spans="1:62" x14ac:dyDescent="0.2">
      <c r="A583" s="5" t="s">
        <v>543</v>
      </c>
      <c r="B583" s="5" t="s">
        <v>1732</v>
      </c>
      <c r="C583" s="135" t="s">
        <v>2943</v>
      </c>
      <c r="D583" s="136"/>
      <c r="E583" s="136"/>
      <c r="F583" s="136"/>
      <c r="G583" s="136"/>
      <c r="H583" s="5" t="s">
        <v>3621</v>
      </c>
      <c r="I583" s="18">
        <v>1</v>
      </c>
      <c r="J583" s="18">
        <v>0</v>
      </c>
      <c r="K583" s="18">
        <f t="shared" si="468"/>
        <v>0</v>
      </c>
      <c r="L583" s="28" t="s">
        <v>3635</v>
      </c>
      <c r="Z583" s="34">
        <f t="shared" si="469"/>
        <v>0</v>
      </c>
      <c r="AB583" s="34">
        <f t="shared" si="470"/>
        <v>0</v>
      </c>
      <c r="AC583" s="34">
        <f t="shared" si="471"/>
        <v>0</v>
      </c>
      <c r="AD583" s="34">
        <f t="shared" si="472"/>
        <v>0</v>
      </c>
      <c r="AE583" s="34">
        <f t="shared" si="473"/>
        <v>0</v>
      </c>
      <c r="AF583" s="34">
        <f t="shared" si="474"/>
        <v>0</v>
      </c>
      <c r="AG583" s="34">
        <f t="shared" si="475"/>
        <v>0</v>
      </c>
      <c r="AH583" s="34">
        <f t="shared" si="476"/>
        <v>0</v>
      </c>
      <c r="AI583" s="27" t="s">
        <v>3645</v>
      </c>
      <c r="AJ583" s="18">
        <f t="shared" si="477"/>
        <v>0</v>
      </c>
      <c r="AK583" s="18">
        <f t="shared" si="478"/>
        <v>0</v>
      </c>
      <c r="AL583" s="18">
        <f t="shared" si="479"/>
        <v>0</v>
      </c>
      <c r="AN583" s="34">
        <v>21</v>
      </c>
      <c r="AO583" s="34">
        <f t="shared" si="480"/>
        <v>0</v>
      </c>
      <c r="AP583" s="34">
        <f t="shared" si="481"/>
        <v>0</v>
      </c>
      <c r="AQ583" s="28" t="s">
        <v>13</v>
      </c>
      <c r="AV583" s="34">
        <f t="shared" si="482"/>
        <v>0</v>
      </c>
      <c r="AW583" s="34">
        <f t="shared" si="483"/>
        <v>0</v>
      </c>
      <c r="AX583" s="34">
        <f t="shared" si="484"/>
        <v>0</v>
      </c>
      <c r="AY583" s="35" t="s">
        <v>3680</v>
      </c>
      <c r="AZ583" s="35" t="s">
        <v>3714</v>
      </c>
      <c r="BA583" s="27" t="s">
        <v>3729</v>
      </c>
      <c r="BC583" s="34">
        <f t="shared" si="485"/>
        <v>0</v>
      </c>
      <c r="BD583" s="34">
        <f t="shared" si="486"/>
        <v>0</v>
      </c>
      <c r="BE583" s="34">
        <v>0</v>
      </c>
      <c r="BF583" s="34">
        <f>583</f>
        <v>583</v>
      </c>
      <c r="BH583" s="18">
        <f t="shared" si="487"/>
        <v>0</v>
      </c>
      <c r="BI583" s="18">
        <f t="shared" si="488"/>
        <v>0</v>
      </c>
      <c r="BJ583" s="18">
        <f t="shared" si="489"/>
        <v>0</v>
      </c>
    </row>
    <row r="584" spans="1:62" x14ac:dyDescent="0.2">
      <c r="A584" s="5" t="s">
        <v>544</v>
      </c>
      <c r="B584" s="5" t="s">
        <v>1733</v>
      </c>
      <c r="C584" s="135" t="s">
        <v>2792</v>
      </c>
      <c r="D584" s="136"/>
      <c r="E584" s="136"/>
      <c r="F584" s="136"/>
      <c r="G584" s="136"/>
      <c r="H584" s="5" t="s">
        <v>3619</v>
      </c>
      <c r="I584" s="18">
        <v>50</v>
      </c>
      <c r="J584" s="18">
        <v>0</v>
      </c>
      <c r="K584" s="18">
        <f t="shared" si="468"/>
        <v>0</v>
      </c>
      <c r="L584" s="28" t="s">
        <v>3635</v>
      </c>
      <c r="Z584" s="34">
        <f t="shared" si="469"/>
        <v>0</v>
      </c>
      <c r="AB584" s="34">
        <f t="shared" si="470"/>
        <v>0</v>
      </c>
      <c r="AC584" s="34">
        <f t="shared" si="471"/>
        <v>0</v>
      </c>
      <c r="AD584" s="34">
        <f t="shared" si="472"/>
        <v>0</v>
      </c>
      <c r="AE584" s="34">
        <f t="shared" si="473"/>
        <v>0</v>
      </c>
      <c r="AF584" s="34">
        <f t="shared" si="474"/>
        <v>0</v>
      </c>
      <c r="AG584" s="34">
        <f t="shared" si="475"/>
        <v>0</v>
      </c>
      <c r="AH584" s="34">
        <f t="shared" si="476"/>
        <v>0</v>
      </c>
      <c r="AI584" s="27" t="s">
        <v>3645</v>
      </c>
      <c r="AJ584" s="18">
        <f t="shared" si="477"/>
        <v>0</v>
      </c>
      <c r="AK584" s="18">
        <f t="shared" si="478"/>
        <v>0</v>
      </c>
      <c r="AL584" s="18">
        <f t="shared" si="479"/>
        <v>0</v>
      </c>
      <c r="AN584" s="34">
        <v>21</v>
      </c>
      <c r="AO584" s="34">
        <f t="shared" si="480"/>
        <v>0</v>
      </c>
      <c r="AP584" s="34">
        <f t="shared" si="481"/>
        <v>0</v>
      </c>
      <c r="AQ584" s="28" t="s">
        <v>13</v>
      </c>
      <c r="AV584" s="34">
        <f t="shared" si="482"/>
        <v>0</v>
      </c>
      <c r="AW584" s="34">
        <f t="shared" si="483"/>
        <v>0</v>
      </c>
      <c r="AX584" s="34">
        <f t="shared" si="484"/>
        <v>0</v>
      </c>
      <c r="AY584" s="35" t="s">
        <v>3680</v>
      </c>
      <c r="AZ584" s="35" t="s">
        <v>3714</v>
      </c>
      <c r="BA584" s="27" t="s">
        <v>3729</v>
      </c>
      <c r="BC584" s="34">
        <f t="shared" si="485"/>
        <v>0</v>
      </c>
      <c r="BD584" s="34">
        <f t="shared" si="486"/>
        <v>0</v>
      </c>
      <c r="BE584" s="34">
        <v>0</v>
      </c>
      <c r="BF584" s="34">
        <f>584</f>
        <v>584</v>
      </c>
      <c r="BH584" s="18">
        <f t="shared" si="487"/>
        <v>0</v>
      </c>
      <c r="BI584" s="18">
        <f t="shared" si="488"/>
        <v>0</v>
      </c>
      <c r="BJ584" s="18">
        <f t="shared" si="489"/>
        <v>0</v>
      </c>
    </row>
    <row r="585" spans="1:62" x14ac:dyDescent="0.2">
      <c r="A585" s="5" t="s">
        <v>545</v>
      </c>
      <c r="B585" s="5" t="s">
        <v>1734</v>
      </c>
      <c r="C585" s="135" t="s">
        <v>2944</v>
      </c>
      <c r="D585" s="136"/>
      <c r="E585" s="136"/>
      <c r="F585" s="136"/>
      <c r="G585" s="136"/>
      <c r="H585" s="5" t="s">
        <v>3618</v>
      </c>
      <c r="I585" s="18">
        <v>1</v>
      </c>
      <c r="J585" s="18">
        <v>0</v>
      </c>
      <c r="K585" s="18">
        <f t="shared" si="468"/>
        <v>0</v>
      </c>
      <c r="L585" s="28" t="s">
        <v>3635</v>
      </c>
      <c r="Z585" s="34">
        <f t="shared" si="469"/>
        <v>0</v>
      </c>
      <c r="AB585" s="34">
        <f t="shared" si="470"/>
        <v>0</v>
      </c>
      <c r="AC585" s="34">
        <f t="shared" si="471"/>
        <v>0</v>
      </c>
      <c r="AD585" s="34">
        <f t="shared" si="472"/>
        <v>0</v>
      </c>
      <c r="AE585" s="34">
        <f t="shared" si="473"/>
        <v>0</v>
      </c>
      <c r="AF585" s="34">
        <f t="shared" si="474"/>
        <v>0</v>
      </c>
      <c r="AG585" s="34">
        <f t="shared" si="475"/>
        <v>0</v>
      </c>
      <c r="AH585" s="34">
        <f t="shared" si="476"/>
        <v>0</v>
      </c>
      <c r="AI585" s="27" t="s">
        <v>3645</v>
      </c>
      <c r="AJ585" s="18">
        <f t="shared" si="477"/>
        <v>0</v>
      </c>
      <c r="AK585" s="18">
        <f t="shared" si="478"/>
        <v>0</v>
      </c>
      <c r="AL585" s="18">
        <f t="shared" si="479"/>
        <v>0</v>
      </c>
      <c r="AN585" s="34">
        <v>21</v>
      </c>
      <c r="AO585" s="34">
        <f t="shared" si="480"/>
        <v>0</v>
      </c>
      <c r="AP585" s="34">
        <f t="shared" si="481"/>
        <v>0</v>
      </c>
      <c r="AQ585" s="28" t="s">
        <v>13</v>
      </c>
      <c r="AV585" s="34">
        <f t="shared" si="482"/>
        <v>0</v>
      </c>
      <c r="AW585" s="34">
        <f t="shared" si="483"/>
        <v>0</v>
      </c>
      <c r="AX585" s="34">
        <f t="shared" si="484"/>
        <v>0</v>
      </c>
      <c r="AY585" s="35" t="s">
        <v>3680</v>
      </c>
      <c r="AZ585" s="35" t="s">
        <v>3714</v>
      </c>
      <c r="BA585" s="27" t="s">
        <v>3729</v>
      </c>
      <c r="BC585" s="34">
        <f t="shared" si="485"/>
        <v>0</v>
      </c>
      <c r="BD585" s="34">
        <f t="shared" si="486"/>
        <v>0</v>
      </c>
      <c r="BE585" s="34">
        <v>0</v>
      </c>
      <c r="BF585" s="34">
        <f>585</f>
        <v>585</v>
      </c>
      <c r="BH585" s="18">
        <f t="shared" si="487"/>
        <v>0</v>
      </c>
      <c r="BI585" s="18">
        <f t="shared" si="488"/>
        <v>0</v>
      </c>
      <c r="BJ585" s="18">
        <f t="shared" si="489"/>
        <v>0</v>
      </c>
    </row>
    <row r="586" spans="1:62" x14ac:dyDescent="0.2">
      <c r="A586" s="5" t="s">
        <v>546</v>
      </c>
      <c r="B586" s="5" t="s">
        <v>1735</v>
      </c>
      <c r="C586" s="135" t="s">
        <v>2945</v>
      </c>
      <c r="D586" s="136"/>
      <c r="E586" s="136"/>
      <c r="F586" s="136"/>
      <c r="G586" s="136"/>
      <c r="H586" s="5" t="s">
        <v>3618</v>
      </c>
      <c r="I586" s="18">
        <v>1</v>
      </c>
      <c r="J586" s="18">
        <v>0</v>
      </c>
      <c r="K586" s="18">
        <f t="shared" si="468"/>
        <v>0</v>
      </c>
      <c r="L586" s="28" t="s">
        <v>3635</v>
      </c>
      <c r="Z586" s="34">
        <f t="shared" si="469"/>
        <v>0</v>
      </c>
      <c r="AB586" s="34">
        <f t="shared" si="470"/>
        <v>0</v>
      </c>
      <c r="AC586" s="34">
        <f t="shared" si="471"/>
        <v>0</v>
      </c>
      <c r="AD586" s="34">
        <f t="shared" si="472"/>
        <v>0</v>
      </c>
      <c r="AE586" s="34">
        <f t="shared" si="473"/>
        <v>0</v>
      </c>
      <c r="AF586" s="34">
        <f t="shared" si="474"/>
        <v>0</v>
      </c>
      <c r="AG586" s="34">
        <f t="shared" si="475"/>
        <v>0</v>
      </c>
      <c r="AH586" s="34">
        <f t="shared" si="476"/>
        <v>0</v>
      </c>
      <c r="AI586" s="27" t="s">
        <v>3645</v>
      </c>
      <c r="AJ586" s="18">
        <f t="shared" si="477"/>
        <v>0</v>
      </c>
      <c r="AK586" s="18">
        <f t="shared" si="478"/>
        <v>0</v>
      </c>
      <c r="AL586" s="18">
        <f t="shared" si="479"/>
        <v>0</v>
      </c>
      <c r="AN586" s="34">
        <v>21</v>
      </c>
      <c r="AO586" s="34">
        <f t="shared" si="480"/>
        <v>0</v>
      </c>
      <c r="AP586" s="34">
        <f t="shared" si="481"/>
        <v>0</v>
      </c>
      <c r="AQ586" s="28" t="s">
        <v>13</v>
      </c>
      <c r="AV586" s="34">
        <f t="shared" si="482"/>
        <v>0</v>
      </c>
      <c r="AW586" s="34">
        <f t="shared" si="483"/>
        <v>0</v>
      </c>
      <c r="AX586" s="34">
        <f t="shared" si="484"/>
        <v>0</v>
      </c>
      <c r="AY586" s="35" t="s">
        <v>3680</v>
      </c>
      <c r="AZ586" s="35" t="s">
        <v>3714</v>
      </c>
      <c r="BA586" s="27" t="s">
        <v>3729</v>
      </c>
      <c r="BC586" s="34">
        <f t="shared" si="485"/>
        <v>0</v>
      </c>
      <c r="BD586" s="34">
        <f t="shared" si="486"/>
        <v>0</v>
      </c>
      <c r="BE586" s="34">
        <v>0</v>
      </c>
      <c r="BF586" s="34">
        <f>586</f>
        <v>586</v>
      </c>
      <c r="BH586" s="18">
        <f t="shared" si="487"/>
        <v>0</v>
      </c>
      <c r="BI586" s="18">
        <f t="shared" si="488"/>
        <v>0</v>
      </c>
      <c r="BJ586" s="18">
        <f t="shared" si="489"/>
        <v>0</v>
      </c>
    </row>
    <row r="587" spans="1:62" x14ac:dyDescent="0.2">
      <c r="A587" s="5" t="s">
        <v>547</v>
      </c>
      <c r="B587" s="5" t="s">
        <v>1736</v>
      </c>
      <c r="C587" s="135" t="s">
        <v>2946</v>
      </c>
      <c r="D587" s="136"/>
      <c r="E587" s="136"/>
      <c r="F587" s="136"/>
      <c r="G587" s="136"/>
      <c r="H587" s="5" t="s">
        <v>3618</v>
      </c>
      <c r="I587" s="18">
        <v>1</v>
      </c>
      <c r="J587" s="18">
        <v>0</v>
      </c>
      <c r="K587" s="18">
        <f t="shared" si="468"/>
        <v>0</v>
      </c>
      <c r="L587" s="28" t="s">
        <v>3635</v>
      </c>
      <c r="Z587" s="34">
        <f t="shared" si="469"/>
        <v>0</v>
      </c>
      <c r="AB587" s="34">
        <f t="shared" si="470"/>
        <v>0</v>
      </c>
      <c r="AC587" s="34">
        <f t="shared" si="471"/>
        <v>0</v>
      </c>
      <c r="AD587" s="34">
        <f t="shared" si="472"/>
        <v>0</v>
      </c>
      <c r="AE587" s="34">
        <f t="shared" si="473"/>
        <v>0</v>
      </c>
      <c r="AF587" s="34">
        <f t="shared" si="474"/>
        <v>0</v>
      </c>
      <c r="AG587" s="34">
        <f t="shared" si="475"/>
        <v>0</v>
      </c>
      <c r="AH587" s="34">
        <f t="shared" si="476"/>
        <v>0</v>
      </c>
      <c r="AI587" s="27" t="s">
        <v>3645</v>
      </c>
      <c r="AJ587" s="18">
        <f t="shared" si="477"/>
        <v>0</v>
      </c>
      <c r="AK587" s="18">
        <f t="shared" si="478"/>
        <v>0</v>
      </c>
      <c r="AL587" s="18">
        <f t="shared" si="479"/>
        <v>0</v>
      </c>
      <c r="AN587" s="34">
        <v>21</v>
      </c>
      <c r="AO587" s="34">
        <f t="shared" si="480"/>
        <v>0</v>
      </c>
      <c r="AP587" s="34">
        <f t="shared" si="481"/>
        <v>0</v>
      </c>
      <c r="AQ587" s="28" t="s">
        <v>13</v>
      </c>
      <c r="AV587" s="34">
        <f t="shared" si="482"/>
        <v>0</v>
      </c>
      <c r="AW587" s="34">
        <f t="shared" si="483"/>
        <v>0</v>
      </c>
      <c r="AX587" s="34">
        <f t="shared" si="484"/>
        <v>0</v>
      </c>
      <c r="AY587" s="35" t="s">
        <v>3680</v>
      </c>
      <c r="AZ587" s="35" t="s">
        <v>3714</v>
      </c>
      <c r="BA587" s="27" t="s">
        <v>3729</v>
      </c>
      <c r="BC587" s="34">
        <f t="shared" si="485"/>
        <v>0</v>
      </c>
      <c r="BD587" s="34">
        <f t="shared" si="486"/>
        <v>0</v>
      </c>
      <c r="BE587" s="34">
        <v>0</v>
      </c>
      <c r="BF587" s="34">
        <f>587</f>
        <v>587</v>
      </c>
      <c r="BH587" s="18">
        <f t="shared" si="487"/>
        <v>0</v>
      </c>
      <c r="BI587" s="18">
        <f t="shared" si="488"/>
        <v>0</v>
      </c>
      <c r="BJ587" s="18">
        <f t="shared" si="489"/>
        <v>0</v>
      </c>
    </row>
    <row r="588" spans="1:62" x14ac:dyDescent="0.2">
      <c r="A588" s="5" t="s">
        <v>548</v>
      </c>
      <c r="B588" s="5" t="s">
        <v>1737</v>
      </c>
      <c r="C588" s="135" t="s">
        <v>2947</v>
      </c>
      <c r="D588" s="136"/>
      <c r="E588" s="136"/>
      <c r="F588" s="136"/>
      <c r="G588" s="136"/>
      <c r="H588" s="5" t="s">
        <v>3618</v>
      </c>
      <c r="I588" s="18">
        <v>1</v>
      </c>
      <c r="J588" s="18">
        <v>0</v>
      </c>
      <c r="K588" s="18">
        <f t="shared" si="468"/>
        <v>0</v>
      </c>
      <c r="L588" s="28" t="s">
        <v>3635</v>
      </c>
      <c r="Z588" s="34">
        <f t="shared" si="469"/>
        <v>0</v>
      </c>
      <c r="AB588" s="34">
        <f t="shared" si="470"/>
        <v>0</v>
      </c>
      <c r="AC588" s="34">
        <f t="shared" si="471"/>
        <v>0</v>
      </c>
      <c r="AD588" s="34">
        <f t="shared" si="472"/>
        <v>0</v>
      </c>
      <c r="AE588" s="34">
        <f t="shared" si="473"/>
        <v>0</v>
      </c>
      <c r="AF588" s="34">
        <f t="shared" si="474"/>
        <v>0</v>
      </c>
      <c r="AG588" s="34">
        <f t="shared" si="475"/>
        <v>0</v>
      </c>
      <c r="AH588" s="34">
        <f t="shared" si="476"/>
        <v>0</v>
      </c>
      <c r="AI588" s="27" t="s">
        <v>3645</v>
      </c>
      <c r="AJ588" s="18">
        <f t="shared" si="477"/>
        <v>0</v>
      </c>
      <c r="AK588" s="18">
        <f t="shared" si="478"/>
        <v>0</v>
      </c>
      <c r="AL588" s="18">
        <f t="shared" si="479"/>
        <v>0</v>
      </c>
      <c r="AN588" s="34">
        <v>21</v>
      </c>
      <c r="AO588" s="34">
        <f t="shared" si="480"/>
        <v>0</v>
      </c>
      <c r="AP588" s="34">
        <f t="shared" si="481"/>
        <v>0</v>
      </c>
      <c r="AQ588" s="28" t="s">
        <v>13</v>
      </c>
      <c r="AV588" s="34">
        <f t="shared" si="482"/>
        <v>0</v>
      </c>
      <c r="AW588" s="34">
        <f t="shared" si="483"/>
        <v>0</v>
      </c>
      <c r="AX588" s="34">
        <f t="shared" si="484"/>
        <v>0</v>
      </c>
      <c r="AY588" s="35" t="s">
        <v>3680</v>
      </c>
      <c r="AZ588" s="35" t="s">
        <v>3714</v>
      </c>
      <c r="BA588" s="27" t="s">
        <v>3729</v>
      </c>
      <c r="BC588" s="34">
        <f t="shared" si="485"/>
        <v>0</v>
      </c>
      <c r="BD588" s="34">
        <f t="shared" si="486"/>
        <v>0</v>
      </c>
      <c r="BE588" s="34">
        <v>0</v>
      </c>
      <c r="BF588" s="34">
        <f>588</f>
        <v>588</v>
      </c>
      <c r="BH588" s="18">
        <f t="shared" si="487"/>
        <v>0</v>
      </c>
      <c r="BI588" s="18">
        <f t="shared" si="488"/>
        <v>0</v>
      </c>
      <c r="BJ588" s="18">
        <f t="shared" si="489"/>
        <v>0</v>
      </c>
    </row>
    <row r="589" spans="1:62" x14ac:dyDescent="0.2">
      <c r="A589" s="5" t="s">
        <v>549</v>
      </c>
      <c r="B589" s="5" t="s">
        <v>1738</v>
      </c>
      <c r="C589" s="135" t="s">
        <v>2948</v>
      </c>
      <c r="D589" s="136"/>
      <c r="E589" s="136"/>
      <c r="F589" s="136"/>
      <c r="G589" s="136"/>
      <c r="H589" s="5" t="s">
        <v>3619</v>
      </c>
      <c r="I589" s="18">
        <v>70</v>
      </c>
      <c r="J589" s="18">
        <v>0</v>
      </c>
      <c r="K589" s="18">
        <f t="shared" si="468"/>
        <v>0</v>
      </c>
      <c r="L589" s="28" t="s">
        <v>3635</v>
      </c>
      <c r="Z589" s="34">
        <f t="shared" si="469"/>
        <v>0</v>
      </c>
      <c r="AB589" s="34">
        <f t="shared" si="470"/>
        <v>0</v>
      </c>
      <c r="AC589" s="34">
        <f t="shared" si="471"/>
        <v>0</v>
      </c>
      <c r="AD589" s="34">
        <f t="shared" si="472"/>
        <v>0</v>
      </c>
      <c r="AE589" s="34">
        <f t="shared" si="473"/>
        <v>0</v>
      </c>
      <c r="AF589" s="34">
        <f t="shared" si="474"/>
        <v>0</v>
      </c>
      <c r="AG589" s="34">
        <f t="shared" si="475"/>
        <v>0</v>
      </c>
      <c r="AH589" s="34">
        <f t="shared" si="476"/>
        <v>0</v>
      </c>
      <c r="AI589" s="27" t="s">
        <v>3645</v>
      </c>
      <c r="AJ589" s="18">
        <f t="shared" si="477"/>
        <v>0</v>
      </c>
      <c r="AK589" s="18">
        <f t="shared" si="478"/>
        <v>0</v>
      </c>
      <c r="AL589" s="18">
        <f t="shared" si="479"/>
        <v>0</v>
      </c>
      <c r="AN589" s="34">
        <v>21</v>
      </c>
      <c r="AO589" s="34">
        <f t="shared" si="480"/>
        <v>0</v>
      </c>
      <c r="AP589" s="34">
        <f t="shared" si="481"/>
        <v>0</v>
      </c>
      <c r="AQ589" s="28" t="s">
        <v>13</v>
      </c>
      <c r="AV589" s="34">
        <f t="shared" si="482"/>
        <v>0</v>
      </c>
      <c r="AW589" s="34">
        <f t="shared" si="483"/>
        <v>0</v>
      </c>
      <c r="AX589" s="34">
        <f t="shared" si="484"/>
        <v>0</v>
      </c>
      <c r="AY589" s="35" t="s">
        <v>3680</v>
      </c>
      <c r="AZ589" s="35" t="s">
        <v>3714</v>
      </c>
      <c r="BA589" s="27" t="s">
        <v>3729</v>
      </c>
      <c r="BC589" s="34">
        <f t="shared" si="485"/>
        <v>0</v>
      </c>
      <c r="BD589" s="34">
        <f t="shared" si="486"/>
        <v>0</v>
      </c>
      <c r="BE589" s="34">
        <v>0</v>
      </c>
      <c r="BF589" s="34">
        <f>589</f>
        <v>589</v>
      </c>
      <c r="BH589" s="18">
        <f t="shared" si="487"/>
        <v>0</v>
      </c>
      <c r="BI589" s="18">
        <f t="shared" si="488"/>
        <v>0</v>
      </c>
      <c r="BJ589" s="18">
        <f t="shared" si="489"/>
        <v>0</v>
      </c>
    </row>
    <row r="590" spans="1:62" x14ac:dyDescent="0.2">
      <c r="A590" s="5" t="s">
        <v>550</v>
      </c>
      <c r="B590" s="5" t="s">
        <v>1739</v>
      </c>
      <c r="C590" s="135" t="s">
        <v>2949</v>
      </c>
      <c r="D590" s="136"/>
      <c r="E590" s="136"/>
      <c r="F590" s="136"/>
      <c r="G590" s="136"/>
      <c r="H590" s="5" t="s">
        <v>3619</v>
      </c>
      <c r="I590" s="18">
        <v>30</v>
      </c>
      <c r="J590" s="18">
        <v>0</v>
      </c>
      <c r="K590" s="18">
        <f t="shared" si="468"/>
        <v>0</v>
      </c>
      <c r="L590" s="28" t="s">
        <v>3635</v>
      </c>
      <c r="Z590" s="34">
        <f t="shared" si="469"/>
        <v>0</v>
      </c>
      <c r="AB590" s="34">
        <f t="shared" si="470"/>
        <v>0</v>
      </c>
      <c r="AC590" s="34">
        <f t="shared" si="471"/>
        <v>0</v>
      </c>
      <c r="AD590" s="34">
        <f t="shared" si="472"/>
        <v>0</v>
      </c>
      <c r="AE590" s="34">
        <f t="shared" si="473"/>
        <v>0</v>
      </c>
      <c r="AF590" s="34">
        <f t="shared" si="474"/>
        <v>0</v>
      </c>
      <c r="AG590" s="34">
        <f t="shared" si="475"/>
        <v>0</v>
      </c>
      <c r="AH590" s="34">
        <f t="shared" si="476"/>
        <v>0</v>
      </c>
      <c r="AI590" s="27" t="s">
        <v>3645</v>
      </c>
      <c r="AJ590" s="18">
        <f t="shared" si="477"/>
        <v>0</v>
      </c>
      <c r="AK590" s="18">
        <f t="shared" si="478"/>
        <v>0</v>
      </c>
      <c r="AL590" s="18">
        <f t="shared" si="479"/>
        <v>0</v>
      </c>
      <c r="AN590" s="34">
        <v>21</v>
      </c>
      <c r="AO590" s="34">
        <f t="shared" si="480"/>
        <v>0</v>
      </c>
      <c r="AP590" s="34">
        <f t="shared" si="481"/>
        <v>0</v>
      </c>
      <c r="AQ590" s="28" t="s">
        <v>13</v>
      </c>
      <c r="AV590" s="34">
        <f t="shared" si="482"/>
        <v>0</v>
      </c>
      <c r="AW590" s="34">
        <f t="shared" si="483"/>
        <v>0</v>
      </c>
      <c r="AX590" s="34">
        <f t="shared" si="484"/>
        <v>0</v>
      </c>
      <c r="AY590" s="35" t="s">
        <v>3680</v>
      </c>
      <c r="AZ590" s="35" t="s">
        <v>3714</v>
      </c>
      <c r="BA590" s="27" t="s">
        <v>3729</v>
      </c>
      <c r="BC590" s="34">
        <f t="shared" si="485"/>
        <v>0</v>
      </c>
      <c r="BD590" s="34">
        <f t="shared" si="486"/>
        <v>0</v>
      </c>
      <c r="BE590" s="34">
        <v>0</v>
      </c>
      <c r="BF590" s="34">
        <f>590</f>
        <v>590</v>
      </c>
      <c r="BH590" s="18">
        <f t="shared" si="487"/>
        <v>0</v>
      </c>
      <c r="BI590" s="18">
        <f t="shared" si="488"/>
        <v>0</v>
      </c>
      <c r="BJ590" s="18">
        <f t="shared" si="489"/>
        <v>0</v>
      </c>
    </row>
    <row r="591" spans="1:62" x14ac:dyDescent="0.2">
      <c r="A591" s="5" t="s">
        <v>551</v>
      </c>
      <c r="B591" s="5" t="s">
        <v>1740</v>
      </c>
      <c r="C591" s="135" t="s">
        <v>2950</v>
      </c>
      <c r="D591" s="136"/>
      <c r="E591" s="136"/>
      <c r="F591" s="136"/>
      <c r="G591" s="136"/>
      <c r="H591" s="5" t="s">
        <v>3618</v>
      </c>
      <c r="I591" s="18">
        <v>1</v>
      </c>
      <c r="J591" s="18">
        <v>0</v>
      </c>
      <c r="K591" s="18">
        <f t="shared" si="468"/>
        <v>0</v>
      </c>
      <c r="L591" s="28" t="s">
        <v>3635</v>
      </c>
      <c r="Z591" s="34">
        <f t="shared" si="469"/>
        <v>0</v>
      </c>
      <c r="AB591" s="34">
        <f t="shared" si="470"/>
        <v>0</v>
      </c>
      <c r="AC591" s="34">
        <f t="shared" si="471"/>
        <v>0</v>
      </c>
      <c r="AD591" s="34">
        <f t="shared" si="472"/>
        <v>0</v>
      </c>
      <c r="AE591" s="34">
        <f t="shared" si="473"/>
        <v>0</v>
      </c>
      <c r="AF591" s="34">
        <f t="shared" si="474"/>
        <v>0</v>
      </c>
      <c r="AG591" s="34">
        <f t="shared" si="475"/>
        <v>0</v>
      </c>
      <c r="AH591" s="34">
        <f t="shared" si="476"/>
        <v>0</v>
      </c>
      <c r="AI591" s="27" t="s">
        <v>3645</v>
      </c>
      <c r="AJ591" s="18">
        <f t="shared" si="477"/>
        <v>0</v>
      </c>
      <c r="AK591" s="18">
        <f t="shared" si="478"/>
        <v>0</v>
      </c>
      <c r="AL591" s="18">
        <f t="shared" si="479"/>
        <v>0</v>
      </c>
      <c r="AN591" s="34">
        <v>21</v>
      </c>
      <c r="AO591" s="34">
        <f t="shared" si="480"/>
        <v>0</v>
      </c>
      <c r="AP591" s="34">
        <f t="shared" si="481"/>
        <v>0</v>
      </c>
      <c r="AQ591" s="28" t="s">
        <v>13</v>
      </c>
      <c r="AV591" s="34">
        <f t="shared" si="482"/>
        <v>0</v>
      </c>
      <c r="AW591" s="34">
        <f t="shared" si="483"/>
        <v>0</v>
      </c>
      <c r="AX591" s="34">
        <f t="shared" si="484"/>
        <v>0</v>
      </c>
      <c r="AY591" s="35" t="s">
        <v>3680</v>
      </c>
      <c r="AZ591" s="35" t="s">
        <v>3714</v>
      </c>
      <c r="BA591" s="27" t="s">
        <v>3729</v>
      </c>
      <c r="BC591" s="34">
        <f t="shared" si="485"/>
        <v>0</v>
      </c>
      <c r="BD591" s="34">
        <f t="shared" si="486"/>
        <v>0</v>
      </c>
      <c r="BE591" s="34">
        <v>0</v>
      </c>
      <c r="BF591" s="34">
        <f>591</f>
        <v>591</v>
      </c>
      <c r="BH591" s="18">
        <f t="shared" si="487"/>
        <v>0</v>
      </c>
      <c r="BI591" s="18">
        <f t="shared" si="488"/>
        <v>0</v>
      </c>
      <c r="BJ591" s="18">
        <f t="shared" si="489"/>
        <v>0</v>
      </c>
    </row>
    <row r="592" spans="1:62" x14ac:dyDescent="0.2">
      <c r="A592" s="5" t="s">
        <v>552</v>
      </c>
      <c r="B592" s="5" t="s">
        <v>1741</v>
      </c>
      <c r="C592" s="135" t="s">
        <v>2798</v>
      </c>
      <c r="D592" s="136"/>
      <c r="E592" s="136"/>
      <c r="F592" s="136"/>
      <c r="G592" s="136"/>
      <c r="H592" s="5" t="s">
        <v>3619</v>
      </c>
      <c r="I592" s="18">
        <v>15</v>
      </c>
      <c r="J592" s="18">
        <v>0</v>
      </c>
      <c r="K592" s="18">
        <f t="shared" si="468"/>
        <v>0</v>
      </c>
      <c r="L592" s="28" t="s">
        <v>3635</v>
      </c>
      <c r="Z592" s="34">
        <f t="shared" si="469"/>
        <v>0</v>
      </c>
      <c r="AB592" s="34">
        <f t="shared" si="470"/>
        <v>0</v>
      </c>
      <c r="AC592" s="34">
        <f t="shared" si="471"/>
        <v>0</v>
      </c>
      <c r="AD592" s="34">
        <f t="shared" si="472"/>
        <v>0</v>
      </c>
      <c r="AE592" s="34">
        <f t="shared" si="473"/>
        <v>0</v>
      </c>
      <c r="AF592" s="34">
        <f t="shared" si="474"/>
        <v>0</v>
      </c>
      <c r="AG592" s="34">
        <f t="shared" si="475"/>
        <v>0</v>
      </c>
      <c r="AH592" s="34">
        <f t="shared" si="476"/>
        <v>0</v>
      </c>
      <c r="AI592" s="27" t="s">
        <v>3645</v>
      </c>
      <c r="AJ592" s="18">
        <f t="shared" si="477"/>
        <v>0</v>
      </c>
      <c r="AK592" s="18">
        <f t="shared" si="478"/>
        <v>0</v>
      </c>
      <c r="AL592" s="18">
        <f t="shared" si="479"/>
        <v>0</v>
      </c>
      <c r="AN592" s="34">
        <v>21</v>
      </c>
      <c r="AO592" s="34">
        <f t="shared" si="480"/>
        <v>0</v>
      </c>
      <c r="AP592" s="34">
        <f t="shared" si="481"/>
        <v>0</v>
      </c>
      <c r="AQ592" s="28" t="s">
        <v>13</v>
      </c>
      <c r="AV592" s="34">
        <f t="shared" si="482"/>
        <v>0</v>
      </c>
      <c r="AW592" s="34">
        <f t="shared" si="483"/>
        <v>0</v>
      </c>
      <c r="AX592" s="34">
        <f t="shared" si="484"/>
        <v>0</v>
      </c>
      <c r="AY592" s="35" t="s">
        <v>3680</v>
      </c>
      <c r="AZ592" s="35" t="s">
        <v>3714</v>
      </c>
      <c r="BA592" s="27" t="s">
        <v>3729</v>
      </c>
      <c r="BC592" s="34">
        <f t="shared" si="485"/>
        <v>0</v>
      </c>
      <c r="BD592" s="34">
        <f t="shared" si="486"/>
        <v>0</v>
      </c>
      <c r="BE592" s="34">
        <v>0</v>
      </c>
      <c r="BF592" s="34">
        <f>592</f>
        <v>592</v>
      </c>
      <c r="BH592" s="18">
        <f t="shared" si="487"/>
        <v>0</v>
      </c>
      <c r="BI592" s="18">
        <f t="shared" si="488"/>
        <v>0</v>
      </c>
      <c r="BJ592" s="18">
        <f t="shared" si="489"/>
        <v>0</v>
      </c>
    </row>
    <row r="593" spans="1:62" x14ac:dyDescent="0.2">
      <c r="A593" s="5" t="s">
        <v>553</v>
      </c>
      <c r="B593" s="5" t="s">
        <v>1742</v>
      </c>
      <c r="C593" s="135" t="s">
        <v>2799</v>
      </c>
      <c r="D593" s="136"/>
      <c r="E593" s="136"/>
      <c r="F593" s="136"/>
      <c r="G593" s="136"/>
      <c r="H593" s="5" t="s">
        <v>3618</v>
      </c>
      <c r="I593" s="18">
        <v>1</v>
      </c>
      <c r="J593" s="18">
        <v>0</v>
      </c>
      <c r="K593" s="18">
        <f t="shared" si="468"/>
        <v>0</v>
      </c>
      <c r="L593" s="28" t="s">
        <v>3635</v>
      </c>
      <c r="Z593" s="34">
        <f t="shared" si="469"/>
        <v>0</v>
      </c>
      <c r="AB593" s="34">
        <f t="shared" si="470"/>
        <v>0</v>
      </c>
      <c r="AC593" s="34">
        <f t="shared" si="471"/>
        <v>0</v>
      </c>
      <c r="AD593" s="34">
        <f t="shared" si="472"/>
        <v>0</v>
      </c>
      <c r="AE593" s="34">
        <f t="shared" si="473"/>
        <v>0</v>
      </c>
      <c r="AF593" s="34">
        <f t="shared" si="474"/>
        <v>0</v>
      </c>
      <c r="AG593" s="34">
        <f t="shared" si="475"/>
        <v>0</v>
      </c>
      <c r="AH593" s="34">
        <f t="shared" si="476"/>
        <v>0</v>
      </c>
      <c r="AI593" s="27" t="s">
        <v>3645</v>
      </c>
      <c r="AJ593" s="18">
        <f t="shared" si="477"/>
        <v>0</v>
      </c>
      <c r="AK593" s="18">
        <f t="shared" si="478"/>
        <v>0</v>
      </c>
      <c r="AL593" s="18">
        <f t="shared" si="479"/>
        <v>0</v>
      </c>
      <c r="AN593" s="34">
        <v>21</v>
      </c>
      <c r="AO593" s="34">
        <f t="shared" si="480"/>
        <v>0</v>
      </c>
      <c r="AP593" s="34">
        <f t="shared" si="481"/>
        <v>0</v>
      </c>
      <c r="AQ593" s="28" t="s">
        <v>13</v>
      </c>
      <c r="AV593" s="34">
        <f t="shared" si="482"/>
        <v>0</v>
      </c>
      <c r="AW593" s="34">
        <f t="shared" si="483"/>
        <v>0</v>
      </c>
      <c r="AX593" s="34">
        <f t="shared" si="484"/>
        <v>0</v>
      </c>
      <c r="AY593" s="35" t="s">
        <v>3680</v>
      </c>
      <c r="AZ593" s="35" t="s">
        <v>3714</v>
      </c>
      <c r="BA593" s="27" t="s">
        <v>3729</v>
      </c>
      <c r="BC593" s="34">
        <f t="shared" si="485"/>
        <v>0</v>
      </c>
      <c r="BD593" s="34">
        <f t="shared" si="486"/>
        <v>0</v>
      </c>
      <c r="BE593" s="34">
        <v>0</v>
      </c>
      <c r="BF593" s="34">
        <f>593</f>
        <v>593</v>
      </c>
      <c r="BH593" s="18">
        <f t="shared" si="487"/>
        <v>0</v>
      </c>
      <c r="BI593" s="18">
        <f t="shared" si="488"/>
        <v>0</v>
      </c>
      <c r="BJ593" s="18">
        <f t="shared" si="489"/>
        <v>0</v>
      </c>
    </row>
    <row r="594" spans="1:62" x14ac:dyDescent="0.2">
      <c r="A594" s="5" t="s">
        <v>554</v>
      </c>
      <c r="B594" s="5" t="s">
        <v>1743</v>
      </c>
      <c r="C594" s="135" t="s">
        <v>2800</v>
      </c>
      <c r="D594" s="136"/>
      <c r="E594" s="136"/>
      <c r="F594" s="136"/>
      <c r="G594" s="136"/>
      <c r="H594" s="5" t="s">
        <v>3612</v>
      </c>
      <c r="I594" s="18">
        <v>1</v>
      </c>
      <c r="J594" s="18">
        <v>0</v>
      </c>
      <c r="K594" s="18">
        <f t="shared" si="468"/>
        <v>0</v>
      </c>
      <c r="L594" s="28" t="s">
        <v>3635</v>
      </c>
      <c r="Z594" s="34">
        <f t="shared" si="469"/>
        <v>0</v>
      </c>
      <c r="AB594" s="34">
        <f t="shared" si="470"/>
        <v>0</v>
      </c>
      <c r="AC594" s="34">
        <f t="shared" si="471"/>
        <v>0</v>
      </c>
      <c r="AD594" s="34">
        <f t="shared" si="472"/>
        <v>0</v>
      </c>
      <c r="AE594" s="34">
        <f t="shared" si="473"/>
        <v>0</v>
      </c>
      <c r="AF594" s="34">
        <f t="shared" si="474"/>
        <v>0</v>
      </c>
      <c r="AG594" s="34">
        <f t="shared" si="475"/>
        <v>0</v>
      </c>
      <c r="AH594" s="34">
        <f t="shared" si="476"/>
        <v>0</v>
      </c>
      <c r="AI594" s="27" t="s">
        <v>3645</v>
      </c>
      <c r="AJ594" s="18">
        <f t="shared" si="477"/>
        <v>0</v>
      </c>
      <c r="AK594" s="18">
        <f t="shared" si="478"/>
        <v>0</v>
      </c>
      <c r="AL594" s="18">
        <f t="shared" si="479"/>
        <v>0</v>
      </c>
      <c r="AN594" s="34">
        <v>21</v>
      </c>
      <c r="AO594" s="34">
        <f t="shared" si="480"/>
        <v>0</v>
      </c>
      <c r="AP594" s="34">
        <f t="shared" si="481"/>
        <v>0</v>
      </c>
      <c r="AQ594" s="28" t="s">
        <v>13</v>
      </c>
      <c r="AV594" s="34">
        <f t="shared" si="482"/>
        <v>0</v>
      </c>
      <c r="AW594" s="34">
        <f t="shared" si="483"/>
        <v>0</v>
      </c>
      <c r="AX594" s="34">
        <f t="shared" si="484"/>
        <v>0</v>
      </c>
      <c r="AY594" s="35" t="s">
        <v>3680</v>
      </c>
      <c r="AZ594" s="35" t="s">
        <v>3714</v>
      </c>
      <c r="BA594" s="27" t="s">
        <v>3729</v>
      </c>
      <c r="BC594" s="34">
        <f t="shared" si="485"/>
        <v>0</v>
      </c>
      <c r="BD594" s="34">
        <f t="shared" si="486"/>
        <v>0</v>
      </c>
      <c r="BE594" s="34">
        <v>0</v>
      </c>
      <c r="BF594" s="34">
        <f>594</f>
        <v>594</v>
      </c>
      <c r="BH594" s="18">
        <f t="shared" si="487"/>
        <v>0</v>
      </c>
      <c r="BI594" s="18">
        <f t="shared" si="488"/>
        <v>0</v>
      </c>
      <c r="BJ594" s="18">
        <f t="shared" si="489"/>
        <v>0</v>
      </c>
    </row>
    <row r="595" spans="1:62" x14ac:dyDescent="0.2">
      <c r="A595" s="5" t="s">
        <v>555</v>
      </c>
      <c r="B595" s="5" t="s">
        <v>1744</v>
      </c>
      <c r="C595" s="135" t="s">
        <v>2801</v>
      </c>
      <c r="D595" s="136"/>
      <c r="E595" s="136"/>
      <c r="F595" s="136"/>
      <c r="G595" s="136"/>
      <c r="H595" s="5" t="s">
        <v>3612</v>
      </c>
      <c r="I595" s="18">
        <v>1</v>
      </c>
      <c r="J595" s="18">
        <v>0</v>
      </c>
      <c r="K595" s="18">
        <f t="shared" si="468"/>
        <v>0</v>
      </c>
      <c r="L595" s="28" t="s">
        <v>3635</v>
      </c>
      <c r="Z595" s="34">
        <f t="shared" si="469"/>
        <v>0</v>
      </c>
      <c r="AB595" s="34">
        <f t="shared" si="470"/>
        <v>0</v>
      </c>
      <c r="AC595" s="34">
        <f t="shared" si="471"/>
        <v>0</v>
      </c>
      <c r="AD595" s="34">
        <f t="shared" si="472"/>
        <v>0</v>
      </c>
      <c r="AE595" s="34">
        <f t="shared" si="473"/>
        <v>0</v>
      </c>
      <c r="AF595" s="34">
        <f t="shared" si="474"/>
        <v>0</v>
      </c>
      <c r="AG595" s="34">
        <f t="shared" si="475"/>
        <v>0</v>
      </c>
      <c r="AH595" s="34">
        <f t="shared" si="476"/>
        <v>0</v>
      </c>
      <c r="AI595" s="27" t="s">
        <v>3645</v>
      </c>
      <c r="AJ595" s="18">
        <f t="shared" si="477"/>
        <v>0</v>
      </c>
      <c r="AK595" s="18">
        <f t="shared" si="478"/>
        <v>0</v>
      </c>
      <c r="AL595" s="18">
        <f t="shared" si="479"/>
        <v>0</v>
      </c>
      <c r="AN595" s="34">
        <v>21</v>
      </c>
      <c r="AO595" s="34">
        <f t="shared" si="480"/>
        <v>0</v>
      </c>
      <c r="AP595" s="34">
        <f t="shared" si="481"/>
        <v>0</v>
      </c>
      <c r="AQ595" s="28" t="s">
        <v>13</v>
      </c>
      <c r="AV595" s="34">
        <f t="shared" si="482"/>
        <v>0</v>
      </c>
      <c r="AW595" s="34">
        <f t="shared" si="483"/>
        <v>0</v>
      </c>
      <c r="AX595" s="34">
        <f t="shared" si="484"/>
        <v>0</v>
      </c>
      <c r="AY595" s="35" t="s">
        <v>3680</v>
      </c>
      <c r="AZ595" s="35" t="s">
        <v>3714</v>
      </c>
      <c r="BA595" s="27" t="s">
        <v>3729</v>
      </c>
      <c r="BC595" s="34">
        <f t="shared" si="485"/>
        <v>0</v>
      </c>
      <c r="BD595" s="34">
        <f t="shared" si="486"/>
        <v>0</v>
      </c>
      <c r="BE595" s="34">
        <v>0</v>
      </c>
      <c r="BF595" s="34">
        <f>595</f>
        <v>595</v>
      </c>
      <c r="BH595" s="18">
        <f t="shared" si="487"/>
        <v>0</v>
      </c>
      <c r="BI595" s="18">
        <f t="shared" si="488"/>
        <v>0</v>
      </c>
      <c r="BJ595" s="18">
        <f t="shared" si="489"/>
        <v>0</v>
      </c>
    </row>
    <row r="596" spans="1:62" x14ac:dyDescent="0.2">
      <c r="A596" s="4"/>
      <c r="B596" s="14" t="s">
        <v>737</v>
      </c>
      <c r="C596" s="133" t="s">
        <v>2951</v>
      </c>
      <c r="D596" s="134"/>
      <c r="E596" s="134"/>
      <c r="F596" s="134"/>
      <c r="G596" s="134"/>
      <c r="H596" s="4" t="s">
        <v>6</v>
      </c>
      <c r="I596" s="4" t="s">
        <v>6</v>
      </c>
      <c r="J596" s="4" t="s">
        <v>6</v>
      </c>
      <c r="K596" s="37">
        <f>SUM(K597:K666)</f>
        <v>0</v>
      </c>
      <c r="L596" s="27"/>
      <c r="AI596" s="27" t="s">
        <v>3645</v>
      </c>
      <c r="AS596" s="37">
        <f>SUM(AJ597:AJ666)</f>
        <v>0</v>
      </c>
      <c r="AT596" s="37">
        <f>SUM(AK597:AK666)</f>
        <v>0</v>
      </c>
      <c r="AU596" s="37">
        <f>SUM(AL597:AL666)</f>
        <v>0</v>
      </c>
    </row>
    <row r="597" spans="1:62" x14ac:dyDescent="0.2">
      <c r="A597" s="5" t="s">
        <v>556</v>
      </c>
      <c r="B597" s="5" t="s">
        <v>1745</v>
      </c>
      <c r="C597" s="135" t="s">
        <v>2952</v>
      </c>
      <c r="D597" s="136"/>
      <c r="E597" s="136"/>
      <c r="F597" s="136"/>
      <c r="G597" s="136"/>
      <c r="H597" s="5" t="s">
        <v>3614</v>
      </c>
      <c r="I597" s="18">
        <v>362.25</v>
      </c>
      <c r="J597" s="18">
        <v>0</v>
      </c>
      <c r="K597" s="18">
        <f t="shared" ref="K597:K628" si="490">I597*J597</f>
        <v>0</v>
      </c>
      <c r="L597" s="28" t="s">
        <v>3635</v>
      </c>
      <c r="Z597" s="34">
        <f t="shared" ref="Z597:Z628" si="491">IF(AQ597="5",BJ597,0)</f>
        <v>0</v>
      </c>
      <c r="AB597" s="34">
        <f t="shared" ref="AB597:AB628" si="492">IF(AQ597="1",BH597,0)</f>
        <v>0</v>
      </c>
      <c r="AC597" s="34">
        <f t="shared" ref="AC597:AC628" si="493">IF(AQ597="1",BI597,0)</f>
        <v>0</v>
      </c>
      <c r="AD597" s="34">
        <f t="shared" ref="AD597:AD628" si="494">IF(AQ597="7",BH597,0)</f>
        <v>0</v>
      </c>
      <c r="AE597" s="34">
        <f t="shared" ref="AE597:AE628" si="495">IF(AQ597="7",BI597,0)</f>
        <v>0</v>
      </c>
      <c r="AF597" s="34">
        <f t="shared" ref="AF597:AF628" si="496">IF(AQ597="2",BH597,0)</f>
        <v>0</v>
      </c>
      <c r="AG597" s="34">
        <f t="shared" ref="AG597:AG628" si="497">IF(AQ597="2",BI597,0)</f>
        <v>0</v>
      </c>
      <c r="AH597" s="34">
        <f t="shared" ref="AH597:AH628" si="498">IF(AQ597="0",BJ597,0)</f>
        <v>0</v>
      </c>
      <c r="AI597" s="27" t="s">
        <v>3645</v>
      </c>
      <c r="AJ597" s="18">
        <f t="shared" ref="AJ597:AJ628" si="499">IF(AN597=0,K597,0)</f>
        <v>0</v>
      </c>
      <c r="AK597" s="18">
        <f t="shared" ref="AK597:AK628" si="500">IF(AN597=15,K597,0)</f>
        <v>0</v>
      </c>
      <c r="AL597" s="18">
        <f t="shared" ref="AL597:AL628" si="501">IF(AN597=21,K597,0)</f>
        <v>0</v>
      </c>
      <c r="AN597" s="34">
        <v>21</v>
      </c>
      <c r="AO597" s="34">
        <f t="shared" ref="AO597:AO628" si="502">J597*0</f>
        <v>0</v>
      </c>
      <c r="AP597" s="34">
        <f t="shared" ref="AP597:AP628" si="503">J597*(1-0)</f>
        <v>0</v>
      </c>
      <c r="AQ597" s="28" t="s">
        <v>13</v>
      </c>
      <c r="AV597" s="34">
        <f t="shared" ref="AV597:AV628" si="504">AW597+AX597</f>
        <v>0</v>
      </c>
      <c r="AW597" s="34">
        <f t="shared" ref="AW597:AW628" si="505">I597*AO597</f>
        <v>0</v>
      </c>
      <c r="AX597" s="34">
        <f t="shared" ref="AX597:AX628" si="506">I597*AP597</f>
        <v>0</v>
      </c>
      <c r="AY597" s="35" t="s">
        <v>3681</v>
      </c>
      <c r="AZ597" s="35" t="s">
        <v>3715</v>
      </c>
      <c r="BA597" s="27" t="s">
        <v>3729</v>
      </c>
      <c r="BC597" s="34">
        <f t="shared" ref="BC597:BC628" si="507">AW597+AX597</f>
        <v>0</v>
      </c>
      <c r="BD597" s="34">
        <f t="shared" ref="BD597:BD628" si="508">J597/(100-BE597)*100</f>
        <v>0</v>
      </c>
      <c r="BE597" s="34">
        <v>0</v>
      </c>
      <c r="BF597" s="34">
        <f>597</f>
        <v>597</v>
      </c>
      <c r="BH597" s="18">
        <f t="shared" ref="BH597:BH628" si="509">I597*AO597</f>
        <v>0</v>
      </c>
      <c r="BI597" s="18">
        <f t="shared" ref="BI597:BI628" si="510">I597*AP597</f>
        <v>0</v>
      </c>
      <c r="BJ597" s="18">
        <f t="shared" ref="BJ597:BJ628" si="511">I597*J597</f>
        <v>0</v>
      </c>
    </row>
    <row r="598" spans="1:62" x14ac:dyDescent="0.2">
      <c r="A598" s="5" t="s">
        <v>557</v>
      </c>
      <c r="B598" s="5" t="s">
        <v>1746</v>
      </c>
      <c r="C598" s="135" t="s">
        <v>2953</v>
      </c>
      <c r="D598" s="136"/>
      <c r="E598" s="136"/>
      <c r="F598" s="136"/>
      <c r="G598" s="136"/>
      <c r="H598" s="5" t="s">
        <v>3614</v>
      </c>
      <c r="I598" s="18">
        <v>192</v>
      </c>
      <c r="J598" s="18">
        <v>0</v>
      </c>
      <c r="K598" s="18">
        <f t="shared" si="490"/>
        <v>0</v>
      </c>
      <c r="L598" s="28" t="s">
        <v>3635</v>
      </c>
      <c r="Z598" s="34">
        <f t="shared" si="491"/>
        <v>0</v>
      </c>
      <c r="AB598" s="34">
        <f t="shared" si="492"/>
        <v>0</v>
      </c>
      <c r="AC598" s="34">
        <f t="shared" si="493"/>
        <v>0</v>
      </c>
      <c r="AD598" s="34">
        <f t="shared" si="494"/>
        <v>0</v>
      </c>
      <c r="AE598" s="34">
        <f t="shared" si="495"/>
        <v>0</v>
      </c>
      <c r="AF598" s="34">
        <f t="shared" si="496"/>
        <v>0</v>
      </c>
      <c r="AG598" s="34">
        <f t="shared" si="497"/>
        <v>0</v>
      </c>
      <c r="AH598" s="34">
        <f t="shared" si="498"/>
        <v>0</v>
      </c>
      <c r="AI598" s="27" t="s">
        <v>3645</v>
      </c>
      <c r="AJ598" s="18">
        <f t="shared" si="499"/>
        <v>0</v>
      </c>
      <c r="AK598" s="18">
        <f t="shared" si="500"/>
        <v>0</v>
      </c>
      <c r="AL598" s="18">
        <f t="shared" si="501"/>
        <v>0</v>
      </c>
      <c r="AN598" s="34">
        <v>21</v>
      </c>
      <c r="AO598" s="34">
        <f t="shared" si="502"/>
        <v>0</v>
      </c>
      <c r="AP598" s="34">
        <f t="shared" si="503"/>
        <v>0</v>
      </c>
      <c r="AQ598" s="28" t="s">
        <v>13</v>
      </c>
      <c r="AV598" s="34">
        <f t="shared" si="504"/>
        <v>0</v>
      </c>
      <c r="AW598" s="34">
        <f t="shared" si="505"/>
        <v>0</v>
      </c>
      <c r="AX598" s="34">
        <f t="shared" si="506"/>
        <v>0</v>
      </c>
      <c r="AY598" s="35" t="s">
        <v>3681</v>
      </c>
      <c r="AZ598" s="35" t="s">
        <v>3715</v>
      </c>
      <c r="BA598" s="27" t="s">
        <v>3729</v>
      </c>
      <c r="BC598" s="34">
        <f t="shared" si="507"/>
        <v>0</v>
      </c>
      <c r="BD598" s="34">
        <f t="shared" si="508"/>
        <v>0</v>
      </c>
      <c r="BE598" s="34">
        <v>0</v>
      </c>
      <c r="BF598" s="34">
        <f>598</f>
        <v>598</v>
      </c>
      <c r="BH598" s="18">
        <f t="shared" si="509"/>
        <v>0</v>
      </c>
      <c r="BI598" s="18">
        <f t="shared" si="510"/>
        <v>0</v>
      </c>
      <c r="BJ598" s="18">
        <f t="shared" si="511"/>
        <v>0</v>
      </c>
    </row>
    <row r="599" spans="1:62" x14ac:dyDescent="0.2">
      <c r="A599" s="5" t="s">
        <v>558</v>
      </c>
      <c r="B599" s="5" t="s">
        <v>1747</v>
      </c>
      <c r="C599" s="135" t="s">
        <v>2804</v>
      </c>
      <c r="D599" s="136"/>
      <c r="E599" s="136"/>
      <c r="F599" s="136"/>
      <c r="G599" s="136"/>
      <c r="H599" s="5" t="s">
        <v>3614</v>
      </c>
      <c r="I599" s="18">
        <v>96</v>
      </c>
      <c r="J599" s="18">
        <v>0</v>
      </c>
      <c r="K599" s="18">
        <f t="shared" si="490"/>
        <v>0</v>
      </c>
      <c r="L599" s="28" t="s">
        <v>3635</v>
      </c>
      <c r="Z599" s="34">
        <f t="shared" si="491"/>
        <v>0</v>
      </c>
      <c r="AB599" s="34">
        <f t="shared" si="492"/>
        <v>0</v>
      </c>
      <c r="AC599" s="34">
        <f t="shared" si="493"/>
        <v>0</v>
      </c>
      <c r="AD599" s="34">
        <f t="shared" si="494"/>
        <v>0</v>
      </c>
      <c r="AE599" s="34">
        <f t="shared" si="495"/>
        <v>0</v>
      </c>
      <c r="AF599" s="34">
        <f t="shared" si="496"/>
        <v>0</v>
      </c>
      <c r="AG599" s="34">
        <f t="shared" si="497"/>
        <v>0</v>
      </c>
      <c r="AH599" s="34">
        <f t="shared" si="498"/>
        <v>0</v>
      </c>
      <c r="AI599" s="27" t="s">
        <v>3645</v>
      </c>
      <c r="AJ599" s="18">
        <f t="shared" si="499"/>
        <v>0</v>
      </c>
      <c r="AK599" s="18">
        <f t="shared" si="500"/>
        <v>0</v>
      </c>
      <c r="AL599" s="18">
        <f t="shared" si="501"/>
        <v>0</v>
      </c>
      <c r="AN599" s="34">
        <v>21</v>
      </c>
      <c r="AO599" s="34">
        <f t="shared" si="502"/>
        <v>0</v>
      </c>
      <c r="AP599" s="34">
        <f t="shared" si="503"/>
        <v>0</v>
      </c>
      <c r="AQ599" s="28" t="s">
        <v>13</v>
      </c>
      <c r="AV599" s="34">
        <f t="shared" si="504"/>
        <v>0</v>
      </c>
      <c r="AW599" s="34">
        <f t="shared" si="505"/>
        <v>0</v>
      </c>
      <c r="AX599" s="34">
        <f t="shared" si="506"/>
        <v>0</v>
      </c>
      <c r="AY599" s="35" t="s">
        <v>3681</v>
      </c>
      <c r="AZ599" s="35" t="s">
        <v>3715</v>
      </c>
      <c r="BA599" s="27" t="s">
        <v>3729</v>
      </c>
      <c r="BC599" s="34">
        <f t="shared" si="507"/>
        <v>0</v>
      </c>
      <c r="BD599" s="34">
        <f t="shared" si="508"/>
        <v>0</v>
      </c>
      <c r="BE599" s="34">
        <v>0</v>
      </c>
      <c r="BF599" s="34">
        <f>599</f>
        <v>599</v>
      </c>
      <c r="BH599" s="18">
        <f t="shared" si="509"/>
        <v>0</v>
      </c>
      <c r="BI599" s="18">
        <f t="shared" si="510"/>
        <v>0</v>
      </c>
      <c r="BJ599" s="18">
        <f t="shared" si="511"/>
        <v>0</v>
      </c>
    </row>
    <row r="600" spans="1:62" x14ac:dyDescent="0.2">
      <c r="A600" s="5" t="s">
        <v>559</v>
      </c>
      <c r="B600" s="5" t="s">
        <v>1748</v>
      </c>
      <c r="C600" s="135" t="s">
        <v>2954</v>
      </c>
      <c r="D600" s="136"/>
      <c r="E600" s="136"/>
      <c r="F600" s="136"/>
      <c r="G600" s="136"/>
      <c r="H600" s="5" t="s">
        <v>3612</v>
      </c>
      <c r="I600" s="18">
        <v>17</v>
      </c>
      <c r="J600" s="18">
        <v>0</v>
      </c>
      <c r="K600" s="18">
        <f t="shared" si="490"/>
        <v>0</v>
      </c>
      <c r="L600" s="28" t="s">
        <v>3635</v>
      </c>
      <c r="Z600" s="34">
        <f t="shared" si="491"/>
        <v>0</v>
      </c>
      <c r="AB600" s="34">
        <f t="shared" si="492"/>
        <v>0</v>
      </c>
      <c r="AC600" s="34">
        <f t="shared" si="493"/>
        <v>0</v>
      </c>
      <c r="AD600" s="34">
        <f t="shared" si="494"/>
        <v>0</v>
      </c>
      <c r="AE600" s="34">
        <f t="shared" si="495"/>
        <v>0</v>
      </c>
      <c r="AF600" s="34">
        <f t="shared" si="496"/>
        <v>0</v>
      </c>
      <c r="AG600" s="34">
        <f t="shared" si="497"/>
        <v>0</v>
      </c>
      <c r="AH600" s="34">
        <f t="shared" si="498"/>
        <v>0</v>
      </c>
      <c r="AI600" s="27" t="s">
        <v>3645</v>
      </c>
      <c r="AJ600" s="18">
        <f t="shared" si="499"/>
        <v>0</v>
      </c>
      <c r="AK600" s="18">
        <f t="shared" si="500"/>
        <v>0</v>
      </c>
      <c r="AL600" s="18">
        <f t="shared" si="501"/>
        <v>0</v>
      </c>
      <c r="AN600" s="34">
        <v>21</v>
      </c>
      <c r="AO600" s="34">
        <f t="shared" si="502"/>
        <v>0</v>
      </c>
      <c r="AP600" s="34">
        <f t="shared" si="503"/>
        <v>0</v>
      </c>
      <c r="AQ600" s="28" t="s">
        <v>13</v>
      </c>
      <c r="AV600" s="34">
        <f t="shared" si="504"/>
        <v>0</v>
      </c>
      <c r="AW600" s="34">
        <f t="shared" si="505"/>
        <v>0</v>
      </c>
      <c r="AX600" s="34">
        <f t="shared" si="506"/>
        <v>0</v>
      </c>
      <c r="AY600" s="35" t="s">
        <v>3681</v>
      </c>
      <c r="AZ600" s="35" t="s">
        <v>3715</v>
      </c>
      <c r="BA600" s="27" t="s">
        <v>3729</v>
      </c>
      <c r="BC600" s="34">
        <f t="shared" si="507"/>
        <v>0</v>
      </c>
      <c r="BD600" s="34">
        <f t="shared" si="508"/>
        <v>0</v>
      </c>
      <c r="BE600" s="34">
        <v>0</v>
      </c>
      <c r="BF600" s="34">
        <f>600</f>
        <v>600</v>
      </c>
      <c r="BH600" s="18">
        <f t="shared" si="509"/>
        <v>0</v>
      </c>
      <c r="BI600" s="18">
        <f t="shared" si="510"/>
        <v>0</v>
      </c>
      <c r="BJ600" s="18">
        <f t="shared" si="511"/>
        <v>0</v>
      </c>
    </row>
    <row r="601" spans="1:62" x14ac:dyDescent="0.2">
      <c r="A601" s="5" t="s">
        <v>560</v>
      </c>
      <c r="B601" s="5" t="s">
        <v>1749</v>
      </c>
      <c r="C601" s="135" t="s">
        <v>2955</v>
      </c>
      <c r="D601" s="136"/>
      <c r="E601" s="136"/>
      <c r="F601" s="136"/>
      <c r="G601" s="136"/>
      <c r="H601" s="5" t="s">
        <v>3612</v>
      </c>
      <c r="I601" s="18">
        <v>3</v>
      </c>
      <c r="J601" s="18">
        <v>0</v>
      </c>
      <c r="K601" s="18">
        <f t="shared" si="490"/>
        <v>0</v>
      </c>
      <c r="L601" s="28" t="s">
        <v>3635</v>
      </c>
      <c r="Z601" s="34">
        <f t="shared" si="491"/>
        <v>0</v>
      </c>
      <c r="AB601" s="34">
        <f t="shared" si="492"/>
        <v>0</v>
      </c>
      <c r="AC601" s="34">
        <f t="shared" si="493"/>
        <v>0</v>
      </c>
      <c r="AD601" s="34">
        <f t="shared" si="494"/>
        <v>0</v>
      </c>
      <c r="AE601" s="34">
        <f t="shared" si="495"/>
        <v>0</v>
      </c>
      <c r="AF601" s="34">
        <f t="shared" si="496"/>
        <v>0</v>
      </c>
      <c r="AG601" s="34">
        <f t="shared" si="497"/>
        <v>0</v>
      </c>
      <c r="AH601" s="34">
        <f t="shared" si="498"/>
        <v>0</v>
      </c>
      <c r="AI601" s="27" t="s">
        <v>3645</v>
      </c>
      <c r="AJ601" s="18">
        <f t="shared" si="499"/>
        <v>0</v>
      </c>
      <c r="AK601" s="18">
        <f t="shared" si="500"/>
        <v>0</v>
      </c>
      <c r="AL601" s="18">
        <f t="shared" si="501"/>
        <v>0</v>
      </c>
      <c r="AN601" s="34">
        <v>21</v>
      </c>
      <c r="AO601" s="34">
        <f t="shared" si="502"/>
        <v>0</v>
      </c>
      <c r="AP601" s="34">
        <f t="shared" si="503"/>
        <v>0</v>
      </c>
      <c r="AQ601" s="28" t="s">
        <v>13</v>
      </c>
      <c r="AV601" s="34">
        <f t="shared" si="504"/>
        <v>0</v>
      </c>
      <c r="AW601" s="34">
        <f t="shared" si="505"/>
        <v>0</v>
      </c>
      <c r="AX601" s="34">
        <f t="shared" si="506"/>
        <v>0</v>
      </c>
      <c r="AY601" s="35" t="s">
        <v>3681</v>
      </c>
      <c r="AZ601" s="35" t="s">
        <v>3715</v>
      </c>
      <c r="BA601" s="27" t="s">
        <v>3729</v>
      </c>
      <c r="BC601" s="34">
        <f t="shared" si="507"/>
        <v>0</v>
      </c>
      <c r="BD601" s="34">
        <f t="shared" si="508"/>
        <v>0</v>
      </c>
      <c r="BE601" s="34">
        <v>0</v>
      </c>
      <c r="BF601" s="34">
        <f>601</f>
        <v>601</v>
      </c>
      <c r="BH601" s="18">
        <f t="shared" si="509"/>
        <v>0</v>
      </c>
      <c r="BI601" s="18">
        <f t="shared" si="510"/>
        <v>0</v>
      </c>
      <c r="BJ601" s="18">
        <f t="shared" si="511"/>
        <v>0</v>
      </c>
    </row>
    <row r="602" spans="1:62" x14ac:dyDescent="0.2">
      <c r="A602" s="5" t="s">
        <v>561</v>
      </c>
      <c r="B602" s="5" t="s">
        <v>1750</v>
      </c>
      <c r="C602" s="135" t="s">
        <v>2956</v>
      </c>
      <c r="D602" s="136"/>
      <c r="E602" s="136"/>
      <c r="F602" s="136"/>
      <c r="G602" s="136"/>
      <c r="H602" s="5" t="s">
        <v>3618</v>
      </c>
      <c r="I602" s="18">
        <v>1</v>
      </c>
      <c r="J602" s="18">
        <v>0</v>
      </c>
      <c r="K602" s="18">
        <f t="shared" si="490"/>
        <v>0</v>
      </c>
      <c r="L602" s="28" t="s">
        <v>3635</v>
      </c>
      <c r="Z602" s="34">
        <f t="shared" si="491"/>
        <v>0</v>
      </c>
      <c r="AB602" s="34">
        <f t="shared" si="492"/>
        <v>0</v>
      </c>
      <c r="AC602" s="34">
        <f t="shared" si="493"/>
        <v>0</v>
      </c>
      <c r="AD602" s="34">
        <f t="shared" si="494"/>
        <v>0</v>
      </c>
      <c r="AE602" s="34">
        <f t="shared" si="495"/>
        <v>0</v>
      </c>
      <c r="AF602" s="34">
        <f t="shared" si="496"/>
        <v>0</v>
      </c>
      <c r="AG602" s="34">
        <f t="shared" si="497"/>
        <v>0</v>
      </c>
      <c r="AH602" s="34">
        <f t="shared" si="498"/>
        <v>0</v>
      </c>
      <c r="AI602" s="27" t="s">
        <v>3645</v>
      </c>
      <c r="AJ602" s="18">
        <f t="shared" si="499"/>
        <v>0</v>
      </c>
      <c r="AK602" s="18">
        <f t="shared" si="500"/>
        <v>0</v>
      </c>
      <c r="AL602" s="18">
        <f t="shared" si="501"/>
        <v>0</v>
      </c>
      <c r="AN602" s="34">
        <v>21</v>
      </c>
      <c r="AO602" s="34">
        <f t="shared" si="502"/>
        <v>0</v>
      </c>
      <c r="AP602" s="34">
        <f t="shared" si="503"/>
        <v>0</v>
      </c>
      <c r="AQ602" s="28" t="s">
        <v>13</v>
      </c>
      <c r="AV602" s="34">
        <f t="shared" si="504"/>
        <v>0</v>
      </c>
      <c r="AW602" s="34">
        <f t="shared" si="505"/>
        <v>0</v>
      </c>
      <c r="AX602" s="34">
        <f t="shared" si="506"/>
        <v>0</v>
      </c>
      <c r="AY602" s="35" t="s">
        <v>3681</v>
      </c>
      <c r="AZ602" s="35" t="s">
        <v>3715</v>
      </c>
      <c r="BA602" s="27" t="s">
        <v>3729</v>
      </c>
      <c r="BC602" s="34">
        <f t="shared" si="507"/>
        <v>0</v>
      </c>
      <c r="BD602" s="34">
        <f t="shared" si="508"/>
        <v>0</v>
      </c>
      <c r="BE602" s="34">
        <v>0</v>
      </c>
      <c r="BF602" s="34">
        <f>602</f>
        <v>602</v>
      </c>
      <c r="BH602" s="18">
        <f t="shared" si="509"/>
        <v>0</v>
      </c>
      <c r="BI602" s="18">
        <f t="shared" si="510"/>
        <v>0</v>
      </c>
      <c r="BJ602" s="18">
        <f t="shared" si="511"/>
        <v>0</v>
      </c>
    </row>
    <row r="603" spans="1:62" x14ac:dyDescent="0.2">
      <c r="A603" s="5" t="s">
        <v>562</v>
      </c>
      <c r="B603" s="5" t="s">
        <v>1751</v>
      </c>
      <c r="C603" s="135" t="s">
        <v>2957</v>
      </c>
      <c r="D603" s="136"/>
      <c r="E603" s="136"/>
      <c r="F603" s="136"/>
      <c r="G603" s="136"/>
      <c r="H603" s="5" t="s">
        <v>3614</v>
      </c>
      <c r="I603" s="18">
        <v>222</v>
      </c>
      <c r="J603" s="18">
        <v>0</v>
      </c>
      <c r="K603" s="18">
        <f t="shared" si="490"/>
        <v>0</v>
      </c>
      <c r="L603" s="28" t="s">
        <v>3635</v>
      </c>
      <c r="Z603" s="34">
        <f t="shared" si="491"/>
        <v>0</v>
      </c>
      <c r="AB603" s="34">
        <f t="shared" si="492"/>
        <v>0</v>
      </c>
      <c r="AC603" s="34">
        <f t="shared" si="493"/>
        <v>0</v>
      </c>
      <c r="AD603" s="34">
        <f t="shared" si="494"/>
        <v>0</v>
      </c>
      <c r="AE603" s="34">
        <f t="shared" si="495"/>
        <v>0</v>
      </c>
      <c r="AF603" s="34">
        <f t="shared" si="496"/>
        <v>0</v>
      </c>
      <c r="AG603" s="34">
        <f t="shared" si="497"/>
        <v>0</v>
      </c>
      <c r="AH603" s="34">
        <f t="shared" si="498"/>
        <v>0</v>
      </c>
      <c r="AI603" s="27" t="s">
        <v>3645</v>
      </c>
      <c r="AJ603" s="18">
        <f t="shared" si="499"/>
        <v>0</v>
      </c>
      <c r="AK603" s="18">
        <f t="shared" si="500"/>
        <v>0</v>
      </c>
      <c r="AL603" s="18">
        <f t="shared" si="501"/>
        <v>0</v>
      </c>
      <c r="AN603" s="34">
        <v>21</v>
      </c>
      <c r="AO603" s="34">
        <f t="shared" si="502"/>
        <v>0</v>
      </c>
      <c r="AP603" s="34">
        <f t="shared" si="503"/>
        <v>0</v>
      </c>
      <c r="AQ603" s="28" t="s">
        <v>13</v>
      </c>
      <c r="AV603" s="34">
        <f t="shared" si="504"/>
        <v>0</v>
      </c>
      <c r="AW603" s="34">
        <f t="shared" si="505"/>
        <v>0</v>
      </c>
      <c r="AX603" s="34">
        <f t="shared" si="506"/>
        <v>0</v>
      </c>
      <c r="AY603" s="35" t="s">
        <v>3681</v>
      </c>
      <c r="AZ603" s="35" t="s">
        <v>3715</v>
      </c>
      <c r="BA603" s="27" t="s">
        <v>3729</v>
      </c>
      <c r="BC603" s="34">
        <f t="shared" si="507"/>
        <v>0</v>
      </c>
      <c r="BD603" s="34">
        <f t="shared" si="508"/>
        <v>0</v>
      </c>
      <c r="BE603" s="34">
        <v>0</v>
      </c>
      <c r="BF603" s="34">
        <f>603</f>
        <v>603</v>
      </c>
      <c r="BH603" s="18">
        <f t="shared" si="509"/>
        <v>0</v>
      </c>
      <c r="BI603" s="18">
        <f t="shared" si="510"/>
        <v>0</v>
      </c>
      <c r="BJ603" s="18">
        <f t="shared" si="511"/>
        <v>0</v>
      </c>
    </row>
    <row r="604" spans="1:62" x14ac:dyDescent="0.2">
      <c r="A604" s="5" t="s">
        <v>563</v>
      </c>
      <c r="B604" s="5" t="s">
        <v>1752</v>
      </c>
      <c r="C604" s="135" t="s">
        <v>2958</v>
      </c>
      <c r="D604" s="136"/>
      <c r="E604" s="136"/>
      <c r="F604" s="136"/>
      <c r="G604" s="136"/>
      <c r="H604" s="5" t="s">
        <v>3614</v>
      </c>
      <c r="I604" s="18">
        <v>39</v>
      </c>
      <c r="J604" s="18">
        <v>0</v>
      </c>
      <c r="K604" s="18">
        <f t="shared" si="490"/>
        <v>0</v>
      </c>
      <c r="L604" s="28" t="s">
        <v>3635</v>
      </c>
      <c r="Z604" s="34">
        <f t="shared" si="491"/>
        <v>0</v>
      </c>
      <c r="AB604" s="34">
        <f t="shared" si="492"/>
        <v>0</v>
      </c>
      <c r="AC604" s="34">
        <f t="shared" si="493"/>
        <v>0</v>
      </c>
      <c r="AD604" s="34">
        <f t="shared" si="494"/>
        <v>0</v>
      </c>
      <c r="AE604" s="34">
        <f t="shared" si="495"/>
        <v>0</v>
      </c>
      <c r="AF604" s="34">
        <f t="shared" si="496"/>
        <v>0</v>
      </c>
      <c r="AG604" s="34">
        <f t="shared" si="497"/>
        <v>0</v>
      </c>
      <c r="AH604" s="34">
        <f t="shared" si="498"/>
        <v>0</v>
      </c>
      <c r="AI604" s="27" t="s">
        <v>3645</v>
      </c>
      <c r="AJ604" s="18">
        <f t="shared" si="499"/>
        <v>0</v>
      </c>
      <c r="AK604" s="18">
        <f t="shared" si="500"/>
        <v>0</v>
      </c>
      <c r="AL604" s="18">
        <f t="shared" si="501"/>
        <v>0</v>
      </c>
      <c r="AN604" s="34">
        <v>21</v>
      </c>
      <c r="AO604" s="34">
        <f t="shared" si="502"/>
        <v>0</v>
      </c>
      <c r="AP604" s="34">
        <f t="shared" si="503"/>
        <v>0</v>
      </c>
      <c r="AQ604" s="28" t="s">
        <v>13</v>
      </c>
      <c r="AV604" s="34">
        <f t="shared" si="504"/>
        <v>0</v>
      </c>
      <c r="AW604" s="34">
        <f t="shared" si="505"/>
        <v>0</v>
      </c>
      <c r="AX604" s="34">
        <f t="shared" si="506"/>
        <v>0</v>
      </c>
      <c r="AY604" s="35" t="s">
        <v>3681</v>
      </c>
      <c r="AZ604" s="35" t="s">
        <v>3715</v>
      </c>
      <c r="BA604" s="27" t="s">
        <v>3729</v>
      </c>
      <c r="BC604" s="34">
        <f t="shared" si="507"/>
        <v>0</v>
      </c>
      <c r="BD604" s="34">
        <f t="shared" si="508"/>
        <v>0</v>
      </c>
      <c r="BE604" s="34">
        <v>0</v>
      </c>
      <c r="BF604" s="34">
        <f>604</f>
        <v>604</v>
      </c>
      <c r="BH604" s="18">
        <f t="shared" si="509"/>
        <v>0</v>
      </c>
      <c r="BI604" s="18">
        <f t="shared" si="510"/>
        <v>0</v>
      </c>
      <c r="BJ604" s="18">
        <f t="shared" si="511"/>
        <v>0</v>
      </c>
    </row>
    <row r="605" spans="1:62" x14ac:dyDescent="0.2">
      <c r="A605" s="5" t="s">
        <v>564</v>
      </c>
      <c r="B605" s="5" t="s">
        <v>1753</v>
      </c>
      <c r="C605" s="135" t="s">
        <v>2959</v>
      </c>
      <c r="D605" s="136"/>
      <c r="E605" s="136"/>
      <c r="F605" s="136"/>
      <c r="G605" s="136"/>
      <c r="H605" s="5" t="s">
        <v>3614</v>
      </c>
      <c r="I605" s="18">
        <v>278</v>
      </c>
      <c r="J605" s="18">
        <v>0</v>
      </c>
      <c r="K605" s="18">
        <f t="shared" si="490"/>
        <v>0</v>
      </c>
      <c r="L605" s="28" t="s">
        <v>3635</v>
      </c>
      <c r="Z605" s="34">
        <f t="shared" si="491"/>
        <v>0</v>
      </c>
      <c r="AB605" s="34">
        <f t="shared" si="492"/>
        <v>0</v>
      </c>
      <c r="AC605" s="34">
        <f t="shared" si="493"/>
        <v>0</v>
      </c>
      <c r="AD605" s="34">
        <f t="shared" si="494"/>
        <v>0</v>
      </c>
      <c r="AE605" s="34">
        <f t="shared" si="495"/>
        <v>0</v>
      </c>
      <c r="AF605" s="34">
        <f t="shared" si="496"/>
        <v>0</v>
      </c>
      <c r="AG605" s="34">
        <f t="shared" si="497"/>
        <v>0</v>
      </c>
      <c r="AH605" s="34">
        <f t="shared" si="498"/>
        <v>0</v>
      </c>
      <c r="AI605" s="27" t="s">
        <v>3645</v>
      </c>
      <c r="AJ605" s="18">
        <f t="shared" si="499"/>
        <v>0</v>
      </c>
      <c r="AK605" s="18">
        <f t="shared" si="500"/>
        <v>0</v>
      </c>
      <c r="AL605" s="18">
        <f t="shared" si="501"/>
        <v>0</v>
      </c>
      <c r="AN605" s="34">
        <v>21</v>
      </c>
      <c r="AO605" s="34">
        <f t="shared" si="502"/>
        <v>0</v>
      </c>
      <c r="AP605" s="34">
        <f t="shared" si="503"/>
        <v>0</v>
      </c>
      <c r="AQ605" s="28" t="s">
        <v>13</v>
      </c>
      <c r="AV605" s="34">
        <f t="shared" si="504"/>
        <v>0</v>
      </c>
      <c r="AW605" s="34">
        <f t="shared" si="505"/>
        <v>0</v>
      </c>
      <c r="AX605" s="34">
        <f t="shared" si="506"/>
        <v>0</v>
      </c>
      <c r="AY605" s="35" t="s">
        <v>3681</v>
      </c>
      <c r="AZ605" s="35" t="s">
        <v>3715</v>
      </c>
      <c r="BA605" s="27" t="s">
        <v>3729</v>
      </c>
      <c r="BC605" s="34">
        <f t="shared" si="507"/>
        <v>0</v>
      </c>
      <c r="BD605" s="34">
        <f t="shared" si="508"/>
        <v>0</v>
      </c>
      <c r="BE605" s="34">
        <v>0</v>
      </c>
      <c r="BF605" s="34">
        <f>605</f>
        <v>605</v>
      </c>
      <c r="BH605" s="18">
        <f t="shared" si="509"/>
        <v>0</v>
      </c>
      <c r="BI605" s="18">
        <f t="shared" si="510"/>
        <v>0</v>
      </c>
      <c r="BJ605" s="18">
        <f t="shared" si="511"/>
        <v>0</v>
      </c>
    </row>
    <row r="606" spans="1:62" x14ac:dyDescent="0.2">
      <c r="A606" s="5" t="s">
        <v>565</v>
      </c>
      <c r="B606" s="5" t="s">
        <v>1754</v>
      </c>
      <c r="C606" s="135" t="s">
        <v>2960</v>
      </c>
      <c r="D606" s="136"/>
      <c r="E606" s="136"/>
      <c r="F606" s="136"/>
      <c r="G606" s="136"/>
      <c r="H606" s="5" t="s">
        <v>3614</v>
      </c>
      <c r="I606" s="18">
        <v>25</v>
      </c>
      <c r="J606" s="18">
        <v>0</v>
      </c>
      <c r="K606" s="18">
        <f t="shared" si="490"/>
        <v>0</v>
      </c>
      <c r="L606" s="28" t="s">
        <v>3635</v>
      </c>
      <c r="Z606" s="34">
        <f t="shared" si="491"/>
        <v>0</v>
      </c>
      <c r="AB606" s="34">
        <f t="shared" si="492"/>
        <v>0</v>
      </c>
      <c r="AC606" s="34">
        <f t="shared" si="493"/>
        <v>0</v>
      </c>
      <c r="AD606" s="34">
        <f t="shared" si="494"/>
        <v>0</v>
      </c>
      <c r="AE606" s="34">
        <f t="shared" si="495"/>
        <v>0</v>
      </c>
      <c r="AF606" s="34">
        <f t="shared" si="496"/>
        <v>0</v>
      </c>
      <c r="AG606" s="34">
        <f t="shared" si="497"/>
        <v>0</v>
      </c>
      <c r="AH606" s="34">
        <f t="shared" si="498"/>
        <v>0</v>
      </c>
      <c r="AI606" s="27" t="s">
        <v>3645</v>
      </c>
      <c r="AJ606" s="18">
        <f t="shared" si="499"/>
        <v>0</v>
      </c>
      <c r="AK606" s="18">
        <f t="shared" si="500"/>
        <v>0</v>
      </c>
      <c r="AL606" s="18">
        <f t="shared" si="501"/>
        <v>0</v>
      </c>
      <c r="AN606" s="34">
        <v>21</v>
      </c>
      <c r="AO606" s="34">
        <f t="shared" si="502"/>
        <v>0</v>
      </c>
      <c r="AP606" s="34">
        <f t="shared" si="503"/>
        <v>0</v>
      </c>
      <c r="AQ606" s="28" t="s">
        <v>13</v>
      </c>
      <c r="AV606" s="34">
        <f t="shared" si="504"/>
        <v>0</v>
      </c>
      <c r="AW606" s="34">
        <f t="shared" si="505"/>
        <v>0</v>
      </c>
      <c r="AX606" s="34">
        <f t="shared" si="506"/>
        <v>0</v>
      </c>
      <c r="AY606" s="35" t="s">
        <v>3681</v>
      </c>
      <c r="AZ606" s="35" t="s">
        <v>3715</v>
      </c>
      <c r="BA606" s="27" t="s">
        <v>3729</v>
      </c>
      <c r="BC606" s="34">
        <f t="shared" si="507"/>
        <v>0</v>
      </c>
      <c r="BD606" s="34">
        <f t="shared" si="508"/>
        <v>0</v>
      </c>
      <c r="BE606" s="34">
        <v>0</v>
      </c>
      <c r="BF606" s="34">
        <f>606</f>
        <v>606</v>
      </c>
      <c r="BH606" s="18">
        <f t="shared" si="509"/>
        <v>0</v>
      </c>
      <c r="BI606" s="18">
        <f t="shared" si="510"/>
        <v>0</v>
      </c>
      <c r="BJ606" s="18">
        <f t="shared" si="511"/>
        <v>0</v>
      </c>
    </row>
    <row r="607" spans="1:62" x14ac:dyDescent="0.2">
      <c r="A607" s="5" t="s">
        <v>566</v>
      </c>
      <c r="B607" s="5" t="s">
        <v>1755</v>
      </c>
      <c r="C607" s="135" t="s">
        <v>2961</v>
      </c>
      <c r="D607" s="136"/>
      <c r="E607" s="136"/>
      <c r="F607" s="136"/>
      <c r="G607" s="136"/>
      <c r="H607" s="5" t="s">
        <v>3614</v>
      </c>
      <c r="I607" s="18">
        <v>166</v>
      </c>
      <c r="J607" s="18">
        <v>0</v>
      </c>
      <c r="K607" s="18">
        <f t="shared" si="490"/>
        <v>0</v>
      </c>
      <c r="L607" s="28" t="s">
        <v>3635</v>
      </c>
      <c r="Z607" s="34">
        <f t="shared" si="491"/>
        <v>0</v>
      </c>
      <c r="AB607" s="34">
        <f t="shared" si="492"/>
        <v>0</v>
      </c>
      <c r="AC607" s="34">
        <f t="shared" si="493"/>
        <v>0</v>
      </c>
      <c r="AD607" s="34">
        <f t="shared" si="494"/>
        <v>0</v>
      </c>
      <c r="AE607" s="34">
        <f t="shared" si="495"/>
        <v>0</v>
      </c>
      <c r="AF607" s="34">
        <f t="shared" si="496"/>
        <v>0</v>
      </c>
      <c r="AG607" s="34">
        <f t="shared" si="497"/>
        <v>0</v>
      </c>
      <c r="AH607" s="34">
        <f t="shared" si="498"/>
        <v>0</v>
      </c>
      <c r="AI607" s="27" t="s">
        <v>3645</v>
      </c>
      <c r="AJ607" s="18">
        <f t="shared" si="499"/>
        <v>0</v>
      </c>
      <c r="AK607" s="18">
        <f t="shared" si="500"/>
        <v>0</v>
      </c>
      <c r="AL607" s="18">
        <f t="shared" si="501"/>
        <v>0</v>
      </c>
      <c r="AN607" s="34">
        <v>21</v>
      </c>
      <c r="AO607" s="34">
        <f t="shared" si="502"/>
        <v>0</v>
      </c>
      <c r="AP607" s="34">
        <f t="shared" si="503"/>
        <v>0</v>
      </c>
      <c r="AQ607" s="28" t="s">
        <v>13</v>
      </c>
      <c r="AV607" s="34">
        <f t="shared" si="504"/>
        <v>0</v>
      </c>
      <c r="AW607" s="34">
        <f t="shared" si="505"/>
        <v>0</v>
      </c>
      <c r="AX607" s="34">
        <f t="shared" si="506"/>
        <v>0</v>
      </c>
      <c r="AY607" s="35" t="s">
        <v>3681</v>
      </c>
      <c r="AZ607" s="35" t="s">
        <v>3715</v>
      </c>
      <c r="BA607" s="27" t="s">
        <v>3729</v>
      </c>
      <c r="BC607" s="34">
        <f t="shared" si="507"/>
        <v>0</v>
      </c>
      <c r="BD607" s="34">
        <f t="shared" si="508"/>
        <v>0</v>
      </c>
      <c r="BE607" s="34">
        <v>0</v>
      </c>
      <c r="BF607" s="34">
        <f>607</f>
        <v>607</v>
      </c>
      <c r="BH607" s="18">
        <f t="shared" si="509"/>
        <v>0</v>
      </c>
      <c r="BI607" s="18">
        <f t="shared" si="510"/>
        <v>0</v>
      </c>
      <c r="BJ607" s="18">
        <f t="shared" si="511"/>
        <v>0</v>
      </c>
    </row>
    <row r="608" spans="1:62" x14ac:dyDescent="0.2">
      <c r="A608" s="5" t="s">
        <v>567</v>
      </c>
      <c r="B608" s="5" t="s">
        <v>1755</v>
      </c>
      <c r="C608" s="135" t="s">
        <v>2962</v>
      </c>
      <c r="D608" s="136"/>
      <c r="E608" s="136"/>
      <c r="F608" s="136"/>
      <c r="G608" s="136"/>
      <c r="H608" s="5" t="s">
        <v>3614</v>
      </c>
      <c r="I608" s="18">
        <v>197</v>
      </c>
      <c r="J608" s="18">
        <v>0</v>
      </c>
      <c r="K608" s="18">
        <f t="shared" si="490"/>
        <v>0</v>
      </c>
      <c r="L608" s="28" t="s">
        <v>3635</v>
      </c>
      <c r="Z608" s="34">
        <f t="shared" si="491"/>
        <v>0</v>
      </c>
      <c r="AB608" s="34">
        <f t="shared" si="492"/>
        <v>0</v>
      </c>
      <c r="AC608" s="34">
        <f t="shared" si="493"/>
        <v>0</v>
      </c>
      <c r="AD608" s="34">
        <f t="shared" si="494"/>
        <v>0</v>
      </c>
      <c r="AE608" s="34">
        <f t="shared" si="495"/>
        <v>0</v>
      </c>
      <c r="AF608" s="34">
        <f t="shared" si="496"/>
        <v>0</v>
      </c>
      <c r="AG608" s="34">
        <f t="shared" si="497"/>
        <v>0</v>
      </c>
      <c r="AH608" s="34">
        <f t="shared" si="498"/>
        <v>0</v>
      </c>
      <c r="AI608" s="27" t="s">
        <v>3645</v>
      </c>
      <c r="AJ608" s="18">
        <f t="shared" si="499"/>
        <v>0</v>
      </c>
      <c r="AK608" s="18">
        <f t="shared" si="500"/>
        <v>0</v>
      </c>
      <c r="AL608" s="18">
        <f t="shared" si="501"/>
        <v>0</v>
      </c>
      <c r="AN608" s="34">
        <v>21</v>
      </c>
      <c r="AO608" s="34">
        <f t="shared" si="502"/>
        <v>0</v>
      </c>
      <c r="AP608" s="34">
        <f t="shared" si="503"/>
        <v>0</v>
      </c>
      <c r="AQ608" s="28" t="s">
        <v>13</v>
      </c>
      <c r="AV608" s="34">
        <f t="shared" si="504"/>
        <v>0</v>
      </c>
      <c r="AW608" s="34">
        <f t="shared" si="505"/>
        <v>0</v>
      </c>
      <c r="AX608" s="34">
        <f t="shared" si="506"/>
        <v>0</v>
      </c>
      <c r="AY608" s="35" t="s">
        <v>3681</v>
      </c>
      <c r="AZ608" s="35" t="s">
        <v>3715</v>
      </c>
      <c r="BA608" s="27" t="s">
        <v>3729</v>
      </c>
      <c r="BC608" s="34">
        <f t="shared" si="507"/>
        <v>0</v>
      </c>
      <c r="BD608" s="34">
        <f t="shared" si="508"/>
        <v>0</v>
      </c>
      <c r="BE608" s="34">
        <v>0</v>
      </c>
      <c r="BF608" s="34">
        <f>608</f>
        <v>608</v>
      </c>
      <c r="BH608" s="18">
        <f t="shared" si="509"/>
        <v>0</v>
      </c>
      <c r="BI608" s="18">
        <f t="shared" si="510"/>
        <v>0</v>
      </c>
      <c r="BJ608" s="18">
        <f t="shared" si="511"/>
        <v>0</v>
      </c>
    </row>
    <row r="609" spans="1:62" x14ac:dyDescent="0.2">
      <c r="A609" s="5" t="s">
        <v>568</v>
      </c>
      <c r="B609" s="5" t="s">
        <v>1756</v>
      </c>
      <c r="C609" s="135" t="s">
        <v>2963</v>
      </c>
      <c r="D609" s="136"/>
      <c r="E609" s="136"/>
      <c r="F609" s="136"/>
      <c r="G609" s="136"/>
      <c r="H609" s="5" t="s">
        <v>3614</v>
      </c>
      <c r="I609" s="18">
        <v>39</v>
      </c>
      <c r="J609" s="18">
        <v>0</v>
      </c>
      <c r="K609" s="18">
        <f t="shared" si="490"/>
        <v>0</v>
      </c>
      <c r="L609" s="28" t="s">
        <v>3635</v>
      </c>
      <c r="Z609" s="34">
        <f t="shared" si="491"/>
        <v>0</v>
      </c>
      <c r="AB609" s="34">
        <f t="shared" si="492"/>
        <v>0</v>
      </c>
      <c r="AC609" s="34">
        <f t="shared" si="493"/>
        <v>0</v>
      </c>
      <c r="AD609" s="34">
        <f t="shared" si="494"/>
        <v>0</v>
      </c>
      <c r="AE609" s="34">
        <f t="shared" si="495"/>
        <v>0</v>
      </c>
      <c r="AF609" s="34">
        <f t="shared" si="496"/>
        <v>0</v>
      </c>
      <c r="AG609" s="34">
        <f t="shared" si="497"/>
        <v>0</v>
      </c>
      <c r="AH609" s="34">
        <f t="shared" si="498"/>
        <v>0</v>
      </c>
      <c r="AI609" s="27" t="s">
        <v>3645</v>
      </c>
      <c r="AJ609" s="18">
        <f t="shared" si="499"/>
        <v>0</v>
      </c>
      <c r="AK609" s="18">
        <f t="shared" si="500"/>
        <v>0</v>
      </c>
      <c r="AL609" s="18">
        <f t="shared" si="501"/>
        <v>0</v>
      </c>
      <c r="AN609" s="34">
        <v>21</v>
      </c>
      <c r="AO609" s="34">
        <f t="shared" si="502"/>
        <v>0</v>
      </c>
      <c r="AP609" s="34">
        <f t="shared" si="503"/>
        <v>0</v>
      </c>
      <c r="AQ609" s="28" t="s">
        <v>13</v>
      </c>
      <c r="AV609" s="34">
        <f t="shared" si="504"/>
        <v>0</v>
      </c>
      <c r="AW609" s="34">
        <f t="shared" si="505"/>
        <v>0</v>
      </c>
      <c r="AX609" s="34">
        <f t="shared" si="506"/>
        <v>0</v>
      </c>
      <c r="AY609" s="35" t="s">
        <v>3681</v>
      </c>
      <c r="AZ609" s="35" t="s">
        <v>3715</v>
      </c>
      <c r="BA609" s="27" t="s">
        <v>3729</v>
      </c>
      <c r="BC609" s="34">
        <f t="shared" si="507"/>
        <v>0</v>
      </c>
      <c r="BD609" s="34">
        <f t="shared" si="508"/>
        <v>0</v>
      </c>
      <c r="BE609" s="34">
        <v>0</v>
      </c>
      <c r="BF609" s="34">
        <f>609</f>
        <v>609</v>
      </c>
      <c r="BH609" s="18">
        <f t="shared" si="509"/>
        <v>0</v>
      </c>
      <c r="BI609" s="18">
        <f t="shared" si="510"/>
        <v>0</v>
      </c>
      <c r="BJ609" s="18">
        <f t="shared" si="511"/>
        <v>0</v>
      </c>
    </row>
    <row r="610" spans="1:62" x14ac:dyDescent="0.2">
      <c r="A610" s="5" t="s">
        <v>569</v>
      </c>
      <c r="B610" s="5" t="s">
        <v>1756</v>
      </c>
      <c r="C610" s="135" t="s">
        <v>2964</v>
      </c>
      <c r="D610" s="136"/>
      <c r="E610" s="136"/>
      <c r="F610" s="136"/>
      <c r="G610" s="136"/>
      <c r="H610" s="5" t="s">
        <v>3614</v>
      </c>
      <c r="I610" s="18">
        <v>112</v>
      </c>
      <c r="J610" s="18">
        <v>0</v>
      </c>
      <c r="K610" s="18">
        <f t="shared" si="490"/>
        <v>0</v>
      </c>
      <c r="L610" s="28" t="s">
        <v>3635</v>
      </c>
      <c r="Z610" s="34">
        <f t="shared" si="491"/>
        <v>0</v>
      </c>
      <c r="AB610" s="34">
        <f t="shared" si="492"/>
        <v>0</v>
      </c>
      <c r="AC610" s="34">
        <f t="shared" si="493"/>
        <v>0</v>
      </c>
      <c r="AD610" s="34">
        <f t="shared" si="494"/>
        <v>0</v>
      </c>
      <c r="AE610" s="34">
        <f t="shared" si="495"/>
        <v>0</v>
      </c>
      <c r="AF610" s="34">
        <f t="shared" si="496"/>
        <v>0</v>
      </c>
      <c r="AG610" s="34">
        <f t="shared" si="497"/>
        <v>0</v>
      </c>
      <c r="AH610" s="34">
        <f t="shared" si="498"/>
        <v>0</v>
      </c>
      <c r="AI610" s="27" t="s">
        <v>3645</v>
      </c>
      <c r="AJ610" s="18">
        <f t="shared" si="499"/>
        <v>0</v>
      </c>
      <c r="AK610" s="18">
        <f t="shared" si="500"/>
        <v>0</v>
      </c>
      <c r="AL610" s="18">
        <f t="shared" si="501"/>
        <v>0</v>
      </c>
      <c r="AN610" s="34">
        <v>21</v>
      </c>
      <c r="AO610" s="34">
        <f t="shared" si="502"/>
        <v>0</v>
      </c>
      <c r="AP610" s="34">
        <f t="shared" si="503"/>
        <v>0</v>
      </c>
      <c r="AQ610" s="28" t="s">
        <v>13</v>
      </c>
      <c r="AV610" s="34">
        <f t="shared" si="504"/>
        <v>0</v>
      </c>
      <c r="AW610" s="34">
        <f t="shared" si="505"/>
        <v>0</v>
      </c>
      <c r="AX610" s="34">
        <f t="shared" si="506"/>
        <v>0</v>
      </c>
      <c r="AY610" s="35" t="s">
        <v>3681</v>
      </c>
      <c r="AZ610" s="35" t="s">
        <v>3715</v>
      </c>
      <c r="BA610" s="27" t="s">
        <v>3729</v>
      </c>
      <c r="BC610" s="34">
        <f t="shared" si="507"/>
        <v>0</v>
      </c>
      <c r="BD610" s="34">
        <f t="shared" si="508"/>
        <v>0</v>
      </c>
      <c r="BE610" s="34">
        <v>0</v>
      </c>
      <c r="BF610" s="34">
        <f>610</f>
        <v>610</v>
      </c>
      <c r="BH610" s="18">
        <f t="shared" si="509"/>
        <v>0</v>
      </c>
      <c r="BI610" s="18">
        <f t="shared" si="510"/>
        <v>0</v>
      </c>
      <c r="BJ610" s="18">
        <f t="shared" si="511"/>
        <v>0</v>
      </c>
    </row>
    <row r="611" spans="1:62" x14ac:dyDescent="0.2">
      <c r="A611" s="5" t="s">
        <v>570</v>
      </c>
      <c r="B611" s="5" t="s">
        <v>1757</v>
      </c>
      <c r="C611" s="135" t="s">
        <v>2965</v>
      </c>
      <c r="D611" s="136"/>
      <c r="E611" s="136"/>
      <c r="F611" s="136"/>
      <c r="G611" s="136"/>
      <c r="H611" s="5" t="s">
        <v>3612</v>
      </c>
      <c r="I611" s="18">
        <v>2</v>
      </c>
      <c r="J611" s="18">
        <v>0</v>
      </c>
      <c r="K611" s="18">
        <f t="shared" si="490"/>
        <v>0</v>
      </c>
      <c r="L611" s="28" t="s">
        <v>3635</v>
      </c>
      <c r="Z611" s="34">
        <f t="shared" si="491"/>
        <v>0</v>
      </c>
      <c r="AB611" s="34">
        <f t="shared" si="492"/>
        <v>0</v>
      </c>
      <c r="AC611" s="34">
        <f t="shared" si="493"/>
        <v>0</v>
      </c>
      <c r="AD611" s="34">
        <f t="shared" si="494"/>
        <v>0</v>
      </c>
      <c r="AE611" s="34">
        <f t="shared" si="495"/>
        <v>0</v>
      </c>
      <c r="AF611" s="34">
        <f t="shared" si="496"/>
        <v>0</v>
      </c>
      <c r="AG611" s="34">
        <f t="shared" si="497"/>
        <v>0</v>
      </c>
      <c r="AH611" s="34">
        <f t="shared" si="498"/>
        <v>0</v>
      </c>
      <c r="AI611" s="27" t="s">
        <v>3645</v>
      </c>
      <c r="AJ611" s="18">
        <f t="shared" si="499"/>
        <v>0</v>
      </c>
      <c r="AK611" s="18">
        <f t="shared" si="500"/>
        <v>0</v>
      </c>
      <c r="AL611" s="18">
        <f t="shared" si="501"/>
        <v>0</v>
      </c>
      <c r="AN611" s="34">
        <v>21</v>
      </c>
      <c r="AO611" s="34">
        <f t="shared" si="502"/>
        <v>0</v>
      </c>
      <c r="AP611" s="34">
        <f t="shared" si="503"/>
        <v>0</v>
      </c>
      <c r="AQ611" s="28" t="s">
        <v>13</v>
      </c>
      <c r="AV611" s="34">
        <f t="shared" si="504"/>
        <v>0</v>
      </c>
      <c r="AW611" s="34">
        <f t="shared" si="505"/>
        <v>0</v>
      </c>
      <c r="AX611" s="34">
        <f t="shared" si="506"/>
        <v>0</v>
      </c>
      <c r="AY611" s="35" t="s">
        <v>3681</v>
      </c>
      <c r="AZ611" s="35" t="s">
        <v>3715</v>
      </c>
      <c r="BA611" s="27" t="s">
        <v>3729</v>
      </c>
      <c r="BC611" s="34">
        <f t="shared" si="507"/>
        <v>0</v>
      </c>
      <c r="BD611" s="34">
        <f t="shared" si="508"/>
        <v>0</v>
      </c>
      <c r="BE611" s="34">
        <v>0</v>
      </c>
      <c r="BF611" s="34">
        <f>611</f>
        <v>611</v>
      </c>
      <c r="BH611" s="18">
        <f t="shared" si="509"/>
        <v>0</v>
      </c>
      <c r="BI611" s="18">
        <f t="shared" si="510"/>
        <v>0</v>
      </c>
      <c r="BJ611" s="18">
        <f t="shared" si="511"/>
        <v>0</v>
      </c>
    </row>
    <row r="612" spans="1:62" x14ac:dyDescent="0.2">
      <c r="A612" s="5" t="s">
        <v>571</v>
      </c>
      <c r="B612" s="5" t="s">
        <v>1758</v>
      </c>
      <c r="C612" s="135" t="s">
        <v>2966</v>
      </c>
      <c r="D612" s="136"/>
      <c r="E612" s="136"/>
      <c r="F612" s="136"/>
      <c r="G612" s="136"/>
      <c r="H612" s="5" t="s">
        <v>3612</v>
      </c>
      <c r="I612" s="18">
        <v>2</v>
      </c>
      <c r="J612" s="18">
        <v>0</v>
      </c>
      <c r="K612" s="18">
        <f t="shared" si="490"/>
        <v>0</v>
      </c>
      <c r="L612" s="28" t="s">
        <v>3635</v>
      </c>
      <c r="Z612" s="34">
        <f t="shared" si="491"/>
        <v>0</v>
      </c>
      <c r="AB612" s="34">
        <f t="shared" si="492"/>
        <v>0</v>
      </c>
      <c r="AC612" s="34">
        <f t="shared" si="493"/>
        <v>0</v>
      </c>
      <c r="AD612" s="34">
        <f t="shared" si="494"/>
        <v>0</v>
      </c>
      <c r="AE612" s="34">
        <f t="shared" si="495"/>
        <v>0</v>
      </c>
      <c r="AF612" s="34">
        <f t="shared" si="496"/>
        <v>0</v>
      </c>
      <c r="AG612" s="34">
        <f t="shared" si="497"/>
        <v>0</v>
      </c>
      <c r="AH612" s="34">
        <f t="shared" si="498"/>
        <v>0</v>
      </c>
      <c r="AI612" s="27" t="s">
        <v>3645</v>
      </c>
      <c r="AJ612" s="18">
        <f t="shared" si="499"/>
        <v>0</v>
      </c>
      <c r="AK612" s="18">
        <f t="shared" si="500"/>
        <v>0</v>
      </c>
      <c r="AL612" s="18">
        <f t="shared" si="501"/>
        <v>0</v>
      </c>
      <c r="AN612" s="34">
        <v>21</v>
      </c>
      <c r="AO612" s="34">
        <f t="shared" si="502"/>
        <v>0</v>
      </c>
      <c r="AP612" s="34">
        <f t="shared" si="503"/>
        <v>0</v>
      </c>
      <c r="AQ612" s="28" t="s">
        <v>13</v>
      </c>
      <c r="AV612" s="34">
        <f t="shared" si="504"/>
        <v>0</v>
      </c>
      <c r="AW612" s="34">
        <f t="shared" si="505"/>
        <v>0</v>
      </c>
      <c r="AX612" s="34">
        <f t="shared" si="506"/>
        <v>0</v>
      </c>
      <c r="AY612" s="35" t="s">
        <v>3681</v>
      </c>
      <c r="AZ612" s="35" t="s">
        <v>3715</v>
      </c>
      <c r="BA612" s="27" t="s">
        <v>3729</v>
      </c>
      <c r="BC612" s="34">
        <f t="shared" si="507"/>
        <v>0</v>
      </c>
      <c r="BD612" s="34">
        <f t="shared" si="508"/>
        <v>0</v>
      </c>
      <c r="BE612" s="34">
        <v>0</v>
      </c>
      <c r="BF612" s="34">
        <f>612</f>
        <v>612</v>
      </c>
      <c r="BH612" s="18">
        <f t="shared" si="509"/>
        <v>0</v>
      </c>
      <c r="BI612" s="18">
        <f t="shared" si="510"/>
        <v>0</v>
      </c>
      <c r="BJ612" s="18">
        <f t="shared" si="511"/>
        <v>0</v>
      </c>
    </row>
    <row r="613" spans="1:62" x14ac:dyDescent="0.2">
      <c r="A613" s="5" t="s">
        <v>572</v>
      </c>
      <c r="B613" s="5" t="s">
        <v>1759</v>
      </c>
      <c r="C613" s="135" t="s">
        <v>2967</v>
      </c>
      <c r="D613" s="136"/>
      <c r="E613" s="136"/>
      <c r="F613" s="136"/>
      <c r="G613" s="136"/>
      <c r="H613" s="5" t="s">
        <v>3612</v>
      </c>
      <c r="I613" s="18">
        <v>4</v>
      </c>
      <c r="J613" s="18">
        <v>0</v>
      </c>
      <c r="K613" s="18">
        <f t="shared" si="490"/>
        <v>0</v>
      </c>
      <c r="L613" s="28" t="s">
        <v>3635</v>
      </c>
      <c r="Z613" s="34">
        <f t="shared" si="491"/>
        <v>0</v>
      </c>
      <c r="AB613" s="34">
        <f t="shared" si="492"/>
        <v>0</v>
      </c>
      <c r="AC613" s="34">
        <f t="shared" si="493"/>
        <v>0</v>
      </c>
      <c r="AD613" s="34">
        <f t="shared" si="494"/>
        <v>0</v>
      </c>
      <c r="AE613" s="34">
        <f t="shared" si="495"/>
        <v>0</v>
      </c>
      <c r="AF613" s="34">
        <f t="shared" si="496"/>
        <v>0</v>
      </c>
      <c r="AG613" s="34">
        <f t="shared" si="497"/>
        <v>0</v>
      </c>
      <c r="AH613" s="34">
        <f t="shared" si="498"/>
        <v>0</v>
      </c>
      <c r="AI613" s="27" t="s">
        <v>3645</v>
      </c>
      <c r="AJ613" s="18">
        <f t="shared" si="499"/>
        <v>0</v>
      </c>
      <c r="AK613" s="18">
        <f t="shared" si="500"/>
        <v>0</v>
      </c>
      <c r="AL613" s="18">
        <f t="shared" si="501"/>
        <v>0</v>
      </c>
      <c r="AN613" s="34">
        <v>21</v>
      </c>
      <c r="AO613" s="34">
        <f t="shared" si="502"/>
        <v>0</v>
      </c>
      <c r="AP613" s="34">
        <f t="shared" si="503"/>
        <v>0</v>
      </c>
      <c r="AQ613" s="28" t="s">
        <v>13</v>
      </c>
      <c r="AV613" s="34">
        <f t="shared" si="504"/>
        <v>0</v>
      </c>
      <c r="AW613" s="34">
        <f t="shared" si="505"/>
        <v>0</v>
      </c>
      <c r="AX613" s="34">
        <f t="shared" si="506"/>
        <v>0</v>
      </c>
      <c r="AY613" s="35" t="s">
        <v>3681</v>
      </c>
      <c r="AZ613" s="35" t="s">
        <v>3715</v>
      </c>
      <c r="BA613" s="27" t="s">
        <v>3729</v>
      </c>
      <c r="BC613" s="34">
        <f t="shared" si="507"/>
        <v>0</v>
      </c>
      <c r="BD613" s="34">
        <f t="shared" si="508"/>
        <v>0</v>
      </c>
      <c r="BE613" s="34">
        <v>0</v>
      </c>
      <c r="BF613" s="34">
        <f>613</f>
        <v>613</v>
      </c>
      <c r="BH613" s="18">
        <f t="shared" si="509"/>
        <v>0</v>
      </c>
      <c r="BI613" s="18">
        <f t="shared" si="510"/>
        <v>0</v>
      </c>
      <c r="BJ613" s="18">
        <f t="shared" si="511"/>
        <v>0</v>
      </c>
    </row>
    <row r="614" spans="1:62" x14ac:dyDescent="0.2">
      <c r="A614" s="5" t="s">
        <v>573</v>
      </c>
      <c r="B614" s="5" t="s">
        <v>1760</v>
      </c>
      <c r="C614" s="135" t="s">
        <v>2968</v>
      </c>
      <c r="D614" s="136"/>
      <c r="E614" s="136"/>
      <c r="F614" s="136"/>
      <c r="G614" s="136"/>
      <c r="H614" s="5" t="s">
        <v>3612</v>
      </c>
      <c r="I614" s="18">
        <v>2</v>
      </c>
      <c r="J614" s="18">
        <v>0</v>
      </c>
      <c r="K614" s="18">
        <f t="shared" si="490"/>
        <v>0</v>
      </c>
      <c r="L614" s="28" t="s">
        <v>3635</v>
      </c>
      <c r="Z614" s="34">
        <f t="shared" si="491"/>
        <v>0</v>
      </c>
      <c r="AB614" s="34">
        <f t="shared" si="492"/>
        <v>0</v>
      </c>
      <c r="AC614" s="34">
        <f t="shared" si="493"/>
        <v>0</v>
      </c>
      <c r="AD614" s="34">
        <f t="shared" si="494"/>
        <v>0</v>
      </c>
      <c r="AE614" s="34">
        <f t="shared" si="495"/>
        <v>0</v>
      </c>
      <c r="AF614" s="34">
        <f t="shared" si="496"/>
        <v>0</v>
      </c>
      <c r="AG614" s="34">
        <f t="shared" si="497"/>
        <v>0</v>
      </c>
      <c r="AH614" s="34">
        <f t="shared" si="498"/>
        <v>0</v>
      </c>
      <c r="AI614" s="27" t="s">
        <v>3645</v>
      </c>
      <c r="AJ614" s="18">
        <f t="shared" si="499"/>
        <v>0</v>
      </c>
      <c r="AK614" s="18">
        <f t="shared" si="500"/>
        <v>0</v>
      </c>
      <c r="AL614" s="18">
        <f t="shared" si="501"/>
        <v>0</v>
      </c>
      <c r="AN614" s="34">
        <v>21</v>
      </c>
      <c r="AO614" s="34">
        <f t="shared" si="502"/>
        <v>0</v>
      </c>
      <c r="AP614" s="34">
        <f t="shared" si="503"/>
        <v>0</v>
      </c>
      <c r="AQ614" s="28" t="s">
        <v>13</v>
      </c>
      <c r="AV614" s="34">
        <f t="shared" si="504"/>
        <v>0</v>
      </c>
      <c r="AW614" s="34">
        <f t="shared" si="505"/>
        <v>0</v>
      </c>
      <c r="AX614" s="34">
        <f t="shared" si="506"/>
        <v>0</v>
      </c>
      <c r="AY614" s="35" t="s">
        <v>3681</v>
      </c>
      <c r="AZ614" s="35" t="s">
        <v>3715</v>
      </c>
      <c r="BA614" s="27" t="s">
        <v>3729</v>
      </c>
      <c r="BC614" s="34">
        <f t="shared" si="507"/>
        <v>0</v>
      </c>
      <c r="BD614" s="34">
        <f t="shared" si="508"/>
        <v>0</v>
      </c>
      <c r="BE614" s="34">
        <v>0</v>
      </c>
      <c r="BF614" s="34">
        <f>614</f>
        <v>614</v>
      </c>
      <c r="BH614" s="18">
        <f t="shared" si="509"/>
        <v>0</v>
      </c>
      <c r="BI614" s="18">
        <f t="shared" si="510"/>
        <v>0</v>
      </c>
      <c r="BJ614" s="18">
        <f t="shared" si="511"/>
        <v>0</v>
      </c>
    </row>
    <row r="615" spans="1:62" x14ac:dyDescent="0.2">
      <c r="A615" s="5" t="s">
        <v>574</v>
      </c>
      <c r="B615" s="5" t="s">
        <v>1761</v>
      </c>
      <c r="C615" s="135" t="s">
        <v>2969</v>
      </c>
      <c r="D615" s="136"/>
      <c r="E615" s="136"/>
      <c r="F615" s="136"/>
      <c r="G615" s="136"/>
      <c r="H615" s="5" t="s">
        <v>3612</v>
      </c>
      <c r="I615" s="18">
        <v>1</v>
      </c>
      <c r="J615" s="18">
        <v>0</v>
      </c>
      <c r="K615" s="18">
        <f t="shared" si="490"/>
        <v>0</v>
      </c>
      <c r="L615" s="28" t="s">
        <v>3635</v>
      </c>
      <c r="Z615" s="34">
        <f t="shared" si="491"/>
        <v>0</v>
      </c>
      <c r="AB615" s="34">
        <f t="shared" si="492"/>
        <v>0</v>
      </c>
      <c r="AC615" s="34">
        <f t="shared" si="493"/>
        <v>0</v>
      </c>
      <c r="AD615" s="34">
        <f t="shared" si="494"/>
        <v>0</v>
      </c>
      <c r="AE615" s="34">
        <f t="shared" si="495"/>
        <v>0</v>
      </c>
      <c r="AF615" s="34">
        <f t="shared" si="496"/>
        <v>0</v>
      </c>
      <c r="AG615" s="34">
        <f t="shared" si="497"/>
        <v>0</v>
      </c>
      <c r="AH615" s="34">
        <f t="shared" si="498"/>
        <v>0</v>
      </c>
      <c r="AI615" s="27" t="s">
        <v>3645</v>
      </c>
      <c r="AJ615" s="18">
        <f t="shared" si="499"/>
        <v>0</v>
      </c>
      <c r="AK615" s="18">
        <f t="shared" si="500"/>
        <v>0</v>
      </c>
      <c r="AL615" s="18">
        <f t="shared" si="501"/>
        <v>0</v>
      </c>
      <c r="AN615" s="34">
        <v>21</v>
      </c>
      <c r="AO615" s="34">
        <f t="shared" si="502"/>
        <v>0</v>
      </c>
      <c r="AP615" s="34">
        <f t="shared" si="503"/>
        <v>0</v>
      </c>
      <c r="AQ615" s="28" t="s">
        <v>13</v>
      </c>
      <c r="AV615" s="34">
        <f t="shared" si="504"/>
        <v>0</v>
      </c>
      <c r="AW615" s="34">
        <f t="shared" si="505"/>
        <v>0</v>
      </c>
      <c r="AX615" s="34">
        <f t="shared" si="506"/>
        <v>0</v>
      </c>
      <c r="AY615" s="35" t="s">
        <v>3681</v>
      </c>
      <c r="AZ615" s="35" t="s">
        <v>3715</v>
      </c>
      <c r="BA615" s="27" t="s">
        <v>3729</v>
      </c>
      <c r="BC615" s="34">
        <f t="shared" si="507"/>
        <v>0</v>
      </c>
      <c r="BD615" s="34">
        <f t="shared" si="508"/>
        <v>0</v>
      </c>
      <c r="BE615" s="34">
        <v>0</v>
      </c>
      <c r="BF615" s="34">
        <f>615</f>
        <v>615</v>
      </c>
      <c r="BH615" s="18">
        <f t="shared" si="509"/>
        <v>0</v>
      </c>
      <c r="BI615" s="18">
        <f t="shared" si="510"/>
        <v>0</v>
      </c>
      <c r="BJ615" s="18">
        <f t="shared" si="511"/>
        <v>0</v>
      </c>
    </row>
    <row r="616" spans="1:62" x14ac:dyDescent="0.2">
      <c r="A616" s="5" t="s">
        <v>575</v>
      </c>
      <c r="B616" s="5" t="s">
        <v>1762</v>
      </c>
      <c r="C616" s="135" t="s">
        <v>2970</v>
      </c>
      <c r="D616" s="136"/>
      <c r="E616" s="136"/>
      <c r="F616" s="136"/>
      <c r="G616" s="136"/>
      <c r="H616" s="5" t="s">
        <v>3612</v>
      </c>
      <c r="I616" s="18">
        <v>3</v>
      </c>
      <c r="J616" s="18">
        <v>0</v>
      </c>
      <c r="K616" s="18">
        <f t="shared" si="490"/>
        <v>0</v>
      </c>
      <c r="L616" s="28" t="s">
        <v>3635</v>
      </c>
      <c r="Z616" s="34">
        <f t="shared" si="491"/>
        <v>0</v>
      </c>
      <c r="AB616" s="34">
        <f t="shared" si="492"/>
        <v>0</v>
      </c>
      <c r="AC616" s="34">
        <f t="shared" si="493"/>
        <v>0</v>
      </c>
      <c r="AD616" s="34">
        <f t="shared" si="494"/>
        <v>0</v>
      </c>
      <c r="AE616" s="34">
        <f t="shared" si="495"/>
        <v>0</v>
      </c>
      <c r="AF616" s="34">
        <f t="shared" si="496"/>
        <v>0</v>
      </c>
      <c r="AG616" s="34">
        <f t="shared" si="497"/>
        <v>0</v>
      </c>
      <c r="AH616" s="34">
        <f t="shared" si="498"/>
        <v>0</v>
      </c>
      <c r="AI616" s="27" t="s">
        <v>3645</v>
      </c>
      <c r="AJ616" s="18">
        <f t="shared" si="499"/>
        <v>0</v>
      </c>
      <c r="AK616" s="18">
        <f t="shared" si="500"/>
        <v>0</v>
      </c>
      <c r="AL616" s="18">
        <f t="shared" si="501"/>
        <v>0</v>
      </c>
      <c r="AN616" s="34">
        <v>21</v>
      </c>
      <c r="AO616" s="34">
        <f t="shared" si="502"/>
        <v>0</v>
      </c>
      <c r="AP616" s="34">
        <f t="shared" si="503"/>
        <v>0</v>
      </c>
      <c r="AQ616" s="28" t="s">
        <v>13</v>
      </c>
      <c r="AV616" s="34">
        <f t="shared" si="504"/>
        <v>0</v>
      </c>
      <c r="AW616" s="34">
        <f t="shared" si="505"/>
        <v>0</v>
      </c>
      <c r="AX616" s="34">
        <f t="shared" si="506"/>
        <v>0</v>
      </c>
      <c r="AY616" s="35" t="s">
        <v>3681</v>
      </c>
      <c r="AZ616" s="35" t="s">
        <v>3715</v>
      </c>
      <c r="BA616" s="27" t="s">
        <v>3729</v>
      </c>
      <c r="BC616" s="34">
        <f t="shared" si="507"/>
        <v>0</v>
      </c>
      <c r="BD616" s="34">
        <f t="shared" si="508"/>
        <v>0</v>
      </c>
      <c r="BE616" s="34">
        <v>0</v>
      </c>
      <c r="BF616" s="34">
        <f>616</f>
        <v>616</v>
      </c>
      <c r="BH616" s="18">
        <f t="shared" si="509"/>
        <v>0</v>
      </c>
      <c r="BI616" s="18">
        <f t="shared" si="510"/>
        <v>0</v>
      </c>
      <c r="BJ616" s="18">
        <f t="shared" si="511"/>
        <v>0</v>
      </c>
    </row>
    <row r="617" spans="1:62" x14ac:dyDescent="0.2">
      <c r="A617" s="5" t="s">
        <v>576</v>
      </c>
      <c r="B617" s="5" t="s">
        <v>1763</v>
      </c>
      <c r="C617" s="135" t="s">
        <v>2971</v>
      </c>
      <c r="D617" s="136"/>
      <c r="E617" s="136"/>
      <c r="F617" s="136"/>
      <c r="G617" s="136"/>
      <c r="H617" s="5" t="s">
        <v>3612</v>
      </c>
      <c r="I617" s="18">
        <v>4</v>
      </c>
      <c r="J617" s="18">
        <v>0</v>
      </c>
      <c r="K617" s="18">
        <f t="shared" si="490"/>
        <v>0</v>
      </c>
      <c r="L617" s="28" t="s">
        <v>3635</v>
      </c>
      <c r="Z617" s="34">
        <f t="shared" si="491"/>
        <v>0</v>
      </c>
      <c r="AB617" s="34">
        <f t="shared" si="492"/>
        <v>0</v>
      </c>
      <c r="AC617" s="34">
        <f t="shared" si="493"/>
        <v>0</v>
      </c>
      <c r="AD617" s="34">
        <f t="shared" si="494"/>
        <v>0</v>
      </c>
      <c r="AE617" s="34">
        <f t="shared" si="495"/>
        <v>0</v>
      </c>
      <c r="AF617" s="34">
        <f t="shared" si="496"/>
        <v>0</v>
      </c>
      <c r="AG617" s="34">
        <f t="shared" si="497"/>
        <v>0</v>
      </c>
      <c r="AH617" s="34">
        <f t="shared" si="498"/>
        <v>0</v>
      </c>
      <c r="AI617" s="27" t="s">
        <v>3645</v>
      </c>
      <c r="AJ617" s="18">
        <f t="shared" si="499"/>
        <v>0</v>
      </c>
      <c r="AK617" s="18">
        <f t="shared" si="500"/>
        <v>0</v>
      </c>
      <c r="AL617" s="18">
        <f t="shared" si="501"/>
        <v>0</v>
      </c>
      <c r="AN617" s="34">
        <v>21</v>
      </c>
      <c r="AO617" s="34">
        <f t="shared" si="502"/>
        <v>0</v>
      </c>
      <c r="AP617" s="34">
        <f t="shared" si="503"/>
        <v>0</v>
      </c>
      <c r="AQ617" s="28" t="s">
        <v>13</v>
      </c>
      <c r="AV617" s="34">
        <f t="shared" si="504"/>
        <v>0</v>
      </c>
      <c r="AW617" s="34">
        <f t="shared" si="505"/>
        <v>0</v>
      </c>
      <c r="AX617" s="34">
        <f t="shared" si="506"/>
        <v>0</v>
      </c>
      <c r="AY617" s="35" t="s">
        <v>3681</v>
      </c>
      <c r="AZ617" s="35" t="s">
        <v>3715</v>
      </c>
      <c r="BA617" s="27" t="s">
        <v>3729</v>
      </c>
      <c r="BC617" s="34">
        <f t="shared" si="507"/>
        <v>0</v>
      </c>
      <c r="BD617" s="34">
        <f t="shared" si="508"/>
        <v>0</v>
      </c>
      <c r="BE617" s="34">
        <v>0</v>
      </c>
      <c r="BF617" s="34">
        <f>617</f>
        <v>617</v>
      </c>
      <c r="BH617" s="18">
        <f t="shared" si="509"/>
        <v>0</v>
      </c>
      <c r="BI617" s="18">
        <f t="shared" si="510"/>
        <v>0</v>
      </c>
      <c r="BJ617" s="18">
        <f t="shared" si="511"/>
        <v>0</v>
      </c>
    </row>
    <row r="618" spans="1:62" x14ac:dyDescent="0.2">
      <c r="A618" s="5" t="s">
        <v>577</v>
      </c>
      <c r="B618" s="5" t="s">
        <v>1764</v>
      </c>
      <c r="C618" s="135" t="s">
        <v>2972</v>
      </c>
      <c r="D618" s="136"/>
      <c r="E618" s="136"/>
      <c r="F618" s="136"/>
      <c r="G618" s="136"/>
      <c r="H618" s="5" t="s">
        <v>3612</v>
      </c>
      <c r="I618" s="18">
        <v>1</v>
      </c>
      <c r="J618" s="18">
        <v>0</v>
      </c>
      <c r="K618" s="18">
        <f t="shared" si="490"/>
        <v>0</v>
      </c>
      <c r="L618" s="28" t="s">
        <v>3635</v>
      </c>
      <c r="Z618" s="34">
        <f t="shared" si="491"/>
        <v>0</v>
      </c>
      <c r="AB618" s="34">
        <f t="shared" si="492"/>
        <v>0</v>
      </c>
      <c r="AC618" s="34">
        <f t="shared" si="493"/>
        <v>0</v>
      </c>
      <c r="AD618" s="34">
        <f t="shared" si="494"/>
        <v>0</v>
      </c>
      <c r="AE618" s="34">
        <f t="shared" si="495"/>
        <v>0</v>
      </c>
      <c r="AF618" s="34">
        <f t="shared" si="496"/>
        <v>0</v>
      </c>
      <c r="AG618" s="34">
        <f t="shared" si="497"/>
        <v>0</v>
      </c>
      <c r="AH618" s="34">
        <f t="shared" si="498"/>
        <v>0</v>
      </c>
      <c r="AI618" s="27" t="s">
        <v>3645</v>
      </c>
      <c r="AJ618" s="18">
        <f t="shared" si="499"/>
        <v>0</v>
      </c>
      <c r="AK618" s="18">
        <f t="shared" si="500"/>
        <v>0</v>
      </c>
      <c r="AL618" s="18">
        <f t="shared" si="501"/>
        <v>0</v>
      </c>
      <c r="AN618" s="34">
        <v>21</v>
      </c>
      <c r="AO618" s="34">
        <f t="shared" si="502"/>
        <v>0</v>
      </c>
      <c r="AP618" s="34">
        <f t="shared" si="503"/>
        <v>0</v>
      </c>
      <c r="AQ618" s="28" t="s">
        <v>13</v>
      </c>
      <c r="AV618" s="34">
        <f t="shared" si="504"/>
        <v>0</v>
      </c>
      <c r="AW618" s="34">
        <f t="shared" si="505"/>
        <v>0</v>
      </c>
      <c r="AX618" s="34">
        <f t="shared" si="506"/>
        <v>0</v>
      </c>
      <c r="AY618" s="35" t="s">
        <v>3681</v>
      </c>
      <c r="AZ618" s="35" t="s">
        <v>3715</v>
      </c>
      <c r="BA618" s="27" t="s">
        <v>3729</v>
      </c>
      <c r="BC618" s="34">
        <f t="shared" si="507"/>
        <v>0</v>
      </c>
      <c r="BD618" s="34">
        <f t="shared" si="508"/>
        <v>0</v>
      </c>
      <c r="BE618" s="34">
        <v>0</v>
      </c>
      <c r="BF618" s="34">
        <f>618</f>
        <v>618</v>
      </c>
      <c r="BH618" s="18">
        <f t="shared" si="509"/>
        <v>0</v>
      </c>
      <c r="BI618" s="18">
        <f t="shared" si="510"/>
        <v>0</v>
      </c>
      <c r="BJ618" s="18">
        <f t="shared" si="511"/>
        <v>0</v>
      </c>
    </row>
    <row r="619" spans="1:62" x14ac:dyDescent="0.2">
      <c r="A619" s="5" t="s">
        <v>578</v>
      </c>
      <c r="B619" s="5" t="s">
        <v>1765</v>
      </c>
      <c r="C619" s="135" t="s">
        <v>2973</v>
      </c>
      <c r="D619" s="136"/>
      <c r="E619" s="136"/>
      <c r="F619" s="136"/>
      <c r="G619" s="136"/>
      <c r="H619" s="5" t="s">
        <v>3612</v>
      </c>
      <c r="I619" s="18">
        <v>19</v>
      </c>
      <c r="J619" s="18">
        <v>0</v>
      </c>
      <c r="K619" s="18">
        <f t="shared" si="490"/>
        <v>0</v>
      </c>
      <c r="L619" s="28" t="s">
        <v>3635</v>
      </c>
      <c r="Z619" s="34">
        <f t="shared" si="491"/>
        <v>0</v>
      </c>
      <c r="AB619" s="34">
        <f t="shared" si="492"/>
        <v>0</v>
      </c>
      <c r="AC619" s="34">
        <f t="shared" si="493"/>
        <v>0</v>
      </c>
      <c r="AD619" s="34">
        <f t="shared" si="494"/>
        <v>0</v>
      </c>
      <c r="AE619" s="34">
        <f t="shared" si="495"/>
        <v>0</v>
      </c>
      <c r="AF619" s="34">
        <f t="shared" si="496"/>
        <v>0</v>
      </c>
      <c r="AG619" s="34">
        <f t="shared" si="497"/>
        <v>0</v>
      </c>
      <c r="AH619" s="34">
        <f t="shared" si="498"/>
        <v>0</v>
      </c>
      <c r="AI619" s="27" t="s">
        <v>3645</v>
      </c>
      <c r="AJ619" s="18">
        <f t="shared" si="499"/>
        <v>0</v>
      </c>
      <c r="AK619" s="18">
        <f t="shared" si="500"/>
        <v>0</v>
      </c>
      <c r="AL619" s="18">
        <f t="shared" si="501"/>
        <v>0</v>
      </c>
      <c r="AN619" s="34">
        <v>21</v>
      </c>
      <c r="AO619" s="34">
        <f t="shared" si="502"/>
        <v>0</v>
      </c>
      <c r="AP619" s="34">
        <f t="shared" si="503"/>
        <v>0</v>
      </c>
      <c r="AQ619" s="28" t="s">
        <v>13</v>
      </c>
      <c r="AV619" s="34">
        <f t="shared" si="504"/>
        <v>0</v>
      </c>
      <c r="AW619" s="34">
        <f t="shared" si="505"/>
        <v>0</v>
      </c>
      <c r="AX619" s="34">
        <f t="shared" si="506"/>
        <v>0</v>
      </c>
      <c r="AY619" s="35" t="s">
        <v>3681</v>
      </c>
      <c r="AZ619" s="35" t="s">
        <v>3715</v>
      </c>
      <c r="BA619" s="27" t="s">
        <v>3729</v>
      </c>
      <c r="BC619" s="34">
        <f t="shared" si="507"/>
        <v>0</v>
      </c>
      <c r="BD619" s="34">
        <f t="shared" si="508"/>
        <v>0</v>
      </c>
      <c r="BE619" s="34">
        <v>0</v>
      </c>
      <c r="BF619" s="34">
        <f>619</f>
        <v>619</v>
      </c>
      <c r="BH619" s="18">
        <f t="shared" si="509"/>
        <v>0</v>
      </c>
      <c r="BI619" s="18">
        <f t="shared" si="510"/>
        <v>0</v>
      </c>
      <c r="BJ619" s="18">
        <f t="shared" si="511"/>
        <v>0</v>
      </c>
    </row>
    <row r="620" spans="1:62" x14ac:dyDescent="0.2">
      <c r="A620" s="5" t="s">
        <v>579</v>
      </c>
      <c r="B620" s="5" t="s">
        <v>1766</v>
      </c>
      <c r="C620" s="135" t="s">
        <v>2974</v>
      </c>
      <c r="D620" s="136"/>
      <c r="E620" s="136"/>
      <c r="F620" s="136"/>
      <c r="G620" s="136"/>
      <c r="H620" s="5" t="s">
        <v>3612</v>
      </c>
      <c r="I620" s="18">
        <v>15</v>
      </c>
      <c r="J620" s="18">
        <v>0</v>
      </c>
      <c r="K620" s="18">
        <f t="shared" si="490"/>
        <v>0</v>
      </c>
      <c r="L620" s="28" t="s">
        <v>3635</v>
      </c>
      <c r="Z620" s="34">
        <f t="shared" si="491"/>
        <v>0</v>
      </c>
      <c r="AB620" s="34">
        <f t="shared" si="492"/>
        <v>0</v>
      </c>
      <c r="AC620" s="34">
        <f t="shared" si="493"/>
        <v>0</v>
      </c>
      <c r="AD620" s="34">
        <f t="shared" si="494"/>
        <v>0</v>
      </c>
      <c r="AE620" s="34">
        <f t="shared" si="495"/>
        <v>0</v>
      </c>
      <c r="AF620" s="34">
        <f t="shared" si="496"/>
        <v>0</v>
      </c>
      <c r="AG620" s="34">
        <f t="shared" si="497"/>
        <v>0</v>
      </c>
      <c r="AH620" s="34">
        <f t="shared" si="498"/>
        <v>0</v>
      </c>
      <c r="AI620" s="27" t="s">
        <v>3645</v>
      </c>
      <c r="AJ620" s="18">
        <f t="shared" si="499"/>
        <v>0</v>
      </c>
      <c r="AK620" s="18">
        <f t="shared" si="500"/>
        <v>0</v>
      </c>
      <c r="AL620" s="18">
        <f t="shared" si="501"/>
        <v>0</v>
      </c>
      <c r="AN620" s="34">
        <v>21</v>
      </c>
      <c r="AO620" s="34">
        <f t="shared" si="502"/>
        <v>0</v>
      </c>
      <c r="AP620" s="34">
        <f t="shared" si="503"/>
        <v>0</v>
      </c>
      <c r="AQ620" s="28" t="s">
        <v>13</v>
      </c>
      <c r="AV620" s="34">
        <f t="shared" si="504"/>
        <v>0</v>
      </c>
      <c r="AW620" s="34">
        <f t="shared" si="505"/>
        <v>0</v>
      </c>
      <c r="AX620" s="34">
        <f t="shared" si="506"/>
        <v>0</v>
      </c>
      <c r="AY620" s="35" t="s">
        <v>3681</v>
      </c>
      <c r="AZ620" s="35" t="s">
        <v>3715</v>
      </c>
      <c r="BA620" s="27" t="s">
        <v>3729</v>
      </c>
      <c r="BC620" s="34">
        <f t="shared" si="507"/>
        <v>0</v>
      </c>
      <c r="BD620" s="34">
        <f t="shared" si="508"/>
        <v>0</v>
      </c>
      <c r="BE620" s="34">
        <v>0</v>
      </c>
      <c r="BF620" s="34">
        <f>620</f>
        <v>620</v>
      </c>
      <c r="BH620" s="18">
        <f t="shared" si="509"/>
        <v>0</v>
      </c>
      <c r="BI620" s="18">
        <f t="shared" si="510"/>
        <v>0</v>
      </c>
      <c r="BJ620" s="18">
        <f t="shared" si="511"/>
        <v>0</v>
      </c>
    </row>
    <row r="621" spans="1:62" x14ac:dyDescent="0.2">
      <c r="A621" s="5" t="s">
        <v>580</v>
      </c>
      <c r="B621" s="5" t="s">
        <v>1767</v>
      </c>
      <c r="C621" s="135" t="s">
        <v>2975</v>
      </c>
      <c r="D621" s="136"/>
      <c r="E621" s="136"/>
      <c r="F621" s="136"/>
      <c r="G621" s="136"/>
      <c r="H621" s="5" t="s">
        <v>3612</v>
      </c>
      <c r="I621" s="18">
        <v>4</v>
      </c>
      <c r="J621" s="18">
        <v>0</v>
      </c>
      <c r="K621" s="18">
        <f t="shared" si="490"/>
        <v>0</v>
      </c>
      <c r="L621" s="28" t="s">
        <v>3635</v>
      </c>
      <c r="Z621" s="34">
        <f t="shared" si="491"/>
        <v>0</v>
      </c>
      <c r="AB621" s="34">
        <f t="shared" si="492"/>
        <v>0</v>
      </c>
      <c r="AC621" s="34">
        <f t="shared" si="493"/>
        <v>0</v>
      </c>
      <c r="AD621" s="34">
        <f t="shared" si="494"/>
        <v>0</v>
      </c>
      <c r="AE621" s="34">
        <f t="shared" si="495"/>
        <v>0</v>
      </c>
      <c r="AF621" s="34">
        <f t="shared" si="496"/>
        <v>0</v>
      </c>
      <c r="AG621" s="34">
        <f t="shared" si="497"/>
        <v>0</v>
      </c>
      <c r="AH621" s="34">
        <f t="shared" si="498"/>
        <v>0</v>
      </c>
      <c r="AI621" s="27" t="s">
        <v>3645</v>
      </c>
      <c r="AJ621" s="18">
        <f t="shared" si="499"/>
        <v>0</v>
      </c>
      <c r="AK621" s="18">
        <f t="shared" si="500"/>
        <v>0</v>
      </c>
      <c r="AL621" s="18">
        <f t="shared" si="501"/>
        <v>0</v>
      </c>
      <c r="AN621" s="34">
        <v>21</v>
      </c>
      <c r="AO621" s="34">
        <f t="shared" si="502"/>
        <v>0</v>
      </c>
      <c r="AP621" s="34">
        <f t="shared" si="503"/>
        <v>0</v>
      </c>
      <c r="AQ621" s="28" t="s">
        <v>13</v>
      </c>
      <c r="AV621" s="34">
        <f t="shared" si="504"/>
        <v>0</v>
      </c>
      <c r="AW621" s="34">
        <f t="shared" si="505"/>
        <v>0</v>
      </c>
      <c r="AX621" s="34">
        <f t="shared" si="506"/>
        <v>0</v>
      </c>
      <c r="AY621" s="35" t="s">
        <v>3681</v>
      </c>
      <c r="AZ621" s="35" t="s">
        <v>3715</v>
      </c>
      <c r="BA621" s="27" t="s">
        <v>3729</v>
      </c>
      <c r="BC621" s="34">
        <f t="shared" si="507"/>
        <v>0</v>
      </c>
      <c r="BD621" s="34">
        <f t="shared" si="508"/>
        <v>0</v>
      </c>
      <c r="BE621" s="34">
        <v>0</v>
      </c>
      <c r="BF621" s="34">
        <f>621</f>
        <v>621</v>
      </c>
      <c r="BH621" s="18">
        <f t="shared" si="509"/>
        <v>0</v>
      </c>
      <c r="BI621" s="18">
        <f t="shared" si="510"/>
        <v>0</v>
      </c>
      <c r="BJ621" s="18">
        <f t="shared" si="511"/>
        <v>0</v>
      </c>
    </row>
    <row r="622" spans="1:62" x14ac:dyDescent="0.2">
      <c r="A622" s="5" t="s">
        <v>581</v>
      </c>
      <c r="B622" s="5" t="s">
        <v>1768</v>
      </c>
      <c r="C622" s="135" t="s">
        <v>2976</v>
      </c>
      <c r="D622" s="136"/>
      <c r="E622" s="136"/>
      <c r="F622" s="136"/>
      <c r="G622" s="136"/>
      <c r="H622" s="5" t="s">
        <v>3612</v>
      </c>
      <c r="I622" s="18">
        <v>19</v>
      </c>
      <c r="J622" s="18">
        <v>0</v>
      </c>
      <c r="K622" s="18">
        <f t="shared" si="490"/>
        <v>0</v>
      </c>
      <c r="L622" s="28" t="s">
        <v>3635</v>
      </c>
      <c r="Z622" s="34">
        <f t="shared" si="491"/>
        <v>0</v>
      </c>
      <c r="AB622" s="34">
        <f t="shared" si="492"/>
        <v>0</v>
      </c>
      <c r="AC622" s="34">
        <f t="shared" si="493"/>
        <v>0</v>
      </c>
      <c r="AD622" s="34">
        <f t="shared" si="494"/>
        <v>0</v>
      </c>
      <c r="AE622" s="34">
        <f t="shared" si="495"/>
        <v>0</v>
      </c>
      <c r="AF622" s="34">
        <f t="shared" si="496"/>
        <v>0</v>
      </c>
      <c r="AG622" s="34">
        <f t="shared" si="497"/>
        <v>0</v>
      </c>
      <c r="AH622" s="34">
        <f t="shared" si="498"/>
        <v>0</v>
      </c>
      <c r="AI622" s="27" t="s">
        <v>3645</v>
      </c>
      <c r="AJ622" s="18">
        <f t="shared" si="499"/>
        <v>0</v>
      </c>
      <c r="AK622" s="18">
        <f t="shared" si="500"/>
        <v>0</v>
      </c>
      <c r="AL622" s="18">
        <f t="shared" si="501"/>
        <v>0</v>
      </c>
      <c r="AN622" s="34">
        <v>21</v>
      </c>
      <c r="AO622" s="34">
        <f t="shared" si="502"/>
        <v>0</v>
      </c>
      <c r="AP622" s="34">
        <f t="shared" si="503"/>
        <v>0</v>
      </c>
      <c r="AQ622" s="28" t="s">
        <v>13</v>
      </c>
      <c r="AV622" s="34">
        <f t="shared" si="504"/>
        <v>0</v>
      </c>
      <c r="AW622" s="34">
        <f t="shared" si="505"/>
        <v>0</v>
      </c>
      <c r="AX622" s="34">
        <f t="shared" si="506"/>
        <v>0</v>
      </c>
      <c r="AY622" s="35" t="s">
        <v>3681</v>
      </c>
      <c r="AZ622" s="35" t="s">
        <v>3715</v>
      </c>
      <c r="BA622" s="27" t="s">
        <v>3729</v>
      </c>
      <c r="BC622" s="34">
        <f t="shared" si="507"/>
        <v>0</v>
      </c>
      <c r="BD622" s="34">
        <f t="shared" si="508"/>
        <v>0</v>
      </c>
      <c r="BE622" s="34">
        <v>0</v>
      </c>
      <c r="BF622" s="34">
        <f>622</f>
        <v>622</v>
      </c>
      <c r="BH622" s="18">
        <f t="shared" si="509"/>
        <v>0</v>
      </c>
      <c r="BI622" s="18">
        <f t="shared" si="510"/>
        <v>0</v>
      </c>
      <c r="BJ622" s="18">
        <f t="shared" si="511"/>
        <v>0</v>
      </c>
    </row>
    <row r="623" spans="1:62" x14ac:dyDescent="0.2">
      <c r="A623" s="5" t="s">
        <v>582</v>
      </c>
      <c r="B623" s="5" t="s">
        <v>1769</v>
      </c>
      <c r="C623" s="135" t="s">
        <v>2977</v>
      </c>
      <c r="D623" s="136"/>
      <c r="E623" s="136"/>
      <c r="F623" s="136"/>
      <c r="G623" s="136"/>
      <c r="H623" s="5" t="s">
        <v>3612</v>
      </c>
      <c r="I623" s="18">
        <v>19</v>
      </c>
      <c r="J623" s="18">
        <v>0</v>
      </c>
      <c r="K623" s="18">
        <f t="shared" si="490"/>
        <v>0</v>
      </c>
      <c r="L623" s="28" t="s">
        <v>3635</v>
      </c>
      <c r="Z623" s="34">
        <f t="shared" si="491"/>
        <v>0</v>
      </c>
      <c r="AB623" s="34">
        <f t="shared" si="492"/>
        <v>0</v>
      </c>
      <c r="AC623" s="34">
        <f t="shared" si="493"/>
        <v>0</v>
      </c>
      <c r="AD623" s="34">
        <f t="shared" si="494"/>
        <v>0</v>
      </c>
      <c r="AE623" s="34">
        <f t="shared" si="495"/>
        <v>0</v>
      </c>
      <c r="AF623" s="34">
        <f t="shared" si="496"/>
        <v>0</v>
      </c>
      <c r="AG623" s="34">
        <f t="shared" si="497"/>
        <v>0</v>
      </c>
      <c r="AH623" s="34">
        <f t="shared" si="498"/>
        <v>0</v>
      </c>
      <c r="AI623" s="27" t="s">
        <v>3645</v>
      </c>
      <c r="AJ623" s="18">
        <f t="shared" si="499"/>
        <v>0</v>
      </c>
      <c r="AK623" s="18">
        <f t="shared" si="500"/>
        <v>0</v>
      </c>
      <c r="AL623" s="18">
        <f t="shared" si="501"/>
        <v>0</v>
      </c>
      <c r="AN623" s="34">
        <v>21</v>
      </c>
      <c r="AO623" s="34">
        <f t="shared" si="502"/>
        <v>0</v>
      </c>
      <c r="AP623" s="34">
        <f t="shared" si="503"/>
        <v>0</v>
      </c>
      <c r="AQ623" s="28" t="s">
        <v>13</v>
      </c>
      <c r="AV623" s="34">
        <f t="shared" si="504"/>
        <v>0</v>
      </c>
      <c r="AW623" s="34">
        <f t="shared" si="505"/>
        <v>0</v>
      </c>
      <c r="AX623" s="34">
        <f t="shared" si="506"/>
        <v>0</v>
      </c>
      <c r="AY623" s="35" t="s">
        <v>3681</v>
      </c>
      <c r="AZ623" s="35" t="s">
        <v>3715</v>
      </c>
      <c r="BA623" s="27" t="s">
        <v>3729</v>
      </c>
      <c r="BC623" s="34">
        <f t="shared" si="507"/>
        <v>0</v>
      </c>
      <c r="BD623" s="34">
        <f t="shared" si="508"/>
        <v>0</v>
      </c>
      <c r="BE623" s="34">
        <v>0</v>
      </c>
      <c r="BF623" s="34">
        <f>623</f>
        <v>623</v>
      </c>
      <c r="BH623" s="18">
        <f t="shared" si="509"/>
        <v>0</v>
      </c>
      <c r="BI623" s="18">
        <f t="shared" si="510"/>
        <v>0</v>
      </c>
      <c r="BJ623" s="18">
        <f t="shared" si="511"/>
        <v>0</v>
      </c>
    </row>
    <row r="624" spans="1:62" x14ac:dyDescent="0.2">
      <c r="A624" s="5" t="s">
        <v>583</v>
      </c>
      <c r="B624" s="5" t="s">
        <v>1770</v>
      </c>
      <c r="C624" s="135" t="s">
        <v>2978</v>
      </c>
      <c r="D624" s="136"/>
      <c r="E624" s="136"/>
      <c r="F624" s="136"/>
      <c r="G624" s="136"/>
      <c r="H624" s="5" t="s">
        <v>3612</v>
      </c>
      <c r="I624" s="18">
        <v>15</v>
      </c>
      <c r="J624" s="18">
        <v>0</v>
      </c>
      <c r="K624" s="18">
        <f t="shared" si="490"/>
        <v>0</v>
      </c>
      <c r="L624" s="28" t="s">
        <v>3635</v>
      </c>
      <c r="Z624" s="34">
        <f t="shared" si="491"/>
        <v>0</v>
      </c>
      <c r="AB624" s="34">
        <f t="shared" si="492"/>
        <v>0</v>
      </c>
      <c r="AC624" s="34">
        <f t="shared" si="493"/>
        <v>0</v>
      </c>
      <c r="AD624" s="34">
        <f t="shared" si="494"/>
        <v>0</v>
      </c>
      <c r="AE624" s="34">
        <f t="shared" si="495"/>
        <v>0</v>
      </c>
      <c r="AF624" s="34">
        <f t="shared" si="496"/>
        <v>0</v>
      </c>
      <c r="AG624" s="34">
        <f t="shared" si="497"/>
        <v>0</v>
      </c>
      <c r="AH624" s="34">
        <f t="shared" si="498"/>
        <v>0</v>
      </c>
      <c r="AI624" s="27" t="s">
        <v>3645</v>
      </c>
      <c r="AJ624" s="18">
        <f t="shared" si="499"/>
        <v>0</v>
      </c>
      <c r="AK624" s="18">
        <f t="shared" si="500"/>
        <v>0</v>
      </c>
      <c r="AL624" s="18">
        <f t="shared" si="501"/>
        <v>0</v>
      </c>
      <c r="AN624" s="34">
        <v>21</v>
      </c>
      <c r="AO624" s="34">
        <f t="shared" si="502"/>
        <v>0</v>
      </c>
      <c r="AP624" s="34">
        <f t="shared" si="503"/>
        <v>0</v>
      </c>
      <c r="AQ624" s="28" t="s">
        <v>13</v>
      </c>
      <c r="AV624" s="34">
        <f t="shared" si="504"/>
        <v>0</v>
      </c>
      <c r="AW624" s="34">
        <f t="shared" si="505"/>
        <v>0</v>
      </c>
      <c r="AX624" s="34">
        <f t="shared" si="506"/>
        <v>0</v>
      </c>
      <c r="AY624" s="35" t="s">
        <v>3681</v>
      </c>
      <c r="AZ624" s="35" t="s">
        <v>3715</v>
      </c>
      <c r="BA624" s="27" t="s">
        <v>3729</v>
      </c>
      <c r="BC624" s="34">
        <f t="shared" si="507"/>
        <v>0</v>
      </c>
      <c r="BD624" s="34">
        <f t="shared" si="508"/>
        <v>0</v>
      </c>
      <c r="BE624" s="34">
        <v>0</v>
      </c>
      <c r="BF624" s="34">
        <f>624</f>
        <v>624</v>
      </c>
      <c r="BH624" s="18">
        <f t="shared" si="509"/>
        <v>0</v>
      </c>
      <c r="BI624" s="18">
        <f t="shared" si="510"/>
        <v>0</v>
      </c>
      <c r="BJ624" s="18">
        <f t="shared" si="511"/>
        <v>0</v>
      </c>
    </row>
    <row r="625" spans="1:62" x14ac:dyDescent="0.2">
      <c r="A625" s="5" t="s">
        <v>584</v>
      </c>
      <c r="B625" s="5" t="s">
        <v>1771</v>
      </c>
      <c r="C625" s="135" t="s">
        <v>2979</v>
      </c>
      <c r="D625" s="136"/>
      <c r="E625" s="136"/>
      <c r="F625" s="136"/>
      <c r="G625" s="136"/>
      <c r="H625" s="5" t="s">
        <v>3612</v>
      </c>
      <c r="I625" s="18">
        <v>15</v>
      </c>
      <c r="J625" s="18">
        <v>0</v>
      </c>
      <c r="K625" s="18">
        <f t="shared" si="490"/>
        <v>0</v>
      </c>
      <c r="L625" s="28" t="s">
        <v>3635</v>
      </c>
      <c r="Z625" s="34">
        <f t="shared" si="491"/>
        <v>0</v>
      </c>
      <c r="AB625" s="34">
        <f t="shared" si="492"/>
        <v>0</v>
      </c>
      <c r="AC625" s="34">
        <f t="shared" si="493"/>
        <v>0</v>
      </c>
      <c r="AD625" s="34">
        <f t="shared" si="494"/>
        <v>0</v>
      </c>
      <c r="AE625" s="34">
        <f t="shared" si="495"/>
        <v>0</v>
      </c>
      <c r="AF625" s="34">
        <f t="shared" si="496"/>
        <v>0</v>
      </c>
      <c r="AG625" s="34">
        <f t="shared" si="497"/>
        <v>0</v>
      </c>
      <c r="AH625" s="34">
        <f t="shared" si="498"/>
        <v>0</v>
      </c>
      <c r="AI625" s="27" t="s">
        <v>3645</v>
      </c>
      <c r="AJ625" s="18">
        <f t="shared" si="499"/>
        <v>0</v>
      </c>
      <c r="AK625" s="18">
        <f t="shared" si="500"/>
        <v>0</v>
      </c>
      <c r="AL625" s="18">
        <f t="shared" si="501"/>
        <v>0</v>
      </c>
      <c r="AN625" s="34">
        <v>21</v>
      </c>
      <c r="AO625" s="34">
        <f t="shared" si="502"/>
        <v>0</v>
      </c>
      <c r="AP625" s="34">
        <f t="shared" si="503"/>
        <v>0</v>
      </c>
      <c r="AQ625" s="28" t="s">
        <v>13</v>
      </c>
      <c r="AV625" s="34">
        <f t="shared" si="504"/>
        <v>0</v>
      </c>
      <c r="AW625" s="34">
        <f t="shared" si="505"/>
        <v>0</v>
      </c>
      <c r="AX625" s="34">
        <f t="shared" si="506"/>
        <v>0</v>
      </c>
      <c r="AY625" s="35" t="s">
        <v>3681</v>
      </c>
      <c r="AZ625" s="35" t="s">
        <v>3715</v>
      </c>
      <c r="BA625" s="27" t="s">
        <v>3729</v>
      </c>
      <c r="BC625" s="34">
        <f t="shared" si="507"/>
        <v>0</v>
      </c>
      <c r="BD625" s="34">
        <f t="shared" si="508"/>
        <v>0</v>
      </c>
      <c r="BE625" s="34">
        <v>0</v>
      </c>
      <c r="BF625" s="34">
        <f>625</f>
        <v>625</v>
      </c>
      <c r="BH625" s="18">
        <f t="shared" si="509"/>
        <v>0</v>
      </c>
      <c r="BI625" s="18">
        <f t="shared" si="510"/>
        <v>0</v>
      </c>
      <c r="BJ625" s="18">
        <f t="shared" si="511"/>
        <v>0</v>
      </c>
    </row>
    <row r="626" spans="1:62" x14ac:dyDescent="0.2">
      <c r="A626" s="5" t="s">
        <v>585</v>
      </c>
      <c r="B626" s="5" t="s">
        <v>1772</v>
      </c>
      <c r="C626" s="135" t="s">
        <v>2980</v>
      </c>
      <c r="D626" s="136"/>
      <c r="E626" s="136"/>
      <c r="F626" s="136"/>
      <c r="G626" s="136"/>
      <c r="H626" s="5" t="s">
        <v>3612</v>
      </c>
      <c r="I626" s="18">
        <v>7</v>
      </c>
      <c r="J626" s="18">
        <v>0</v>
      </c>
      <c r="K626" s="18">
        <f t="shared" si="490"/>
        <v>0</v>
      </c>
      <c r="L626" s="28" t="s">
        <v>3635</v>
      </c>
      <c r="Z626" s="34">
        <f t="shared" si="491"/>
        <v>0</v>
      </c>
      <c r="AB626" s="34">
        <f t="shared" si="492"/>
        <v>0</v>
      </c>
      <c r="AC626" s="34">
        <f t="shared" si="493"/>
        <v>0</v>
      </c>
      <c r="AD626" s="34">
        <f t="shared" si="494"/>
        <v>0</v>
      </c>
      <c r="AE626" s="34">
        <f t="shared" si="495"/>
        <v>0</v>
      </c>
      <c r="AF626" s="34">
        <f t="shared" si="496"/>
        <v>0</v>
      </c>
      <c r="AG626" s="34">
        <f t="shared" si="497"/>
        <v>0</v>
      </c>
      <c r="AH626" s="34">
        <f t="shared" si="498"/>
        <v>0</v>
      </c>
      <c r="AI626" s="27" t="s">
        <v>3645</v>
      </c>
      <c r="AJ626" s="18">
        <f t="shared" si="499"/>
        <v>0</v>
      </c>
      <c r="AK626" s="18">
        <f t="shared" si="500"/>
        <v>0</v>
      </c>
      <c r="AL626" s="18">
        <f t="shared" si="501"/>
        <v>0</v>
      </c>
      <c r="AN626" s="34">
        <v>21</v>
      </c>
      <c r="AO626" s="34">
        <f t="shared" si="502"/>
        <v>0</v>
      </c>
      <c r="AP626" s="34">
        <f t="shared" si="503"/>
        <v>0</v>
      </c>
      <c r="AQ626" s="28" t="s">
        <v>13</v>
      </c>
      <c r="AV626" s="34">
        <f t="shared" si="504"/>
        <v>0</v>
      </c>
      <c r="AW626" s="34">
        <f t="shared" si="505"/>
        <v>0</v>
      </c>
      <c r="AX626" s="34">
        <f t="shared" si="506"/>
        <v>0</v>
      </c>
      <c r="AY626" s="35" t="s">
        <v>3681</v>
      </c>
      <c r="AZ626" s="35" t="s">
        <v>3715</v>
      </c>
      <c r="BA626" s="27" t="s">
        <v>3729</v>
      </c>
      <c r="BC626" s="34">
        <f t="shared" si="507"/>
        <v>0</v>
      </c>
      <c r="BD626" s="34">
        <f t="shared" si="508"/>
        <v>0</v>
      </c>
      <c r="BE626" s="34">
        <v>0</v>
      </c>
      <c r="BF626" s="34">
        <f>626</f>
        <v>626</v>
      </c>
      <c r="BH626" s="18">
        <f t="shared" si="509"/>
        <v>0</v>
      </c>
      <c r="BI626" s="18">
        <f t="shared" si="510"/>
        <v>0</v>
      </c>
      <c r="BJ626" s="18">
        <f t="shared" si="511"/>
        <v>0</v>
      </c>
    </row>
    <row r="627" spans="1:62" x14ac:dyDescent="0.2">
      <c r="A627" s="5" t="s">
        <v>586</v>
      </c>
      <c r="B627" s="5" t="s">
        <v>1773</v>
      </c>
      <c r="C627" s="135" t="s">
        <v>2846</v>
      </c>
      <c r="D627" s="136"/>
      <c r="E627" s="136"/>
      <c r="F627" s="136"/>
      <c r="G627" s="136"/>
      <c r="H627" s="5" t="s">
        <v>3612</v>
      </c>
      <c r="I627" s="18">
        <v>3</v>
      </c>
      <c r="J627" s="18">
        <v>0</v>
      </c>
      <c r="K627" s="18">
        <f t="shared" si="490"/>
        <v>0</v>
      </c>
      <c r="L627" s="28" t="s">
        <v>3635</v>
      </c>
      <c r="Z627" s="34">
        <f t="shared" si="491"/>
        <v>0</v>
      </c>
      <c r="AB627" s="34">
        <f t="shared" si="492"/>
        <v>0</v>
      </c>
      <c r="AC627" s="34">
        <f t="shared" si="493"/>
        <v>0</v>
      </c>
      <c r="AD627" s="34">
        <f t="shared" si="494"/>
        <v>0</v>
      </c>
      <c r="AE627" s="34">
        <f t="shared" si="495"/>
        <v>0</v>
      </c>
      <c r="AF627" s="34">
        <f t="shared" si="496"/>
        <v>0</v>
      </c>
      <c r="AG627" s="34">
        <f t="shared" si="497"/>
        <v>0</v>
      </c>
      <c r="AH627" s="34">
        <f t="shared" si="498"/>
        <v>0</v>
      </c>
      <c r="AI627" s="27" t="s">
        <v>3645</v>
      </c>
      <c r="AJ627" s="18">
        <f t="shared" si="499"/>
        <v>0</v>
      </c>
      <c r="AK627" s="18">
        <f t="shared" si="500"/>
        <v>0</v>
      </c>
      <c r="AL627" s="18">
        <f t="shared" si="501"/>
        <v>0</v>
      </c>
      <c r="AN627" s="34">
        <v>21</v>
      </c>
      <c r="AO627" s="34">
        <f t="shared" si="502"/>
        <v>0</v>
      </c>
      <c r="AP627" s="34">
        <f t="shared" si="503"/>
        <v>0</v>
      </c>
      <c r="AQ627" s="28" t="s">
        <v>13</v>
      </c>
      <c r="AV627" s="34">
        <f t="shared" si="504"/>
        <v>0</v>
      </c>
      <c r="AW627" s="34">
        <f t="shared" si="505"/>
        <v>0</v>
      </c>
      <c r="AX627" s="34">
        <f t="shared" si="506"/>
        <v>0</v>
      </c>
      <c r="AY627" s="35" t="s">
        <v>3681</v>
      </c>
      <c r="AZ627" s="35" t="s">
        <v>3715</v>
      </c>
      <c r="BA627" s="27" t="s">
        <v>3729</v>
      </c>
      <c r="BC627" s="34">
        <f t="shared" si="507"/>
        <v>0</v>
      </c>
      <c r="BD627" s="34">
        <f t="shared" si="508"/>
        <v>0</v>
      </c>
      <c r="BE627" s="34">
        <v>0</v>
      </c>
      <c r="BF627" s="34">
        <f>627</f>
        <v>627</v>
      </c>
      <c r="BH627" s="18">
        <f t="shared" si="509"/>
        <v>0</v>
      </c>
      <c r="BI627" s="18">
        <f t="shared" si="510"/>
        <v>0</v>
      </c>
      <c r="BJ627" s="18">
        <f t="shared" si="511"/>
        <v>0</v>
      </c>
    </row>
    <row r="628" spans="1:62" x14ac:dyDescent="0.2">
      <c r="A628" s="5" t="s">
        <v>587</v>
      </c>
      <c r="B628" s="5" t="s">
        <v>1774</v>
      </c>
      <c r="C628" s="135" t="s">
        <v>2981</v>
      </c>
      <c r="D628" s="136"/>
      <c r="E628" s="136"/>
      <c r="F628" s="136"/>
      <c r="G628" s="136"/>
      <c r="H628" s="5" t="s">
        <v>3612</v>
      </c>
      <c r="I628" s="18">
        <v>6</v>
      </c>
      <c r="J628" s="18">
        <v>0</v>
      </c>
      <c r="K628" s="18">
        <f t="shared" si="490"/>
        <v>0</v>
      </c>
      <c r="L628" s="28" t="s">
        <v>3635</v>
      </c>
      <c r="Z628" s="34">
        <f t="shared" si="491"/>
        <v>0</v>
      </c>
      <c r="AB628" s="34">
        <f t="shared" si="492"/>
        <v>0</v>
      </c>
      <c r="AC628" s="34">
        <f t="shared" si="493"/>
        <v>0</v>
      </c>
      <c r="AD628" s="34">
        <f t="shared" si="494"/>
        <v>0</v>
      </c>
      <c r="AE628" s="34">
        <f t="shared" si="495"/>
        <v>0</v>
      </c>
      <c r="AF628" s="34">
        <f t="shared" si="496"/>
        <v>0</v>
      </c>
      <c r="AG628" s="34">
        <f t="shared" si="497"/>
        <v>0</v>
      </c>
      <c r="AH628" s="34">
        <f t="shared" si="498"/>
        <v>0</v>
      </c>
      <c r="AI628" s="27" t="s">
        <v>3645</v>
      </c>
      <c r="AJ628" s="18">
        <f t="shared" si="499"/>
        <v>0</v>
      </c>
      <c r="AK628" s="18">
        <f t="shared" si="500"/>
        <v>0</v>
      </c>
      <c r="AL628" s="18">
        <f t="shared" si="501"/>
        <v>0</v>
      </c>
      <c r="AN628" s="34">
        <v>21</v>
      </c>
      <c r="AO628" s="34">
        <f t="shared" si="502"/>
        <v>0</v>
      </c>
      <c r="AP628" s="34">
        <f t="shared" si="503"/>
        <v>0</v>
      </c>
      <c r="AQ628" s="28" t="s">
        <v>13</v>
      </c>
      <c r="AV628" s="34">
        <f t="shared" si="504"/>
        <v>0</v>
      </c>
      <c r="AW628" s="34">
        <f t="shared" si="505"/>
        <v>0</v>
      </c>
      <c r="AX628" s="34">
        <f t="shared" si="506"/>
        <v>0</v>
      </c>
      <c r="AY628" s="35" t="s">
        <v>3681</v>
      </c>
      <c r="AZ628" s="35" t="s">
        <v>3715</v>
      </c>
      <c r="BA628" s="27" t="s">
        <v>3729</v>
      </c>
      <c r="BC628" s="34">
        <f t="shared" si="507"/>
        <v>0</v>
      </c>
      <c r="BD628" s="34">
        <f t="shared" si="508"/>
        <v>0</v>
      </c>
      <c r="BE628" s="34">
        <v>0</v>
      </c>
      <c r="BF628" s="34">
        <f>628</f>
        <v>628</v>
      </c>
      <c r="BH628" s="18">
        <f t="shared" si="509"/>
        <v>0</v>
      </c>
      <c r="BI628" s="18">
        <f t="shared" si="510"/>
        <v>0</v>
      </c>
      <c r="BJ628" s="18">
        <f t="shared" si="511"/>
        <v>0</v>
      </c>
    </row>
    <row r="629" spans="1:62" x14ac:dyDescent="0.2">
      <c r="A629" s="5" t="s">
        <v>588</v>
      </c>
      <c r="B629" s="5" t="s">
        <v>1775</v>
      </c>
      <c r="C629" s="135" t="s">
        <v>2982</v>
      </c>
      <c r="D629" s="136"/>
      <c r="E629" s="136"/>
      <c r="F629" s="136"/>
      <c r="G629" s="136"/>
      <c r="H629" s="5" t="s">
        <v>3612</v>
      </c>
      <c r="I629" s="18">
        <v>1</v>
      </c>
      <c r="J629" s="18">
        <v>0</v>
      </c>
      <c r="K629" s="18">
        <f t="shared" ref="K629:K660" si="512">I629*J629</f>
        <v>0</v>
      </c>
      <c r="L629" s="28" t="s">
        <v>3635</v>
      </c>
      <c r="Z629" s="34">
        <f t="shared" ref="Z629:Z660" si="513">IF(AQ629="5",BJ629,0)</f>
        <v>0</v>
      </c>
      <c r="AB629" s="34">
        <f t="shared" ref="AB629:AB660" si="514">IF(AQ629="1",BH629,0)</f>
        <v>0</v>
      </c>
      <c r="AC629" s="34">
        <f t="shared" ref="AC629:AC660" si="515">IF(AQ629="1",BI629,0)</f>
        <v>0</v>
      </c>
      <c r="AD629" s="34">
        <f t="shared" ref="AD629:AD660" si="516">IF(AQ629="7",BH629,0)</f>
        <v>0</v>
      </c>
      <c r="AE629" s="34">
        <f t="shared" ref="AE629:AE660" si="517">IF(AQ629="7",BI629,0)</f>
        <v>0</v>
      </c>
      <c r="AF629" s="34">
        <f t="shared" ref="AF629:AF660" si="518">IF(AQ629="2",BH629,0)</f>
        <v>0</v>
      </c>
      <c r="AG629" s="34">
        <f t="shared" ref="AG629:AG660" si="519">IF(AQ629="2",BI629,0)</f>
        <v>0</v>
      </c>
      <c r="AH629" s="34">
        <f t="shared" ref="AH629:AH660" si="520">IF(AQ629="0",BJ629,0)</f>
        <v>0</v>
      </c>
      <c r="AI629" s="27" t="s">
        <v>3645</v>
      </c>
      <c r="AJ629" s="18">
        <f t="shared" ref="AJ629:AJ660" si="521">IF(AN629=0,K629,0)</f>
        <v>0</v>
      </c>
      <c r="AK629" s="18">
        <f t="shared" ref="AK629:AK660" si="522">IF(AN629=15,K629,0)</f>
        <v>0</v>
      </c>
      <c r="AL629" s="18">
        <f t="shared" ref="AL629:AL660" si="523">IF(AN629=21,K629,0)</f>
        <v>0</v>
      </c>
      <c r="AN629" s="34">
        <v>21</v>
      </c>
      <c r="AO629" s="34">
        <f t="shared" ref="AO629:AO660" si="524">J629*0</f>
        <v>0</v>
      </c>
      <c r="AP629" s="34">
        <f t="shared" ref="AP629:AP660" si="525">J629*(1-0)</f>
        <v>0</v>
      </c>
      <c r="AQ629" s="28" t="s">
        <v>13</v>
      </c>
      <c r="AV629" s="34">
        <f t="shared" ref="AV629:AV660" si="526">AW629+AX629</f>
        <v>0</v>
      </c>
      <c r="AW629" s="34">
        <f t="shared" ref="AW629:AW660" si="527">I629*AO629</f>
        <v>0</v>
      </c>
      <c r="AX629" s="34">
        <f t="shared" ref="AX629:AX660" si="528">I629*AP629</f>
        <v>0</v>
      </c>
      <c r="AY629" s="35" t="s">
        <v>3681</v>
      </c>
      <c r="AZ629" s="35" t="s">
        <v>3715</v>
      </c>
      <c r="BA629" s="27" t="s">
        <v>3729</v>
      </c>
      <c r="BC629" s="34">
        <f t="shared" ref="BC629:BC660" si="529">AW629+AX629</f>
        <v>0</v>
      </c>
      <c r="BD629" s="34">
        <f t="shared" ref="BD629:BD660" si="530">J629/(100-BE629)*100</f>
        <v>0</v>
      </c>
      <c r="BE629" s="34">
        <v>0</v>
      </c>
      <c r="BF629" s="34">
        <f>629</f>
        <v>629</v>
      </c>
      <c r="BH629" s="18">
        <f t="shared" ref="BH629:BH660" si="531">I629*AO629</f>
        <v>0</v>
      </c>
      <c r="BI629" s="18">
        <f t="shared" ref="BI629:BI660" si="532">I629*AP629</f>
        <v>0</v>
      </c>
      <c r="BJ629" s="18">
        <f t="shared" ref="BJ629:BJ660" si="533">I629*J629</f>
        <v>0</v>
      </c>
    </row>
    <row r="630" spans="1:62" x14ac:dyDescent="0.2">
      <c r="A630" s="5" t="s">
        <v>589</v>
      </c>
      <c r="B630" s="5" t="s">
        <v>1776</v>
      </c>
      <c r="C630" s="135" t="s">
        <v>2983</v>
      </c>
      <c r="D630" s="136"/>
      <c r="E630" s="136"/>
      <c r="F630" s="136"/>
      <c r="G630" s="136"/>
      <c r="H630" s="5" t="s">
        <v>3612</v>
      </c>
      <c r="I630" s="18">
        <v>1</v>
      </c>
      <c r="J630" s="18">
        <v>0</v>
      </c>
      <c r="K630" s="18">
        <f t="shared" si="512"/>
        <v>0</v>
      </c>
      <c r="L630" s="28" t="s">
        <v>3635</v>
      </c>
      <c r="Z630" s="34">
        <f t="shared" si="513"/>
        <v>0</v>
      </c>
      <c r="AB630" s="34">
        <f t="shared" si="514"/>
        <v>0</v>
      </c>
      <c r="AC630" s="34">
        <f t="shared" si="515"/>
        <v>0</v>
      </c>
      <c r="AD630" s="34">
        <f t="shared" si="516"/>
        <v>0</v>
      </c>
      <c r="AE630" s="34">
        <f t="shared" si="517"/>
        <v>0</v>
      </c>
      <c r="AF630" s="34">
        <f t="shared" si="518"/>
        <v>0</v>
      </c>
      <c r="AG630" s="34">
        <f t="shared" si="519"/>
        <v>0</v>
      </c>
      <c r="AH630" s="34">
        <f t="shared" si="520"/>
        <v>0</v>
      </c>
      <c r="AI630" s="27" t="s">
        <v>3645</v>
      </c>
      <c r="AJ630" s="18">
        <f t="shared" si="521"/>
        <v>0</v>
      </c>
      <c r="AK630" s="18">
        <f t="shared" si="522"/>
        <v>0</v>
      </c>
      <c r="AL630" s="18">
        <f t="shared" si="523"/>
        <v>0</v>
      </c>
      <c r="AN630" s="34">
        <v>21</v>
      </c>
      <c r="AO630" s="34">
        <f t="shared" si="524"/>
        <v>0</v>
      </c>
      <c r="AP630" s="34">
        <f t="shared" si="525"/>
        <v>0</v>
      </c>
      <c r="AQ630" s="28" t="s">
        <v>13</v>
      </c>
      <c r="AV630" s="34">
        <f t="shared" si="526"/>
        <v>0</v>
      </c>
      <c r="AW630" s="34">
        <f t="shared" si="527"/>
        <v>0</v>
      </c>
      <c r="AX630" s="34">
        <f t="shared" si="528"/>
        <v>0</v>
      </c>
      <c r="AY630" s="35" t="s">
        <v>3681</v>
      </c>
      <c r="AZ630" s="35" t="s">
        <v>3715</v>
      </c>
      <c r="BA630" s="27" t="s">
        <v>3729</v>
      </c>
      <c r="BC630" s="34">
        <f t="shared" si="529"/>
        <v>0</v>
      </c>
      <c r="BD630" s="34">
        <f t="shared" si="530"/>
        <v>0</v>
      </c>
      <c r="BE630" s="34">
        <v>0</v>
      </c>
      <c r="BF630" s="34">
        <f>630</f>
        <v>630</v>
      </c>
      <c r="BH630" s="18">
        <f t="shared" si="531"/>
        <v>0</v>
      </c>
      <c r="BI630" s="18">
        <f t="shared" si="532"/>
        <v>0</v>
      </c>
      <c r="BJ630" s="18">
        <f t="shared" si="533"/>
        <v>0</v>
      </c>
    </row>
    <row r="631" spans="1:62" x14ac:dyDescent="0.2">
      <c r="A631" s="5" t="s">
        <v>590</v>
      </c>
      <c r="B631" s="5" t="s">
        <v>1777</v>
      </c>
      <c r="C631" s="135" t="s">
        <v>2984</v>
      </c>
      <c r="D631" s="136"/>
      <c r="E631" s="136"/>
      <c r="F631" s="136"/>
      <c r="G631" s="136"/>
      <c r="H631" s="5" t="s">
        <v>3612</v>
      </c>
      <c r="I631" s="18">
        <v>1</v>
      </c>
      <c r="J631" s="18">
        <v>0</v>
      </c>
      <c r="K631" s="18">
        <f t="shared" si="512"/>
        <v>0</v>
      </c>
      <c r="L631" s="28" t="s">
        <v>3635</v>
      </c>
      <c r="Z631" s="34">
        <f t="shared" si="513"/>
        <v>0</v>
      </c>
      <c r="AB631" s="34">
        <f t="shared" si="514"/>
        <v>0</v>
      </c>
      <c r="AC631" s="34">
        <f t="shared" si="515"/>
        <v>0</v>
      </c>
      <c r="AD631" s="34">
        <f t="shared" si="516"/>
        <v>0</v>
      </c>
      <c r="AE631" s="34">
        <f t="shared" si="517"/>
        <v>0</v>
      </c>
      <c r="AF631" s="34">
        <f t="shared" si="518"/>
        <v>0</v>
      </c>
      <c r="AG631" s="34">
        <f t="shared" si="519"/>
        <v>0</v>
      </c>
      <c r="AH631" s="34">
        <f t="shared" si="520"/>
        <v>0</v>
      </c>
      <c r="AI631" s="27" t="s">
        <v>3645</v>
      </c>
      <c r="AJ631" s="18">
        <f t="shared" si="521"/>
        <v>0</v>
      </c>
      <c r="AK631" s="18">
        <f t="shared" si="522"/>
        <v>0</v>
      </c>
      <c r="AL631" s="18">
        <f t="shared" si="523"/>
        <v>0</v>
      </c>
      <c r="AN631" s="34">
        <v>21</v>
      </c>
      <c r="AO631" s="34">
        <f t="shared" si="524"/>
        <v>0</v>
      </c>
      <c r="AP631" s="34">
        <f t="shared" si="525"/>
        <v>0</v>
      </c>
      <c r="AQ631" s="28" t="s">
        <v>13</v>
      </c>
      <c r="AV631" s="34">
        <f t="shared" si="526"/>
        <v>0</v>
      </c>
      <c r="AW631" s="34">
        <f t="shared" si="527"/>
        <v>0</v>
      </c>
      <c r="AX631" s="34">
        <f t="shared" si="528"/>
        <v>0</v>
      </c>
      <c r="AY631" s="35" t="s">
        <v>3681</v>
      </c>
      <c r="AZ631" s="35" t="s">
        <v>3715</v>
      </c>
      <c r="BA631" s="27" t="s">
        <v>3729</v>
      </c>
      <c r="BC631" s="34">
        <f t="shared" si="529"/>
        <v>0</v>
      </c>
      <c r="BD631" s="34">
        <f t="shared" si="530"/>
        <v>0</v>
      </c>
      <c r="BE631" s="34">
        <v>0</v>
      </c>
      <c r="BF631" s="34">
        <f>631</f>
        <v>631</v>
      </c>
      <c r="BH631" s="18">
        <f t="shared" si="531"/>
        <v>0</v>
      </c>
      <c r="BI631" s="18">
        <f t="shared" si="532"/>
        <v>0</v>
      </c>
      <c r="BJ631" s="18">
        <f t="shared" si="533"/>
        <v>0</v>
      </c>
    </row>
    <row r="632" spans="1:62" x14ac:dyDescent="0.2">
      <c r="A632" s="5" t="s">
        <v>591</v>
      </c>
      <c r="B632" s="5" t="s">
        <v>1778</v>
      </c>
      <c r="C632" s="135" t="s">
        <v>2985</v>
      </c>
      <c r="D632" s="136"/>
      <c r="E632" s="136"/>
      <c r="F632" s="136"/>
      <c r="G632" s="136"/>
      <c r="H632" s="5" t="s">
        <v>3612</v>
      </c>
      <c r="I632" s="18">
        <v>1</v>
      </c>
      <c r="J632" s="18">
        <v>0</v>
      </c>
      <c r="K632" s="18">
        <f t="shared" si="512"/>
        <v>0</v>
      </c>
      <c r="L632" s="28" t="s">
        <v>3635</v>
      </c>
      <c r="Z632" s="34">
        <f t="shared" si="513"/>
        <v>0</v>
      </c>
      <c r="AB632" s="34">
        <f t="shared" si="514"/>
        <v>0</v>
      </c>
      <c r="AC632" s="34">
        <f t="shared" si="515"/>
        <v>0</v>
      </c>
      <c r="AD632" s="34">
        <f t="shared" si="516"/>
        <v>0</v>
      </c>
      <c r="AE632" s="34">
        <f t="shared" si="517"/>
        <v>0</v>
      </c>
      <c r="AF632" s="34">
        <f t="shared" si="518"/>
        <v>0</v>
      </c>
      <c r="AG632" s="34">
        <f t="shared" si="519"/>
        <v>0</v>
      </c>
      <c r="AH632" s="34">
        <f t="shared" si="520"/>
        <v>0</v>
      </c>
      <c r="AI632" s="27" t="s">
        <v>3645</v>
      </c>
      <c r="AJ632" s="18">
        <f t="shared" si="521"/>
        <v>0</v>
      </c>
      <c r="AK632" s="18">
        <f t="shared" si="522"/>
        <v>0</v>
      </c>
      <c r="AL632" s="18">
        <f t="shared" si="523"/>
        <v>0</v>
      </c>
      <c r="AN632" s="34">
        <v>21</v>
      </c>
      <c r="AO632" s="34">
        <f t="shared" si="524"/>
        <v>0</v>
      </c>
      <c r="AP632" s="34">
        <f t="shared" si="525"/>
        <v>0</v>
      </c>
      <c r="AQ632" s="28" t="s">
        <v>13</v>
      </c>
      <c r="AV632" s="34">
        <f t="shared" si="526"/>
        <v>0</v>
      </c>
      <c r="AW632" s="34">
        <f t="shared" si="527"/>
        <v>0</v>
      </c>
      <c r="AX632" s="34">
        <f t="shared" si="528"/>
        <v>0</v>
      </c>
      <c r="AY632" s="35" t="s">
        <v>3681</v>
      </c>
      <c r="AZ632" s="35" t="s">
        <v>3715</v>
      </c>
      <c r="BA632" s="27" t="s">
        <v>3729</v>
      </c>
      <c r="BC632" s="34">
        <f t="shared" si="529"/>
        <v>0</v>
      </c>
      <c r="BD632" s="34">
        <f t="shared" si="530"/>
        <v>0</v>
      </c>
      <c r="BE632" s="34">
        <v>0</v>
      </c>
      <c r="BF632" s="34">
        <f>632</f>
        <v>632</v>
      </c>
      <c r="BH632" s="18">
        <f t="shared" si="531"/>
        <v>0</v>
      </c>
      <c r="BI632" s="18">
        <f t="shared" si="532"/>
        <v>0</v>
      </c>
      <c r="BJ632" s="18">
        <f t="shared" si="533"/>
        <v>0</v>
      </c>
    </row>
    <row r="633" spans="1:62" x14ac:dyDescent="0.2">
      <c r="A633" s="5" t="s">
        <v>592</v>
      </c>
      <c r="B633" s="5" t="s">
        <v>1779</v>
      </c>
      <c r="C633" s="135" t="s">
        <v>2986</v>
      </c>
      <c r="D633" s="136"/>
      <c r="E633" s="136"/>
      <c r="F633" s="136"/>
      <c r="G633" s="136"/>
      <c r="H633" s="5" t="s">
        <v>3612</v>
      </c>
      <c r="I633" s="18">
        <v>1</v>
      </c>
      <c r="J633" s="18">
        <v>0</v>
      </c>
      <c r="K633" s="18">
        <f t="shared" si="512"/>
        <v>0</v>
      </c>
      <c r="L633" s="28" t="s">
        <v>3635</v>
      </c>
      <c r="Z633" s="34">
        <f t="shared" si="513"/>
        <v>0</v>
      </c>
      <c r="AB633" s="34">
        <f t="shared" si="514"/>
        <v>0</v>
      </c>
      <c r="AC633" s="34">
        <f t="shared" si="515"/>
        <v>0</v>
      </c>
      <c r="AD633" s="34">
        <f t="shared" si="516"/>
        <v>0</v>
      </c>
      <c r="AE633" s="34">
        <f t="shared" si="517"/>
        <v>0</v>
      </c>
      <c r="AF633" s="34">
        <f t="shared" si="518"/>
        <v>0</v>
      </c>
      <c r="AG633" s="34">
        <f t="shared" si="519"/>
        <v>0</v>
      </c>
      <c r="AH633" s="34">
        <f t="shared" si="520"/>
        <v>0</v>
      </c>
      <c r="AI633" s="27" t="s">
        <v>3645</v>
      </c>
      <c r="AJ633" s="18">
        <f t="shared" si="521"/>
        <v>0</v>
      </c>
      <c r="AK633" s="18">
        <f t="shared" si="522"/>
        <v>0</v>
      </c>
      <c r="AL633" s="18">
        <f t="shared" si="523"/>
        <v>0</v>
      </c>
      <c r="AN633" s="34">
        <v>21</v>
      </c>
      <c r="AO633" s="34">
        <f t="shared" si="524"/>
        <v>0</v>
      </c>
      <c r="AP633" s="34">
        <f t="shared" si="525"/>
        <v>0</v>
      </c>
      <c r="AQ633" s="28" t="s">
        <v>13</v>
      </c>
      <c r="AV633" s="34">
        <f t="shared" si="526"/>
        <v>0</v>
      </c>
      <c r="AW633" s="34">
        <f t="shared" si="527"/>
        <v>0</v>
      </c>
      <c r="AX633" s="34">
        <f t="shared" si="528"/>
        <v>0</v>
      </c>
      <c r="AY633" s="35" t="s">
        <v>3681</v>
      </c>
      <c r="AZ633" s="35" t="s">
        <v>3715</v>
      </c>
      <c r="BA633" s="27" t="s">
        <v>3729</v>
      </c>
      <c r="BC633" s="34">
        <f t="shared" si="529"/>
        <v>0</v>
      </c>
      <c r="BD633" s="34">
        <f t="shared" si="530"/>
        <v>0</v>
      </c>
      <c r="BE633" s="34">
        <v>0</v>
      </c>
      <c r="BF633" s="34">
        <f>633</f>
        <v>633</v>
      </c>
      <c r="BH633" s="18">
        <f t="shared" si="531"/>
        <v>0</v>
      </c>
      <c r="BI633" s="18">
        <f t="shared" si="532"/>
        <v>0</v>
      </c>
      <c r="BJ633" s="18">
        <f t="shared" si="533"/>
        <v>0</v>
      </c>
    </row>
    <row r="634" spans="1:62" x14ac:dyDescent="0.2">
      <c r="A634" s="5" t="s">
        <v>593</v>
      </c>
      <c r="B634" s="5" t="s">
        <v>1780</v>
      </c>
      <c r="C634" s="135" t="s">
        <v>2987</v>
      </c>
      <c r="D634" s="136"/>
      <c r="E634" s="136"/>
      <c r="F634" s="136"/>
      <c r="G634" s="136"/>
      <c r="H634" s="5" t="s">
        <v>3612</v>
      </c>
      <c r="I634" s="18">
        <v>1</v>
      </c>
      <c r="J634" s="18">
        <v>0</v>
      </c>
      <c r="K634" s="18">
        <f t="shared" si="512"/>
        <v>0</v>
      </c>
      <c r="L634" s="28" t="s">
        <v>3635</v>
      </c>
      <c r="Z634" s="34">
        <f t="shared" si="513"/>
        <v>0</v>
      </c>
      <c r="AB634" s="34">
        <f t="shared" si="514"/>
        <v>0</v>
      </c>
      <c r="AC634" s="34">
        <f t="shared" si="515"/>
        <v>0</v>
      </c>
      <c r="AD634" s="34">
        <f t="shared" si="516"/>
        <v>0</v>
      </c>
      <c r="AE634" s="34">
        <f t="shared" si="517"/>
        <v>0</v>
      </c>
      <c r="AF634" s="34">
        <f t="shared" si="518"/>
        <v>0</v>
      </c>
      <c r="AG634" s="34">
        <f t="shared" si="519"/>
        <v>0</v>
      </c>
      <c r="AH634" s="34">
        <f t="shared" si="520"/>
        <v>0</v>
      </c>
      <c r="AI634" s="27" t="s">
        <v>3645</v>
      </c>
      <c r="AJ634" s="18">
        <f t="shared" si="521"/>
        <v>0</v>
      </c>
      <c r="AK634" s="18">
        <f t="shared" si="522"/>
        <v>0</v>
      </c>
      <c r="AL634" s="18">
        <f t="shared" si="523"/>
        <v>0</v>
      </c>
      <c r="AN634" s="34">
        <v>21</v>
      </c>
      <c r="AO634" s="34">
        <f t="shared" si="524"/>
        <v>0</v>
      </c>
      <c r="AP634" s="34">
        <f t="shared" si="525"/>
        <v>0</v>
      </c>
      <c r="AQ634" s="28" t="s">
        <v>13</v>
      </c>
      <c r="AV634" s="34">
        <f t="shared" si="526"/>
        <v>0</v>
      </c>
      <c r="AW634" s="34">
        <f t="shared" si="527"/>
        <v>0</v>
      </c>
      <c r="AX634" s="34">
        <f t="shared" si="528"/>
        <v>0</v>
      </c>
      <c r="AY634" s="35" t="s">
        <v>3681</v>
      </c>
      <c r="AZ634" s="35" t="s">
        <v>3715</v>
      </c>
      <c r="BA634" s="27" t="s">
        <v>3729</v>
      </c>
      <c r="BC634" s="34">
        <f t="shared" si="529"/>
        <v>0</v>
      </c>
      <c r="BD634" s="34">
        <f t="shared" si="530"/>
        <v>0</v>
      </c>
      <c r="BE634" s="34">
        <v>0</v>
      </c>
      <c r="BF634" s="34">
        <f>634</f>
        <v>634</v>
      </c>
      <c r="BH634" s="18">
        <f t="shared" si="531"/>
        <v>0</v>
      </c>
      <c r="BI634" s="18">
        <f t="shared" si="532"/>
        <v>0</v>
      </c>
      <c r="BJ634" s="18">
        <f t="shared" si="533"/>
        <v>0</v>
      </c>
    </row>
    <row r="635" spans="1:62" x14ac:dyDescent="0.2">
      <c r="A635" s="5" t="s">
        <v>594</v>
      </c>
      <c r="B635" s="5" t="s">
        <v>1781</v>
      </c>
      <c r="C635" s="135" t="s">
        <v>2988</v>
      </c>
      <c r="D635" s="136"/>
      <c r="E635" s="136"/>
      <c r="F635" s="136"/>
      <c r="G635" s="136"/>
      <c r="H635" s="5" t="s">
        <v>3612</v>
      </c>
      <c r="I635" s="18">
        <v>1</v>
      </c>
      <c r="J635" s="18">
        <v>0</v>
      </c>
      <c r="K635" s="18">
        <f t="shared" si="512"/>
        <v>0</v>
      </c>
      <c r="L635" s="28" t="s">
        <v>3635</v>
      </c>
      <c r="Z635" s="34">
        <f t="shared" si="513"/>
        <v>0</v>
      </c>
      <c r="AB635" s="34">
        <f t="shared" si="514"/>
        <v>0</v>
      </c>
      <c r="AC635" s="34">
        <f t="shared" si="515"/>
        <v>0</v>
      </c>
      <c r="AD635" s="34">
        <f t="shared" si="516"/>
        <v>0</v>
      </c>
      <c r="AE635" s="34">
        <f t="shared" si="517"/>
        <v>0</v>
      </c>
      <c r="AF635" s="34">
        <f t="shared" si="518"/>
        <v>0</v>
      </c>
      <c r="AG635" s="34">
        <f t="shared" si="519"/>
        <v>0</v>
      </c>
      <c r="AH635" s="34">
        <f t="shared" si="520"/>
        <v>0</v>
      </c>
      <c r="AI635" s="27" t="s">
        <v>3645</v>
      </c>
      <c r="AJ635" s="18">
        <f t="shared" si="521"/>
        <v>0</v>
      </c>
      <c r="AK635" s="18">
        <f t="shared" si="522"/>
        <v>0</v>
      </c>
      <c r="AL635" s="18">
        <f t="shared" si="523"/>
        <v>0</v>
      </c>
      <c r="AN635" s="34">
        <v>21</v>
      </c>
      <c r="AO635" s="34">
        <f t="shared" si="524"/>
        <v>0</v>
      </c>
      <c r="AP635" s="34">
        <f t="shared" si="525"/>
        <v>0</v>
      </c>
      <c r="AQ635" s="28" t="s">
        <v>13</v>
      </c>
      <c r="AV635" s="34">
        <f t="shared" si="526"/>
        <v>0</v>
      </c>
      <c r="AW635" s="34">
        <f t="shared" si="527"/>
        <v>0</v>
      </c>
      <c r="AX635" s="34">
        <f t="shared" si="528"/>
        <v>0</v>
      </c>
      <c r="AY635" s="35" t="s">
        <v>3681</v>
      </c>
      <c r="AZ635" s="35" t="s">
        <v>3715</v>
      </c>
      <c r="BA635" s="27" t="s">
        <v>3729</v>
      </c>
      <c r="BC635" s="34">
        <f t="shared" si="529"/>
        <v>0</v>
      </c>
      <c r="BD635" s="34">
        <f t="shared" si="530"/>
        <v>0</v>
      </c>
      <c r="BE635" s="34">
        <v>0</v>
      </c>
      <c r="BF635" s="34">
        <f>635</f>
        <v>635</v>
      </c>
      <c r="BH635" s="18">
        <f t="shared" si="531"/>
        <v>0</v>
      </c>
      <c r="BI635" s="18">
        <f t="shared" si="532"/>
        <v>0</v>
      </c>
      <c r="BJ635" s="18">
        <f t="shared" si="533"/>
        <v>0</v>
      </c>
    </row>
    <row r="636" spans="1:62" x14ac:dyDescent="0.2">
      <c r="A636" s="5" t="s">
        <v>595</v>
      </c>
      <c r="B636" s="5" t="s">
        <v>1782</v>
      </c>
      <c r="C636" s="135" t="s">
        <v>2989</v>
      </c>
      <c r="D636" s="136"/>
      <c r="E636" s="136"/>
      <c r="F636" s="136"/>
      <c r="G636" s="136"/>
      <c r="H636" s="5" t="s">
        <v>3614</v>
      </c>
      <c r="I636" s="18">
        <v>2800</v>
      </c>
      <c r="J636" s="18">
        <v>0</v>
      </c>
      <c r="K636" s="18">
        <f t="shared" si="512"/>
        <v>0</v>
      </c>
      <c r="L636" s="28" t="s">
        <v>3635</v>
      </c>
      <c r="Z636" s="34">
        <f t="shared" si="513"/>
        <v>0</v>
      </c>
      <c r="AB636" s="34">
        <f t="shared" si="514"/>
        <v>0</v>
      </c>
      <c r="AC636" s="34">
        <f t="shared" si="515"/>
        <v>0</v>
      </c>
      <c r="AD636" s="34">
        <f t="shared" si="516"/>
        <v>0</v>
      </c>
      <c r="AE636" s="34">
        <f t="shared" si="517"/>
        <v>0</v>
      </c>
      <c r="AF636" s="34">
        <f t="shared" si="518"/>
        <v>0</v>
      </c>
      <c r="AG636" s="34">
        <f t="shared" si="519"/>
        <v>0</v>
      </c>
      <c r="AH636" s="34">
        <f t="shared" si="520"/>
        <v>0</v>
      </c>
      <c r="AI636" s="27" t="s">
        <v>3645</v>
      </c>
      <c r="AJ636" s="18">
        <f t="shared" si="521"/>
        <v>0</v>
      </c>
      <c r="AK636" s="18">
        <f t="shared" si="522"/>
        <v>0</v>
      </c>
      <c r="AL636" s="18">
        <f t="shared" si="523"/>
        <v>0</v>
      </c>
      <c r="AN636" s="34">
        <v>21</v>
      </c>
      <c r="AO636" s="34">
        <f t="shared" si="524"/>
        <v>0</v>
      </c>
      <c r="AP636" s="34">
        <f t="shared" si="525"/>
        <v>0</v>
      </c>
      <c r="AQ636" s="28" t="s">
        <v>13</v>
      </c>
      <c r="AV636" s="34">
        <f t="shared" si="526"/>
        <v>0</v>
      </c>
      <c r="AW636" s="34">
        <f t="shared" si="527"/>
        <v>0</v>
      </c>
      <c r="AX636" s="34">
        <f t="shared" si="528"/>
        <v>0</v>
      </c>
      <c r="AY636" s="35" t="s">
        <v>3681</v>
      </c>
      <c r="AZ636" s="35" t="s">
        <v>3715</v>
      </c>
      <c r="BA636" s="27" t="s">
        <v>3729</v>
      </c>
      <c r="BC636" s="34">
        <f t="shared" si="529"/>
        <v>0</v>
      </c>
      <c r="BD636" s="34">
        <f t="shared" si="530"/>
        <v>0</v>
      </c>
      <c r="BE636" s="34">
        <v>0</v>
      </c>
      <c r="BF636" s="34">
        <f>636</f>
        <v>636</v>
      </c>
      <c r="BH636" s="18">
        <f t="shared" si="531"/>
        <v>0</v>
      </c>
      <c r="BI636" s="18">
        <f t="shared" si="532"/>
        <v>0</v>
      </c>
      <c r="BJ636" s="18">
        <f t="shared" si="533"/>
        <v>0</v>
      </c>
    </row>
    <row r="637" spans="1:62" x14ac:dyDescent="0.2">
      <c r="A637" s="5" t="s">
        <v>596</v>
      </c>
      <c r="B637" s="5" t="s">
        <v>1783</v>
      </c>
      <c r="C637" s="135" t="s">
        <v>2990</v>
      </c>
      <c r="D637" s="136"/>
      <c r="E637" s="136"/>
      <c r="F637" s="136"/>
      <c r="G637" s="136"/>
      <c r="H637" s="5" t="s">
        <v>3614</v>
      </c>
      <c r="I637" s="18">
        <v>500</v>
      </c>
      <c r="J637" s="18">
        <v>0</v>
      </c>
      <c r="K637" s="18">
        <f t="shared" si="512"/>
        <v>0</v>
      </c>
      <c r="L637" s="28" t="s">
        <v>3635</v>
      </c>
      <c r="Z637" s="34">
        <f t="shared" si="513"/>
        <v>0</v>
      </c>
      <c r="AB637" s="34">
        <f t="shared" si="514"/>
        <v>0</v>
      </c>
      <c r="AC637" s="34">
        <f t="shared" si="515"/>
        <v>0</v>
      </c>
      <c r="AD637" s="34">
        <f t="shared" si="516"/>
        <v>0</v>
      </c>
      <c r="AE637" s="34">
        <f t="shared" si="517"/>
        <v>0</v>
      </c>
      <c r="AF637" s="34">
        <f t="shared" si="518"/>
        <v>0</v>
      </c>
      <c r="AG637" s="34">
        <f t="shared" si="519"/>
        <v>0</v>
      </c>
      <c r="AH637" s="34">
        <f t="shared" si="520"/>
        <v>0</v>
      </c>
      <c r="AI637" s="27" t="s">
        <v>3645</v>
      </c>
      <c r="AJ637" s="18">
        <f t="shared" si="521"/>
        <v>0</v>
      </c>
      <c r="AK637" s="18">
        <f t="shared" si="522"/>
        <v>0</v>
      </c>
      <c r="AL637" s="18">
        <f t="shared" si="523"/>
        <v>0</v>
      </c>
      <c r="AN637" s="34">
        <v>21</v>
      </c>
      <c r="AO637" s="34">
        <f t="shared" si="524"/>
        <v>0</v>
      </c>
      <c r="AP637" s="34">
        <f t="shared" si="525"/>
        <v>0</v>
      </c>
      <c r="AQ637" s="28" t="s">
        <v>13</v>
      </c>
      <c r="AV637" s="34">
        <f t="shared" si="526"/>
        <v>0</v>
      </c>
      <c r="AW637" s="34">
        <f t="shared" si="527"/>
        <v>0</v>
      </c>
      <c r="AX637" s="34">
        <f t="shared" si="528"/>
        <v>0</v>
      </c>
      <c r="AY637" s="35" t="s">
        <v>3681</v>
      </c>
      <c r="AZ637" s="35" t="s">
        <v>3715</v>
      </c>
      <c r="BA637" s="27" t="s">
        <v>3729</v>
      </c>
      <c r="BC637" s="34">
        <f t="shared" si="529"/>
        <v>0</v>
      </c>
      <c r="BD637" s="34">
        <f t="shared" si="530"/>
        <v>0</v>
      </c>
      <c r="BE637" s="34">
        <v>0</v>
      </c>
      <c r="BF637" s="34">
        <f>637</f>
        <v>637</v>
      </c>
      <c r="BH637" s="18">
        <f t="shared" si="531"/>
        <v>0</v>
      </c>
      <c r="BI637" s="18">
        <f t="shared" si="532"/>
        <v>0</v>
      </c>
      <c r="BJ637" s="18">
        <f t="shared" si="533"/>
        <v>0</v>
      </c>
    </row>
    <row r="638" spans="1:62" x14ac:dyDescent="0.2">
      <c r="A638" s="5" t="s">
        <v>597</v>
      </c>
      <c r="B638" s="5" t="s">
        <v>1784</v>
      </c>
      <c r="C638" s="135" t="s">
        <v>2991</v>
      </c>
      <c r="D638" s="136"/>
      <c r="E638" s="136"/>
      <c r="F638" s="136"/>
      <c r="G638" s="136"/>
      <c r="H638" s="5" t="s">
        <v>3612</v>
      </c>
      <c r="I638" s="18">
        <v>1</v>
      </c>
      <c r="J638" s="18">
        <v>0</v>
      </c>
      <c r="K638" s="18">
        <f t="shared" si="512"/>
        <v>0</v>
      </c>
      <c r="L638" s="28" t="s">
        <v>3635</v>
      </c>
      <c r="Z638" s="34">
        <f t="shared" si="513"/>
        <v>0</v>
      </c>
      <c r="AB638" s="34">
        <f t="shared" si="514"/>
        <v>0</v>
      </c>
      <c r="AC638" s="34">
        <f t="shared" si="515"/>
        <v>0</v>
      </c>
      <c r="AD638" s="34">
        <f t="shared" si="516"/>
        <v>0</v>
      </c>
      <c r="AE638" s="34">
        <f t="shared" si="517"/>
        <v>0</v>
      </c>
      <c r="AF638" s="34">
        <f t="shared" si="518"/>
        <v>0</v>
      </c>
      <c r="AG638" s="34">
        <f t="shared" si="519"/>
        <v>0</v>
      </c>
      <c r="AH638" s="34">
        <f t="shared" si="520"/>
        <v>0</v>
      </c>
      <c r="AI638" s="27" t="s">
        <v>3645</v>
      </c>
      <c r="AJ638" s="18">
        <f t="shared" si="521"/>
        <v>0</v>
      </c>
      <c r="AK638" s="18">
        <f t="shared" si="522"/>
        <v>0</v>
      </c>
      <c r="AL638" s="18">
        <f t="shared" si="523"/>
        <v>0</v>
      </c>
      <c r="AN638" s="34">
        <v>21</v>
      </c>
      <c r="AO638" s="34">
        <f t="shared" si="524"/>
        <v>0</v>
      </c>
      <c r="AP638" s="34">
        <f t="shared" si="525"/>
        <v>0</v>
      </c>
      <c r="AQ638" s="28" t="s">
        <v>13</v>
      </c>
      <c r="AV638" s="34">
        <f t="shared" si="526"/>
        <v>0</v>
      </c>
      <c r="AW638" s="34">
        <f t="shared" si="527"/>
        <v>0</v>
      </c>
      <c r="AX638" s="34">
        <f t="shared" si="528"/>
        <v>0</v>
      </c>
      <c r="AY638" s="35" t="s">
        <v>3681</v>
      </c>
      <c r="AZ638" s="35" t="s">
        <v>3715</v>
      </c>
      <c r="BA638" s="27" t="s">
        <v>3729</v>
      </c>
      <c r="BC638" s="34">
        <f t="shared" si="529"/>
        <v>0</v>
      </c>
      <c r="BD638" s="34">
        <f t="shared" si="530"/>
        <v>0</v>
      </c>
      <c r="BE638" s="34">
        <v>0</v>
      </c>
      <c r="BF638" s="34">
        <f>638</f>
        <v>638</v>
      </c>
      <c r="BH638" s="18">
        <f t="shared" si="531"/>
        <v>0</v>
      </c>
      <c r="BI638" s="18">
        <f t="shared" si="532"/>
        <v>0</v>
      </c>
      <c r="BJ638" s="18">
        <f t="shared" si="533"/>
        <v>0</v>
      </c>
    </row>
    <row r="639" spans="1:62" x14ac:dyDescent="0.2">
      <c r="A639" s="5" t="s">
        <v>598</v>
      </c>
      <c r="B639" s="5" t="s">
        <v>1785</v>
      </c>
      <c r="C639" s="135" t="s">
        <v>2992</v>
      </c>
      <c r="D639" s="136"/>
      <c r="E639" s="136"/>
      <c r="F639" s="136"/>
      <c r="G639" s="136"/>
      <c r="H639" s="5" t="s">
        <v>3612</v>
      </c>
      <c r="I639" s="18">
        <v>2</v>
      </c>
      <c r="J639" s="18">
        <v>0</v>
      </c>
      <c r="K639" s="18">
        <f t="shared" si="512"/>
        <v>0</v>
      </c>
      <c r="L639" s="28" t="s">
        <v>3635</v>
      </c>
      <c r="Z639" s="34">
        <f t="shared" si="513"/>
        <v>0</v>
      </c>
      <c r="AB639" s="34">
        <f t="shared" si="514"/>
        <v>0</v>
      </c>
      <c r="AC639" s="34">
        <f t="shared" si="515"/>
        <v>0</v>
      </c>
      <c r="AD639" s="34">
        <f t="shared" si="516"/>
        <v>0</v>
      </c>
      <c r="AE639" s="34">
        <f t="shared" si="517"/>
        <v>0</v>
      </c>
      <c r="AF639" s="34">
        <f t="shared" si="518"/>
        <v>0</v>
      </c>
      <c r="AG639" s="34">
        <f t="shared" si="519"/>
        <v>0</v>
      </c>
      <c r="AH639" s="34">
        <f t="shared" si="520"/>
        <v>0</v>
      </c>
      <c r="AI639" s="27" t="s">
        <v>3645</v>
      </c>
      <c r="AJ639" s="18">
        <f t="shared" si="521"/>
        <v>0</v>
      </c>
      <c r="AK639" s="18">
        <f t="shared" si="522"/>
        <v>0</v>
      </c>
      <c r="AL639" s="18">
        <f t="shared" si="523"/>
        <v>0</v>
      </c>
      <c r="AN639" s="34">
        <v>21</v>
      </c>
      <c r="AO639" s="34">
        <f t="shared" si="524"/>
        <v>0</v>
      </c>
      <c r="AP639" s="34">
        <f t="shared" si="525"/>
        <v>0</v>
      </c>
      <c r="AQ639" s="28" t="s">
        <v>13</v>
      </c>
      <c r="AV639" s="34">
        <f t="shared" si="526"/>
        <v>0</v>
      </c>
      <c r="AW639" s="34">
        <f t="shared" si="527"/>
        <v>0</v>
      </c>
      <c r="AX639" s="34">
        <f t="shared" si="528"/>
        <v>0</v>
      </c>
      <c r="AY639" s="35" t="s">
        <v>3681</v>
      </c>
      <c r="AZ639" s="35" t="s">
        <v>3715</v>
      </c>
      <c r="BA639" s="27" t="s">
        <v>3729</v>
      </c>
      <c r="BC639" s="34">
        <f t="shared" si="529"/>
        <v>0</v>
      </c>
      <c r="BD639" s="34">
        <f t="shared" si="530"/>
        <v>0</v>
      </c>
      <c r="BE639" s="34">
        <v>0</v>
      </c>
      <c r="BF639" s="34">
        <f>639</f>
        <v>639</v>
      </c>
      <c r="BH639" s="18">
        <f t="shared" si="531"/>
        <v>0</v>
      </c>
      <c r="BI639" s="18">
        <f t="shared" si="532"/>
        <v>0</v>
      </c>
      <c r="BJ639" s="18">
        <f t="shared" si="533"/>
        <v>0</v>
      </c>
    </row>
    <row r="640" spans="1:62" x14ac:dyDescent="0.2">
      <c r="A640" s="5" t="s">
        <v>599</v>
      </c>
      <c r="B640" s="5" t="s">
        <v>1786</v>
      </c>
      <c r="C640" s="135" t="s">
        <v>2993</v>
      </c>
      <c r="D640" s="136"/>
      <c r="E640" s="136"/>
      <c r="F640" s="136"/>
      <c r="G640" s="136"/>
      <c r="H640" s="5" t="s">
        <v>3612</v>
      </c>
      <c r="I640" s="18">
        <v>1</v>
      </c>
      <c r="J640" s="18">
        <v>0</v>
      </c>
      <c r="K640" s="18">
        <f t="shared" si="512"/>
        <v>0</v>
      </c>
      <c r="L640" s="28" t="s">
        <v>3635</v>
      </c>
      <c r="Z640" s="34">
        <f t="shared" si="513"/>
        <v>0</v>
      </c>
      <c r="AB640" s="34">
        <f t="shared" si="514"/>
        <v>0</v>
      </c>
      <c r="AC640" s="34">
        <f t="shared" si="515"/>
        <v>0</v>
      </c>
      <c r="AD640" s="34">
        <f t="shared" si="516"/>
        <v>0</v>
      </c>
      <c r="AE640" s="34">
        <f t="shared" si="517"/>
        <v>0</v>
      </c>
      <c r="AF640" s="34">
        <f t="shared" si="518"/>
        <v>0</v>
      </c>
      <c r="AG640" s="34">
        <f t="shared" si="519"/>
        <v>0</v>
      </c>
      <c r="AH640" s="34">
        <f t="shared" si="520"/>
        <v>0</v>
      </c>
      <c r="AI640" s="27" t="s">
        <v>3645</v>
      </c>
      <c r="AJ640" s="18">
        <f t="shared" si="521"/>
        <v>0</v>
      </c>
      <c r="AK640" s="18">
        <f t="shared" si="522"/>
        <v>0</v>
      </c>
      <c r="AL640" s="18">
        <f t="shared" si="523"/>
        <v>0</v>
      </c>
      <c r="AN640" s="34">
        <v>21</v>
      </c>
      <c r="AO640" s="34">
        <f t="shared" si="524"/>
        <v>0</v>
      </c>
      <c r="AP640" s="34">
        <f t="shared" si="525"/>
        <v>0</v>
      </c>
      <c r="AQ640" s="28" t="s">
        <v>13</v>
      </c>
      <c r="AV640" s="34">
        <f t="shared" si="526"/>
        <v>0</v>
      </c>
      <c r="AW640" s="34">
        <f t="shared" si="527"/>
        <v>0</v>
      </c>
      <c r="AX640" s="34">
        <f t="shared" si="528"/>
        <v>0</v>
      </c>
      <c r="AY640" s="35" t="s">
        <v>3681</v>
      </c>
      <c r="AZ640" s="35" t="s">
        <v>3715</v>
      </c>
      <c r="BA640" s="27" t="s">
        <v>3729</v>
      </c>
      <c r="BC640" s="34">
        <f t="shared" si="529"/>
        <v>0</v>
      </c>
      <c r="BD640" s="34">
        <f t="shared" si="530"/>
        <v>0</v>
      </c>
      <c r="BE640" s="34">
        <v>0</v>
      </c>
      <c r="BF640" s="34">
        <f>640</f>
        <v>640</v>
      </c>
      <c r="BH640" s="18">
        <f t="shared" si="531"/>
        <v>0</v>
      </c>
      <c r="BI640" s="18">
        <f t="shared" si="532"/>
        <v>0</v>
      </c>
      <c r="BJ640" s="18">
        <f t="shared" si="533"/>
        <v>0</v>
      </c>
    </row>
    <row r="641" spans="1:62" x14ac:dyDescent="0.2">
      <c r="A641" s="5" t="s">
        <v>600</v>
      </c>
      <c r="B641" s="5" t="s">
        <v>1787</v>
      </c>
      <c r="C641" s="135" t="s">
        <v>2994</v>
      </c>
      <c r="D641" s="136"/>
      <c r="E641" s="136"/>
      <c r="F641" s="136"/>
      <c r="G641" s="136"/>
      <c r="H641" s="5" t="s">
        <v>3612</v>
      </c>
      <c r="I641" s="18">
        <v>1</v>
      </c>
      <c r="J641" s="18">
        <v>0</v>
      </c>
      <c r="K641" s="18">
        <f t="shared" si="512"/>
        <v>0</v>
      </c>
      <c r="L641" s="28" t="s">
        <v>3635</v>
      </c>
      <c r="Z641" s="34">
        <f t="shared" si="513"/>
        <v>0</v>
      </c>
      <c r="AB641" s="34">
        <f t="shared" si="514"/>
        <v>0</v>
      </c>
      <c r="AC641" s="34">
        <f t="shared" si="515"/>
        <v>0</v>
      </c>
      <c r="AD641" s="34">
        <f t="shared" si="516"/>
        <v>0</v>
      </c>
      <c r="AE641" s="34">
        <f t="shared" si="517"/>
        <v>0</v>
      </c>
      <c r="AF641" s="34">
        <f t="shared" si="518"/>
        <v>0</v>
      </c>
      <c r="AG641" s="34">
        <f t="shared" si="519"/>
        <v>0</v>
      </c>
      <c r="AH641" s="34">
        <f t="shared" si="520"/>
        <v>0</v>
      </c>
      <c r="AI641" s="27" t="s">
        <v>3645</v>
      </c>
      <c r="AJ641" s="18">
        <f t="shared" si="521"/>
        <v>0</v>
      </c>
      <c r="AK641" s="18">
        <f t="shared" si="522"/>
        <v>0</v>
      </c>
      <c r="AL641" s="18">
        <f t="shared" si="523"/>
        <v>0</v>
      </c>
      <c r="AN641" s="34">
        <v>21</v>
      </c>
      <c r="AO641" s="34">
        <f t="shared" si="524"/>
        <v>0</v>
      </c>
      <c r="AP641" s="34">
        <f t="shared" si="525"/>
        <v>0</v>
      </c>
      <c r="AQ641" s="28" t="s">
        <v>13</v>
      </c>
      <c r="AV641" s="34">
        <f t="shared" si="526"/>
        <v>0</v>
      </c>
      <c r="AW641" s="34">
        <f t="shared" si="527"/>
        <v>0</v>
      </c>
      <c r="AX641" s="34">
        <f t="shared" si="528"/>
        <v>0</v>
      </c>
      <c r="AY641" s="35" t="s">
        <v>3681</v>
      </c>
      <c r="AZ641" s="35" t="s">
        <v>3715</v>
      </c>
      <c r="BA641" s="27" t="s">
        <v>3729</v>
      </c>
      <c r="BC641" s="34">
        <f t="shared" si="529"/>
        <v>0</v>
      </c>
      <c r="BD641" s="34">
        <f t="shared" si="530"/>
        <v>0</v>
      </c>
      <c r="BE641" s="34">
        <v>0</v>
      </c>
      <c r="BF641" s="34">
        <f>641</f>
        <v>641</v>
      </c>
      <c r="BH641" s="18">
        <f t="shared" si="531"/>
        <v>0</v>
      </c>
      <c r="BI641" s="18">
        <f t="shared" si="532"/>
        <v>0</v>
      </c>
      <c r="BJ641" s="18">
        <f t="shared" si="533"/>
        <v>0</v>
      </c>
    </row>
    <row r="642" spans="1:62" x14ac:dyDescent="0.2">
      <c r="A642" s="5" t="s">
        <v>601</v>
      </c>
      <c r="B642" s="5" t="s">
        <v>1788</v>
      </c>
      <c r="C642" s="135" t="s">
        <v>2995</v>
      </c>
      <c r="D642" s="136"/>
      <c r="E642" s="136"/>
      <c r="F642" s="136"/>
      <c r="G642" s="136"/>
      <c r="H642" s="5" t="s">
        <v>3612</v>
      </c>
      <c r="I642" s="18">
        <v>2</v>
      </c>
      <c r="J642" s="18">
        <v>0</v>
      </c>
      <c r="K642" s="18">
        <f t="shared" si="512"/>
        <v>0</v>
      </c>
      <c r="L642" s="28" t="s">
        <v>3635</v>
      </c>
      <c r="Z642" s="34">
        <f t="shared" si="513"/>
        <v>0</v>
      </c>
      <c r="AB642" s="34">
        <f t="shared" si="514"/>
        <v>0</v>
      </c>
      <c r="AC642" s="34">
        <f t="shared" si="515"/>
        <v>0</v>
      </c>
      <c r="AD642" s="34">
        <f t="shared" si="516"/>
        <v>0</v>
      </c>
      <c r="AE642" s="34">
        <f t="shared" si="517"/>
        <v>0</v>
      </c>
      <c r="AF642" s="34">
        <f t="shared" si="518"/>
        <v>0</v>
      </c>
      <c r="AG642" s="34">
        <f t="shared" si="519"/>
        <v>0</v>
      </c>
      <c r="AH642" s="34">
        <f t="shared" si="520"/>
        <v>0</v>
      </c>
      <c r="AI642" s="27" t="s">
        <v>3645</v>
      </c>
      <c r="AJ642" s="18">
        <f t="shared" si="521"/>
        <v>0</v>
      </c>
      <c r="AK642" s="18">
        <f t="shared" si="522"/>
        <v>0</v>
      </c>
      <c r="AL642" s="18">
        <f t="shared" si="523"/>
        <v>0</v>
      </c>
      <c r="AN642" s="34">
        <v>21</v>
      </c>
      <c r="AO642" s="34">
        <f t="shared" si="524"/>
        <v>0</v>
      </c>
      <c r="AP642" s="34">
        <f t="shared" si="525"/>
        <v>0</v>
      </c>
      <c r="AQ642" s="28" t="s">
        <v>13</v>
      </c>
      <c r="AV642" s="34">
        <f t="shared" si="526"/>
        <v>0</v>
      </c>
      <c r="AW642" s="34">
        <f t="shared" si="527"/>
        <v>0</v>
      </c>
      <c r="AX642" s="34">
        <f t="shared" si="528"/>
        <v>0</v>
      </c>
      <c r="AY642" s="35" t="s">
        <v>3681</v>
      </c>
      <c r="AZ642" s="35" t="s">
        <v>3715</v>
      </c>
      <c r="BA642" s="27" t="s">
        <v>3729</v>
      </c>
      <c r="BC642" s="34">
        <f t="shared" si="529"/>
        <v>0</v>
      </c>
      <c r="BD642" s="34">
        <f t="shared" si="530"/>
        <v>0</v>
      </c>
      <c r="BE642" s="34">
        <v>0</v>
      </c>
      <c r="BF642" s="34">
        <f>642</f>
        <v>642</v>
      </c>
      <c r="BH642" s="18">
        <f t="shared" si="531"/>
        <v>0</v>
      </c>
      <c r="BI642" s="18">
        <f t="shared" si="532"/>
        <v>0</v>
      </c>
      <c r="BJ642" s="18">
        <f t="shared" si="533"/>
        <v>0</v>
      </c>
    </row>
    <row r="643" spans="1:62" x14ac:dyDescent="0.2">
      <c r="A643" s="5" t="s">
        <v>602</v>
      </c>
      <c r="B643" s="5" t="s">
        <v>1789</v>
      </c>
      <c r="C643" s="135" t="s">
        <v>2996</v>
      </c>
      <c r="D643" s="136"/>
      <c r="E643" s="136"/>
      <c r="F643" s="136"/>
      <c r="G643" s="136"/>
      <c r="H643" s="5" t="s">
        <v>3612</v>
      </c>
      <c r="I643" s="18">
        <v>1</v>
      </c>
      <c r="J643" s="18">
        <v>0</v>
      </c>
      <c r="K643" s="18">
        <f t="shared" si="512"/>
        <v>0</v>
      </c>
      <c r="L643" s="28" t="s">
        <v>3635</v>
      </c>
      <c r="Z643" s="34">
        <f t="shared" si="513"/>
        <v>0</v>
      </c>
      <c r="AB643" s="34">
        <f t="shared" si="514"/>
        <v>0</v>
      </c>
      <c r="AC643" s="34">
        <f t="shared" si="515"/>
        <v>0</v>
      </c>
      <c r="AD643" s="34">
        <f t="shared" si="516"/>
        <v>0</v>
      </c>
      <c r="AE643" s="34">
        <f t="shared" si="517"/>
        <v>0</v>
      </c>
      <c r="AF643" s="34">
        <f t="shared" si="518"/>
        <v>0</v>
      </c>
      <c r="AG643" s="34">
        <f t="shared" si="519"/>
        <v>0</v>
      </c>
      <c r="AH643" s="34">
        <f t="shared" si="520"/>
        <v>0</v>
      </c>
      <c r="AI643" s="27" t="s">
        <v>3645</v>
      </c>
      <c r="AJ643" s="18">
        <f t="shared" si="521"/>
        <v>0</v>
      </c>
      <c r="AK643" s="18">
        <f t="shared" si="522"/>
        <v>0</v>
      </c>
      <c r="AL643" s="18">
        <f t="shared" si="523"/>
        <v>0</v>
      </c>
      <c r="AN643" s="34">
        <v>21</v>
      </c>
      <c r="AO643" s="34">
        <f t="shared" si="524"/>
        <v>0</v>
      </c>
      <c r="AP643" s="34">
        <f t="shared" si="525"/>
        <v>0</v>
      </c>
      <c r="AQ643" s="28" t="s">
        <v>13</v>
      </c>
      <c r="AV643" s="34">
        <f t="shared" si="526"/>
        <v>0</v>
      </c>
      <c r="AW643" s="34">
        <f t="shared" si="527"/>
        <v>0</v>
      </c>
      <c r="AX643" s="34">
        <f t="shared" si="528"/>
        <v>0</v>
      </c>
      <c r="AY643" s="35" t="s">
        <v>3681</v>
      </c>
      <c r="AZ643" s="35" t="s">
        <v>3715</v>
      </c>
      <c r="BA643" s="27" t="s">
        <v>3729</v>
      </c>
      <c r="BC643" s="34">
        <f t="shared" si="529"/>
        <v>0</v>
      </c>
      <c r="BD643" s="34">
        <f t="shared" si="530"/>
        <v>0</v>
      </c>
      <c r="BE643" s="34">
        <v>0</v>
      </c>
      <c r="BF643" s="34">
        <f>643</f>
        <v>643</v>
      </c>
      <c r="BH643" s="18">
        <f t="shared" si="531"/>
        <v>0</v>
      </c>
      <c r="BI643" s="18">
        <f t="shared" si="532"/>
        <v>0</v>
      </c>
      <c r="BJ643" s="18">
        <f t="shared" si="533"/>
        <v>0</v>
      </c>
    </row>
    <row r="644" spans="1:62" x14ac:dyDescent="0.2">
      <c r="A644" s="5" t="s">
        <v>603</v>
      </c>
      <c r="B644" s="5" t="s">
        <v>1790</v>
      </c>
      <c r="C644" s="135" t="s">
        <v>2997</v>
      </c>
      <c r="D644" s="136"/>
      <c r="E644" s="136"/>
      <c r="F644" s="136"/>
      <c r="G644" s="136"/>
      <c r="H644" s="5" t="s">
        <v>3612</v>
      </c>
      <c r="I644" s="18">
        <v>8</v>
      </c>
      <c r="J644" s="18">
        <v>0</v>
      </c>
      <c r="K644" s="18">
        <f t="shared" si="512"/>
        <v>0</v>
      </c>
      <c r="L644" s="28" t="s">
        <v>3635</v>
      </c>
      <c r="Z644" s="34">
        <f t="shared" si="513"/>
        <v>0</v>
      </c>
      <c r="AB644" s="34">
        <f t="shared" si="514"/>
        <v>0</v>
      </c>
      <c r="AC644" s="34">
        <f t="shared" si="515"/>
        <v>0</v>
      </c>
      <c r="AD644" s="34">
        <f t="shared" si="516"/>
        <v>0</v>
      </c>
      <c r="AE644" s="34">
        <f t="shared" si="517"/>
        <v>0</v>
      </c>
      <c r="AF644" s="34">
        <f t="shared" si="518"/>
        <v>0</v>
      </c>
      <c r="AG644" s="34">
        <f t="shared" si="519"/>
        <v>0</v>
      </c>
      <c r="AH644" s="34">
        <f t="shared" si="520"/>
        <v>0</v>
      </c>
      <c r="AI644" s="27" t="s">
        <v>3645</v>
      </c>
      <c r="AJ644" s="18">
        <f t="shared" si="521"/>
        <v>0</v>
      </c>
      <c r="AK644" s="18">
        <f t="shared" si="522"/>
        <v>0</v>
      </c>
      <c r="AL644" s="18">
        <f t="shared" si="523"/>
        <v>0</v>
      </c>
      <c r="AN644" s="34">
        <v>21</v>
      </c>
      <c r="AO644" s="34">
        <f t="shared" si="524"/>
        <v>0</v>
      </c>
      <c r="AP644" s="34">
        <f t="shared" si="525"/>
        <v>0</v>
      </c>
      <c r="AQ644" s="28" t="s">
        <v>13</v>
      </c>
      <c r="AV644" s="34">
        <f t="shared" si="526"/>
        <v>0</v>
      </c>
      <c r="AW644" s="34">
        <f t="shared" si="527"/>
        <v>0</v>
      </c>
      <c r="AX644" s="34">
        <f t="shared" si="528"/>
        <v>0</v>
      </c>
      <c r="AY644" s="35" t="s">
        <v>3681</v>
      </c>
      <c r="AZ644" s="35" t="s">
        <v>3715</v>
      </c>
      <c r="BA644" s="27" t="s">
        <v>3729</v>
      </c>
      <c r="BC644" s="34">
        <f t="shared" si="529"/>
        <v>0</v>
      </c>
      <c r="BD644" s="34">
        <f t="shared" si="530"/>
        <v>0</v>
      </c>
      <c r="BE644" s="34">
        <v>0</v>
      </c>
      <c r="BF644" s="34">
        <f>644</f>
        <v>644</v>
      </c>
      <c r="BH644" s="18">
        <f t="shared" si="531"/>
        <v>0</v>
      </c>
      <c r="BI644" s="18">
        <f t="shared" si="532"/>
        <v>0</v>
      </c>
      <c r="BJ644" s="18">
        <f t="shared" si="533"/>
        <v>0</v>
      </c>
    </row>
    <row r="645" spans="1:62" x14ac:dyDescent="0.2">
      <c r="A645" s="5" t="s">
        <v>604</v>
      </c>
      <c r="B645" s="5" t="s">
        <v>1791</v>
      </c>
      <c r="C645" s="135" t="s">
        <v>2998</v>
      </c>
      <c r="D645" s="136"/>
      <c r="E645" s="136"/>
      <c r="F645" s="136"/>
      <c r="G645" s="136"/>
      <c r="H645" s="5" t="s">
        <v>3612</v>
      </c>
      <c r="I645" s="18">
        <v>62</v>
      </c>
      <c r="J645" s="18">
        <v>0</v>
      </c>
      <c r="K645" s="18">
        <f t="shared" si="512"/>
        <v>0</v>
      </c>
      <c r="L645" s="28" t="s">
        <v>3635</v>
      </c>
      <c r="Z645" s="34">
        <f t="shared" si="513"/>
        <v>0</v>
      </c>
      <c r="AB645" s="34">
        <f t="shared" si="514"/>
        <v>0</v>
      </c>
      <c r="AC645" s="34">
        <f t="shared" si="515"/>
        <v>0</v>
      </c>
      <c r="AD645" s="34">
        <f t="shared" si="516"/>
        <v>0</v>
      </c>
      <c r="AE645" s="34">
        <f t="shared" si="517"/>
        <v>0</v>
      </c>
      <c r="AF645" s="34">
        <f t="shared" si="518"/>
        <v>0</v>
      </c>
      <c r="AG645" s="34">
        <f t="shared" si="519"/>
        <v>0</v>
      </c>
      <c r="AH645" s="34">
        <f t="shared" si="520"/>
        <v>0</v>
      </c>
      <c r="AI645" s="27" t="s">
        <v>3645</v>
      </c>
      <c r="AJ645" s="18">
        <f t="shared" si="521"/>
        <v>0</v>
      </c>
      <c r="AK645" s="18">
        <f t="shared" si="522"/>
        <v>0</v>
      </c>
      <c r="AL645" s="18">
        <f t="shared" si="523"/>
        <v>0</v>
      </c>
      <c r="AN645" s="34">
        <v>21</v>
      </c>
      <c r="AO645" s="34">
        <f t="shared" si="524"/>
        <v>0</v>
      </c>
      <c r="AP645" s="34">
        <f t="shared" si="525"/>
        <v>0</v>
      </c>
      <c r="AQ645" s="28" t="s">
        <v>13</v>
      </c>
      <c r="AV645" s="34">
        <f t="shared" si="526"/>
        <v>0</v>
      </c>
      <c r="AW645" s="34">
        <f t="shared" si="527"/>
        <v>0</v>
      </c>
      <c r="AX645" s="34">
        <f t="shared" si="528"/>
        <v>0</v>
      </c>
      <c r="AY645" s="35" t="s">
        <v>3681</v>
      </c>
      <c r="AZ645" s="35" t="s">
        <v>3715</v>
      </c>
      <c r="BA645" s="27" t="s">
        <v>3729</v>
      </c>
      <c r="BC645" s="34">
        <f t="shared" si="529"/>
        <v>0</v>
      </c>
      <c r="BD645" s="34">
        <f t="shared" si="530"/>
        <v>0</v>
      </c>
      <c r="BE645" s="34">
        <v>0</v>
      </c>
      <c r="BF645" s="34">
        <f>645</f>
        <v>645</v>
      </c>
      <c r="BH645" s="18">
        <f t="shared" si="531"/>
        <v>0</v>
      </c>
      <c r="BI645" s="18">
        <f t="shared" si="532"/>
        <v>0</v>
      </c>
      <c r="BJ645" s="18">
        <f t="shared" si="533"/>
        <v>0</v>
      </c>
    </row>
    <row r="646" spans="1:62" x14ac:dyDescent="0.2">
      <c r="A646" s="5" t="s">
        <v>605</v>
      </c>
      <c r="B646" s="5" t="s">
        <v>1792</v>
      </c>
      <c r="C646" s="135" t="s">
        <v>2999</v>
      </c>
      <c r="D646" s="136"/>
      <c r="E646" s="136"/>
      <c r="F646" s="136"/>
      <c r="G646" s="136"/>
      <c r="H646" s="5" t="s">
        <v>3614</v>
      </c>
      <c r="I646" s="18">
        <v>50</v>
      </c>
      <c r="J646" s="18">
        <v>0</v>
      </c>
      <c r="K646" s="18">
        <f t="shared" si="512"/>
        <v>0</v>
      </c>
      <c r="L646" s="28" t="s">
        <v>3635</v>
      </c>
      <c r="Z646" s="34">
        <f t="shared" si="513"/>
        <v>0</v>
      </c>
      <c r="AB646" s="34">
        <f t="shared" si="514"/>
        <v>0</v>
      </c>
      <c r="AC646" s="34">
        <f t="shared" si="515"/>
        <v>0</v>
      </c>
      <c r="AD646" s="34">
        <f t="shared" si="516"/>
        <v>0</v>
      </c>
      <c r="AE646" s="34">
        <f t="shared" si="517"/>
        <v>0</v>
      </c>
      <c r="AF646" s="34">
        <f t="shared" si="518"/>
        <v>0</v>
      </c>
      <c r="AG646" s="34">
        <f t="shared" si="519"/>
        <v>0</v>
      </c>
      <c r="AH646" s="34">
        <f t="shared" si="520"/>
        <v>0</v>
      </c>
      <c r="AI646" s="27" t="s">
        <v>3645</v>
      </c>
      <c r="AJ646" s="18">
        <f t="shared" si="521"/>
        <v>0</v>
      </c>
      <c r="AK646" s="18">
        <f t="shared" si="522"/>
        <v>0</v>
      </c>
      <c r="AL646" s="18">
        <f t="shared" si="523"/>
        <v>0</v>
      </c>
      <c r="AN646" s="34">
        <v>21</v>
      </c>
      <c r="AO646" s="34">
        <f t="shared" si="524"/>
        <v>0</v>
      </c>
      <c r="AP646" s="34">
        <f t="shared" si="525"/>
        <v>0</v>
      </c>
      <c r="AQ646" s="28" t="s">
        <v>13</v>
      </c>
      <c r="AV646" s="34">
        <f t="shared" si="526"/>
        <v>0</v>
      </c>
      <c r="AW646" s="34">
        <f t="shared" si="527"/>
        <v>0</v>
      </c>
      <c r="AX646" s="34">
        <f t="shared" si="528"/>
        <v>0</v>
      </c>
      <c r="AY646" s="35" t="s">
        <v>3681</v>
      </c>
      <c r="AZ646" s="35" t="s">
        <v>3715</v>
      </c>
      <c r="BA646" s="27" t="s">
        <v>3729</v>
      </c>
      <c r="BC646" s="34">
        <f t="shared" si="529"/>
        <v>0</v>
      </c>
      <c r="BD646" s="34">
        <f t="shared" si="530"/>
        <v>0</v>
      </c>
      <c r="BE646" s="34">
        <v>0</v>
      </c>
      <c r="BF646" s="34">
        <f>646</f>
        <v>646</v>
      </c>
      <c r="BH646" s="18">
        <f t="shared" si="531"/>
        <v>0</v>
      </c>
      <c r="BI646" s="18">
        <f t="shared" si="532"/>
        <v>0</v>
      </c>
      <c r="BJ646" s="18">
        <f t="shared" si="533"/>
        <v>0</v>
      </c>
    </row>
    <row r="647" spans="1:62" x14ac:dyDescent="0.2">
      <c r="A647" s="5" t="s">
        <v>606</v>
      </c>
      <c r="B647" s="5" t="s">
        <v>1793</v>
      </c>
      <c r="C647" s="135" t="s">
        <v>3000</v>
      </c>
      <c r="D647" s="136"/>
      <c r="E647" s="136"/>
      <c r="F647" s="136"/>
      <c r="G647" s="136"/>
      <c r="H647" s="5" t="s">
        <v>3614</v>
      </c>
      <c r="I647" s="18">
        <v>50</v>
      </c>
      <c r="J647" s="18">
        <v>0</v>
      </c>
      <c r="K647" s="18">
        <f t="shared" si="512"/>
        <v>0</v>
      </c>
      <c r="L647" s="28" t="s">
        <v>3635</v>
      </c>
      <c r="Z647" s="34">
        <f t="shared" si="513"/>
        <v>0</v>
      </c>
      <c r="AB647" s="34">
        <f t="shared" si="514"/>
        <v>0</v>
      </c>
      <c r="AC647" s="34">
        <f t="shared" si="515"/>
        <v>0</v>
      </c>
      <c r="AD647" s="34">
        <f t="shared" si="516"/>
        <v>0</v>
      </c>
      <c r="AE647" s="34">
        <f t="shared" si="517"/>
        <v>0</v>
      </c>
      <c r="AF647" s="34">
        <f t="shared" si="518"/>
        <v>0</v>
      </c>
      <c r="AG647" s="34">
        <f t="shared" si="519"/>
        <v>0</v>
      </c>
      <c r="AH647" s="34">
        <f t="shared" si="520"/>
        <v>0</v>
      </c>
      <c r="AI647" s="27" t="s">
        <v>3645</v>
      </c>
      <c r="AJ647" s="18">
        <f t="shared" si="521"/>
        <v>0</v>
      </c>
      <c r="AK647" s="18">
        <f t="shared" si="522"/>
        <v>0</v>
      </c>
      <c r="AL647" s="18">
        <f t="shared" si="523"/>
        <v>0</v>
      </c>
      <c r="AN647" s="34">
        <v>21</v>
      </c>
      <c r="AO647" s="34">
        <f t="shared" si="524"/>
        <v>0</v>
      </c>
      <c r="AP647" s="34">
        <f t="shared" si="525"/>
        <v>0</v>
      </c>
      <c r="AQ647" s="28" t="s">
        <v>13</v>
      </c>
      <c r="AV647" s="34">
        <f t="shared" si="526"/>
        <v>0</v>
      </c>
      <c r="AW647" s="34">
        <f t="shared" si="527"/>
        <v>0</v>
      </c>
      <c r="AX647" s="34">
        <f t="shared" si="528"/>
        <v>0</v>
      </c>
      <c r="AY647" s="35" t="s">
        <v>3681</v>
      </c>
      <c r="AZ647" s="35" t="s">
        <v>3715</v>
      </c>
      <c r="BA647" s="27" t="s">
        <v>3729</v>
      </c>
      <c r="BC647" s="34">
        <f t="shared" si="529"/>
        <v>0</v>
      </c>
      <c r="BD647" s="34">
        <f t="shared" si="530"/>
        <v>0</v>
      </c>
      <c r="BE647" s="34">
        <v>0</v>
      </c>
      <c r="BF647" s="34">
        <f>647</f>
        <v>647</v>
      </c>
      <c r="BH647" s="18">
        <f t="shared" si="531"/>
        <v>0</v>
      </c>
      <c r="BI647" s="18">
        <f t="shared" si="532"/>
        <v>0</v>
      </c>
      <c r="BJ647" s="18">
        <f t="shared" si="533"/>
        <v>0</v>
      </c>
    </row>
    <row r="648" spans="1:62" x14ac:dyDescent="0.2">
      <c r="A648" s="5" t="s">
        <v>607</v>
      </c>
      <c r="B648" s="5" t="s">
        <v>1794</v>
      </c>
      <c r="C648" s="135" t="s">
        <v>3001</v>
      </c>
      <c r="D648" s="136"/>
      <c r="E648" s="136"/>
      <c r="F648" s="136"/>
      <c r="G648" s="136"/>
      <c r="H648" s="5" t="s">
        <v>3612</v>
      </c>
      <c r="I648" s="18">
        <v>62</v>
      </c>
      <c r="J648" s="18">
        <v>0</v>
      </c>
      <c r="K648" s="18">
        <f t="shared" si="512"/>
        <v>0</v>
      </c>
      <c r="L648" s="28" t="s">
        <v>3635</v>
      </c>
      <c r="Z648" s="34">
        <f t="shared" si="513"/>
        <v>0</v>
      </c>
      <c r="AB648" s="34">
        <f t="shared" si="514"/>
        <v>0</v>
      </c>
      <c r="AC648" s="34">
        <f t="shared" si="515"/>
        <v>0</v>
      </c>
      <c r="AD648" s="34">
        <f t="shared" si="516"/>
        <v>0</v>
      </c>
      <c r="AE648" s="34">
        <f t="shared" si="517"/>
        <v>0</v>
      </c>
      <c r="AF648" s="34">
        <f t="shared" si="518"/>
        <v>0</v>
      </c>
      <c r="AG648" s="34">
        <f t="shared" si="519"/>
        <v>0</v>
      </c>
      <c r="AH648" s="34">
        <f t="shared" si="520"/>
        <v>0</v>
      </c>
      <c r="AI648" s="27" t="s">
        <v>3645</v>
      </c>
      <c r="AJ648" s="18">
        <f t="shared" si="521"/>
        <v>0</v>
      </c>
      <c r="AK648" s="18">
        <f t="shared" si="522"/>
        <v>0</v>
      </c>
      <c r="AL648" s="18">
        <f t="shared" si="523"/>
        <v>0</v>
      </c>
      <c r="AN648" s="34">
        <v>21</v>
      </c>
      <c r="AO648" s="34">
        <f t="shared" si="524"/>
        <v>0</v>
      </c>
      <c r="AP648" s="34">
        <f t="shared" si="525"/>
        <v>0</v>
      </c>
      <c r="AQ648" s="28" t="s">
        <v>13</v>
      </c>
      <c r="AV648" s="34">
        <f t="shared" si="526"/>
        <v>0</v>
      </c>
      <c r="AW648" s="34">
        <f t="shared" si="527"/>
        <v>0</v>
      </c>
      <c r="AX648" s="34">
        <f t="shared" si="528"/>
        <v>0</v>
      </c>
      <c r="AY648" s="35" t="s">
        <v>3681</v>
      </c>
      <c r="AZ648" s="35" t="s">
        <v>3715</v>
      </c>
      <c r="BA648" s="27" t="s">
        <v>3729</v>
      </c>
      <c r="BC648" s="34">
        <f t="shared" si="529"/>
        <v>0</v>
      </c>
      <c r="BD648" s="34">
        <f t="shared" si="530"/>
        <v>0</v>
      </c>
      <c r="BE648" s="34">
        <v>0</v>
      </c>
      <c r="BF648" s="34">
        <f>648</f>
        <v>648</v>
      </c>
      <c r="BH648" s="18">
        <f t="shared" si="531"/>
        <v>0</v>
      </c>
      <c r="BI648" s="18">
        <f t="shared" si="532"/>
        <v>0</v>
      </c>
      <c r="BJ648" s="18">
        <f t="shared" si="533"/>
        <v>0</v>
      </c>
    </row>
    <row r="649" spans="1:62" x14ac:dyDescent="0.2">
      <c r="A649" s="5" t="s">
        <v>608</v>
      </c>
      <c r="B649" s="5" t="s">
        <v>1795</v>
      </c>
      <c r="C649" s="135" t="s">
        <v>3002</v>
      </c>
      <c r="D649" s="136"/>
      <c r="E649" s="136"/>
      <c r="F649" s="136"/>
      <c r="G649" s="136"/>
      <c r="H649" s="5" t="s">
        <v>3615</v>
      </c>
      <c r="I649" s="18">
        <v>459.2</v>
      </c>
      <c r="J649" s="18">
        <v>0</v>
      </c>
      <c r="K649" s="18">
        <f t="shared" si="512"/>
        <v>0</v>
      </c>
      <c r="L649" s="28" t="s">
        <v>3635</v>
      </c>
      <c r="Z649" s="34">
        <f t="shared" si="513"/>
        <v>0</v>
      </c>
      <c r="AB649" s="34">
        <f t="shared" si="514"/>
        <v>0</v>
      </c>
      <c r="AC649" s="34">
        <f t="shared" si="515"/>
        <v>0</v>
      </c>
      <c r="AD649" s="34">
        <f t="shared" si="516"/>
        <v>0</v>
      </c>
      <c r="AE649" s="34">
        <f t="shared" si="517"/>
        <v>0</v>
      </c>
      <c r="AF649" s="34">
        <f t="shared" si="518"/>
        <v>0</v>
      </c>
      <c r="AG649" s="34">
        <f t="shared" si="519"/>
        <v>0</v>
      </c>
      <c r="AH649" s="34">
        <f t="shared" si="520"/>
        <v>0</v>
      </c>
      <c r="AI649" s="27" t="s">
        <v>3645</v>
      </c>
      <c r="AJ649" s="18">
        <f t="shared" si="521"/>
        <v>0</v>
      </c>
      <c r="AK649" s="18">
        <f t="shared" si="522"/>
        <v>0</v>
      </c>
      <c r="AL649" s="18">
        <f t="shared" si="523"/>
        <v>0</v>
      </c>
      <c r="AN649" s="34">
        <v>21</v>
      </c>
      <c r="AO649" s="34">
        <f t="shared" si="524"/>
        <v>0</v>
      </c>
      <c r="AP649" s="34">
        <f t="shared" si="525"/>
        <v>0</v>
      </c>
      <c r="AQ649" s="28" t="s">
        <v>13</v>
      </c>
      <c r="AV649" s="34">
        <f t="shared" si="526"/>
        <v>0</v>
      </c>
      <c r="AW649" s="34">
        <f t="shared" si="527"/>
        <v>0</v>
      </c>
      <c r="AX649" s="34">
        <f t="shared" si="528"/>
        <v>0</v>
      </c>
      <c r="AY649" s="35" t="s">
        <v>3681</v>
      </c>
      <c r="AZ649" s="35" t="s">
        <v>3715</v>
      </c>
      <c r="BA649" s="27" t="s">
        <v>3729</v>
      </c>
      <c r="BC649" s="34">
        <f t="shared" si="529"/>
        <v>0</v>
      </c>
      <c r="BD649" s="34">
        <f t="shared" si="530"/>
        <v>0</v>
      </c>
      <c r="BE649" s="34">
        <v>0</v>
      </c>
      <c r="BF649" s="34">
        <f>649</f>
        <v>649</v>
      </c>
      <c r="BH649" s="18">
        <f t="shared" si="531"/>
        <v>0</v>
      </c>
      <c r="BI649" s="18">
        <f t="shared" si="532"/>
        <v>0</v>
      </c>
      <c r="BJ649" s="18">
        <f t="shared" si="533"/>
        <v>0</v>
      </c>
    </row>
    <row r="650" spans="1:62" x14ac:dyDescent="0.2">
      <c r="A650" s="5" t="s">
        <v>609</v>
      </c>
      <c r="B650" s="5" t="s">
        <v>1796</v>
      </c>
      <c r="C650" s="135" t="s">
        <v>3003</v>
      </c>
      <c r="D650" s="136"/>
      <c r="E650" s="136"/>
      <c r="F650" s="136"/>
      <c r="G650" s="136"/>
      <c r="H650" s="5" t="s">
        <v>3619</v>
      </c>
      <c r="I650" s="18">
        <v>25</v>
      </c>
      <c r="J650" s="18">
        <v>0</v>
      </c>
      <c r="K650" s="18">
        <f t="shared" si="512"/>
        <v>0</v>
      </c>
      <c r="L650" s="28" t="s">
        <v>3635</v>
      </c>
      <c r="Z650" s="34">
        <f t="shared" si="513"/>
        <v>0</v>
      </c>
      <c r="AB650" s="34">
        <f t="shared" si="514"/>
        <v>0</v>
      </c>
      <c r="AC650" s="34">
        <f t="shared" si="515"/>
        <v>0</v>
      </c>
      <c r="AD650" s="34">
        <f t="shared" si="516"/>
        <v>0</v>
      </c>
      <c r="AE650" s="34">
        <f t="shared" si="517"/>
        <v>0</v>
      </c>
      <c r="AF650" s="34">
        <f t="shared" si="518"/>
        <v>0</v>
      </c>
      <c r="AG650" s="34">
        <f t="shared" si="519"/>
        <v>0</v>
      </c>
      <c r="AH650" s="34">
        <f t="shared" si="520"/>
        <v>0</v>
      </c>
      <c r="AI650" s="27" t="s">
        <v>3645</v>
      </c>
      <c r="AJ650" s="18">
        <f t="shared" si="521"/>
        <v>0</v>
      </c>
      <c r="AK650" s="18">
        <f t="shared" si="522"/>
        <v>0</v>
      </c>
      <c r="AL650" s="18">
        <f t="shared" si="523"/>
        <v>0</v>
      </c>
      <c r="AN650" s="34">
        <v>21</v>
      </c>
      <c r="AO650" s="34">
        <f t="shared" si="524"/>
        <v>0</v>
      </c>
      <c r="AP650" s="34">
        <f t="shared" si="525"/>
        <v>0</v>
      </c>
      <c r="AQ650" s="28" t="s">
        <v>13</v>
      </c>
      <c r="AV650" s="34">
        <f t="shared" si="526"/>
        <v>0</v>
      </c>
      <c r="AW650" s="34">
        <f t="shared" si="527"/>
        <v>0</v>
      </c>
      <c r="AX650" s="34">
        <f t="shared" si="528"/>
        <v>0</v>
      </c>
      <c r="AY650" s="35" t="s">
        <v>3681</v>
      </c>
      <c r="AZ650" s="35" t="s">
        <v>3715</v>
      </c>
      <c r="BA650" s="27" t="s">
        <v>3729</v>
      </c>
      <c r="BC650" s="34">
        <f t="shared" si="529"/>
        <v>0</v>
      </c>
      <c r="BD650" s="34">
        <f t="shared" si="530"/>
        <v>0</v>
      </c>
      <c r="BE650" s="34">
        <v>0</v>
      </c>
      <c r="BF650" s="34">
        <f>650</f>
        <v>650</v>
      </c>
      <c r="BH650" s="18">
        <f t="shared" si="531"/>
        <v>0</v>
      </c>
      <c r="BI650" s="18">
        <f t="shared" si="532"/>
        <v>0</v>
      </c>
      <c r="BJ650" s="18">
        <f t="shared" si="533"/>
        <v>0</v>
      </c>
    </row>
    <row r="651" spans="1:62" x14ac:dyDescent="0.2">
      <c r="A651" s="5" t="s">
        <v>610</v>
      </c>
      <c r="B651" s="5" t="s">
        <v>1797</v>
      </c>
      <c r="C651" s="135" t="s">
        <v>3004</v>
      </c>
      <c r="D651" s="136"/>
      <c r="E651" s="136"/>
      <c r="F651" s="136"/>
      <c r="G651" s="136"/>
      <c r="H651" s="5" t="s">
        <v>3619</v>
      </c>
      <c r="I651" s="18">
        <v>40</v>
      </c>
      <c r="J651" s="18">
        <v>0</v>
      </c>
      <c r="K651" s="18">
        <f t="shared" si="512"/>
        <v>0</v>
      </c>
      <c r="L651" s="28" t="s">
        <v>3635</v>
      </c>
      <c r="Z651" s="34">
        <f t="shared" si="513"/>
        <v>0</v>
      </c>
      <c r="AB651" s="34">
        <f t="shared" si="514"/>
        <v>0</v>
      </c>
      <c r="AC651" s="34">
        <f t="shared" si="515"/>
        <v>0</v>
      </c>
      <c r="AD651" s="34">
        <f t="shared" si="516"/>
        <v>0</v>
      </c>
      <c r="AE651" s="34">
        <f t="shared" si="517"/>
        <v>0</v>
      </c>
      <c r="AF651" s="34">
        <f t="shared" si="518"/>
        <v>0</v>
      </c>
      <c r="AG651" s="34">
        <f t="shared" si="519"/>
        <v>0</v>
      </c>
      <c r="AH651" s="34">
        <f t="shared" si="520"/>
        <v>0</v>
      </c>
      <c r="AI651" s="27" t="s">
        <v>3645</v>
      </c>
      <c r="AJ651" s="18">
        <f t="shared" si="521"/>
        <v>0</v>
      </c>
      <c r="AK651" s="18">
        <f t="shared" si="522"/>
        <v>0</v>
      </c>
      <c r="AL651" s="18">
        <f t="shared" si="523"/>
        <v>0</v>
      </c>
      <c r="AN651" s="34">
        <v>21</v>
      </c>
      <c r="AO651" s="34">
        <f t="shared" si="524"/>
        <v>0</v>
      </c>
      <c r="AP651" s="34">
        <f t="shared" si="525"/>
        <v>0</v>
      </c>
      <c r="AQ651" s="28" t="s">
        <v>13</v>
      </c>
      <c r="AV651" s="34">
        <f t="shared" si="526"/>
        <v>0</v>
      </c>
      <c r="AW651" s="34">
        <f t="shared" si="527"/>
        <v>0</v>
      </c>
      <c r="AX651" s="34">
        <f t="shared" si="528"/>
        <v>0</v>
      </c>
      <c r="AY651" s="35" t="s">
        <v>3681</v>
      </c>
      <c r="AZ651" s="35" t="s">
        <v>3715</v>
      </c>
      <c r="BA651" s="27" t="s">
        <v>3729</v>
      </c>
      <c r="BC651" s="34">
        <f t="shared" si="529"/>
        <v>0</v>
      </c>
      <c r="BD651" s="34">
        <f t="shared" si="530"/>
        <v>0</v>
      </c>
      <c r="BE651" s="34">
        <v>0</v>
      </c>
      <c r="BF651" s="34">
        <f>651</f>
        <v>651</v>
      </c>
      <c r="BH651" s="18">
        <f t="shared" si="531"/>
        <v>0</v>
      </c>
      <c r="BI651" s="18">
        <f t="shared" si="532"/>
        <v>0</v>
      </c>
      <c r="BJ651" s="18">
        <f t="shared" si="533"/>
        <v>0</v>
      </c>
    </row>
    <row r="652" spans="1:62" x14ac:dyDescent="0.2">
      <c r="A652" s="5" t="s">
        <v>611</v>
      </c>
      <c r="B652" s="5" t="s">
        <v>1798</v>
      </c>
      <c r="C652" s="135" t="s">
        <v>2874</v>
      </c>
      <c r="D652" s="136"/>
      <c r="E652" s="136"/>
      <c r="F652" s="136"/>
      <c r="G652" s="136"/>
      <c r="H652" s="5" t="s">
        <v>3618</v>
      </c>
      <c r="I652" s="18">
        <v>1</v>
      </c>
      <c r="J652" s="18">
        <v>0</v>
      </c>
      <c r="K652" s="18">
        <f t="shared" si="512"/>
        <v>0</v>
      </c>
      <c r="L652" s="28" t="s">
        <v>3635</v>
      </c>
      <c r="Z652" s="34">
        <f t="shared" si="513"/>
        <v>0</v>
      </c>
      <c r="AB652" s="34">
        <f t="shared" si="514"/>
        <v>0</v>
      </c>
      <c r="AC652" s="34">
        <f t="shared" si="515"/>
        <v>0</v>
      </c>
      <c r="AD652" s="34">
        <f t="shared" si="516"/>
        <v>0</v>
      </c>
      <c r="AE652" s="34">
        <f t="shared" si="517"/>
        <v>0</v>
      </c>
      <c r="AF652" s="34">
        <f t="shared" si="518"/>
        <v>0</v>
      </c>
      <c r="AG652" s="34">
        <f t="shared" si="519"/>
        <v>0</v>
      </c>
      <c r="AH652" s="34">
        <f t="shared" si="520"/>
        <v>0</v>
      </c>
      <c r="AI652" s="27" t="s">
        <v>3645</v>
      </c>
      <c r="AJ652" s="18">
        <f t="shared" si="521"/>
        <v>0</v>
      </c>
      <c r="AK652" s="18">
        <f t="shared" si="522"/>
        <v>0</v>
      </c>
      <c r="AL652" s="18">
        <f t="shared" si="523"/>
        <v>0</v>
      </c>
      <c r="AN652" s="34">
        <v>21</v>
      </c>
      <c r="AO652" s="34">
        <f t="shared" si="524"/>
        <v>0</v>
      </c>
      <c r="AP652" s="34">
        <f t="shared" si="525"/>
        <v>0</v>
      </c>
      <c r="AQ652" s="28" t="s">
        <v>13</v>
      </c>
      <c r="AV652" s="34">
        <f t="shared" si="526"/>
        <v>0</v>
      </c>
      <c r="AW652" s="34">
        <f t="shared" si="527"/>
        <v>0</v>
      </c>
      <c r="AX652" s="34">
        <f t="shared" si="528"/>
        <v>0</v>
      </c>
      <c r="AY652" s="35" t="s">
        <v>3681</v>
      </c>
      <c r="AZ652" s="35" t="s">
        <v>3715</v>
      </c>
      <c r="BA652" s="27" t="s">
        <v>3729</v>
      </c>
      <c r="BC652" s="34">
        <f t="shared" si="529"/>
        <v>0</v>
      </c>
      <c r="BD652" s="34">
        <f t="shared" si="530"/>
        <v>0</v>
      </c>
      <c r="BE652" s="34">
        <v>0</v>
      </c>
      <c r="BF652" s="34">
        <f>652</f>
        <v>652</v>
      </c>
      <c r="BH652" s="18">
        <f t="shared" si="531"/>
        <v>0</v>
      </c>
      <c r="BI652" s="18">
        <f t="shared" si="532"/>
        <v>0</v>
      </c>
      <c r="BJ652" s="18">
        <f t="shared" si="533"/>
        <v>0</v>
      </c>
    </row>
    <row r="653" spans="1:62" x14ac:dyDescent="0.2">
      <c r="A653" s="5" t="s">
        <v>612</v>
      </c>
      <c r="B653" s="5" t="s">
        <v>1799</v>
      </c>
      <c r="C653" s="135" t="s">
        <v>3005</v>
      </c>
      <c r="D653" s="136"/>
      <c r="E653" s="136"/>
      <c r="F653" s="136"/>
      <c r="G653" s="136"/>
      <c r="H653" s="5" t="s">
        <v>3612</v>
      </c>
      <c r="I653" s="18">
        <v>26</v>
      </c>
      <c r="J653" s="18">
        <v>0</v>
      </c>
      <c r="K653" s="18">
        <f t="shared" si="512"/>
        <v>0</v>
      </c>
      <c r="L653" s="28" t="s">
        <v>3635</v>
      </c>
      <c r="Z653" s="34">
        <f t="shared" si="513"/>
        <v>0</v>
      </c>
      <c r="AB653" s="34">
        <f t="shared" si="514"/>
        <v>0</v>
      </c>
      <c r="AC653" s="34">
        <f t="shared" si="515"/>
        <v>0</v>
      </c>
      <c r="AD653" s="34">
        <f t="shared" si="516"/>
        <v>0</v>
      </c>
      <c r="AE653" s="34">
        <f t="shared" si="517"/>
        <v>0</v>
      </c>
      <c r="AF653" s="34">
        <f t="shared" si="518"/>
        <v>0</v>
      </c>
      <c r="AG653" s="34">
        <f t="shared" si="519"/>
        <v>0</v>
      </c>
      <c r="AH653" s="34">
        <f t="shared" si="520"/>
        <v>0</v>
      </c>
      <c r="AI653" s="27" t="s">
        <v>3645</v>
      </c>
      <c r="AJ653" s="18">
        <f t="shared" si="521"/>
        <v>0</v>
      </c>
      <c r="AK653" s="18">
        <f t="shared" si="522"/>
        <v>0</v>
      </c>
      <c r="AL653" s="18">
        <f t="shared" si="523"/>
        <v>0</v>
      </c>
      <c r="AN653" s="34">
        <v>21</v>
      </c>
      <c r="AO653" s="34">
        <f t="shared" si="524"/>
        <v>0</v>
      </c>
      <c r="AP653" s="34">
        <f t="shared" si="525"/>
        <v>0</v>
      </c>
      <c r="AQ653" s="28" t="s">
        <v>13</v>
      </c>
      <c r="AV653" s="34">
        <f t="shared" si="526"/>
        <v>0</v>
      </c>
      <c r="AW653" s="34">
        <f t="shared" si="527"/>
        <v>0</v>
      </c>
      <c r="AX653" s="34">
        <f t="shared" si="528"/>
        <v>0</v>
      </c>
      <c r="AY653" s="35" t="s">
        <v>3681</v>
      </c>
      <c r="AZ653" s="35" t="s">
        <v>3715</v>
      </c>
      <c r="BA653" s="27" t="s">
        <v>3729</v>
      </c>
      <c r="BC653" s="34">
        <f t="shared" si="529"/>
        <v>0</v>
      </c>
      <c r="BD653" s="34">
        <f t="shared" si="530"/>
        <v>0</v>
      </c>
      <c r="BE653" s="34">
        <v>0</v>
      </c>
      <c r="BF653" s="34">
        <f>653</f>
        <v>653</v>
      </c>
      <c r="BH653" s="18">
        <f t="shared" si="531"/>
        <v>0</v>
      </c>
      <c r="BI653" s="18">
        <f t="shared" si="532"/>
        <v>0</v>
      </c>
      <c r="BJ653" s="18">
        <f t="shared" si="533"/>
        <v>0</v>
      </c>
    </row>
    <row r="654" spans="1:62" x14ac:dyDescent="0.2">
      <c r="A654" s="5" t="s">
        <v>613</v>
      </c>
      <c r="B654" s="5" t="s">
        <v>1800</v>
      </c>
      <c r="C654" s="135" t="s">
        <v>2792</v>
      </c>
      <c r="D654" s="136"/>
      <c r="E654" s="136"/>
      <c r="F654" s="136"/>
      <c r="G654" s="136"/>
      <c r="H654" s="5" t="s">
        <v>3619</v>
      </c>
      <c r="I654" s="18">
        <v>50</v>
      </c>
      <c r="J654" s="18">
        <v>0</v>
      </c>
      <c r="K654" s="18">
        <f t="shared" si="512"/>
        <v>0</v>
      </c>
      <c r="L654" s="28" t="s">
        <v>3635</v>
      </c>
      <c r="Z654" s="34">
        <f t="shared" si="513"/>
        <v>0</v>
      </c>
      <c r="AB654" s="34">
        <f t="shared" si="514"/>
        <v>0</v>
      </c>
      <c r="AC654" s="34">
        <f t="shared" si="515"/>
        <v>0</v>
      </c>
      <c r="AD654" s="34">
        <f t="shared" si="516"/>
        <v>0</v>
      </c>
      <c r="AE654" s="34">
        <f t="shared" si="517"/>
        <v>0</v>
      </c>
      <c r="AF654" s="34">
        <f t="shared" si="518"/>
        <v>0</v>
      </c>
      <c r="AG654" s="34">
        <f t="shared" si="519"/>
        <v>0</v>
      </c>
      <c r="AH654" s="34">
        <f t="shared" si="520"/>
        <v>0</v>
      </c>
      <c r="AI654" s="27" t="s">
        <v>3645</v>
      </c>
      <c r="AJ654" s="18">
        <f t="shared" si="521"/>
        <v>0</v>
      </c>
      <c r="AK654" s="18">
        <f t="shared" si="522"/>
        <v>0</v>
      </c>
      <c r="AL654" s="18">
        <f t="shared" si="523"/>
        <v>0</v>
      </c>
      <c r="AN654" s="34">
        <v>21</v>
      </c>
      <c r="AO654" s="34">
        <f t="shared" si="524"/>
        <v>0</v>
      </c>
      <c r="AP654" s="34">
        <f t="shared" si="525"/>
        <v>0</v>
      </c>
      <c r="AQ654" s="28" t="s">
        <v>13</v>
      </c>
      <c r="AV654" s="34">
        <f t="shared" si="526"/>
        <v>0</v>
      </c>
      <c r="AW654" s="34">
        <f t="shared" si="527"/>
        <v>0</v>
      </c>
      <c r="AX654" s="34">
        <f t="shared" si="528"/>
        <v>0</v>
      </c>
      <c r="AY654" s="35" t="s">
        <v>3681</v>
      </c>
      <c r="AZ654" s="35" t="s">
        <v>3715</v>
      </c>
      <c r="BA654" s="27" t="s">
        <v>3729</v>
      </c>
      <c r="BC654" s="34">
        <f t="shared" si="529"/>
        <v>0</v>
      </c>
      <c r="BD654" s="34">
        <f t="shared" si="530"/>
        <v>0</v>
      </c>
      <c r="BE654" s="34">
        <v>0</v>
      </c>
      <c r="BF654" s="34">
        <f>654</f>
        <v>654</v>
      </c>
      <c r="BH654" s="18">
        <f t="shared" si="531"/>
        <v>0</v>
      </c>
      <c r="BI654" s="18">
        <f t="shared" si="532"/>
        <v>0</v>
      </c>
      <c r="BJ654" s="18">
        <f t="shared" si="533"/>
        <v>0</v>
      </c>
    </row>
    <row r="655" spans="1:62" x14ac:dyDescent="0.2">
      <c r="A655" s="5" t="s">
        <v>614</v>
      </c>
      <c r="B655" s="5" t="s">
        <v>1801</v>
      </c>
      <c r="C655" s="135" t="s">
        <v>3006</v>
      </c>
      <c r="D655" s="136"/>
      <c r="E655" s="136"/>
      <c r="F655" s="136"/>
      <c r="G655" s="136"/>
      <c r="H655" s="5" t="s">
        <v>3612</v>
      </c>
      <c r="I655" s="18">
        <v>1</v>
      </c>
      <c r="J655" s="18">
        <v>0</v>
      </c>
      <c r="K655" s="18">
        <f t="shared" si="512"/>
        <v>0</v>
      </c>
      <c r="L655" s="28" t="s">
        <v>3635</v>
      </c>
      <c r="Z655" s="34">
        <f t="shared" si="513"/>
        <v>0</v>
      </c>
      <c r="AB655" s="34">
        <f t="shared" si="514"/>
        <v>0</v>
      </c>
      <c r="AC655" s="34">
        <f t="shared" si="515"/>
        <v>0</v>
      </c>
      <c r="AD655" s="34">
        <f t="shared" si="516"/>
        <v>0</v>
      </c>
      <c r="AE655" s="34">
        <f t="shared" si="517"/>
        <v>0</v>
      </c>
      <c r="AF655" s="34">
        <f t="shared" si="518"/>
        <v>0</v>
      </c>
      <c r="AG655" s="34">
        <f t="shared" si="519"/>
        <v>0</v>
      </c>
      <c r="AH655" s="34">
        <f t="shared" si="520"/>
        <v>0</v>
      </c>
      <c r="AI655" s="27" t="s">
        <v>3645</v>
      </c>
      <c r="AJ655" s="18">
        <f t="shared" si="521"/>
        <v>0</v>
      </c>
      <c r="AK655" s="18">
        <f t="shared" si="522"/>
        <v>0</v>
      </c>
      <c r="AL655" s="18">
        <f t="shared" si="523"/>
        <v>0</v>
      </c>
      <c r="AN655" s="34">
        <v>21</v>
      </c>
      <c r="AO655" s="34">
        <f t="shared" si="524"/>
        <v>0</v>
      </c>
      <c r="AP655" s="34">
        <f t="shared" si="525"/>
        <v>0</v>
      </c>
      <c r="AQ655" s="28" t="s">
        <v>13</v>
      </c>
      <c r="AV655" s="34">
        <f t="shared" si="526"/>
        <v>0</v>
      </c>
      <c r="AW655" s="34">
        <f t="shared" si="527"/>
        <v>0</v>
      </c>
      <c r="AX655" s="34">
        <f t="shared" si="528"/>
        <v>0</v>
      </c>
      <c r="AY655" s="35" t="s">
        <v>3681</v>
      </c>
      <c r="AZ655" s="35" t="s">
        <v>3715</v>
      </c>
      <c r="BA655" s="27" t="s">
        <v>3729</v>
      </c>
      <c r="BC655" s="34">
        <f t="shared" si="529"/>
        <v>0</v>
      </c>
      <c r="BD655" s="34">
        <f t="shared" si="530"/>
        <v>0</v>
      </c>
      <c r="BE655" s="34">
        <v>0</v>
      </c>
      <c r="BF655" s="34">
        <f>655</f>
        <v>655</v>
      </c>
      <c r="BH655" s="18">
        <f t="shared" si="531"/>
        <v>0</v>
      </c>
      <c r="BI655" s="18">
        <f t="shared" si="532"/>
        <v>0</v>
      </c>
      <c r="BJ655" s="18">
        <f t="shared" si="533"/>
        <v>0</v>
      </c>
    </row>
    <row r="656" spans="1:62" x14ac:dyDescent="0.2">
      <c r="A656" s="5" t="s">
        <v>615</v>
      </c>
      <c r="B656" s="5" t="s">
        <v>1802</v>
      </c>
      <c r="C656" s="135" t="s">
        <v>3007</v>
      </c>
      <c r="D656" s="136"/>
      <c r="E656" s="136"/>
      <c r="F656" s="136"/>
      <c r="G656" s="136"/>
      <c r="H656" s="5" t="s">
        <v>3612</v>
      </c>
      <c r="I656" s="18">
        <v>1</v>
      </c>
      <c r="J656" s="18">
        <v>0</v>
      </c>
      <c r="K656" s="18">
        <f t="shared" si="512"/>
        <v>0</v>
      </c>
      <c r="L656" s="28" t="s">
        <v>3635</v>
      </c>
      <c r="Z656" s="34">
        <f t="shared" si="513"/>
        <v>0</v>
      </c>
      <c r="AB656" s="34">
        <f t="shared" si="514"/>
        <v>0</v>
      </c>
      <c r="AC656" s="34">
        <f t="shared" si="515"/>
        <v>0</v>
      </c>
      <c r="AD656" s="34">
        <f t="shared" si="516"/>
        <v>0</v>
      </c>
      <c r="AE656" s="34">
        <f t="shared" si="517"/>
        <v>0</v>
      </c>
      <c r="AF656" s="34">
        <f t="shared" si="518"/>
        <v>0</v>
      </c>
      <c r="AG656" s="34">
        <f t="shared" si="519"/>
        <v>0</v>
      </c>
      <c r="AH656" s="34">
        <f t="shared" si="520"/>
        <v>0</v>
      </c>
      <c r="AI656" s="27" t="s">
        <v>3645</v>
      </c>
      <c r="AJ656" s="18">
        <f t="shared" si="521"/>
        <v>0</v>
      </c>
      <c r="AK656" s="18">
        <f t="shared" si="522"/>
        <v>0</v>
      </c>
      <c r="AL656" s="18">
        <f t="shared" si="523"/>
        <v>0</v>
      </c>
      <c r="AN656" s="34">
        <v>21</v>
      </c>
      <c r="AO656" s="34">
        <f t="shared" si="524"/>
        <v>0</v>
      </c>
      <c r="AP656" s="34">
        <f t="shared" si="525"/>
        <v>0</v>
      </c>
      <c r="AQ656" s="28" t="s">
        <v>13</v>
      </c>
      <c r="AV656" s="34">
        <f t="shared" si="526"/>
        <v>0</v>
      </c>
      <c r="AW656" s="34">
        <f t="shared" si="527"/>
        <v>0</v>
      </c>
      <c r="AX656" s="34">
        <f t="shared" si="528"/>
        <v>0</v>
      </c>
      <c r="AY656" s="35" t="s">
        <v>3681</v>
      </c>
      <c r="AZ656" s="35" t="s">
        <v>3715</v>
      </c>
      <c r="BA656" s="27" t="s">
        <v>3729</v>
      </c>
      <c r="BC656" s="34">
        <f t="shared" si="529"/>
        <v>0</v>
      </c>
      <c r="BD656" s="34">
        <f t="shared" si="530"/>
        <v>0</v>
      </c>
      <c r="BE656" s="34">
        <v>0</v>
      </c>
      <c r="BF656" s="34">
        <f>656</f>
        <v>656</v>
      </c>
      <c r="BH656" s="18">
        <f t="shared" si="531"/>
        <v>0</v>
      </c>
      <c r="BI656" s="18">
        <f t="shared" si="532"/>
        <v>0</v>
      </c>
      <c r="BJ656" s="18">
        <f t="shared" si="533"/>
        <v>0</v>
      </c>
    </row>
    <row r="657" spans="1:62" x14ac:dyDescent="0.2">
      <c r="A657" s="5" t="s">
        <v>616</v>
      </c>
      <c r="B657" s="5" t="s">
        <v>1803</v>
      </c>
      <c r="C657" s="135" t="s">
        <v>3008</v>
      </c>
      <c r="D657" s="136"/>
      <c r="E657" s="136"/>
      <c r="F657" s="136"/>
      <c r="G657" s="136"/>
      <c r="H657" s="5" t="s">
        <v>3612</v>
      </c>
      <c r="I657" s="18">
        <v>1</v>
      </c>
      <c r="J657" s="18">
        <v>0</v>
      </c>
      <c r="K657" s="18">
        <f t="shared" si="512"/>
        <v>0</v>
      </c>
      <c r="L657" s="28" t="s">
        <v>3635</v>
      </c>
      <c r="Z657" s="34">
        <f t="shared" si="513"/>
        <v>0</v>
      </c>
      <c r="AB657" s="34">
        <f t="shared" si="514"/>
        <v>0</v>
      </c>
      <c r="AC657" s="34">
        <f t="shared" si="515"/>
        <v>0</v>
      </c>
      <c r="AD657" s="34">
        <f t="shared" si="516"/>
        <v>0</v>
      </c>
      <c r="AE657" s="34">
        <f t="shared" si="517"/>
        <v>0</v>
      </c>
      <c r="AF657" s="34">
        <f t="shared" si="518"/>
        <v>0</v>
      </c>
      <c r="AG657" s="34">
        <f t="shared" si="519"/>
        <v>0</v>
      </c>
      <c r="AH657" s="34">
        <f t="shared" si="520"/>
        <v>0</v>
      </c>
      <c r="AI657" s="27" t="s">
        <v>3645</v>
      </c>
      <c r="AJ657" s="18">
        <f t="shared" si="521"/>
        <v>0</v>
      </c>
      <c r="AK657" s="18">
        <f t="shared" si="522"/>
        <v>0</v>
      </c>
      <c r="AL657" s="18">
        <f t="shared" si="523"/>
        <v>0</v>
      </c>
      <c r="AN657" s="34">
        <v>21</v>
      </c>
      <c r="AO657" s="34">
        <f t="shared" si="524"/>
        <v>0</v>
      </c>
      <c r="AP657" s="34">
        <f t="shared" si="525"/>
        <v>0</v>
      </c>
      <c r="AQ657" s="28" t="s">
        <v>13</v>
      </c>
      <c r="AV657" s="34">
        <f t="shared" si="526"/>
        <v>0</v>
      </c>
      <c r="AW657" s="34">
        <f t="shared" si="527"/>
        <v>0</v>
      </c>
      <c r="AX657" s="34">
        <f t="shared" si="528"/>
        <v>0</v>
      </c>
      <c r="AY657" s="35" t="s">
        <v>3681</v>
      </c>
      <c r="AZ657" s="35" t="s">
        <v>3715</v>
      </c>
      <c r="BA657" s="27" t="s">
        <v>3729</v>
      </c>
      <c r="BC657" s="34">
        <f t="shared" si="529"/>
        <v>0</v>
      </c>
      <c r="BD657" s="34">
        <f t="shared" si="530"/>
        <v>0</v>
      </c>
      <c r="BE657" s="34">
        <v>0</v>
      </c>
      <c r="BF657" s="34">
        <f>657</f>
        <v>657</v>
      </c>
      <c r="BH657" s="18">
        <f t="shared" si="531"/>
        <v>0</v>
      </c>
      <c r="BI657" s="18">
        <f t="shared" si="532"/>
        <v>0</v>
      </c>
      <c r="BJ657" s="18">
        <f t="shared" si="533"/>
        <v>0</v>
      </c>
    </row>
    <row r="658" spans="1:62" x14ac:dyDescent="0.2">
      <c r="A658" s="5" t="s">
        <v>617</v>
      </c>
      <c r="B658" s="5" t="s">
        <v>1804</v>
      </c>
      <c r="C658" s="135" t="s">
        <v>2878</v>
      </c>
      <c r="D658" s="136"/>
      <c r="E658" s="136"/>
      <c r="F658" s="136"/>
      <c r="G658" s="136"/>
      <c r="H658" s="5" t="s">
        <v>3612</v>
      </c>
      <c r="I658" s="18">
        <v>6</v>
      </c>
      <c r="J658" s="18">
        <v>0</v>
      </c>
      <c r="K658" s="18">
        <f t="shared" si="512"/>
        <v>0</v>
      </c>
      <c r="L658" s="28" t="s">
        <v>3635</v>
      </c>
      <c r="Z658" s="34">
        <f t="shared" si="513"/>
        <v>0</v>
      </c>
      <c r="AB658" s="34">
        <f t="shared" si="514"/>
        <v>0</v>
      </c>
      <c r="AC658" s="34">
        <f t="shared" si="515"/>
        <v>0</v>
      </c>
      <c r="AD658" s="34">
        <f t="shared" si="516"/>
        <v>0</v>
      </c>
      <c r="AE658" s="34">
        <f t="shared" si="517"/>
        <v>0</v>
      </c>
      <c r="AF658" s="34">
        <f t="shared" si="518"/>
        <v>0</v>
      </c>
      <c r="AG658" s="34">
        <f t="shared" si="519"/>
        <v>0</v>
      </c>
      <c r="AH658" s="34">
        <f t="shared" si="520"/>
        <v>0</v>
      </c>
      <c r="AI658" s="27" t="s">
        <v>3645</v>
      </c>
      <c r="AJ658" s="18">
        <f t="shared" si="521"/>
        <v>0</v>
      </c>
      <c r="AK658" s="18">
        <f t="shared" si="522"/>
        <v>0</v>
      </c>
      <c r="AL658" s="18">
        <f t="shared" si="523"/>
        <v>0</v>
      </c>
      <c r="AN658" s="34">
        <v>21</v>
      </c>
      <c r="AO658" s="34">
        <f t="shared" si="524"/>
        <v>0</v>
      </c>
      <c r="AP658" s="34">
        <f t="shared" si="525"/>
        <v>0</v>
      </c>
      <c r="AQ658" s="28" t="s">
        <v>13</v>
      </c>
      <c r="AV658" s="34">
        <f t="shared" si="526"/>
        <v>0</v>
      </c>
      <c r="AW658" s="34">
        <f t="shared" si="527"/>
        <v>0</v>
      </c>
      <c r="AX658" s="34">
        <f t="shared" si="528"/>
        <v>0</v>
      </c>
      <c r="AY658" s="35" t="s">
        <v>3681</v>
      </c>
      <c r="AZ658" s="35" t="s">
        <v>3715</v>
      </c>
      <c r="BA658" s="27" t="s">
        <v>3729</v>
      </c>
      <c r="BC658" s="34">
        <f t="shared" si="529"/>
        <v>0</v>
      </c>
      <c r="BD658" s="34">
        <f t="shared" si="530"/>
        <v>0</v>
      </c>
      <c r="BE658" s="34">
        <v>0</v>
      </c>
      <c r="BF658" s="34">
        <f>658</f>
        <v>658</v>
      </c>
      <c r="BH658" s="18">
        <f t="shared" si="531"/>
        <v>0</v>
      </c>
      <c r="BI658" s="18">
        <f t="shared" si="532"/>
        <v>0</v>
      </c>
      <c r="BJ658" s="18">
        <f t="shared" si="533"/>
        <v>0</v>
      </c>
    </row>
    <row r="659" spans="1:62" x14ac:dyDescent="0.2">
      <c r="A659" s="5" t="s">
        <v>618</v>
      </c>
      <c r="B659" s="5" t="s">
        <v>1805</v>
      </c>
      <c r="C659" s="135" t="s">
        <v>3009</v>
      </c>
      <c r="D659" s="136"/>
      <c r="E659" s="136"/>
      <c r="F659" s="136"/>
      <c r="G659" s="136"/>
      <c r="H659" s="5" t="s">
        <v>3612</v>
      </c>
      <c r="I659" s="18">
        <v>1</v>
      </c>
      <c r="J659" s="18">
        <v>0</v>
      </c>
      <c r="K659" s="18">
        <f t="shared" si="512"/>
        <v>0</v>
      </c>
      <c r="L659" s="28" t="s">
        <v>3635</v>
      </c>
      <c r="Z659" s="34">
        <f t="shared" si="513"/>
        <v>0</v>
      </c>
      <c r="AB659" s="34">
        <f t="shared" si="514"/>
        <v>0</v>
      </c>
      <c r="AC659" s="34">
        <f t="shared" si="515"/>
        <v>0</v>
      </c>
      <c r="AD659" s="34">
        <f t="shared" si="516"/>
        <v>0</v>
      </c>
      <c r="AE659" s="34">
        <f t="shared" si="517"/>
        <v>0</v>
      </c>
      <c r="AF659" s="34">
        <f t="shared" si="518"/>
        <v>0</v>
      </c>
      <c r="AG659" s="34">
        <f t="shared" si="519"/>
        <v>0</v>
      </c>
      <c r="AH659" s="34">
        <f t="shared" si="520"/>
        <v>0</v>
      </c>
      <c r="AI659" s="27" t="s">
        <v>3645</v>
      </c>
      <c r="AJ659" s="18">
        <f t="shared" si="521"/>
        <v>0</v>
      </c>
      <c r="AK659" s="18">
        <f t="shared" si="522"/>
        <v>0</v>
      </c>
      <c r="AL659" s="18">
        <f t="shared" si="523"/>
        <v>0</v>
      </c>
      <c r="AN659" s="34">
        <v>21</v>
      </c>
      <c r="AO659" s="34">
        <f t="shared" si="524"/>
        <v>0</v>
      </c>
      <c r="AP659" s="34">
        <f t="shared" si="525"/>
        <v>0</v>
      </c>
      <c r="AQ659" s="28" t="s">
        <v>13</v>
      </c>
      <c r="AV659" s="34">
        <f t="shared" si="526"/>
        <v>0</v>
      </c>
      <c r="AW659" s="34">
        <f t="shared" si="527"/>
        <v>0</v>
      </c>
      <c r="AX659" s="34">
        <f t="shared" si="528"/>
        <v>0</v>
      </c>
      <c r="AY659" s="35" t="s">
        <v>3681</v>
      </c>
      <c r="AZ659" s="35" t="s">
        <v>3715</v>
      </c>
      <c r="BA659" s="27" t="s">
        <v>3729</v>
      </c>
      <c r="BC659" s="34">
        <f t="shared" si="529"/>
        <v>0</v>
      </c>
      <c r="BD659" s="34">
        <f t="shared" si="530"/>
        <v>0</v>
      </c>
      <c r="BE659" s="34">
        <v>0</v>
      </c>
      <c r="BF659" s="34">
        <f>659</f>
        <v>659</v>
      </c>
      <c r="BH659" s="18">
        <f t="shared" si="531"/>
        <v>0</v>
      </c>
      <c r="BI659" s="18">
        <f t="shared" si="532"/>
        <v>0</v>
      </c>
      <c r="BJ659" s="18">
        <f t="shared" si="533"/>
        <v>0</v>
      </c>
    </row>
    <row r="660" spans="1:62" x14ac:dyDescent="0.2">
      <c r="A660" s="5" t="s">
        <v>619</v>
      </c>
      <c r="B660" s="5" t="s">
        <v>1806</v>
      </c>
      <c r="C660" s="135" t="s">
        <v>3010</v>
      </c>
      <c r="D660" s="136"/>
      <c r="E660" s="136"/>
      <c r="F660" s="136"/>
      <c r="G660" s="136"/>
      <c r="H660" s="5" t="s">
        <v>3618</v>
      </c>
      <c r="I660" s="18">
        <v>1</v>
      </c>
      <c r="J660" s="18">
        <v>0</v>
      </c>
      <c r="K660" s="18">
        <f t="shared" si="512"/>
        <v>0</v>
      </c>
      <c r="L660" s="28" t="s">
        <v>3635</v>
      </c>
      <c r="Z660" s="34">
        <f t="shared" si="513"/>
        <v>0</v>
      </c>
      <c r="AB660" s="34">
        <f t="shared" si="514"/>
        <v>0</v>
      </c>
      <c r="AC660" s="34">
        <f t="shared" si="515"/>
        <v>0</v>
      </c>
      <c r="AD660" s="34">
        <f t="shared" si="516"/>
        <v>0</v>
      </c>
      <c r="AE660" s="34">
        <f t="shared" si="517"/>
        <v>0</v>
      </c>
      <c r="AF660" s="34">
        <f t="shared" si="518"/>
        <v>0</v>
      </c>
      <c r="AG660" s="34">
        <f t="shared" si="519"/>
        <v>0</v>
      </c>
      <c r="AH660" s="34">
        <f t="shared" si="520"/>
        <v>0</v>
      </c>
      <c r="AI660" s="27" t="s">
        <v>3645</v>
      </c>
      <c r="AJ660" s="18">
        <f t="shared" si="521"/>
        <v>0</v>
      </c>
      <c r="AK660" s="18">
        <f t="shared" si="522"/>
        <v>0</v>
      </c>
      <c r="AL660" s="18">
        <f t="shared" si="523"/>
        <v>0</v>
      </c>
      <c r="AN660" s="34">
        <v>21</v>
      </c>
      <c r="AO660" s="34">
        <f t="shared" si="524"/>
        <v>0</v>
      </c>
      <c r="AP660" s="34">
        <f t="shared" si="525"/>
        <v>0</v>
      </c>
      <c r="AQ660" s="28" t="s">
        <v>13</v>
      </c>
      <c r="AV660" s="34">
        <f t="shared" si="526"/>
        <v>0</v>
      </c>
      <c r="AW660" s="34">
        <f t="shared" si="527"/>
        <v>0</v>
      </c>
      <c r="AX660" s="34">
        <f t="shared" si="528"/>
        <v>0</v>
      </c>
      <c r="AY660" s="35" t="s">
        <v>3681</v>
      </c>
      <c r="AZ660" s="35" t="s">
        <v>3715</v>
      </c>
      <c r="BA660" s="27" t="s">
        <v>3729</v>
      </c>
      <c r="BC660" s="34">
        <f t="shared" si="529"/>
        <v>0</v>
      </c>
      <c r="BD660" s="34">
        <f t="shared" si="530"/>
        <v>0</v>
      </c>
      <c r="BE660" s="34">
        <v>0</v>
      </c>
      <c r="BF660" s="34">
        <f>660</f>
        <v>660</v>
      </c>
      <c r="BH660" s="18">
        <f t="shared" si="531"/>
        <v>0</v>
      </c>
      <c r="BI660" s="18">
        <f t="shared" si="532"/>
        <v>0</v>
      </c>
      <c r="BJ660" s="18">
        <f t="shared" si="533"/>
        <v>0</v>
      </c>
    </row>
    <row r="661" spans="1:62" x14ac:dyDescent="0.2">
      <c r="A661" s="5" t="s">
        <v>620</v>
      </c>
      <c r="B661" s="5" t="s">
        <v>1807</v>
      </c>
      <c r="C661" s="135" t="s">
        <v>2785</v>
      </c>
      <c r="D661" s="136"/>
      <c r="E661" s="136"/>
      <c r="F661" s="136"/>
      <c r="G661" s="136"/>
      <c r="H661" s="5" t="s">
        <v>3612</v>
      </c>
      <c r="I661" s="18">
        <v>3</v>
      </c>
      <c r="J661" s="18">
        <v>0</v>
      </c>
      <c r="K661" s="18">
        <f t="shared" ref="K661:K666" si="534">I661*J661</f>
        <v>0</v>
      </c>
      <c r="L661" s="28" t="s">
        <v>3635</v>
      </c>
      <c r="Z661" s="34">
        <f t="shared" ref="Z661:Z666" si="535">IF(AQ661="5",BJ661,0)</f>
        <v>0</v>
      </c>
      <c r="AB661" s="34">
        <f t="shared" ref="AB661:AB666" si="536">IF(AQ661="1",BH661,0)</f>
        <v>0</v>
      </c>
      <c r="AC661" s="34">
        <f t="shared" ref="AC661:AC666" si="537">IF(AQ661="1",BI661,0)</f>
        <v>0</v>
      </c>
      <c r="AD661" s="34">
        <f t="shared" ref="AD661:AD666" si="538">IF(AQ661="7",BH661,0)</f>
        <v>0</v>
      </c>
      <c r="AE661" s="34">
        <f t="shared" ref="AE661:AE666" si="539">IF(AQ661="7",BI661,0)</f>
        <v>0</v>
      </c>
      <c r="AF661" s="34">
        <f t="shared" ref="AF661:AF666" si="540">IF(AQ661="2",BH661,0)</f>
        <v>0</v>
      </c>
      <c r="AG661" s="34">
        <f t="shared" ref="AG661:AG666" si="541">IF(AQ661="2",BI661,0)</f>
        <v>0</v>
      </c>
      <c r="AH661" s="34">
        <f t="shared" ref="AH661:AH666" si="542">IF(AQ661="0",BJ661,0)</f>
        <v>0</v>
      </c>
      <c r="AI661" s="27" t="s">
        <v>3645</v>
      </c>
      <c r="AJ661" s="18">
        <f t="shared" ref="AJ661:AJ666" si="543">IF(AN661=0,K661,0)</f>
        <v>0</v>
      </c>
      <c r="AK661" s="18">
        <f t="shared" ref="AK661:AK666" si="544">IF(AN661=15,K661,0)</f>
        <v>0</v>
      </c>
      <c r="AL661" s="18">
        <f t="shared" ref="AL661:AL666" si="545">IF(AN661=21,K661,0)</f>
        <v>0</v>
      </c>
      <c r="AN661" s="34">
        <v>21</v>
      </c>
      <c r="AO661" s="34">
        <f t="shared" ref="AO661:AO666" si="546">J661*0</f>
        <v>0</v>
      </c>
      <c r="AP661" s="34">
        <f t="shared" ref="AP661:AP666" si="547">J661*(1-0)</f>
        <v>0</v>
      </c>
      <c r="AQ661" s="28" t="s">
        <v>13</v>
      </c>
      <c r="AV661" s="34">
        <f t="shared" ref="AV661:AV666" si="548">AW661+AX661</f>
        <v>0</v>
      </c>
      <c r="AW661" s="34">
        <f t="shared" ref="AW661:AW666" si="549">I661*AO661</f>
        <v>0</v>
      </c>
      <c r="AX661" s="34">
        <f t="shared" ref="AX661:AX666" si="550">I661*AP661</f>
        <v>0</v>
      </c>
      <c r="AY661" s="35" t="s">
        <v>3681</v>
      </c>
      <c r="AZ661" s="35" t="s">
        <v>3715</v>
      </c>
      <c r="BA661" s="27" t="s">
        <v>3729</v>
      </c>
      <c r="BC661" s="34">
        <f t="shared" ref="BC661:BC666" si="551">AW661+AX661</f>
        <v>0</v>
      </c>
      <c r="BD661" s="34">
        <f t="shared" ref="BD661:BD666" si="552">J661/(100-BE661)*100</f>
        <v>0</v>
      </c>
      <c r="BE661" s="34">
        <v>0</v>
      </c>
      <c r="BF661" s="34">
        <f>661</f>
        <v>661</v>
      </c>
      <c r="BH661" s="18">
        <f t="shared" ref="BH661:BH666" si="553">I661*AO661</f>
        <v>0</v>
      </c>
      <c r="BI661" s="18">
        <f t="shared" ref="BI661:BI666" si="554">I661*AP661</f>
        <v>0</v>
      </c>
      <c r="BJ661" s="18">
        <f t="shared" ref="BJ661:BJ666" si="555">I661*J661</f>
        <v>0</v>
      </c>
    </row>
    <row r="662" spans="1:62" x14ac:dyDescent="0.2">
      <c r="A662" s="5" t="s">
        <v>621</v>
      </c>
      <c r="B662" s="5" t="s">
        <v>1808</v>
      </c>
      <c r="C662" s="135" t="s">
        <v>3011</v>
      </c>
      <c r="D662" s="136"/>
      <c r="E662" s="136"/>
      <c r="F662" s="136"/>
      <c r="G662" s="136"/>
      <c r="H662" s="5" t="s">
        <v>3612</v>
      </c>
      <c r="I662" s="18">
        <v>1</v>
      </c>
      <c r="J662" s="18">
        <v>0</v>
      </c>
      <c r="K662" s="18">
        <f t="shared" si="534"/>
        <v>0</v>
      </c>
      <c r="L662" s="28" t="s">
        <v>3635</v>
      </c>
      <c r="Z662" s="34">
        <f t="shared" si="535"/>
        <v>0</v>
      </c>
      <c r="AB662" s="34">
        <f t="shared" si="536"/>
        <v>0</v>
      </c>
      <c r="AC662" s="34">
        <f t="shared" si="537"/>
        <v>0</v>
      </c>
      <c r="AD662" s="34">
        <f t="shared" si="538"/>
        <v>0</v>
      </c>
      <c r="AE662" s="34">
        <f t="shared" si="539"/>
        <v>0</v>
      </c>
      <c r="AF662" s="34">
        <f t="shared" si="540"/>
        <v>0</v>
      </c>
      <c r="AG662" s="34">
        <f t="shared" si="541"/>
        <v>0</v>
      </c>
      <c r="AH662" s="34">
        <f t="shared" si="542"/>
        <v>0</v>
      </c>
      <c r="AI662" s="27" t="s">
        <v>3645</v>
      </c>
      <c r="AJ662" s="18">
        <f t="shared" si="543"/>
        <v>0</v>
      </c>
      <c r="AK662" s="18">
        <f t="shared" si="544"/>
        <v>0</v>
      </c>
      <c r="AL662" s="18">
        <f t="shared" si="545"/>
        <v>0</v>
      </c>
      <c r="AN662" s="34">
        <v>21</v>
      </c>
      <c r="AO662" s="34">
        <f t="shared" si="546"/>
        <v>0</v>
      </c>
      <c r="AP662" s="34">
        <f t="shared" si="547"/>
        <v>0</v>
      </c>
      <c r="AQ662" s="28" t="s">
        <v>13</v>
      </c>
      <c r="AV662" s="34">
        <f t="shared" si="548"/>
        <v>0</v>
      </c>
      <c r="AW662" s="34">
        <f t="shared" si="549"/>
        <v>0</v>
      </c>
      <c r="AX662" s="34">
        <f t="shared" si="550"/>
        <v>0</v>
      </c>
      <c r="AY662" s="35" t="s">
        <v>3681</v>
      </c>
      <c r="AZ662" s="35" t="s">
        <v>3715</v>
      </c>
      <c r="BA662" s="27" t="s">
        <v>3729</v>
      </c>
      <c r="BC662" s="34">
        <f t="shared" si="551"/>
        <v>0</v>
      </c>
      <c r="BD662" s="34">
        <f t="shared" si="552"/>
        <v>0</v>
      </c>
      <c r="BE662" s="34">
        <v>0</v>
      </c>
      <c r="BF662" s="34">
        <f>662</f>
        <v>662</v>
      </c>
      <c r="BH662" s="18">
        <f t="shared" si="553"/>
        <v>0</v>
      </c>
      <c r="BI662" s="18">
        <f t="shared" si="554"/>
        <v>0</v>
      </c>
      <c r="BJ662" s="18">
        <f t="shared" si="555"/>
        <v>0</v>
      </c>
    </row>
    <row r="663" spans="1:62" x14ac:dyDescent="0.2">
      <c r="A663" s="5" t="s">
        <v>622</v>
      </c>
      <c r="B663" s="5" t="s">
        <v>1809</v>
      </c>
      <c r="C663" s="135" t="s">
        <v>2798</v>
      </c>
      <c r="D663" s="136"/>
      <c r="E663" s="136"/>
      <c r="F663" s="136"/>
      <c r="G663" s="136"/>
      <c r="H663" s="5" t="s">
        <v>3619</v>
      </c>
      <c r="I663" s="18">
        <v>40</v>
      </c>
      <c r="J663" s="18">
        <v>0</v>
      </c>
      <c r="K663" s="18">
        <f t="shared" si="534"/>
        <v>0</v>
      </c>
      <c r="L663" s="28" t="s">
        <v>3635</v>
      </c>
      <c r="Z663" s="34">
        <f t="shared" si="535"/>
        <v>0</v>
      </c>
      <c r="AB663" s="34">
        <f t="shared" si="536"/>
        <v>0</v>
      </c>
      <c r="AC663" s="34">
        <f t="shared" si="537"/>
        <v>0</v>
      </c>
      <c r="AD663" s="34">
        <f t="shared" si="538"/>
        <v>0</v>
      </c>
      <c r="AE663" s="34">
        <f t="shared" si="539"/>
        <v>0</v>
      </c>
      <c r="AF663" s="34">
        <f t="shared" si="540"/>
        <v>0</v>
      </c>
      <c r="AG663" s="34">
        <f t="shared" si="541"/>
        <v>0</v>
      </c>
      <c r="AH663" s="34">
        <f t="shared" si="542"/>
        <v>0</v>
      </c>
      <c r="AI663" s="27" t="s">
        <v>3645</v>
      </c>
      <c r="AJ663" s="18">
        <f t="shared" si="543"/>
        <v>0</v>
      </c>
      <c r="AK663" s="18">
        <f t="shared" si="544"/>
        <v>0</v>
      </c>
      <c r="AL663" s="18">
        <f t="shared" si="545"/>
        <v>0</v>
      </c>
      <c r="AN663" s="34">
        <v>21</v>
      </c>
      <c r="AO663" s="34">
        <f t="shared" si="546"/>
        <v>0</v>
      </c>
      <c r="AP663" s="34">
        <f t="shared" si="547"/>
        <v>0</v>
      </c>
      <c r="AQ663" s="28" t="s">
        <v>13</v>
      </c>
      <c r="AV663" s="34">
        <f t="shared" si="548"/>
        <v>0</v>
      </c>
      <c r="AW663" s="34">
        <f t="shared" si="549"/>
        <v>0</v>
      </c>
      <c r="AX663" s="34">
        <f t="shared" si="550"/>
        <v>0</v>
      </c>
      <c r="AY663" s="35" t="s">
        <v>3681</v>
      </c>
      <c r="AZ663" s="35" t="s">
        <v>3715</v>
      </c>
      <c r="BA663" s="27" t="s">
        <v>3729</v>
      </c>
      <c r="BC663" s="34">
        <f t="shared" si="551"/>
        <v>0</v>
      </c>
      <c r="BD663" s="34">
        <f t="shared" si="552"/>
        <v>0</v>
      </c>
      <c r="BE663" s="34">
        <v>0</v>
      </c>
      <c r="BF663" s="34">
        <f>663</f>
        <v>663</v>
      </c>
      <c r="BH663" s="18">
        <f t="shared" si="553"/>
        <v>0</v>
      </c>
      <c r="BI663" s="18">
        <f t="shared" si="554"/>
        <v>0</v>
      </c>
      <c r="BJ663" s="18">
        <f t="shared" si="555"/>
        <v>0</v>
      </c>
    </row>
    <row r="664" spans="1:62" x14ac:dyDescent="0.2">
      <c r="A664" s="5" t="s">
        <v>623</v>
      </c>
      <c r="B664" s="5" t="s">
        <v>1810</v>
      </c>
      <c r="C664" s="135" t="s">
        <v>2799</v>
      </c>
      <c r="D664" s="136"/>
      <c r="E664" s="136"/>
      <c r="F664" s="136"/>
      <c r="G664" s="136"/>
      <c r="H664" s="5" t="s">
        <v>3612</v>
      </c>
      <c r="I664" s="18">
        <v>1</v>
      </c>
      <c r="J664" s="18">
        <v>0</v>
      </c>
      <c r="K664" s="18">
        <f t="shared" si="534"/>
        <v>0</v>
      </c>
      <c r="L664" s="28" t="s">
        <v>3635</v>
      </c>
      <c r="Z664" s="34">
        <f t="shared" si="535"/>
        <v>0</v>
      </c>
      <c r="AB664" s="34">
        <f t="shared" si="536"/>
        <v>0</v>
      </c>
      <c r="AC664" s="34">
        <f t="shared" si="537"/>
        <v>0</v>
      </c>
      <c r="AD664" s="34">
        <f t="shared" si="538"/>
        <v>0</v>
      </c>
      <c r="AE664" s="34">
        <f t="shared" si="539"/>
        <v>0</v>
      </c>
      <c r="AF664" s="34">
        <f t="shared" si="540"/>
        <v>0</v>
      </c>
      <c r="AG664" s="34">
        <f t="shared" si="541"/>
        <v>0</v>
      </c>
      <c r="AH664" s="34">
        <f t="shared" si="542"/>
        <v>0</v>
      </c>
      <c r="AI664" s="27" t="s">
        <v>3645</v>
      </c>
      <c r="AJ664" s="18">
        <f t="shared" si="543"/>
        <v>0</v>
      </c>
      <c r="AK664" s="18">
        <f t="shared" si="544"/>
        <v>0</v>
      </c>
      <c r="AL664" s="18">
        <f t="shared" si="545"/>
        <v>0</v>
      </c>
      <c r="AN664" s="34">
        <v>21</v>
      </c>
      <c r="AO664" s="34">
        <f t="shared" si="546"/>
        <v>0</v>
      </c>
      <c r="AP664" s="34">
        <f t="shared" si="547"/>
        <v>0</v>
      </c>
      <c r="AQ664" s="28" t="s">
        <v>13</v>
      </c>
      <c r="AV664" s="34">
        <f t="shared" si="548"/>
        <v>0</v>
      </c>
      <c r="AW664" s="34">
        <f t="shared" si="549"/>
        <v>0</v>
      </c>
      <c r="AX664" s="34">
        <f t="shared" si="550"/>
        <v>0</v>
      </c>
      <c r="AY664" s="35" t="s">
        <v>3681</v>
      </c>
      <c r="AZ664" s="35" t="s">
        <v>3715</v>
      </c>
      <c r="BA664" s="27" t="s">
        <v>3729</v>
      </c>
      <c r="BC664" s="34">
        <f t="shared" si="551"/>
        <v>0</v>
      </c>
      <c r="BD664" s="34">
        <f t="shared" si="552"/>
        <v>0</v>
      </c>
      <c r="BE664" s="34">
        <v>0</v>
      </c>
      <c r="BF664" s="34">
        <f>664</f>
        <v>664</v>
      </c>
      <c r="BH664" s="18">
        <f t="shared" si="553"/>
        <v>0</v>
      </c>
      <c r="BI664" s="18">
        <f t="shared" si="554"/>
        <v>0</v>
      </c>
      <c r="BJ664" s="18">
        <f t="shared" si="555"/>
        <v>0</v>
      </c>
    </row>
    <row r="665" spans="1:62" x14ac:dyDescent="0.2">
      <c r="A665" s="5" t="s">
        <v>624</v>
      </c>
      <c r="B665" s="5" t="s">
        <v>1811</v>
      </c>
      <c r="C665" s="135" t="s">
        <v>2800</v>
      </c>
      <c r="D665" s="136"/>
      <c r="E665" s="136"/>
      <c r="F665" s="136"/>
      <c r="G665" s="136"/>
      <c r="H665" s="5" t="s">
        <v>3612</v>
      </c>
      <c r="I665" s="18">
        <v>1</v>
      </c>
      <c r="J665" s="18">
        <v>0</v>
      </c>
      <c r="K665" s="18">
        <f t="shared" si="534"/>
        <v>0</v>
      </c>
      <c r="L665" s="28" t="s">
        <v>3635</v>
      </c>
      <c r="Z665" s="34">
        <f t="shared" si="535"/>
        <v>0</v>
      </c>
      <c r="AB665" s="34">
        <f t="shared" si="536"/>
        <v>0</v>
      </c>
      <c r="AC665" s="34">
        <f t="shared" si="537"/>
        <v>0</v>
      </c>
      <c r="AD665" s="34">
        <f t="shared" si="538"/>
        <v>0</v>
      </c>
      <c r="AE665" s="34">
        <f t="shared" si="539"/>
        <v>0</v>
      </c>
      <c r="AF665" s="34">
        <f t="shared" si="540"/>
        <v>0</v>
      </c>
      <c r="AG665" s="34">
        <f t="shared" si="541"/>
        <v>0</v>
      </c>
      <c r="AH665" s="34">
        <f t="shared" si="542"/>
        <v>0</v>
      </c>
      <c r="AI665" s="27" t="s">
        <v>3645</v>
      </c>
      <c r="AJ665" s="18">
        <f t="shared" si="543"/>
        <v>0</v>
      </c>
      <c r="AK665" s="18">
        <f t="shared" si="544"/>
        <v>0</v>
      </c>
      <c r="AL665" s="18">
        <f t="shared" si="545"/>
        <v>0</v>
      </c>
      <c r="AN665" s="34">
        <v>21</v>
      </c>
      <c r="AO665" s="34">
        <f t="shared" si="546"/>
        <v>0</v>
      </c>
      <c r="AP665" s="34">
        <f t="shared" si="547"/>
        <v>0</v>
      </c>
      <c r="AQ665" s="28" t="s">
        <v>13</v>
      </c>
      <c r="AV665" s="34">
        <f t="shared" si="548"/>
        <v>0</v>
      </c>
      <c r="AW665" s="34">
        <f t="shared" si="549"/>
        <v>0</v>
      </c>
      <c r="AX665" s="34">
        <f t="shared" si="550"/>
        <v>0</v>
      </c>
      <c r="AY665" s="35" t="s">
        <v>3681</v>
      </c>
      <c r="AZ665" s="35" t="s">
        <v>3715</v>
      </c>
      <c r="BA665" s="27" t="s">
        <v>3729</v>
      </c>
      <c r="BC665" s="34">
        <f t="shared" si="551"/>
        <v>0</v>
      </c>
      <c r="BD665" s="34">
        <f t="shared" si="552"/>
        <v>0</v>
      </c>
      <c r="BE665" s="34">
        <v>0</v>
      </c>
      <c r="BF665" s="34">
        <f>665</f>
        <v>665</v>
      </c>
      <c r="BH665" s="18">
        <f t="shared" si="553"/>
        <v>0</v>
      </c>
      <c r="BI665" s="18">
        <f t="shared" si="554"/>
        <v>0</v>
      </c>
      <c r="BJ665" s="18">
        <f t="shared" si="555"/>
        <v>0</v>
      </c>
    </row>
    <row r="666" spans="1:62" x14ac:dyDescent="0.2">
      <c r="A666" s="5" t="s">
        <v>625</v>
      </c>
      <c r="B666" s="5" t="s">
        <v>1812</v>
      </c>
      <c r="C666" s="135" t="s">
        <v>2801</v>
      </c>
      <c r="D666" s="136"/>
      <c r="E666" s="136"/>
      <c r="F666" s="136"/>
      <c r="G666" s="136"/>
      <c r="H666" s="5" t="s">
        <v>3612</v>
      </c>
      <c r="I666" s="18">
        <v>1</v>
      </c>
      <c r="J666" s="18">
        <v>0</v>
      </c>
      <c r="K666" s="18">
        <f t="shared" si="534"/>
        <v>0</v>
      </c>
      <c r="L666" s="28" t="s">
        <v>3635</v>
      </c>
      <c r="Z666" s="34">
        <f t="shared" si="535"/>
        <v>0</v>
      </c>
      <c r="AB666" s="34">
        <f t="shared" si="536"/>
        <v>0</v>
      </c>
      <c r="AC666" s="34">
        <f t="shared" si="537"/>
        <v>0</v>
      </c>
      <c r="AD666" s="34">
        <f t="shared" si="538"/>
        <v>0</v>
      </c>
      <c r="AE666" s="34">
        <f t="shared" si="539"/>
        <v>0</v>
      </c>
      <c r="AF666" s="34">
        <f t="shared" si="540"/>
        <v>0</v>
      </c>
      <c r="AG666" s="34">
        <f t="shared" si="541"/>
        <v>0</v>
      </c>
      <c r="AH666" s="34">
        <f t="shared" si="542"/>
        <v>0</v>
      </c>
      <c r="AI666" s="27" t="s">
        <v>3645</v>
      </c>
      <c r="AJ666" s="18">
        <f t="shared" si="543"/>
        <v>0</v>
      </c>
      <c r="AK666" s="18">
        <f t="shared" si="544"/>
        <v>0</v>
      </c>
      <c r="AL666" s="18">
        <f t="shared" si="545"/>
        <v>0</v>
      </c>
      <c r="AN666" s="34">
        <v>21</v>
      </c>
      <c r="AO666" s="34">
        <f t="shared" si="546"/>
        <v>0</v>
      </c>
      <c r="AP666" s="34">
        <f t="shared" si="547"/>
        <v>0</v>
      </c>
      <c r="AQ666" s="28" t="s">
        <v>13</v>
      </c>
      <c r="AV666" s="34">
        <f t="shared" si="548"/>
        <v>0</v>
      </c>
      <c r="AW666" s="34">
        <f t="shared" si="549"/>
        <v>0</v>
      </c>
      <c r="AX666" s="34">
        <f t="shared" si="550"/>
        <v>0</v>
      </c>
      <c r="AY666" s="35" t="s">
        <v>3681</v>
      </c>
      <c r="AZ666" s="35" t="s">
        <v>3715</v>
      </c>
      <c r="BA666" s="27" t="s">
        <v>3729</v>
      </c>
      <c r="BC666" s="34">
        <f t="shared" si="551"/>
        <v>0</v>
      </c>
      <c r="BD666" s="34">
        <f t="shared" si="552"/>
        <v>0</v>
      </c>
      <c r="BE666" s="34">
        <v>0</v>
      </c>
      <c r="BF666" s="34">
        <f>666</f>
        <v>666</v>
      </c>
      <c r="BH666" s="18">
        <f t="shared" si="553"/>
        <v>0</v>
      </c>
      <c r="BI666" s="18">
        <f t="shared" si="554"/>
        <v>0</v>
      </c>
      <c r="BJ666" s="18">
        <f t="shared" si="555"/>
        <v>0</v>
      </c>
    </row>
    <row r="667" spans="1:62" x14ac:dyDescent="0.2">
      <c r="A667" s="4"/>
      <c r="B667" s="14" t="s">
        <v>768</v>
      </c>
      <c r="C667" s="133" t="s">
        <v>3012</v>
      </c>
      <c r="D667" s="134"/>
      <c r="E667" s="134"/>
      <c r="F667" s="134"/>
      <c r="G667" s="134"/>
      <c r="H667" s="4" t="s">
        <v>6</v>
      </c>
      <c r="I667" s="4" t="s">
        <v>6</v>
      </c>
      <c r="J667" s="4" t="s">
        <v>6</v>
      </c>
      <c r="K667" s="37">
        <f>SUM(K668:K676)</f>
        <v>0</v>
      </c>
      <c r="L667" s="27"/>
      <c r="AI667" s="27" t="s">
        <v>3645</v>
      </c>
      <c r="AS667" s="37">
        <f>SUM(AJ668:AJ676)</f>
        <v>0</v>
      </c>
      <c r="AT667" s="37">
        <f>SUM(AK668:AK676)</f>
        <v>0</v>
      </c>
      <c r="AU667" s="37">
        <f>SUM(AL668:AL676)</f>
        <v>0</v>
      </c>
    </row>
    <row r="668" spans="1:62" x14ac:dyDescent="0.2">
      <c r="A668" s="5" t="s">
        <v>626</v>
      </c>
      <c r="B668" s="5" t="s">
        <v>1813</v>
      </c>
      <c r="C668" s="135" t="s">
        <v>3013</v>
      </c>
      <c r="D668" s="136"/>
      <c r="E668" s="136"/>
      <c r="F668" s="136"/>
      <c r="G668" s="136"/>
      <c r="H668" s="5" t="s">
        <v>3612</v>
      </c>
      <c r="I668" s="18">
        <v>3</v>
      </c>
      <c r="J668" s="18">
        <v>0</v>
      </c>
      <c r="K668" s="18">
        <f t="shared" ref="K668:K676" si="556">I668*J668</f>
        <v>0</v>
      </c>
      <c r="L668" s="28" t="s">
        <v>3635</v>
      </c>
      <c r="Z668" s="34">
        <f t="shared" ref="Z668:Z676" si="557">IF(AQ668="5",BJ668,0)</f>
        <v>0</v>
      </c>
      <c r="AB668" s="34">
        <f t="shared" ref="AB668:AB676" si="558">IF(AQ668="1",BH668,0)</f>
        <v>0</v>
      </c>
      <c r="AC668" s="34">
        <f t="shared" ref="AC668:AC676" si="559">IF(AQ668="1",BI668,0)</f>
        <v>0</v>
      </c>
      <c r="AD668" s="34">
        <f t="shared" ref="AD668:AD676" si="560">IF(AQ668="7",BH668,0)</f>
        <v>0</v>
      </c>
      <c r="AE668" s="34">
        <f t="shared" ref="AE668:AE676" si="561">IF(AQ668="7",BI668,0)</f>
        <v>0</v>
      </c>
      <c r="AF668" s="34">
        <f t="shared" ref="AF668:AF676" si="562">IF(AQ668="2",BH668,0)</f>
        <v>0</v>
      </c>
      <c r="AG668" s="34">
        <f t="shared" ref="AG668:AG676" si="563">IF(AQ668="2",BI668,0)</f>
        <v>0</v>
      </c>
      <c r="AH668" s="34">
        <f t="shared" ref="AH668:AH676" si="564">IF(AQ668="0",BJ668,0)</f>
        <v>0</v>
      </c>
      <c r="AI668" s="27" t="s">
        <v>3645</v>
      </c>
      <c r="AJ668" s="18">
        <f t="shared" ref="AJ668:AJ676" si="565">IF(AN668=0,K668,0)</f>
        <v>0</v>
      </c>
      <c r="AK668" s="18">
        <f t="shared" ref="AK668:AK676" si="566">IF(AN668=15,K668,0)</f>
        <v>0</v>
      </c>
      <c r="AL668" s="18">
        <f t="shared" ref="AL668:AL676" si="567">IF(AN668=21,K668,0)</f>
        <v>0</v>
      </c>
      <c r="AN668" s="34">
        <v>21</v>
      </c>
      <c r="AO668" s="34">
        <f>J668*0.0748846447669977</f>
        <v>0</v>
      </c>
      <c r="AP668" s="34">
        <f>J668*(1-0.0748846447669977)</f>
        <v>0</v>
      </c>
      <c r="AQ668" s="28" t="s">
        <v>13</v>
      </c>
      <c r="AV668" s="34">
        <f t="shared" ref="AV668:AV676" si="568">AW668+AX668</f>
        <v>0</v>
      </c>
      <c r="AW668" s="34">
        <f t="shared" ref="AW668:AW676" si="569">I668*AO668</f>
        <v>0</v>
      </c>
      <c r="AX668" s="34">
        <f t="shared" ref="AX668:AX676" si="570">I668*AP668</f>
        <v>0</v>
      </c>
      <c r="AY668" s="35" t="s">
        <v>3682</v>
      </c>
      <c r="AZ668" s="35" t="s">
        <v>3716</v>
      </c>
      <c r="BA668" s="27" t="s">
        <v>3729</v>
      </c>
      <c r="BC668" s="34">
        <f t="shared" ref="BC668:BC676" si="571">AW668+AX668</f>
        <v>0</v>
      </c>
      <c r="BD668" s="34">
        <f t="shared" ref="BD668:BD676" si="572">J668/(100-BE668)*100</f>
        <v>0</v>
      </c>
      <c r="BE668" s="34">
        <v>0</v>
      </c>
      <c r="BF668" s="34">
        <f>668</f>
        <v>668</v>
      </c>
      <c r="BH668" s="18">
        <f t="shared" ref="BH668:BH676" si="573">I668*AO668</f>
        <v>0</v>
      </c>
      <c r="BI668" s="18">
        <f t="shared" ref="BI668:BI676" si="574">I668*AP668</f>
        <v>0</v>
      </c>
      <c r="BJ668" s="18">
        <f t="shared" ref="BJ668:BJ676" si="575">I668*J668</f>
        <v>0</v>
      </c>
    </row>
    <row r="669" spans="1:62" x14ac:dyDescent="0.2">
      <c r="A669" s="5" t="s">
        <v>627</v>
      </c>
      <c r="B669" s="5" t="s">
        <v>1814</v>
      </c>
      <c r="C669" s="135" t="s">
        <v>3014</v>
      </c>
      <c r="D669" s="136"/>
      <c r="E669" s="136"/>
      <c r="F669" s="136"/>
      <c r="G669" s="136"/>
      <c r="H669" s="5" t="s">
        <v>3615</v>
      </c>
      <c r="I669" s="18">
        <v>323.23099999999999</v>
      </c>
      <c r="J669" s="18">
        <v>0</v>
      </c>
      <c r="K669" s="18">
        <f t="shared" si="556"/>
        <v>0</v>
      </c>
      <c r="L669" s="28" t="s">
        <v>3635</v>
      </c>
      <c r="Z669" s="34">
        <f t="shared" si="557"/>
        <v>0</v>
      </c>
      <c r="AB669" s="34">
        <f t="shared" si="558"/>
        <v>0</v>
      </c>
      <c r="AC669" s="34">
        <f t="shared" si="559"/>
        <v>0</v>
      </c>
      <c r="AD669" s="34">
        <f t="shared" si="560"/>
        <v>0</v>
      </c>
      <c r="AE669" s="34">
        <f t="shared" si="561"/>
        <v>0</v>
      </c>
      <c r="AF669" s="34">
        <f t="shared" si="562"/>
        <v>0</v>
      </c>
      <c r="AG669" s="34">
        <f t="shared" si="563"/>
        <v>0</v>
      </c>
      <c r="AH669" s="34">
        <f t="shared" si="564"/>
        <v>0</v>
      </c>
      <c r="AI669" s="27" t="s">
        <v>3645</v>
      </c>
      <c r="AJ669" s="18">
        <f t="shared" si="565"/>
        <v>0</v>
      </c>
      <c r="AK669" s="18">
        <f t="shared" si="566"/>
        <v>0</v>
      </c>
      <c r="AL669" s="18">
        <f t="shared" si="567"/>
        <v>0</v>
      </c>
      <c r="AN669" s="34">
        <v>21</v>
      </c>
      <c r="AO669" s="34">
        <f>J669*0.390635251890742</f>
        <v>0</v>
      </c>
      <c r="AP669" s="34">
        <f>J669*(1-0.390635251890742)</f>
        <v>0</v>
      </c>
      <c r="AQ669" s="28" t="s">
        <v>13</v>
      </c>
      <c r="AV669" s="34">
        <f t="shared" si="568"/>
        <v>0</v>
      </c>
      <c r="AW669" s="34">
        <f t="shared" si="569"/>
        <v>0</v>
      </c>
      <c r="AX669" s="34">
        <f t="shared" si="570"/>
        <v>0</v>
      </c>
      <c r="AY669" s="35" t="s">
        <v>3682</v>
      </c>
      <c r="AZ669" s="35" t="s">
        <v>3716</v>
      </c>
      <c r="BA669" s="27" t="s">
        <v>3729</v>
      </c>
      <c r="BC669" s="34">
        <f t="shared" si="571"/>
        <v>0</v>
      </c>
      <c r="BD669" s="34">
        <f t="shared" si="572"/>
        <v>0</v>
      </c>
      <c r="BE669" s="34">
        <v>0</v>
      </c>
      <c r="BF669" s="34">
        <f>669</f>
        <v>669</v>
      </c>
      <c r="BH669" s="18">
        <f t="shared" si="573"/>
        <v>0</v>
      </c>
      <c r="BI669" s="18">
        <f t="shared" si="574"/>
        <v>0</v>
      </c>
      <c r="BJ669" s="18">
        <f t="shared" si="575"/>
        <v>0</v>
      </c>
    </row>
    <row r="670" spans="1:62" x14ac:dyDescent="0.2">
      <c r="A670" s="5" t="s">
        <v>628</v>
      </c>
      <c r="B670" s="5" t="s">
        <v>1815</v>
      </c>
      <c r="C670" s="135" t="s">
        <v>3015</v>
      </c>
      <c r="D670" s="136"/>
      <c r="E670" s="136"/>
      <c r="F670" s="136"/>
      <c r="G670" s="136"/>
      <c r="H670" s="5" t="s">
        <v>3614</v>
      </c>
      <c r="I670" s="18">
        <v>140</v>
      </c>
      <c r="J670" s="18">
        <v>0</v>
      </c>
      <c r="K670" s="18">
        <f t="shared" si="556"/>
        <v>0</v>
      </c>
      <c r="L670" s="28" t="s">
        <v>3635</v>
      </c>
      <c r="Z670" s="34">
        <f t="shared" si="557"/>
        <v>0</v>
      </c>
      <c r="AB670" s="34">
        <f t="shared" si="558"/>
        <v>0</v>
      </c>
      <c r="AC670" s="34">
        <f t="shared" si="559"/>
        <v>0</v>
      </c>
      <c r="AD670" s="34">
        <f t="shared" si="560"/>
        <v>0</v>
      </c>
      <c r="AE670" s="34">
        <f t="shared" si="561"/>
        <v>0</v>
      </c>
      <c r="AF670" s="34">
        <f t="shared" si="562"/>
        <v>0</v>
      </c>
      <c r="AG670" s="34">
        <f t="shared" si="563"/>
        <v>0</v>
      </c>
      <c r="AH670" s="34">
        <f t="shared" si="564"/>
        <v>0</v>
      </c>
      <c r="AI670" s="27" t="s">
        <v>3645</v>
      </c>
      <c r="AJ670" s="18">
        <f t="shared" si="565"/>
        <v>0</v>
      </c>
      <c r="AK670" s="18">
        <f t="shared" si="566"/>
        <v>0</v>
      </c>
      <c r="AL670" s="18">
        <f t="shared" si="567"/>
        <v>0</v>
      </c>
      <c r="AN670" s="34">
        <v>21</v>
      </c>
      <c r="AO670" s="34">
        <f>J670*0</f>
        <v>0</v>
      </c>
      <c r="AP670" s="34">
        <f>J670*(1-0)</f>
        <v>0</v>
      </c>
      <c r="AQ670" s="28" t="s">
        <v>13</v>
      </c>
      <c r="AV670" s="34">
        <f t="shared" si="568"/>
        <v>0</v>
      </c>
      <c r="AW670" s="34">
        <f t="shared" si="569"/>
        <v>0</v>
      </c>
      <c r="AX670" s="34">
        <f t="shared" si="570"/>
        <v>0</v>
      </c>
      <c r="AY670" s="35" t="s">
        <v>3682</v>
      </c>
      <c r="AZ670" s="35" t="s">
        <v>3716</v>
      </c>
      <c r="BA670" s="27" t="s">
        <v>3729</v>
      </c>
      <c r="BC670" s="34">
        <f t="shared" si="571"/>
        <v>0</v>
      </c>
      <c r="BD670" s="34">
        <f t="shared" si="572"/>
        <v>0</v>
      </c>
      <c r="BE670" s="34">
        <v>0</v>
      </c>
      <c r="BF670" s="34">
        <f>670</f>
        <v>670</v>
      </c>
      <c r="BH670" s="18">
        <f t="shared" si="573"/>
        <v>0</v>
      </c>
      <c r="BI670" s="18">
        <f t="shared" si="574"/>
        <v>0</v>
      </c>
      <c r="BJ670" s="18">
        <f t="shared" si="575"/>
        <v>0</v>
      </c>
    </row>
    <row r="671" spans="1:62" x14ac:dyDescent="0.2">
      <c r="A671" s="5" t="s">
        <v>629</v>
      </c>
      <c r="B671" s="5" t="s">
        <v>1816</v>
      </c>
      <c r="C671" s="135" t="s">
        <v>3016</v>
      </c>
      <c r="D671" s="136"/>
      <c r="E671" s="136"/>
      <c r="F671" s="136"/>
      <c r="G671" s="136"/>
      <c r="H671" s="5" t="s">
        <v>3614</v>
      </c>
      <c r="I671" s="18">
        <v>147.72</v>
      </c>
      <c r="J671" s="18">
        <v>0</v>
      </c>
      <c r="K671" s="18">
        <f t="shared" si="556"/>
        <v>0</v>
      </c>
      <c r="L671" s="28" t="s">
        <v>3635</v>
      </c>
      <c r="Z671" s="34">
        <f t="shared" si="557"/>
        <v>0</v>
      </c>
      <c r="AB671" s="34">
        <f t="shared" si="558"/>
        <v>0</v>
      </c>
      <c r="AC671" s="34">
        <f t="shared" si="559"/>
        <v>0</v>
      </c>
      <c r="AD671" s="34">
        <f t="shared" si="560"/>
        <v>0</v>
      </c>
      <c r="AE671" s="34">
        <f t="shared" si="561"/>
        <v>0</v>
      </c>
      <c r="AF671" s="34">
        <f t="shared" si="562"/>
        <v>0</v>
      </c>
      <c r="AG671" s="34">
        <f t="shared" si="563"/>
        <v>0</v>
      </c>
      <c r="AH671" s="34">
        <f t="shared" si="564"/>
        <v>0</v>
      </c>
      <c r="AI671" s="27" t="s">
        <v>3645</v>
      </c>
      <c r="AJ671" s="18">
        <f t="shared" si="565"/>
        <v>0</v>
      </c>
      <c r="AK671" s="18">
        <f t="shared" si="566"/>
        <v>0</v>
      </c>
      <c r="AL671" s="18">
        <f t="shared" si="567"/>
        <v>0</v>
      </c>
      <c r="AN671" s="34">
        <v>21</v>
      </c>
      <c r="AO671" s="34">
        <f>J671*0</f>
        <v>0</v>
      </c>
      <c r="AP671" s="34">
        <f>J671*(1-0)</f>
        <v>0</v>
      </c>
      <c r="AQ671" s="28" t="s">
        <v>13</v>
      </c>
      <c r="AV671" s="34">
        <f t="shared" si="568"/>
        <v>0</v>
      </c>
      <c r="AW671" s="34">
        <f t="shared" si="569"/>
        <v>0</v>
      </c>
      <c r="AX671" s="34">
        <f t="shared" si="570"/>
        <v>0</v>
      </c>
      <c r="AY671" s="35" t="s">
        <v>3682</v>
      </c>
      <c r="AZ671" s="35" t="s">
        <v>3716</v>
      </c>
      <c r="BA671" s="27" t="s">
        <v>3729</v>
      </c>
      <c r="BC671" s="34">
        <f t="shared" si="571"/>
        <v>0</v>
      </c>
      <c r="BD671" s="34">
        <f t="shared" si="572"/>
        <v>0</v>
      </c>
      <c r="BE671" s="34">
        <v>0</v>
      </c>
      <c r="BF671" s="34">
        <f>671</f>
        <v>671</v>
      </c>
      <c r="BH671" s="18">
        <f t="shared" si="573"/>
        <v>0</v>
      </c>
      <c r="BI671" s="18">
        <f t="shared" si="574"/>
        <v>0</v>
      </c>
      <c r="BJ671" s="18">
        <f t="shared" si="575"/>
        <v>0</v>
      </c>
    </row>
    <row r="672" spans="1:62" x14ac:dyDescent="0.2">
      <c r="A672" s="5" t="s">
        <v>630</v>
      </c>
      <c r="B672" s="5" t="s">
        <v>1817</v>
      </c>
      <c r="C672" s="135" t="s">
        <v>3017</v>
      </c>
      <c r="D672" s="136"/>
      <c r="E672" s="136"/>
      <c r="F672" s="136"/>
      <c r="G672" s="136"/>
      <c r="H672" s="5" t="s">
        <v>3615</v>
      </c>
      <c r="I672" s="18">
        <v>136.3895</v>
      </c>
      <c r="J672" s="18">
        <v>0</v>
      </c>
      <c r="K672" s="18">
        <f t="shared" si="556"/>
        <v>0</v>
      </c>
      <c r="L672" s="28" t="s">
        <v>3635</v>
      </c>
      <c r="Z672" s="34">
        <f t="shared" si="557"/>
        <v>0</v>
      </c>
      <c r="AB672" s="34">
        <f t="shared" si="558"/>
        <v>0</v>
      </c>
      <c r="AC672" s="34">
        <f t="shared" si="559"/>
        <v>0</v>
      </c>
      <c r="AD672" s="34">
        <f t="shared" si="560"/>
        <v>0</v>
      </c>
      <c r="AE672" s="34">
        <f t="shared" si="561"/>
        <v>0</v>
      </c>
      <c r="AF672" s="34">
        <f t="shared" si="562"/>
        <v>0</v>
      </c>
      <c r="AG672" s="34">
        <f t="shared" si="563"/>
        <v>0</v>
      </c>
      <c r="AH672" s="34">
        <f t="shared" si="564"/>
        <v>0</v>
      </c>
      <c r="AI672" s="27" t="s">
        <v>3645</v>
      </c>
      <c r="AJ672" s="18">
        <f t="shared" si="565"/>
        <v>0</v>
      </c>
      <c r="AK672" s="18">
        <f t="shared" si="566"/>
        <v>0</v>
      </c>
      <c r="AL672" s="18">
        <f t="shared" si="567"/>
        <v>0</v>
      </c>
      <c r="AN672" s="34">
        <v>21</v>
      </c>
      <c r="AO672" s="34">
        <f>J672*0</f>
        <v>0</v>
      </c>
      <c r="AP672" s="34">
        <f>J672*(1-0)</f>
        <v>0</v>
      </c>
      <c r="AQ672" s="28" t="s">
        <v>13</v>
      </c>
      <c r="AV672" s="34">
        <f t="shared" si="568"/>
        <v>0</v>
      </c>
      <c r="AW672" s="34">
        <f t="shared" si="569"/>
        <v>0</v>
      </c>
      <c r="AX672" s="34">
        <f t="shared" si="570"/>
        <v>0</v>
      </c>
      <c r="AY672" s="35" t="s">
        <v>3682</v>
      </c>
      <c r="AZ672" s="35" t="s">
        <v>3716</v>
      </c>
      <c r="BA672" s="27" t="s">
        <v>3729</v>
      </c>
      <c r="BC672" s="34">
        <f t="shared" si="571"/>
        <v>0</v>
      </c>
      <c r="BD672" s="34">
        <f t="shared" si="572"/>
        <v>0</v>
      </c>
      <c r="BE672" s="34">
        <v>0</v>
      </c>
      <c r="BF672" s="34">
        <f>672</f>
        <v>672</v>
      </c>
      <c r="BH672" s="18">
        <f t="shared" si="573"/>
        <v>0</v>
      </c>
      <c r="BI672" s="18">
        <f t="shared" si="574"/>
        <v>0</v>
      </c>
      <c r="BJ672" s="18">
        <f t="shared" si="575"/>
        <v>0</v>
      </c>
    </row>
    <row r="673" spans="1:62" x14ac:dyDescent="0.2">
      <c r="A673" s="5" t="s">
        <v>631</v>
      </c>
      <c r="B673" s="5" t="s">
        <v>1818</v>
      </c>
      <c r="C673" s="135" t="s">
        <v>3018</v>
      </c>
      <c r="D673" s="136"/>
      <c r="E673" s="136"/>
      <c r="F673" s="136"/>
      <c r="G673" s="136"/>
      <c r="H673" s="5" t="s">
        <v>3615</v>
      </c>
      <c r="I673" s="18">
        <v>17.149999999999999</v>
      </c>
      <c r="J673" s="18">
        <v>0</v>
      </c>
      <c r="K673" s="18">
        <f t="shared" si="556"/>
        <v>0</v>
      </c>
      <c r="L673" s="28" t="s">
        <v>3635</v>
      </c>
      <c r="Z673" s="34">
        <f t="shared" si="557"/>
        <v>0</v>
      </c>
      <c r="AB673" s="34">
        <f t="shared" si="558"/>
        <v>0</v>
      </c>
      <c r="AC673" s="34">
        <f t="shared" si="559"/>
        <v>0</v>
      </c>
      <c r="AD673" s="34">
        <f t="shared" si="560"/>
        <v>0</v>
      </c>
      <c r="AE673" s="34">
        <f t="shared" si="561"/>
        <v>0</v>
      </c>
      <c r="AF673" s="34">
        <f t="shared" si="562"/>
        <v>0</v>
      </c>
      <c r="AG673" s="34">
        <f t="shared" si="563"/>
        <v>0</v>
      </c>
      <c r="AH673" s="34">
        <f t="shared" si="564"/>
        <v>0</v>
      </c>
      <c r="AI673" s="27" t="s">
        <v>3645</v>
      </c>
      <c r="AJ673" s="18">
        <f t="shared" si="565"/>
        <v>0</v>
      </c>
      <c r="AK673" s="18">
        <f t="shared" si="566"/>
        <v>0</v>
      </c>
      <c r="AL673" s="18">
        <f t="shared" si="567"/>
        <v>0</v>
      </c>
      <c r="AN673" s="34">
        <v>21</v>
      </c>
      <c r="AO673" s="34">
        <f>J673*0</f>
        <v>0</v>
      </c>
      <c r="AP673" s="34">
        <f>J673*(1-0)</f>
        <v>0</v>
      </c>
      <c r="AQ673" s="28" t="s">
        <v>13</v>
      </c>
      <c r="AV673" s="34">
        <f t="shared" si="568"/>
        <v>0</v>
      </c>
      <c r="AW673" s="34">
        <f t="shared" si="569"/>
        <v>0</v>
      </c>
      <c r="AX673" s="34">
        <f t="shared" si="570"/>
        <v>0</v>
      </c>
      <c r="AY673" s="35" t="s">
        <v>3682</v>
      </c>
      <c r="AZ673" s="35" t="s">
        <v>3716</v>
      </c>
      <c r="BA673" s="27" t="s">
        <v>3729</v>
      </c>
      <c r="BC673" s="34">
        <f t="shared" si="571"/>
        <v>0</v>
      </c>
      <c r="BD673" s="34">
        <f t="shared" si="572"/>
        <v>0</v>
      </c>
      <c r="BE673" s="34">
        <v>0</v>
      </c>
      <c r="BF673" s="34">
        <f>673</f>
        <v>673</v>
      </c>
      <c r="BH673" s="18">
        <f t="shared" si="573"/>
        <v>0</v>
      </c>
      <c r="BI673" s="18">
        <f t="shared" si="574"/>
        <v>0</v>
      </c>
      <c r="BJ673" s="18">
        <f t="shared" si="575"/>
        <v>0</v>
      </c>
    </row>
    <row r="674" spans="1:62" x14ac:dyDescent="0.2">
      <c r="A674" s="5" t="s">
        <v>632</v>
      </c>
      <c r="B674" s="5" t="s">
        <v>1819</v>
      </c>
      <c r="C674" s="135" t="s">
        <v>3019</v>
      </c>
      <c r="D674" s="136"/>
      <c r="E674" s="136"/>
      <c r="F674" s="136"/>
      <c r="G674" s="136"/>
      <c r="H674" s="5" t="s">
        <v>3615</v>
      </c>
      <c r="I674" s="18">
        <v>323.23099999999999</v>
      </c>
      <c r="J674" s="18">
        <v>0</v>
      </c>
      <c r="K674" s="18">
        <f t="shared" si="556"/>
        <v>0</v>
      </c>
      <c r="L674" s="28" t="s">
        <v>3635</v>
      </c>
      <c r="Z674" s="34">
        <f t="shared" si="557"/>
        <v>0</v>
      </c>
      <c r="AB674" s="34">
        <f t="shared" si="558"/>
        <v>0</v>
      </c>
      <c r="AC674" s="34">
        <f t="shared" si="559"/>
        <v>0</v>
      </c>
      <c r="AD674" s="34">
        <f t="shared" si="560"/>
        <v>0</v>
      </c>
      <c r="AE674" s="34">
        <f t="shared" si="561"/>
        <v>0</v>
      </c>
      <c r="AF674" s="34">
        <f t="shared" si="562"/>
        <v>0</v>
      </c>
      <c r="AG674" s="34">
        <f t="shared" si="563"/>
        <v>0</v>
      </c>
      <c r="AH674" s="34">
        <f t="shared" si="564"/>
        <v>0</v>
      </c>
      <c r="AI674" s="27" t="s">
        <v>3645</v>
      </c>
      <c r="AJ674" s="18">
        <f t="shared" si="565"/>
        <v>0</v>
      </c>
      <c r="AK674" s="18">
        <f t="shared" si="566"/>
        <v>0</v>
      </c>
      <c r="AL674" s="18">
        <f t="shared" si="567"/>
        <v>0</v>
      </c>
      <c r="AN674" s="34">
        <v>21</v>
      </c>
      <c r="AO674" s="34">
        <f>J674*0.538680942618382</f>
        <v>0</v>
      </c>
      <c r="AP674" s="34">
        <f>J674*(1-0.538680942618382)</f>
        <v>0</v>
      </c>
      <c r="AQ674" s="28" t="s">
        <v>13</v>
      </c>
      <c r="AV674" s="34">
        <f t="shared" si="568"/>
        <v>0</v>
      </c>
      <c r="AW674" s="34">
        <f t="shared" si="569"/>
        <v>0</v>
      </c>
      <c r="AX674" s="34">
        <f t="shared" si="570"/>
        <v>0</v>
      </c>
      <c r="AY674" s="35" t="s">
        <v>3682</v>
      </c>
      <c r="AZ674" s="35" t="s">
        <v>3716</v>
      </c>
      <c r="BA674" s="27" t="s">
        <v>3729</v>
      </c>
      <c r="BC674" s="34">
        <f t="shared" si="571"/>
        <v>0</v>
      </c>
      <c r="BD674" s="34">
        <f t="shared" si="572"/>
        <v>0</v>
      </c>
      <c r="BE674" s="34">
        <v>0</v>
      </c>
      <c r="BF674" s="34">
        <f>674</f>
        <v>674</v>
      </c>
      <c r="BH674" s="18">
        <f t="shared" si="573"/>
        <v>0</v>
      </c>
      <c r="BI674" s="18">
        <f t="shared" si="574"/>
        <v>0</v>
      </c>
      <c r="BJ674" s="18">
        <f t="shared" si="575"/>
        <v>0</v>
      </c>
    </row>
    <row r="675" spans="1:62" x14ac:dyDescent="0.2">
      <c r="A675" s="5" t="s">
        <v>633</v>
      </c>
      <c r="B675" s="5" t="s">
        <v>1820</v>
      </c>
      <c r="C675" s="135" t="s">
        <v>3020</v>
      </c>
      <c r="D675" s="136"/>
      <c r="E675" s="136"/>
      <c r="F675" s="136"/>
      <c r="G675" s="136"/>
      <c r="H675" s="5" t="s">
        <v>3616</v>
      </c>
      <c r="I675" s="18">
        <v>20.618099999999998</v>
      </c>
      <c r="J675" s="18">
        <v>0</v>
      </c>
      <c r="K675" s="18">
        <f t="shared" si="556"/>
        <v>0</v>
      </c>
      <c r="L675" s="28" t="s">
        <v>3635</v>
      </c>
      <c r="Z675" s="34">
        <f t="shared" si="557"/>
        <v>0</v>
      </c>
      <c r="AB675" s="34">
        <f t="shared" si="558"/>
        <v>0</v>
      </c>
      <c r="AC675" s="34">
        <f t="shared" si="559"/>
        <v>0</v>
      </c>
      <c r="AD675" s="34">
        <f t="shared" si="560"/>
        <v>0</v>
      </c>
      <c r="AE675" s="34">
        <f t="shared" si="561"/>
        <v>0</v>
      </c>
      <c r="AF675" s="34">
        <f t="shared" si="562"/>
        <v>0</v>
      </c>
      <c r="AG675" s="34">
        <f t="shared" si="563"/>
        <v>0</v>
      </c>
      <c r="AH675" s="34">
        <f t="shared" si="564"/>
        <v>0</v>
      </c>
      <c r="AI675" s="27" t="s">
        <v>3645</v>
      </c>
      <c r="AJ675" s="18">
        <f t="shared" si="565"/>
        <v>0</v>
      </c>
      <c r="AK675" s="18">
        <f t="shared" si="566"/>
        <v>0</v>
      </c>
      <c r="AL675" s="18">
        <f t="shared" si="567"/>
        <v>0</v>
      </c>
      <c r="AN675" s="34">
        <v>21</v>
      </c>
      <c r="AO675" s="34">
        <f>J675*0</f>
        <v>0</v>
      </c>
      <c r="AP675" s="34">
        <f>J675*(1-0)</f>
        <v>0</v>
      </c>
      <c r="AQ675" s="28" t="s">
        <v>11</v>
      </c>
      <c r="AV675" s="34">
        <f t="shared" si="568"/>
        <v>0</v>
      </c>
      <c r="AW675" s="34">
        <f t="shared" si="569"/>
        <v>0</v>
      </c>
      <c r="AX675" s="34">
        <f t="shared" si="570"/>
        <v>0</v>
      </c>
      <c r="AY675" s="35" t="s">
        <v>3682</v>
      </c>
      <c r="AZ675" s="35" t="s">
        <v>3716</v>
      </c>
      <c r="BA675" s="27" t="s">
        <v>3729</v>
      </c>
      <c r="BC675" s="34">
        <f t="shared" si="571"/>
        <v>0</v>
      </c>
      <c r="BD675" s="34">
        <f t="shared" si="572"/>
        <v>0</v>
      </c>
      <c r="BE675" s="34">
        <v>0</v>
      </c>
      <c r="BF675" s="34">
        <f>675</f>
        <v>675</v>
      </c>
      <c r="BH675" s="18">
        <f t="shared" si="573"/>
        <v>0</v>
      </c>
      <c r="BI675" s="18">
        <f t="shared" si="574"/>
        <v>0</v>
      </c>
      <c r="BJ675" s="18">
        <f t="shared" si="575"/>
        <v>0</v>
      </c>
    </row>
    <row r="676" spans="1:62" x14ac:dyDescent="0.2">
      <c r="A676" s="5" t="s">
        <v>634</v>
      </c>
      <c r="B676" s="5" t="s">
        <v>1821</v>
      </c>
      <c r="C676" s="135" t="s">
        <v>3021</v>
      </c>
      <c r="D676" s="136"/>
      <c r="E676" s="136"/>
      <c r="F676" s="136"/>
      <c r="G676" s="136"/>
      <c r="H676" s="5" t="s">
        <v>3614</v>
      </c>
      <c r="I676" s="18">
        <v>21.11</v>
      </c>
      <c r="J676" s="18">
        <v>0</v>
      </c>
      <c r="K676" s="18">
        <f t="shared" si="556"/>
        <v>0</v>
      </c>
      <c r="L676" s="28" t="s">
        <v>3635</v>
      </c>
      <c r="Z676" s="34">
        <f t="shared" si="557"/>
        <v>0</v>
      </c>
      <c r="AB676" s="34">
        <f t="shared" si="558"/>
        <v>0</v>
      </c>
      <c r="AC676" s="34">
        <f t="shared" si="559"/>
        <v>0</v>
      </c>
      <c r="AD676" s="34">
        <f t="shared" si="560"/>
        <v>0</v>
      </c>
      <c r="AE676" s="34">
        <f t="shared" si="561"/>
        <v>0</v>
      </c>
      <c r="AF676" s="34">
        <f t="shared" si="562"/>
        <v>0</v>
      </c>
      <c r="AG676" s="34">
        <f t="shared" si="563"/>
        <v>0</v>
      </c>
      <c r="AH676" s="34">
        <f t="shared" si="564"/>
        <v>0</v>
      </c>
      <c r="AI676" s="27" t="s">
        <v>3645</v>
      </c>
      <c r="AJ676" s="18">
        <f t="shared" si="565"/>
        <v>0</v>
      </c>
      <c r="AK676" s="18">
        <f t="shared" si="566"/>
        <v>0</v>
      </c>
      <c r="AL676" s="18">
        <f t="shared" si="567"/>
        <v>0</v>
      </c>
      <c r="AN676" s="34">
        <v>21</v>
      </c>
      <c r="AO676" s="34">
        <f>J676*0.607888888888889</f>
        <v>0</v>
      </c>
      <c r="AP676" s="34">
        <f>J676*(1-0.607888888888889)</f>
        <v>0</v>
      </c>
      <c r="AQ676" s="28" t="s">
        <v>13</v>
      </c>
      <c r="AV676" s="34">
        <f t="shared" si="568"/>
        <v>0</v>
      </c>
      <c r="AW676" s="34">
        <f t="shared" si="569"/>
        <v>0</v>
      </c>
      <c r="AX676" s="34">
        <f t="shared" si="570"/>
        <v>0</v>
      </c>
      <c r="AY676" s="35" t="s">
        <v>3682</v>
      </c>
      <c r="AZ676" s="35" t="s">
        <v>3716</v>
      </c>
      <c r="BA676" s="27" t="s">
        <v>3729</v>
      </c>
      <c r="BC676" s="34">
        <f t="shared" si="571"/>
        <v>0</v>
      </c>
      <c r="BD676" s="34">
        <f t="shared" si="572"/>
        <v>0</v>
      </c>
      <c r="BE676" s="34">
        <v>0</v>
      </c>
      <c r="BF676" s="34">
        <f>676</f>
        <v>676</v>
      </c>
      <c r="BH676" s="18">
        <f t="shared" si="573"/>
        <v>0</v>
      </c>
      <c r="BI676" s="18">
        <f t="shared" si="574"/>
        <v>0</v>
      </c>
      <c r="BJ676" s="18">
        <f t="shared" si="575"/>
        <v>0</v>
      </c>
    </row>
    <row r="677" spans="1:62" x14ac:dyDescent="0.2">
      <c r="A677" s="4"/>
      <c r="B677" s="14" t="s">
        <v>770</v>
      </c>
      <c r="C677" s="133" t="s">
        <v>3022</v>
      </c>
      <c r="D677" s="134"/>
      <c r="E677" s="134"/>
      <c r="F677" s="134"/>
      <c r="G677" s="134"/>
      <c r="H677" s="4" t="s">
        <v>6</v>
      </c>
      <c r="I677" s="4" t="s">
        <v>6</v>
      </c>
      <c r="J677" s="4" t="s">
        <v>6</v>
      </c>
      <c r="K677" s="37">
        <f>SUM(K678:K693)</f>
        <v>0</v>
      </c>
      <c r="L677" s="27"/>
      <c r="AI677" s="27" t="s">
        <v>3645</v>
      </c>
      <c r="AS677" s="37">
        <f>SUM(AJ678:AJ693)</f>
        <v>0</v>
      </c>
      <c r="AT677" s="37">
        <f>SUM(AK678:AK693)</f>
        <v>0</v>
      </c>
      <c r="AU677" s="37">
        <f>SUM(AL678:AL693)</f>
        <v>0</v>
      </c>
    </row>
    <row r="678" spans="1:62" x14ac:dyDescent="0.2">
      <c r="A678" s="5" t="s">
        <v>635</v>
      </c>
      <c r="B678" s="5" t="s">
        <v>1822</v>
      </c>
      <c r="C678" s="135" t="s">
        <v>3023</v>
      </c>
      <c r="D678" s="136"/>
      <c r="E678" s="136"/>
      <c r="F678" s="136"/>
      <c r="G678" s="136"/>
      <c r="H678" s="5" t="s">
        <v>3615</v>
      </c>
      <c r="I678" s="18">
        <v>272.77890000000002</v>
      </c>
      <c r="J678" s="18">
        <v>0</v>
      </c>
      <c r="K678" s="18">
        <f t="shared" ref="K678:K693" si="576">I678*J678</f>
        <v>0</v>
      </c>
      <c r="L678" s="28" t="s">
        <v>3635</v>
      </c>
      <c r="Z678" s="34">
        <f t="shared" ref="Z678:Z693" si="577">IF(AQ678="5",BJ678,0)</f>
        <v>0</v>
      </c>
      <c r="AB678" s="34">
        <f t="shared" ref="AB678:AB693" si="578">IF(AQ678="1",BH678,0)</f>
        <v>0</v>
      </c>
      <c r="AC678" s="34">
        <f t="shared" ref="AC678:AC693" si="579">IF(AQ678="1",BI678,0)</f>
        <v>0</v>
      </c>
      <c r="AD678" s="34">
        <f t="shared" ref="AD678:AD693" si="580">IF(AQ678="7",BH678,0)</f>
        <v>0</v>
      </c>
      <c r="AE678" s="34">
        <f t="shared" ref="AE678:AE693" si="581">IF(AQ678="7",BI678,0)</f>
        <v>0</v>
      </c>
      <c r="AF678" s="34">
        <f t="shared" ref="AF678:AF693" si="582">IF(AQ678="2",BH678,0)</f>
        <v>0</v>
      </c>
      <c r="AG678" s="34">
        <f t="shared" ref="AG678:AG693" si="583">IF(AQ678="2",BI678,0)</f>
        <v>0</v>
      </c>
      <c r="AH678" s="34">
        <f t="shared" ref="AH678:AH693" si="584">IF(AQ678="0",BJ678,0)</f>
        <v>0</v>
      </c>
      <c r="AI678" s="27" t="s">
        <v>3645</v>
      </c>
      <c r="AJ678" s="18">
        <f t="shared" ref="AJ678:AJ693" si="585">IF(AN678=0,K678,0)</f>
        <v>0</v>
      </c>
      <c r="AK678" s="18">
        <f t="shared" ref="AK678:AK693" si="586">IF(AN678=15,K678,0)</f>
        <v>0</v>
      </c>
      <c r="AL678" s="18">
        <f t="shared" ref="AL678:AL693" si="587">IF(AN678=21,K678,0)</f>
        <v>0</v>
      </c>
      <c r="AN678" s="34">
        <v>21</v>
      </c>
      <c r="AO678" s="34">
        <f>J678*0</f>
        <v>0</v>
      </c>
      <c r="AP678" s="34">
        <f>J678*(1-0)</f>
        <v>0</v>
      </c>
      <c r="AQ678" s="28" t="s">
        <v>13</v>
      </c>
      <c r="AV678" s="34">
        <f t="shared" ref="AV678:AV693" si="588">AW678+AX678</f>
        <v>0</v>
      </c>
      <c r="AW678" s="34">
        <f t="shared" ref="AW678:AW693" si="589">I678*AO678</f>
        <v>0</v>
      </c>
      <c r="AX678" s="34">
        <f t="shared" ref="AX678:AX693" si="590">I678*AP678</f>
        <v>0</v>
      </c>
      <c r="AY678" s="35" t="s">
        <v>3683</v>
      </c>
      <c r="AZ678" s="35" t="s">
        <v>3716</v>
      </c>
      <c r="BA678" s="27" t="s">
        <v>3729</v>
      </c>
      <c r="BC678" s="34">
        <f t="shared" ref="BC678:BC693" si="591">AW678+AX678</f>
        <v>0</v>
      </c>
      <c r="BD678" s="34">
        <f t="shared" ref="BD678:BD693" si="592">J678/(100-BE678)*100</f>
        <v>0</v>
      </c>
      <c r="BE678" s="34">
        <v>0</v>
      </c>
      <c r="BF678" s="34">
        <f>678</f>
        <v>678</v>
      </c>
      <c r="BH678" s="18">
        <f t="shared" ref="BH678:BH693" si="593">I678*AO678</f>
        <v>0</v>
      </c>
      <c r="BI678" s="18">
        <f t="shared" ref="BI678:BI693" si="594">I678*AP678</f>
        <v>0</v>
      </c>
      <c r="BJ678" s="18">
        <f t="shared" ref="BJ678:BJ693" si="595">I678*J678</f>
        <v>0</v>
      </c>
    </row>
    <row r="679" spans="1:62" x14ac:dyDescent="0.2">
      <c r="A679" s="5" t="s">
        <v>636</v>
      </c>
      <c r="B679" s="5" t="s">
        <v>1823</v>
      </c>
      <c r="C679" s="135" t="s">
        <v>3024</v>
      </c>
      <c r="D679" s="136"/>
      <c r="E679" s="136"/>
      <c r="F679" s="136"/>
      <c r="G679" s="136"/>
      <c r="H679" s="5" t="s">
        <v>3614</v>
      </c>
      <c r="I679" s="18">
        <v>19.100000000000001</v>
      </c>
      <c r="J679" s="18">
        <v>0</v>
      </c>
      <c r="K679" s="18">
        <f t="shared" si="576"/>
        <v>0</v>
      </c>
      <c r="L679" s="28" t="s">
        <v>3635</v>
      </c>
      <c r="Z679" s="34">
        <f t="shared" si="577"/>
        <v>0</v>
      </c>
      <c r="AB679" s="34">
        <f t="shared" si="578"/>
        <v>0</v>
      </c>
      <c r="AC679" s="34">
        <f t="shared" si="579"/>
        <v>0</v>
      </c>
      <c r="AD679" s="34">
        <f t="shared" si="580"/>
        <v>0</v>
      </c>
      <c r="AE679" s="34">
        <f t="shared" si="581"/>
        <v>0</v>
      </c>
      <c r="AF679" s="34">
        <f t="shared" si="582"/>
        <v>0</v>
      </c>
      <c r="AG679" s="34">
        <f t="shared" si="583"/>
        <v>0</v>
      </c>
      <c r="AH679" s="34">
        <f t="shared" si="584"/>
        <v>0</v>
      </c>
      <c r="AI679" s="27" t="s">
        <v>3645</v>
      </c>
      <c r="AJ679" s="18">
        <f t="shared" si="585"/>
        <v>0</v>
      </c>
      <c r="AK679" s="18">
        <f t="shared" si="586"/>
        <v>0</v>
      </c>
      <c r="AL679" s="18">
        <f t="shared" si="587"/>
        <v>0</v>
      </c>
      <c r="AN679" s="34">
        <v>21</v>
      </c>
      <c r="AO679" s="34">
        <f>J679*0.770927357032458</f>
        <v>0</v>
      </c>
      <c r="AP679" s="34">
        <f>J679*(1-0.770927357032458)</f>
        <v>0</v>
      </c>
      <c r="AQ679" s="28" t="s">
        <v>13</v>
      </c>
      <c r="AV679" s="34">
        <f t="shared" si="588"/>
        <v>0</v>
      </c>
      <c r="AW679" s="34">
        <f t="shared" si="589"/>
        <v>0</v>
      </c>
      <c r="AX679" s="34">
        <f t="shared" si="590"/>
        <v>0</v>
      </c>
      <c r="AY679" s="35" t="s">
        <v>3683</v>
      </c>
      <c r="AZ679" s="35" t="s">
        <v>3716</v>
      </c>
      <c r="BA679" s="27" t="s">
        <v>3729</v>
      </c>
      <c r="BC679" s="34">
        <f t="shared" si="591"/>
        <v>0</v>
      </c>
      <c r="BD679" s="34">
        <f t="shared" si="592"/>
        <v>0</v>
      </c>
      <c r="BE679" s="34">
        <v>0</v>
      </c>
      <c r="BF679" s="34">
        <f>679</f>
        <v>679</v>
      </c>
      <c r="BH679" s="18">
        <f t="shared" si="593"/>
        <v>0</v>
      </c>
      <c r="BI679" s="18">
        <f t="shared" si="594"/>
        <v>0</v>
      </c>
      <c r="BJ679" s="18">
        <f t="shared" si="595"/>
        <v>0</v>
      </c>
    </row>
    <row r="680" spans="1:62" x14ac:dyDescent="0.2">
      <c r="A680" s="5" t="s">
        <v>637</v>
      </c>
      <c r="B680" s="5" t="s">
        <v>1824</v>
      </c>
      <c r="C680" s="135" t="s">
        <v>3025</v>
      </c>
      <c r="D680" s="136"/>
      <c r="E680" s="136"/>
      <c r="F680" s="136"/>
      <c r="G680" s="136"/>
      <c r="H680" s="5" t="s">
        <v>3614</v>
      </c>
      <c r="I680" s="18">
        <v>66</v>
      </c>
      <c r="J680" s="18">
        <v>0</v>
      </c>
      <c r="K680" s="18">
        <f t="shared" si="576"/>
        <v>0</v>
      </c>
      <c r="L680" s="28" t="s">
        <v>3635</v>
      </c>
      <c r="Z680" s="34">
        <f t="shared" si="577"/>
        <v>0</v>
      </c>
      <c r="AB680" s="34">
        <f t="shared" si="578"/>
        <v>0</v>
      </c>
      <c r="AC680" s="34">
        <f t="shared" si="579"/>
        <v>0</v>
      </c>
      <c r="AD680" s="34">
        <f t="shared" si="580"/>
        <v>0</v>
      </c>
      <c r="AE680" s="34">
        <f t="shared" si="581"/>
        <v>0</v>
      </c>
      <c r="AF680" s="34">
        <f t="shared" si="582"/>
        <v>0</v>
      </c>
      <c r="AG680" s="34">
        <f t="shared" si="583"/>
        <v>0</v>
      </c>
      <c r="AH680" s="34">
        <f t="shared" si="584"/>
        <v>0</v>
      </c>
      <c r="AI680" s="27" t="s">
        <v>3645</v>
      </c>
      <c r="AJ680" s="18">
        <f t="shared" si="585"/>
        <v>0</v>
      </c>
      <c r="AK680" s="18">
        <f t="shared" si="586"/>
        <v>0</v>
      </c>
      <c r="AL680" s="18">
        <f t="shared" si="587"/>
        <v>0</v>
      </c>
      <c r="AN680" s="34">
        <v>21</v>
      </c>
      <c r="AO680" s="34">
        <f>J680*0.738622100954979</f>
        <v>0</v>
      </c>
      <c r="AP680" s="34">
        <f>J680*(1-0.738622100954979)</f>
        <v>0</v>
      </c>
      <c r="AQ680" s="28" t="s">
        <v>13</v>
      </c>
      <c r="AV680" s="34">
        <f t="shared" si="588"/>
        <v>0</v>
      </c>
      <c r="AW680" s="34">
        <f t="shared" si="589"/>
        <v>0</v>
      </c>
      <c r="AX680" s="34">
        <f t="shared" si="590"/>
        <v>0</v>
      </c>
      <c r="AY680" s="35" t="s">
        <v>3683</v>
      </c>
      <c r="AZ680" s="35" t="s">
        <v>3716</v>
      </c>
      <c r="BA680" s="27" t="s">
        <v>3729</v>
      </c>
      <c r="BC680" s="34">
        <f t="shared" si="591"/>
        <v>0</v>
      </c>
      <c r="BD680" s="34">
        <f t="shared" si="592"/>
        <v>0</v>
      </c>
      <c r="BE680" s="34">
        <v>0</v>
      </c>
      <c r="BF680" s="34">
        <f>680</f>
        <v>680</v>
      </c>
      <c r="BH680" s="18">
        <f t="shared" si="593"/>
        <v>0</v>
      </c>
      <c r="BI680" s="18">
        <f t="shared" si="594"/>
        <v>0</v>
      </c>
      <c r="BJ680" s="18">
        <f t="shared" si="595"/>
        <v>0</v>
      </c>
    </row>
    <row r="681" spans="1:62" x14ac:dyDescent="0.2">
      <c r="A681" s="5" t="s">
        <v>638</v>
      </c>
      <c r="B681" s="5" t="s">
        <v>1825</v>
      </c>
      <c r="C681" s="135" t="s">
        <v>3026</v>
      </c>
      <c r="D681" s="136"/>
      <c r="E681" s="136"/>
      <c r="F681" s="136"/>
      <c r="G681" s="136"/>
      <c r="H681" s="5" t="s">
        <v>3614</v>
      </c>
      <c r="I681" s="18">
        <v>41.5</v>
      </c>
      <c r="J681" s="18">
        <v>0</v>
      </c>
      <c r="K681" s="18">
        <f t="shared" si="576"/>
        <v>0</v>
      </c>
      <c r="L681" s="28" t="s">
        <v>3635</v>
      </c>
      <c r="Z681" s="34">
        <f t="shared" si="577"/>
        <v>0</v>
      </c>
      <c r="AB681" s="34">
        <f t="shared" si="578"/>
        <v>0</v>
      </c>
      <c r="AC681" s="34">
        <f t="shared" si="579"/>
        <v>0</v>
      </c>
      <c r="AD681" s="34">
        <f t="shared" si="580"/>
        <v>0</v>
      </c>
      <c r="AE681" s="34">
        <f t="shared" si="581"/>
        <v>0</v>
      </c>
      <c r="AF681" s="34">
        <f t="shared" si="582"/>
        <v>0</v>
      </c>
      <c r="AG681" s="34">
        <f t="shared" si="583"/>
        <v>0</v>
      </c>
      <c r="AH681" s="34">
        <f t="shared" si="584"/>
        <v>0</v>
      </c>
      <c r="AI681" s="27" t="s">
        <v>3645</v>
      </c>
      <c r="AJ681" s="18">
        <f t="shared" si="585"/>
        <v>0</v>
      </c>
      <c r="AK681" s="18">
        <f t="shared" si="586"/>
        <v>0</v>
      </c>
      <c r="AL681" s="18">
        <f t="shared" si="587"/>
        <v>0</v>
      </c>
      <c r="AN681" s="34">
        <v>21</v>
      </c>
      <c r="AO681" s="34">
        <f>J681*0.770919409761634</f>
        <v>0</v>
      </c>
      <c r="AP681" s="34">
        <f>J681*(1-0.770919409761634)</f>
        <v>0</v>
      </c>
      <c r="AQ681" s="28" t="s">
        <v>13</v>
      </c>
      <c r="AV681" s="34">
        <f t="shared" si="588"/>
        <v>0</v>
      </c>
      <c r="AW681" s="34">
        <f t="shared" si="589"/>
        <v>0</v>
      </c>
      <c r="AX681" s="34">
        <f t="shared" si="590"/>
        <v>0</v>
      </c>
      <c r="AY681" s="35" t="s">
        <v>3683</v>
      </c>
      <c r="AZ681" s="35" t="s">
        <v>3716</v>
      </c>
      <c r="BA681" s="27" t="s">
        <v>3729</v>
      </c>
      <c r="BC681" s="34">
        <f t="shared" si="591"/>
        <v>0</v>
      </c>
      <c r="BD681" s="34">
        <f t="shared" si="592"/>
        <v>0</v>
      </c>
      <c r="BE681" s="34">
        <v>0</v>
      </c>
      <c r="BF681" s="34">
        <f>681</f>
        <v>681</v>
      </c>
      <c r="BH681" s="18">
        <f t="shared" si="593"/>
        <v>0</v>
      </c>
      <c r="BI681" s="18">
        <f t="shared" si="594"/>
        <v>0</v>
      </c>
      <c r="BJ681" s="18">
        <f t="shared" si="595"/>
        <v>0</v>
      </c>
    </row>
    <row r="682" spans="1:62" x14ac:dyDescent="0.2">
      <c r="A682" s="5" t="s">
        <v>639</v>
      </c>
      <c r="B682" s="5" t="s">
        <v>1826</v>
      </c>
      <c r="C682" s="135" t="s">
        <v>3027</v>
      </c>
      <c r="D682" s="136"/>
      <c r="E682" s="136"/>
      <c r="F682" s="136"/>
      <c r="G682" s="136"/>
      <c r="H682" s="5" t="s">
        <v>3614</v>
      </c>
      <c r="I682" s="18">
        <v>4.7</v>
      </c>
      <c r="J682" s="18">
        <v>0</v>
      </c>
      <c r="K682" s="18">
        <f t="shared" si="576"/>
        <v>0</v>
      </c>
      <c r="L682" s="28" t="s">
        <v>3635</v>
      </c>
      <c r="Z682" s="34">
        <f t="shared" si="577"/>
        <v>0</v>
      </c>
      <c r="AB682" s="34">
        <f t="shared" si="578"/>
        <v>0</v>
      </c>
      <c r="AC682" s="34">
        <f t="shared" si="579"/>
        <v>0</v>
      </c>
      <c r="AD682" s="34">
        <f t="shared" si="580"/>
        <v>0</v>
      </c>
      <c r="AE682" s="34">
        <f t="shared" si="581"/>
        <v>0</v>
      </c>
      <c r="AF682" s="34">
        <f t="shared" si="582"/>
        <v>0</v>
      </c>
      <c r="AG682" s="34">
        <f t="shared" si="583"/>
        <v>0</v>
      </c>
      <c r="AH682" s="34">
        <f t="shared" si="584"/>
        <v>0</v>
      </c>
      <c r="AI682" s="27" t="s">
        <v>3645</v>
      </c>
      <c r="AJ682" s="18">
        <f t="shared" si="585"/>
        <v>0</v>
      </c>
      <c r="AK682" s="18">
        <f t="shared" si="586"/>
        <v>0</v>
      </c>
      <c r="AL682" s="18">
        <f t="shared" si="587"/>
        <v>0</v>
      </c>
      <c r="AN682" s="34">
        <v>21</v>
      </c>
      <c r="AO682" s="34">
        <f>J682*0.770915805022157</f>
        <v>0</v>
      </c>
      <c r="AP682" s="34">
        <f>J682*(1-0.770915805022157)</f>
        <v>0</v>
      </c>
      <c r="AQ682" s="28" t="s">
        <v>13</v>
      </c>
      <c r="AV682" s="34">
        <f t="shared" si="588"/>
        <v>0</v>
      </c>
      <c r="AW682" s="34">
        <f t="shared" si="589"/>
        <v>0</v>
      </c>
      <c r="AX682" s="34">
        <f t="shared" si="590"/>
        <v>0</v>
      </c>
      <c r="AY682" s="35" t="s">
        <v>3683</v>
      </c>
      <c r="AZ682" s="35" t="s">
        <v>3716</v>
      </c>
      <c r="BA682" s="27" t="s">
        <v>3729</v>
      </c>
      <c r="BC682" s="34">
        <f t="shared" si="591"/>
        <v>0</v>
      </c>
      <c r="BD682" s="34">
        <f t="shared" si="592"/>
        <v>0</v>
      </c>
      <c r="BE682" s="34">
        <v>0</v>
      </c>
      <c r="BF682" s="34">
        <f>682</f>
        <v>682</v>
      </c>
      <c r="BH682" s="18">
        <f t="shared" si="593"/>
        <v>0</v>
      </c>
      <c r="BI682" s="18">
        <f t="shared" si="594"/>
        <v>0</v>
      </c>
      <c r="BJ682" s="18">
        <f t="shared" si="595"/>
        <v>0</v>
      </c>
    </row>
    <row r="683" spans="1:62" x14ac:dyDescent="0.2">
      <c r="A683" s="5" t="s">
        <v>640</v>
      </c>
      <c r="B683" s="5" t="s">
        <v>1827</v>
      </c>
      <c r="C683" s="135" t="s">
        <v>3028</v>
      </c>
      <c r="D683" s="136"/>
      <c r="E683" s="136"/>
      <c r="F683" s="136"/>
      <c r="G683" s="136"/>
      <c r="H683" s="5" t="s">
        <v>3614</v>
      </c>
      <c r="I683" s="18">
        <v>60</v>
      </c>
      <c r="J683" s="18">
        <v>0</v>
      </c>
      <c r="K683" s="18">
        <f t="shared" si="576"/>
        <v>0</v>
      </c>
      <c r="L683" s="28" t="s">
        <v>3635</v>
      </c>
      <c r="Z683" s="34">
        <f t="shared" si="577"/>
        <v>0</v>
      </c>
      <c r="AB683" s="34">
        <f t="shared" si="578"/>
        <v>0</v>
      </c>
      <c r="AC683" s="34">
        <f t="shared" si="579"/>
        <v>0</v>
      </c>
      <c r="AD683" s="34">
        <f t="shared" si="580"/>
        <v>0</v>
      </c>
      <c r="AE683" s="34">
        <f t="shared" si="581"/>
        <v>0</v>
      </c>
      <c r="AF683" s="34">
        <f t="shared" si="582"/>
        <v>0</v>
      </c>
      <c r="AG683" s="34">
        <f t="shared" si="583"/>
        <v>0</v>
      </c>
      <c r="AH683" s="34">
        <f t="shared" si="584"/>
        <v>0</v>
      </c>
      <c r="AI683" s="27" t="s">
        <v>3645</v>
      </c>
      <c r="AJ683" s="18">
        <f t="shared" si="585"/>
        <v>0</v>
      </c>
      <c r="AK683" s="18">
        <f t="shared" si="586"/>
        <v>0</v>
      </c>
      <c r="AL683" s="18">
        <f t="shared" si="587"/>
        <v>0</v>
      </c>
      <c r="AN683" s="34">
        <v>21</v>
      </c>
      <c r="AO683" s="34">
        <f>J683*0.770976491862568</f>
        <v>0</v>
      </c>
      <c r="AP683" s="34">
        <f>J683*(1-0.770976491862568)</f>
        <v>0</v>
      </c>
      <c r="AQ683" s="28" t="s">
        <v>13</v>
      </c>
      <c r="AV683" s="34">
        <f t="shared" si="588"/>
        <v>0</v>
      </c>
      <c r="AW683" s="34">
        <f t="shared" si="589"/>
        <v>0</v>
      </c>
      <c r="AX683" s="34">
        <f t="shared" si="590"/>
        <v>0</v>
      </c>
      <c r="AY683" s="35" t="s">
        <v>3683</v>
      </c>
      <c r="AZ683" s="35" t="s">
        <v>3716</v>
      </c>
      <c r="BA683" s="27" t="s">
        <v>3729</v>
      </c>
      <c r="BC683" s="34">
        <f t="shared" si="591"/>
        <v>0</v>
      </c>
      <c r="BD683" s="34">
        <f t="shared" si="592"/>
        <v>0</v>
      </c>
      <c r="BE683" s="34">
        <v>0</v>
      </c>
      <c r="BF683" s="34">
        <f>683</f>
        <v>683</v>
      </c>
      <c r="BH683" s="18">
        <f t="shared" si="593"/>
        <v>0</v>
      </c>
      <c r="BI683" s="18">
        <f t="shared" si="594"/>
        <v>0</v>
      </c>
      <c r="BJ683" s="18">
        <f t="shared" si="595"/>
        <v>0</v>
      </c>
    </row>
    <row r="684" spans="1:62" x14ac:dyDescent="0.2">
      <c r="A684" s="5" t="s">
        <v>641</v>
      </c>
      <c r="B684" s="5" t="s">
        <v>1828</v>
      </c>
      <c r="C684" s="135" t="s">
        <v>3029</v>
      </c>
      <c r="D684" s="136"/>
      <c r="E684" s="136"/>
      <c r="F684" s="136"/>
      <c r="G684" s="136"/>
      <c r="H684" s="5" t="s">
        <v>3614</v>
      </c>
      <c r="I684" s="18">
        <v>31</v>
      </c>
      <c r="J684" s="18">
        <v>0</v>
      </c>
      <c r="K684" s="18">
        <f t="shared" si="576"/>
        <v>0</v>
      </c>
      <c r="L684" s="28" t="s">
        <v>3635</v>
      </c>
      <c r="Z684" s="34">
        <f t="shared" si="577"/>
        <v>0</v>
      </c>
      <c r="AB684" s="34">
        <f t="shared" si="578"/>
        <v>0</v>
      </c>
      <c r="AC684" s="34">
        <f t="shared" si="579"/>
        <v>0</v>
      </c>
      <c r="AD684" s="34">
        <f t="shared" si="580"/>
        <v>0</v>
      </c>
      <c r="AE684" s="34">
        <f t="shared" si="581"/>
        <v>0</v>
      </c>
      <c r="AF684" s="34">
        <f t="shared" si="582"/>
        <v>0</v>
      </c>
      <c r="AG684" s="34">
        <f t="shared" si="583"/>
        <v>0</v>
      </c>
      <c r="AH684" s="34">
        <f t="shared" si="584"/>
        <v>0</v>
      </c>
      <c r="AI684" s="27" t="s">
        <v>3645</v>
      </c>
      <c r="AJ684" s="18">
        <f t="shared" si="585"/>
        <v>0</v>
      </c>
      <c r="AK684" s="18">
        <f t="shared" si="586"/>
        <v>0</v>
      </c>
      <c r="AL684" s="18">
        <f t="shared" si="587"/>
        <v>0</v>
      </c>
      <c r="AN684" s="34">
        <v>21</v>
      </c>
      <c r="AO684" s="34">
        <f>J684*0.770946768060837</f>
        <v>0</v>
      </c>
      <c r="AP684" s="34">
        <f>J684*(1-0.770946768060837)</f>
        <v>0</v>
      </c>
      <c r="AQ684" s="28" t="s">
        <v>13</v>
      </c>
      <c r="AV684" s="34">
        <f t="shared" si="588"/>
        <v>0</v>
      </c>
      <c r="AW684" s="34">
        <f t="shared" si="589"/>
        <v>0</v>
      </c>
      <c r="AX684" s="34">
        <f t="shared" si="590"/>
        <v>0</v>
      </c>
      <c r="AY684" s="35" t="s">
        <v>3683</v>
      </c>
      <c r="AZ684" s="35" t="s">
        <v>3716</v>
      </c>
      <c r="BA684" s="27" t="s">
        <v>3729</v>
      </c>
      <c r="BC684" s="34">
        <f t="shared" si="591"/>
        <v>0</v>
      </c>
      <c r="BD684" s="34">
        <f t="shared" si="592"/>
        <v>0</v>
      </c>
      <c r="BE684" s="34">
        <v>0</v>
      </c>
      <c r="BF684" s="34">
        <f>684</f>
        <v>684</v>
      </c>
      <c r="BH684" s="18">
        <f t="shared" si="593"/>
        <v>0</v>
      </c>
      <c r="BI684" s="18">
        <f t="shared" si="594"/>
        <v>0</v>
      </c>
      <c r="BJ684" s="18">
        <f t="shared" si="595"/>
        <v>0</v>
      </c>
    </row>
    <row r="685" spans="1:62" x14ac:dyDescent="0.2">
      <c r="A685" s="5" t="s">
        <v>642</v>
      </c>
      <c r="B685" s="5" t="s">
        <v>1829</v>
      </c>
      <c r="C685" s="135" t="s">
        <v>3030</v>
      </c>
      <c r="D685" s="136"/>
      <c r="E685" s="136"/>
      <c r="F685" s="136"/>
      <c r="G685" s="136"/>
      <c r="H685" s="5" t="s">
        <v>3614</v>
      </c>
      <c r="I685" s="18">
        <v>8.8000000000000007</v>
      </c>
      <c r="J685" s="18">
        <v>0</v>
      </c>
      <c r="K685" s="18">
        <f t="shared" si="576"/>
        <v>0</v>
      </c>
      <c r="L685" s="28" t="s">
        <v>3635</v>
      </c>
      <c r="Z685" s="34">
        <f t="shared" si="577"/>
        <v>0</v>
      </c>
      <c r="AB685" s="34">
        <f t="shared" si="578"/>
        <v>0</v>
      </c>
      <c r="AC685" s="34">
        <f t="shared" si="579"/>
        <v>0</v>
      </c>
      <c r="AD685" s="34">
        <f t="shared" si="580"/>
        <v>0</v>
      </c>
      <c r="AE685" s="34">
        <f t="shared" si="581"/>
        <v>0</v>
      </c>
      <c r="AF685" s="34">
        <f t="shared" si="582"/>
        <v>0</v>
      </c>
      <c r="AG685" s="34">
        <f t="shared" si="583"/>
        <v>0</v>
      </c>
      <c r="AH685" s="34">
        <f t="shared" si="584"/>
        <v>0</v>
      </c>
      <c r="AI685" s="27" t="s">
        <v>3645</v>
      </c>
      <c r="AJ685" s="18">
        <f t="shared" si="585"/>
        <v>0</v>
      </c>
      <c r="AK685" s="18">
        <f t="shared" si="586"/>
        <v>0</v>
      </c>
      <c r="AL685" s="18">
        <f t="shared" si="587"/>
        <v>0</v>
      </c>
      <c r="AN685" s="34">
        <v>21</v>
      </c>
      <c r="AO685" s="34">
        <f>J685*0.770919409761634</f>
        <v>0</v>
      </c>
      <c r="AP685" s="34">
        <f>J685*(1-0.770919409761634)</f>
        <v>0</v>
      </c>
      <c r="AQ685" s="28" t="s">
        <v>13</v>
      </c>
      <c r="AV685" s="34">
        <f t="shared" si="588"/>
        <v>0</v>
      </c>
      <c r="AW685" s="34">
        <f t="shared" si="589"/>
        <v>0</v>
      </c>
      <c r="AX685" s="34">
        <f t="shared" si="590"/>
        <v>0</v>
      </c>
      <c r="AY685" s="35" t="s">
        <v>3683</v>
      </c>
      <c r="AZ685" s="35" t="s">
        <v>3716</v>
      </c>
      <c r="BA685" s="27" t="s">
        <v>3729</v>
      </c>
      <c r="BC685" s="34">
        <f t="shared" si="591"/>
        <v>0</v>
      </c>
      <c r="BD685" s="34">
        <f t="shared" si="592"/>
        <v>0</v>
      </c>
      <c r="BE685" s="34">
        <v>0</v>
      </c>
      <c r="BF685" s="34">
        <f>685</f>
        <v>685</v>
      </c>
      <c r="BH685" s="18">
        <f t="shared" si="593"/>
        <v>0</v>
      </c>
      <c r="BI685" s="18">
        <f t="shared" si="594"/>
        <v>0</v>
      </c>
      <c r="BJ685" s="18">
        <f t="shared" si="595"/>
        <v>0</v>
      </c>
    </row>
    <row r="686" spans="1:62" x14ac:dyDescent="0.2">
      <c r="A686" s="5" t="s">
        <v>643</v>
      </c>
      <c r="B686" s="5" t="s">
        <v>1830</v>
      </c>
      <c r="C686" s="135" t="s">
        <v>3031</v>
      </c>
      <c r="D686" s="136"/>
      <c r="E686" s="136"/>
      <c r="F686" s="136"/>
      <c r="G686" s="136"/>
      <c r="H686" s="5" t="s">
        <v>3614</v>
      </c>
      <c r="I686" s="18">
        <v>18.2</v>
      </c>
      <c r="J686" s="18">
        <v>0</v>
      </c>
      <c r="K686" s="18">
        <f t="shared" si="576"/>
        <v>0</v>
      </c>
      <c r="L686" s="28" t="s">
        <v>3635</v>
      </c>
      <c r="Z686" s="34">
        <f t="shared" si="577"/>
        <v>0</v>
      </c>
      <c r="AB686" s="34">
        <f t="shared" si="578"/>
        <v>0</v>
      </c>
      <c r="AC686" s="34">
        <f t="shared" si="579"/>
        <v>0</v>
      </c>
      <c r="AD686" s="34">
        <f t="shared" si="580"/>
        <v>0</v>
      </c>
      <c r="AE686" s="34">
        <f t="shared" si="581"/>
        <v>0</v>
      </c>
      <c r="AF686" s="34">
        <f t="shared" si="582"/>
        <v>0</v>
      </c>
      <c r="AG686" s="34">
        <f t="shared" si="583"/>
        <v>0</v>
      </c>
      <c r="AH686" s="34">
        <f t="shared" si="584"/>
        <v>0</v>
      </c>
      <c r="AI686" s="27" t="s">
        <v>3645</v>
      </c>
      <c r="AJ686" s="18">
        <f t="shared" si="585"/>
        <v>0</v>
      </c>
      <c r="AK686" s="18">
        <f t="shared" si="586"/>
        <v>0</v>
      </c>
      <c r="AL686" s="18">
        <f t="shared" si="587"/>
        <v>0</v>
      </c>
      <c r="AN686" s="34">
        <v>21</v>
      </c>
      <c r="AO686" s="34">
        <f>J686*0.770937950937951</f>
        <v>0</v>
      </c>
      <c r="AP686" s="34">
        <f>J686*(1-0.770937950937951)</f>
        <v>0</v>
      </c>
      <c r="AQ686" s="28" t="s">
        <v>13</v>
      </c>
      <c r="AV686" s="34">
        <f t="shared" si="588"/>
        <v>0</v>
      </c>
      <c r="AW686" s="34">
        <f t="shared" si="589"/>
        <v>0</v>
      </c>
      <c r="AX686" s="34">
        <f t="shared" si="590"/>
        <v>0</v>
      </c>
      <c r="AY686" s="35" t="s">
        <v>3683</v>
      </c>
      <c r="AZ686" s="35" t="s">
        <v>3716</v>
      </c>
      <c r="BA686" s="27" t="s">
        <v>3729</v>
      </c>
      <c r="BC686" s="34">
        <f t="shared" si="591"/>
        <v>0</v>
      </c>
      <c r="BD686" s="34">
        <f t="shared" si="592"/>
        <v>0</v>
      </c>
      <c r="BE686" s="34">
        <v>0</v>
      </c>
      <c r="BF686" s="34">
        <f>686</f>
        <v>686</v>
      </c>
      <c r="BH686" s="18">
        <f t="shared" si="593"/>
        <v>0</v>
      </c>
      <c r="BI686" s="18">
        <f t="shared" si="594"/>
        <v>0</v>
      </c>
      <c r="BJ686" s="18">
        <f t="shared" si="595"/>
        <v>0</v>
      </c>
    </row>
    <row r="687" spans="1:62" x14ac:dyDescent="0.2">
      <c r="A687" s="5" t="s">
        <v>644</v>
      </c>
      <c r="B687" s="5" t="s">
        <v>1831</v>
      </c>
      <c r="C687" s="135" t="s">
        <v>3032</v>
      </c>
      <c r="D687" s="136"/>
      <c r="E687" s="136"/>
      <c r="F687" s="136"/>
      <c r="G687" s="136"/>
      <c r="H687" s="5" t="s">
        <v>3614</v>
      </c>
      <c r="I687" s="18">
        <v>21.3</v>
      </c>
      <c r="J687" s="18">
        <v>0</v>
      </c>
      <c r="K687" s="18">
        <f t="shared" si="576"/>
        <v>0</v>
      </c>
      <c r="L687" s="28" t="s">
        <v>3635</v>
      </c>
      <c r="Z687" s="34">
        <f t="shared" si="577"/>
        <v>0</v>
      </c>
      <c r="AB687" s="34">
        <f t="shared" si="578"/>
        <v>0</v>
      </c>
      <c r="AC687" s="34">
        <f t="shared" si="579"/>
        <v>0</v>
      </c>
      <c r="AD687" s="34">
        <f t="shared" si="580"/>
        <v>0</v>
      </c>
      <c r="AE687" s="34">
        <f t="shared" si="581"/>
        <v>0</v>
      </c>
      <c r="AF687" s="34">
        <f t="shared" si="582"/>
        <v>0</v>
      </c>
      <c r="AG687" s="34">
        <f t="shared" si="583"/>
        <v>0</v>
      </c>
      <c r="AH687" s="34">
        <f t="shared" si="584"/>
        <v>0</v>
      </c>
      <c r="AI687" s="27" t="s">
        <v>3645</v>
      </c>
      <c r="AJ687" s="18">
        <f t="shared" si="585"/>
        <v>0</v>
      </c>
      <c r="AK687" s="18">
        <f t="shared" si="586"/>
        <v>0</v>
      </c>
      <c r="AL687" s="18">
        <f t="shared" si="587"/>
        <v>0</v>
      </c>
      <c r="AN687" s="34">
        <v>21</v>
      </c>
      <c r="AO687" s="34">
        <f>J687*0.770925155925156</f>
        <v>0</v>
      </c>
      <c r="AP687" s="34">
        <f>J687*(1-0.770925155925156)</f>
        <v>0</v>
      </c>
      <c r="AQ687" s="28" t="s">
        <v>13</v>
      </c>
      <c r="AV687" s="34">
        <f t="shared" si="588"/>
        <v>0</v>
      </c>
      <c r="AW687" s="34">
        <f t="shared" si="589"/>
        <v>0</v>
      </c>
      <c r="AX687" s="34">
        <f t="shared" si="590"/>
        <v>0</v>
      </c>
      <c r="AY687" s="35" t="s">
        <v>3683</v>
      </c>
      <c r="AZ687" s="35" t="s">
        <v>3716</v>
      </c>
      <c r="BA687" s="27" t="s">
        <v>3729</v>
      </c>
      <c r="BC687" s="34">
        <f t="shared" si="591"/>
        <v>0</v>
      </c>
      <c r="BD687" s="34">
        <f t="shared" si="592"/>
        <v>0</v>
      </c>
      <c r="BE687" s="34">
        <v>0</v>
      </c>
      <c r="BF687" s="34">
        <f>687</f>
        <v>687</v>
      </c>
      <c r="BH687" s="18">
        <f t="shared" si="593"/>
        <v>0</v>
      </c>
      <c r="BI687" s="18">
        <f t="shared" si="594"/>
        <v>0</v>
      </c>
      <c r="BJ687" s="18">
        <f t="shared" si="595"/>
        <v>0</v>
      </c>
    </row>
    <row r="688" spans="1:62" x14ac:dyDescent="0.2">
      <c r="A688" s="5" t="s">
        <v>645</v>
      </c>
      <c r="B688" s="5" t="s">
        <v>1832</v>
      </c>
      <c r="C688" s="135" t="s">
        <v>3025</v>
      </c>
      <c r="D688" s="136"/>
      <c r="E688" s="136"/>
      <c r="F688" s="136"/>
      <c r="G688" s="136"/>
      <c r="H688" s="5" t="s">
        <v>3614</v>
      </c>
      <c r="I688" s="18">
        <v>21.3</v>
      </c>
      <c r="J688" s="18">
        <v>0</v>
      </c>
      <c r="K688" s="18">
        <f t="shared" si="576"/>
        <v>0</v>
      </c>
      <c r="L688" s="28" t="s">
        <v>3635</v>
      </c>
      <c r="Z688" s="34">
        <f t="shared" si="577"/>
        <v>0</v>
      </c>
      <c r="AB688" s="34">
        <f t="shared" si="578"/>
        <v>0</v>
      </c>
      <c r="AC688" s="34">
        <f t="shared" si="579"/>
        <v>0</v>
      </c>
      <c r="AD688" s="34">
        <f t="shared" si="580"/>
        <v>0</v>
      </c>
      <c r="AE688" s="34">
        <f t="shared" si="581"/>
        <v>0</v>
      </c>
      <c r="AF688" s="34">
        <f t="shared" si="582"/>
        <v>0</v>
      </c>
      <c r="AG688" s="34">
        <f t="shared" si="583"/>
        <v>0</v>
      </c>
      <c r="AH688" s="34">
        <f t="shared" si="584"/>
        <v>0</v>
      </c>
      <c r="AI688" s="27" t="s">
        <v>3645</v>
      </c>
      <c r="AJ688" s="18">
        <f t="shared" si="585"/>
        <v>0</v>
      </c>
      <c r="AK688" s="18">
        <f t="shared" si="586"/>
        <v>0</v>
      </c>
      <c r="AL688" s="18">
        <f t="shared" si="587"/>
        <v>0</v>
      </c>
      <c r="AN688" s="34">
        <v>21</v>
      </c>
      <c r="AO688" s="34">
        <f>J688*0.738622100954979</f>
        <v>0</v>
      </c>
      <c r="AP688" s="34">
        <f>J688*(1-0.738622100954979)</f>
        <v>0</v>
      </c>
      <c r="AQ688" s="28" t="s">
        <v>13</v>
      </c>
      <c r="AV688" s="34">
        <f t="shared" si="588"/>
        <v>0</v>
      </c>
      <c r="AW688" s="34">
        <f t="shared" si="589"/>
        <v>0</v>
      </c>
      <c r="AX688" s="34">
        <f t="shared" si="590"/>
        <v>0</v>
      </c>
      <c r="AY688" s="35" t="s">
        <v>3683</v>
      </c>
      <c r="AZ688" s="35" t="s">
        <v>3716</v>
      </c>
      <c r="BA688" s="27" t="s">
        <v>3729</v>
      </c>
      <c r="BC688" s="34">
        <f t="shared" si="591"/>
        <v>0</v>
      </c>
      <c r="BD688" s="34">
        <f t="shared" si="592"/>
        <v>0</v>
      </c>
      <c r="BE688" s="34">
        <v>0</v>
      </c>
      <c r="BF688" s="34">
        <f>688</f>
        <v>688</v>
      </c>
      <c r="BH688" s="18">
        <f t="shared" si="593"/>
        <v>0</v>
      </c>
      <c r="BI688" s="18">
        <f t="shared" si="594"/>
        <v>0</v>
      </c>
      <c r="BJ688" s="18">
        <f t="shared" si="595"/>
        <v>0</v>
      </c>
    </row>
    <row r="689" spans="1:62" x14ac:dyDescent="0.2">
      <c r="A689" s="5" t="s">
        <v>646</v>
      </c>
      <c r="B689" s="5" t="s">
        <v>1833</v>
      </c>
      <c r="C689" s="135" t="s">
        <v>3033</v>
      </c>
      <c r="D689" s="136"/>
      <c r="E689" s="136"/>
      <c r="F689" s="136"/>
      <c r="G689" s="136"/>
      <c r="H689" s="5" t="s">
        <v>3614</v>
      </c>
      <c r="I689" s="18">
        <v>66</v>
      </c>
      <c r="J689" s="18">
        <v>0</v>
      </c>
      <c r="K689" s="18">
        <f t="shared" si="576"/>
        <v>0</v>
      </c>
      <c r="L689" s="28" t="s">
        <v>3635</v>
      </c>
      <c r="Z689" s="34">
        <f t="shared" si="577"/>
        <v>0</v>
      </c>
      <c r="AB689" s="34">
        <f t="shared" si="578"/>
        <v>0</v>
      </c>
      <c r="AC689" s="34">
        <f t="shared" si="579"/>
        <v>0</v>
      </c>
      <c r="AD689" s="34">
        <f t="shared" si="580"/>
        <v>0</v>
      </c>
      <c r="AE689" s="34">
        <f t="shared" si="581"/>
        <v>0</v>
      </c>
      <c r="AF689" s="34">
        <f t="shared" si="582"/>
        <v>0</v>
      </c>
      <c r="AG689" s="34">
        <f t="shared" si="583"/>
        <v>0</v>
      </c>
      <c r="AH689" s="34">
        <f t="shared" si="584"/>
        <v>0</v>
      </c>
      <c r="AI689" s="27" t="s">
        <v>3645</v>
      </c>
      <c r="AJ689" s="18">
        <f t="shared" si="585"/>
        <v>0</v>
      </c>
      <c r="AK689" s="18">
        <f t="shared" si="586"/>
        <v>0</v>
      </c>
      <c r="AL689" s="18">
        <f t="shared" si="587"/>
        <v>0</v>
      </c>
      <c r="AN689" s="34">
        <v>21</v>
      </c>
      <c r="AO689" s="34">
        <f>J689*0.770918114143921</f>
        <v>0</v>
      </c>
      <c r="AP689" s="34">
        <f>J689*(1-0.770918114143921)</f>
        <v>0</v>
      </c>
      <c r="AQ689" s="28" t="s">
        <v>13</v>
      </c>
      <c r="AV689" s="34">
        <f t="shared" si="588"/>
        <v>0</v>
      </c>
      <c r="AW689" s="34">
        <f t="shared" si="589"/>
        <v>0</v>
      </c>
      <c r="AX689" s="34">
        <f t="shared" si="590"/>
        <v>0</v>
      </c>
      <c r="AY689" s="35" t="s">
        <v>3683</v>
      </c>
      <c r="AZ689" s="35" t="s">
        <v>3716</v>
      </c>
      <c r="BA689" s="27" t="s">
        <v>3729</v>
      </c>
      <c r="BC689" s="34">
        <f t="shared" si="591"/>
        <v>0</v>
      </c>
      <c r="BD689" s="34">
        <f t="shared" si="592"/>
        <v>0</v>
      </c>
      <c r="BE689" s="34">
        <v>0</v>
      </c>
      <c r="BF689" s="34">
        <f>689</f>
        <v>689</v>
      </c>
      <c r="BH689" s="18">
        <f t="shared" si="593"/>
        <v>0</v>
      </c>
      <c r="BI689" s="18">
        <f t="shared" si="594"/>
        <v>0</v>
      </c>
      <c r="BJ689" s="18">
        <f t="shared" si="595"/>
        <v>0</v>
      </c>
    </row>
    <row r="690" spans="1:62" x14ac:dyDescent="0.2">
      <c r="A690" s="5" t="s">
        <v>647</v>
      </c>
      <c r="B690" s="5" t="s">
        <v>1834</v>
      </c>
      <c r="C690" s="135" t="s">
        <v>3034</v>
      </c>
      <c r="D690" s="136"/>
      <c r="E690" s="136"/>
      <c r="F690" s="136"/>
      <c r="G690" s="136"/>
      <c r="H690" s="5" t="s">
        <v>3614</v>
      </c>
      <c r="I690" s="18">
        <v>200</v>
      </c>
      <c r="J690" s="18">
        <v>0</v>
      </c>
      <c r="K690" s="18">
        <f t="shared" si="576"/>
        <v>0</v>
      </c>
      <c r="L690" s="28" t="s">
        <v>3635</v>
      </c>
      <c r="Z690" s="34">
        <f t="shared" si="577"/>
        <v>0</v>
      </c>
      <c r="AB690" s="34">
        <f t="shared" si="578"/>
        <v>0</v>
      </c>
      <c r="AC690" s="34">
        <f t="shared" si="579"/>
        <v>0</v>
      </c>
      <c r="AD690" s="34">
        <f t="shared" si="580"/>
        <v>0</v>
      </c>
      <c r="AE690" s="34">
        <f t="shared" si="581"/>
        <v>0</v>
      </c>
      <c r="AF690" s="34">
        <f t="shared" si="582"/>
        <v>0</v>
      </c>
      <c r="AG690" s="34">
        <f t="shared" si="583"/>
        <v>0</v>
      </c>
      <c r="AH690" s="34">
        <f t="shared" si="584"/>
        <v>0</v>
      </c>
      <c r="AI690" s="27" t="s">
        <v>3645</v>
      </c>
      <c r="AJ690" s="18">
        <f t="shared" si="585"/>
        <v>0</v>
      </c>
      <c r="AK690" s="18">
        <f t="shared" si="586"/>
        <v>0</v>
      </c>
      <c r="AL690" s="18">
        <f t="shared" si="587"/>
        <v>0</v>
      </c>
      <c r="AN690" s="34">
        <v>21</v>
      </c>
      <c r="AO690" s="34">
        <f>J690*0.770933333333333</f>
        <v>0</v>
      </c>
      <c r="AP690" s="34">
        <f>J690*(1-0.770933333333333)</f>
        <v>0</v>
      </c>
      <c r="AQ690" s="28" t="s">
        <v>13</v>
      </c>
      <c r="AV690" s="34">
        <f t="shared" si="588"/>
        <v>0</v>
      </c>
      <c r="AW690" s="34">
        <f t="shared" si="589"/>
        <v>0</v>
      </c>
      <c r="AX690" s="34">
        <f t="shared" si="590"/>
        <v>0</v>
      </c>
      <c r="AY690" s="35" t="s">
        <v>3683</v>
      </c>
      <c r="AZ690" s="35" t="s">
        <v>3716</v>
      </c>
      <c r="BA690" s="27" t="s">
        <v>3729</v>
      </c>
      <c r="BC690" s="34">
        <f t="shared" si="591"/>
        <v>0</v>
      </c>
      <c r="BD690" s="34">
        <f t="shared" si="592"/>
        <v>0</v>
      </c>
      <c r="BE690" s="34">
        <v>0</v>
      </c>
      <c r="BF690" s="34">
        <f>690</f>
        <v>690</v>
      </c>
      <c r="BH690" s="18">
        <f t="shared" si="593"/>
        <v>0</v>
      </c>
      <c r="BI690" s="18">
        <f t="shared" si="594"/>
        <v>0</v>
      </c>
      <c r="BJ690" s="18">
        <f t="shared" si="595"/>
        <v>0</v>
      </c>
    </row>
    <row r="691" spans="1:62" x14ac:dyDescent="0.2">
      <c r="A691" s="5" t="s">
        <v>648</v>
      </c>
      <c r="B691" s="5" t="s">
        <v>1835</v>
      </c>
      <c r="C691" s="135" t="s">
        <v>3035</v>
      </c>
      <c r="D691" s="136"/>
      <c r="E691" s="136"/>
      <c r="F691" s="136"/>
      <c r="G691" s="136"/>
      <c r="H691" s="5" t="s">
        <v>3614</v>
      </c>
      <c r="I691" s="18">
        <v>100</v>
      </c>
      <c r="J691" s="18">
        <v>0</v>
      </c>
      <c r="K691" s="18">
        <f t="shared" si="576"/>
        <v>0</v>
      </c>
      <c r="L691" s="28" t="s">
        <v>3635</v>
      </c>
      <c r="Z691" s="34">
        <f t="shared" si="577"/>
        <v>0</v>
      </c>
      <c r="AB691" s="34">
        <f t="shared" si="578"/>
        <v>0</v>
      </c>
      <c r="AC691" s="34">
        <f t="shared" si="579"/>
        <v>0</v>
      </c>
      <c r="AD691" s="34">
        <f t="shared" si="580"/>
        <v>0</v>
      </c>
      <c r="AE691" s="34">
        <f t="shared" si="581"/>
        <v>0</v>
      </c>
      <c r="AF691" s="34">
        <f t="shared" si="582"/>
        <v>0</v>
      </c>
      <c r="AG691" s="34">
        <f t="shared" si="583"/>
        <v>0</v>
      </c>
      <c r="AH691" s="34">
        <f t="shared" si="584"/>
        <v>0</v>
      </c>
      <c r="AI691" s="27" t="s">
        <v>3645</v>
      </c>
      <c r="AJ691" s="18">
        <f t="shared" si="585"/>
        <v>0</v>
      </c>
      <c r="AK691" s="18">
        <f t="shared" si="586"/>
        <v>0</v>
      </c>
      <c r="AL691" s="18">
        <f t="shared" si="587"/>
        <v>0</v>
      </c>
      <c r="AN691" s="34">
        <v>21</v>
      </c>
      <c r="AO691" s="34">
        <f>J691*0.770927835051546</f>
        <v>0</v>
      </c>
      <c r="AP691" s="34">
        <f>J691*(1-0.770927835051546)</f>
        <v>0</v>
      </c>
      <c r="AQ691" s="28" t="s">
        <v>13</v>
      </c>
      <c r="AV691" s="34">
        <f t="shared" si="588"/>
        <v>0</v>
      </c>
      <c r="AW691" s="34">
        <f t="shared" si="589"/>
        <v>0</v>
      </c>
      <c r="AX691" s="34">
        <f t="shared" si="590"/>
        <v>0</v>
      </c>
      <c r="AY691" s="35" t="s">
        <v>3683</v>
      </c>
      <c r="AZ691" s="35" t="s">
        <v>3716</v>
      </c>
      <c r="BA691" s="27" t="s">
        <v>3729</v>
      </c>
      <c r="BC691" s="34">
        <f t="shared" si="591"/>
        <v>0</v>
      </c>
      <c r="BD691" s="34">
        <f t="shared" si="592"/>
        <v>0</v>
      </c>
      <c r="BE691" s="34">
        <v>0</v>
      </c>
      <c r="BF691" s="34">
        <f>691</f>
        <v>691</v>
      </c>
      <c r="BH691" s="18">
        <f t="shared" si="593"/>
        <v>0</v>
      </c>
      <c r="BI691" s="18">
        <f t="shared" si="594"/>
        <v>0</v>
      </c>
      <c r="BJ691" s="18">
        <f t="shared" si="595"/>
        <v>0</v>
      </c>
    </row>
    <row r="692" spans="1:62" x14ac:dyDescent="0.2">
      <c r="A692" s="5" t="s">
        <v>649</v>
      </c>
      <c r="B692" s="5" t="s">
        <v>1836</v>
      </c>
      <c r="C692" s="135" t="s">
        <v>3036</v>
      </c>
      <c r="D692" s="136"/>
      <c r="E692" s="136"/>
      <c r="F692" s="136"/>
      <c r="G692" s="136"/>
      <c r="H692" s="5" t="s">
        <v>3614</v>
      </c>
      <c r="I692" s="18">
        <v>36.814999999999998</v>
      </c>
      <c r="J692" s="18">
        <v>0</v>
      </c>
      <c r="K692" s="18">
        <f t="shared" si="576"/>
        <v>0</v>
      </c>
      <c r="L692" s="28" t="s">
        <v>3635</v>
      </c>
      <c r="Z692" s="34">
        <f t="shared" si="577"/>
        <v>0</v>
      </c>
      <c r="AB692" s="34">
        <f t="shared" si="578"/>
        <v>0</v>
      </c>
      <c r="AC692" s="34">
        <f t="shared" si="579"/>
        <v>0</v>
      </c>
      <c r="AD692" s="34">
        <f t="shared" si="580"/>
        <v>0</v>
      </c>
      <c r="AE692" s="34">
        <f t="shared" si="581"/>
        <v>0</v>
      </c>
      <c r="AF692" s="34">
        <f t="shared" si="582"/>
        <v>0</v>
      </c>
      <c r="AG692" s="34">
        <f t="shared" si="583"/>
        <v>0</v>
      </c>
      <c r="AH692" s="34">
        <f t="shared" si="584"/>
        <v>0</v>
      </c>
      <c r="AI692" s="27" t="s">
        <v>3645</v>
      </c>
      <c r="AJ692" s="18">
        <f t="shared" si="585"/>
        <v>0</v>
      </c>
      <c r="AK692" s="18">
        <f t="shared" si="586"/>
        <v>0</v>
      </c>
      <c r="AL692" s="18">
        <f t="shared" si="587"/>
        <v>0</v>
      </c>
      <c r="AN692" s="34">
        <v>21</v>
      </c>
      <c r="AO692" s="34">
        <f>J692*0.770907894736842</f>
        <v>0</v>
      </c>
      <c r="AP692" s="34">
        <f>J692*(1-0.770907894736842)</f>
        <v>0</v>
      </c>
      <c r="AQ692" s="28" t="s">
        <v>13</v>
      </c>
      <c r="AV692" s="34">
        <f t="shared" si="588"/>
        <v>0</v>
      </c>
      <c r="AW692" s="34">
        <f t="shared" si="589"/>
        <v>0</v>
      </c>
      <c r="AX692" s="34">
        <f t="shared" si="590"/>
        <v>0</v>
      </c>
      <c r="AY692" s="35" t="s">
        <v>3683</v>
      </c>
      <c r="AZ692" s="35" t="s">
        <v>3716</v>
      </c>
      <c r="BA692" s="27" t="s">
        <v>3729</v>
      </c>
      <c r="BC692" s="34">
        <f t="shared" si="591"/>
        <v>0</v>
      </c>
      <c r="BD692" s="34">
        <f t="shared" si="592"/>
        <v>0</v>
      </c>
      <c r="BE692" s="34">
        <v>0</v>
      </c>
      <c r="BF692" s="34">
        <f>692</f>
        <v>692</v>
      </c>
      <c r="BH692" s="18">
        <f t="shared" si="593"/>
        <v>0</v>
      </c>
      <c r="BI692" s="18">
        <f t="shared" si="594"/>
        <v>0</v>
      </c>
      <c r="BJ692" s="18">
        <f t="shared" si="595"/>
        <v>0</v>
      </c>
    </row>
    <row r="693" spans="1:62" x14ac:dyDescent="0.2">
      <c r="A693" s="5" t="s">
        <v>650</v>
      </c>
      <c r="B693" s="5" t="s">
        <v>1837</v>
      </c>
      <c r="C693" s="135" t="s">
        <v>3037</v>
      </c>
      <c r="D693" s="136"/>
      <c r="E693" s="136"/>
      <c r="F693" s="136"/>
      <c r="G693" s="136"/>
      <c r="H693" s="5" t="s">
        <v>3616</v>
      </c>
      <c r="I693" s="18">
        <v>2.9319999999999999</v>
      </c>
      <c r="J693" s="18">
        <v>0</v>
      </c>
      <c r="K693" s="18">
        <f t="shared" si="576"/>
        <v>0</v>
      </c>
      <c r="L693" s="28" t="s">
        <v>3635</v>
      </c>
      <c r="Z693" s="34">
        <f t="shared" si="577"/>
        <v>0</v>
      </c>
      <c r="AB693" s="34">
        <f t="shared" si="578"/>
        <v>0</v>
      </c>
      <c r="AC693" s="34">
        <f t="shared" si="579"/>
        <v>0</v>
      </c>
      <c r="AD693" s="34">
        <f t="shared" si="580"/>
        <v>0</v>
      </c>
      <c r="AE693" s="34">
        <f t="shared" si="581"/>
        <v>0</v>
      </c>
      <c r="AF693" s="34">
        <f t="shared" si="582"/>
        <v>0</v>
      </c>
      <c r="AG693" s="34">
        <f t="shared" si="583"/>
        <v>0</v>
      </c>
      <c r="AH693" s="34">
        <f t="shared" si="584"/>
        <v>0</v>
      </c>
      <c r="AI693" s="27" t="s">
        <v>3645</v>
      </c>
      <c r="AJ693" s="18">
        <f t="shared" si="585"/>
        <v>0</v>
      </c>
      <c r="AK693" s="18">
        <f t="shared" si="586"/>
        <v>0</v>
      </c>
      <c r="AL693" s="18">
        <f t="shared" si="587"/>
        <v>0</v>
      </c>
      <c r="AN693" s="34">
        <v>21</v>
      </c>
      <c r="AO693" s="34">
        <f>J693*0</f>
        <v>0</v>
      </c>
      <c r="AP693" s="34">
        <f>J693*(1-0)</f>
        <v>0</v>
      </c>
      <c r="AQ693" s="28" t="s">
        <v>11</v>
      </c>
      <c r="AV693" s="34">
        <f t="shared" si="588"/>
        <v>0</v>
      </c>
      <c r="AW693" s="34">
        <f t="shared" si="589"/>
        <v>0</v>
      </c>
      <c r="AX693" s="34">
        <f t="shared" si="590"/>
        <v>0</v>
      </c>
      <c r="AY693" s="35" t="s">
        <v>3683</v>
      </c>
      <c r="AZ693" s="35" t="s">
        <v>3716</v>
      </c>
      <c r="BA693" s="27" t="s">
        <v>3729</v>
      </c>
      <c r="BC693" s="34">
        <f t="shared" si="591"/>
        <v>0</v>
      </c>
      <c r="BD693" s="34">
        <f t="shared" si="592"/>
        <v>0</v>
      </c>
      <c r="BE693" s="34">
        <v>0</v>
      </c>
      <c r="BF693" s="34">
        <f>693</f>
        <v>693</v>
      </c>
      <c r="BH693" s="18">
        <f t="shared" si="593"/>
        <v>0</v>
      </c>
      <c r="BI693" s="18">
        <f t="shared" si="594"/>
        <v>0</v>
      </c>
      <c r="BJ693" s="18">
        <f t="shared" si="595"/>
        <v>0</v>
      </c>
    </row>
    <row r="694" spans="1:62" x14ac:dyDescent="0.2">
      <c r="A694" s="4"/>
      <c r="B694" s="14" t="s">
        <v>772</v>
      </c>
      <c r="C694" s="133" t="s">
        <v>3038</v>
      </c>
      <c r="D694" s="134"/>
      <c r="E694" s="134"/>
      <c r="F694" s="134"/>
      <c r="G694" s="134"/>
      <c r="H694" s="4" t="s">
        <v>6</v>
      </c>
      <c r="I694" s="4" t="s">
        <v>6</v>
      </c>
      <c r="J694" s="4" t="s">
        <v>6</v>
      </c>
      <c r="K694" s="37">
        <f>SUM(K695:K719)</f>
        <v>0</v>
      </c>
      <c r="L694" s="27"/>
      <c r="AI694" s="27" t="s">
        <v>3645</v>
      </c>
      <c r="AS694" s="37">
        <f>SUM(AJ695:AJ719)</f>
        <v>0</v>
      </c>
      <c r="AT694" s="37">
        <f>SUM(AK695:AK719)</f>
        <v>0</v>
      </c>
      <c r="AU694" s="37">
        <f>SUM(AL695:AL719)</f>
        <v>0</v>
      </c>
    </row>
    <row r="695" spans="1:62" x14ac:dyDescent="0.2">
      <c r="A695" s="5" t="s">
        <v>651</v>
      </c>
      <c r="B695" s="5" t="s">
        <v>1838</v>
      </c>
      <c r="C695" s="135" t="s">
        <v>3039</v>
      </c>
      <c r="D695" s="136"/>
      <c r="E695" s="136"/>
      <c r="F695" s="136"/>
      <c r="G695" s="136"/>
      <c r="H695" s="5" t="s">
        <v>3614</v>
      </c>
      <c r="I695" s="18">
        <v>168.16</v>
      </c>
      <c r="J695" s="18">
        <v>0</v>
      </c>
      <c r="K695" s="18">
        <f t="shared" ref="K695:K719" si="596">I695*J695</f>
        <v>0</v>
      </c>
      <c r="L695" s="28" t="s">
        <v>3635</v>
      </c>
      <c r="Z695" s="34">
        <f t="shared" ref="Z695:Z719" si="597">IF(AQ695="5",BJ695,0)</f>
        <v>0</v>
      </c>
      <c r="AB695" s="34">
        <f t="shared" ref="AB695:AB719" si="598">IF(AQ695="1",BH695,0)</f>
        <v>0</v>
      </c>
      <c r="AC695" s="34">
        <f t="shared" ref="AC695:AC719" si="599">IF(AQ695="1",BI695,0)</f>
        <v>0</v>
      </c>
      <c r="AD695" s="34">
        <f t="shared" ref="AD695:AD719" si="600">IF(AQ695="7",BH695,0)</f>
        <v>0</v>
      </c>
      <c r="AE695" s="34">
        <f t="shared" ref="AE695:AE719" si="601">IF(AQ695="7",BI695,0)</f>
        <v>0</v>
      </c>
      <c r="AF695" s="34">
        <f t="shared" ref="AF695:AF719" si="602">IF(AQ695="2",BH695,0)</f>
        <v>0</v>
      </c>
      <c r="AG695" s="34">
        <f t="shared" ref="AG695:AG719" si="603">IF(AQ695="2",BI695,0)</f>
        <v>0</v>
      </c>
      <c r="AH695" s="34">
        <f t="shared" ref="AH695:AH719" si="604">IF(AQ695="0",BJ695,0)</f>
        <v>0</v>
      </c>
      <c r="AI695" s="27" t="s">
        <v>3645</v>
      </c>
      <c r="AJ695" s="18">
        <f t="shared" ref="AJ695:AJ719" si="605">IF(AN695=0,K695,0)</f>
        <v>0</v>
      </c>
      <c r="AK695" s="18">
        <f t="shared" ref="AK695:AK719" si="606">IF(AN695=15,K695,0)</f>
        <v>0</v>
      </c>
      <c r="AL695" s="18">
        <f t="shared" ref="AL695:AL719" si="607">IF(AN695=21,K695,0)</f>
        <v>0</v>
      </c>
      <c r="AN695" s="34">
        <v>21</v>
      </c>
      <c r="AO695" s="34">
        <f>J695*0.423699731903485</f>
        <v>0</v>
      </c>
      <c r="AP695" s="34">
        <f>J695*(1-0.423699731903485)</f>
        <v>0</v>
      </c>
      <c r="AQ695" s="28" t="s">
        <v>13</v>
      </c>
      <c r="AV695" s="34">
        <f t="shared" ref="AV695:AV719" si="608">AW695+AX695</f>
        <v>0</v>
      </c>
      <c r="AW695" s="34">
        <f t="shared" ref="AW695:AW719" si="609">I695*AO695</f>
        <v>0</v>
      </c>
      <c r="AX695" s="34">
        <f t="shared" ref="AX695:AX719" si="610">I695*AP695</f>
        <v>0</v>
      </c>
      <c r="AY695" s="35" t="s">
        <v>3684</v>
      </c>
      <c r="AZ695" s="35" t="s">
        <v>3716</v>
      </c>
      <c r="BA695" s="27" t="s">
        <v>3729</v>
      </c>
      <c r="BC695" s="34">
        <f t="shared" ref="BC695:BC719" si="611">AW695+AX695</f>
        <v>0</v>
      </c>
      <c r="BD695" s="34">
        <f t="shared" ref="BD695:BD719" si="612">J695/(100-BE695)*100</f>
        <v>0</v>
      </c>
      <c r="BE695" s="34">
        <v>0</v>
      </c>
      <c r="BF695" s="34">
        <f>695</f>
        <v>695</v>
      </c>
      <c r="BH695" s="18">
        <f t="shared" ref="BH695:BH719" si="613">I695*AO695</f>
        <v>0</v>
      </c>
      <c r="BI695" s="18">
        <f t="shared" ref="BI695:BI719" si="614">I695*AP695</f>
        <v>0</v>
      </c>
      <c r="BJ695" s="18">
        <f t="shared" ref="BJ695:BJ719" si="615">I695*J695</f>
        <v>0</v>
      </c>
    </row>
    <row r="696" spans="1:62" x14ac:dyDescent="0.2">
      <c r="A696" s="5" t="s">
        <v>652</v>
      </c>
      <c r="B696" s="5" t="s">
        <v>1839</v>
      </c>
      <c r="C696" s="135" t="s">
        <v>3040</v>
      </c>
      <c r="D696" s="136"/>
      <c r="E696" s="136"/>
      <c r="F696" s="136"/>
      <c r="G696" s="136"/>
      <c r="H696" s="5" t="s">
        <v>3614</v>
      </c>
      <c r="I696" s="18">
        <v>36.814999999999998</v>
      </c>
      <c r="J696" s="18">
        <v>0</v>
      </c>
      <c r="K696" s="18">
        <f t="shared" si="596"/>
        <v>0</v>
      </c>
      <c r="L696" s="28" t="s">
        <v>3635</v>
      </c>
      <c r="Z696" s="34">
        <f t="shared" si="597"/>
        <v>0</v>
      </c>
      <c r="AB696" s="34">
        <f t="shared" si="598"/>
        <v>0</v>
      </c>
      <c r="AC696" s="34">
        <f t="shared" si="599"/>
        <v>0</v>
      </c>
      <c r="AD696" s="34">
        <f t="shared" si="600"/>
        <v>0</v>
      </c>
      <c r="AE696" s="34">
        <f t="shared" si="601"/>
        <v>0</v>
      </c>
      <c r="AF696" s="34">
        <f t="shared" si="602"/>
        <v>0</v>
      </c>
      <c r="AG696" s="34">
        <f t="shared" si="603"/>
        <v>0</v>
      </c>
      <c r="AH696" s="34">
        <f t="shared" si="604"/>
        <v>0</v>
      </c>
      <c r="AI696" s="27" t="s">
        <v>3645</v>
      </c>
      <c r="AJ696" s="18">
        <f t="shared" si="605"/>
        <v>0</v>
      </c>
      <c r="AK696" s="18">
        <f t="shared" si="606"/>
        <v>0</v>
      </c>
      <c r="AL696" s="18">
        <f t="shared" si="607"/>
        <v>0</v>
      </c>
      <c r="AN696" s="34">
        <v>21</v>
      </c>
      <c r="AO696" s="34">
        <f>J696*0.262479477194945</f>
        <v>0</v>
      </c>
      <c r="AP696" s="34">
        <f>J696*(1-0.262479477194945)</f>
        <v>0</v>
      </c>
      <c r="AQ696" s="28" t="s">
        <v>13</v>
      </c>
      <c r="AV696" s="34">
        <f t="shared" si="608"/>
        <v>0</v>
      </c>
      <c r="AW696" s="34">
        <f t="shared" si="609"/>
        <v>0</v>
      </c>
      <c r="AX696" s="34">
        <f t="shared" si="610"/>
        <v>0</v>
      </c>
      <c r="AY696" s="35" t="s">
        <v>3684</v>
      </c>
      <c r="AZ696" s="35" t="s">
        <v>3716</v>
      </c>
      <c r="BA696" s="27" t="s">
        <v>3729</v>
      </c>
      <c r="BC696" s="34">
        <f t="shared" si="611"/>
        <v>0</v>
      </c>
      <c r="BD696" s="34">
        <f t="shared" si="612"/>
        <v>0</v>
      </c>
      <c r="BE696" s="34">
        <v>0</v>
      </c>
      <c r="BF696" s="34">
        <f>696</f>
        <v>696</v>
      </c>
      <c r="BH696" s="18">
        <f t="shared" si="613"/>
        <v>0</v>
      </c>
      <c r="BI696" s="18">
        <f t="shared" si="614"/>
        <v>0</v>
      </c>
      <c r="BJ696" s="18">
        <f t="shared" si="615"/>
        <v>0</v>
      </c>
    </row>
    <row r="697" spans="1:62" x14ac:dyDescent="0.2">
      <c r="A697" s="5" t="s">
        <v>653</v>
      </c>
      <c r="B697" s="5" t="s">
        <v>1840</v>
      </c>
      <c r="C697" s="135" t="s">
        <v>3041</v>
      </c>
      <c r="D697" s="136"/>
      <c r="E697" s="136"/>
      <c r="F697" s="136"/>
      <c r="G697" s="136"/>
      <c r="H697" s="5" t="s">
        <v>3612</v>
      </c>
      <c r="I697" s="18">
        <v>15</v>
      </c>
      <c r="J697" s="18">
        <v>0</v>
      </c>
      <c r="K697" s="18">
        <f t="shared" si="596"/>
        <v>0</v>
      </c>
      <c r="L697" s="28" t="s">
        <v>3635</v>
      </c>
      <c r="Z697" s="34">
        <f t="shared" si="597"/>
        <v>0</v>
      </c>
      <c r="AB697" s="34">
        <f t="shared" si="598"/>
        <v>0</v>
      </c>
      <c r="AC697" s="34">
        <f t="shared" si="599"/>
        <v>0</v>
      </c>
      <c r="AD697" s="34">
        <f t="shared" si="600"/>
        <v>0</v>
      </c>
      <c r="AE697" s="34">
        <f t="shared" si="601"/>
        <v>0</v>
      </c>
      <c r="AF697" s="34">
        <f t="shared" si="602"/>
        <v>0</v>
      </c>
      <c r="AG697" s="34">
        <f t="shared" si="603"/>
        <v>0</v>
      </c>
      <c r="AH697" s="34">
        <f t="shared" si="604"/>
        <v>0</v>
      </c>
      <c r="AI697" s="27" t="s">
        <v>3645</v>
      </c>
      <c r="AJ697" s="18">
        <f t="shared" si="605"/>
        <v>0</v>
      </c>
      <c r="AK697" s="18">
        <f t="shared" si="606"/>
        <v>0</v>
      </c>
      <c r="AL697" s="18">
        <f t="shared" si="607"/>
        <v>0</v>
      </c>
      <c r="AN697" s="34">
        <v>21</v>
      </c>
      <c r="AO697" s="34">
        <f>J697*0.0628149824032177</f>
        <v>0</v>
      </c>
      <c r="AP697" s="34">
        <f>J697*(1-0.0628149824032177)</f>
        <v>0</v>
      </c>
      <c r="AQ697" s="28" t="s">
        <v>13</v>
      </c>
      <c r="AV697" s="34">
        <f t="shared" si="608"/>
        <v>0</v>
      </c>
      <c r="AW697" s="34">
        <f t="shared" si="609"/>
        <v>0</v>
      </c>
      <c r="AX697" s="34">
        <f t="shared" si="610"/>
        <v>0</v>
      </c>
      <c r="AY697" s="35" t="s">
        <v>3684</v>
      </c>
      <c r="AZ697" s="35" t="s">
        <v>3716</v>
      </c>
      <c r="BA697" s="27" t="s">
        <v>3729</v>
      </c>
      <c r="BC697" s="34">
        <f t="shared" si="611"/>
        <v>0</v>
      </c>
      <c r="BD697" s="34">
        <f t="shared" si="612"/>
        <v>0</v>
      </c>
      <c r="BE697" s="34">
        <v>0</v>
      </c>
      <c r="BF697" s="34">
        <f>697</f>
        <v>697</v>
      </c>
      <c r="BH697" s="18">
        <f t="shared" si="613"/>
        <v>0</v>
      </c>
      <c r="BI697" s="18">
        <f t="shared" si="614"/>
        <v>0</v>
      </c>
      <c r="BJ697" s="18">
        <f t="shared" si="615"/>
        <v>0</v>
      </c>
    </row>
    <row r="698" spans="1:62" x14ac:dyDescent="0.2">
      <c r="A698" s="5" t="s">
        <v>654</v>
      </c>
      <c r="B698" s="5" t="s">
        <v>1841</v>
      </c>
      <c r="C698" s="135" t="s">
        <v>3042</v>
      </c>
      <c r="D698" s="136"/>
      <c r="E698" s="136"/>
      <c r="F698" s="136"/>
      <c r="G698" s="136"/>
      <c r="H698" s="5" t="s">
        <v>3612</v>
      </c>
      <c r="I698" s="18">
        <v>1</v>
      </c>
      <c r="J698" s="18">
        <v>0</v>
      </c>
      <c r="K698" s="18">
        <f t="shared" si="596"/>
        <v>0</v>
      </c>
      <c r="L698" s="28" t="s">
        <v>3635</v>
      </c>
      <c r="Z698" s="34">
        <f t="shared" si="597"/>
        <v>0</v>
      </c>
      <c r="AB698" s="34">
        <f t="shared" si="598"/>
        <v>0</v>
      </c>
      <c r="AC698" s="34">
        <f t="shared" si="599"/>
        <v>0</v>
      </c>
      <c r="AD698" s="34">
        <f t="shared" si="600"/>
        <v>0</v>
      </c>
      <c r="AE698" s="34">
        <f t="shared" si="601"/>
        <v>0</v>
      </c>
      <c r="AF698" s="34">
        <f t="shared" si="602"/>
        <v>0</v>
      </c>
      <c r="AG698" s="34">
        <f t="shared" si="603"/>
        <v>0</v>
      </c>
      <c r="AH698" s="34">
        <f t="shared" si="604"/>
        <v>0</v>
      </c>
      <c r="AI698" s="27" t="s">
        <v>3645</v>
      </c>
      <c r="AJ698" s="18">
        <f t="shared" si="605"/>
        <v>0</v>
      </c>
      <c r="AK698" s="18">
        <f t="shared" si="606"/>
        <v>0</v>
      </c>
      <c r="AL698" s="18">
        <f t="shared" si="607"/>
        <v>0</v>
      </c>
      <c r="AN698" s="34">
        <v>21</v>
      </c>
      <c r="AO698" s="34">
        <f>J698*0.0628150319829424</f>
        <v>0</v>
      </c>
      <c r="AP698" s="34">
        <f>J698*(1-0.0628150319829424)</f>
        <v>0</v>
      </c>
      <c r="AQ698" s="28" t="s">
        <v>13</v>
      </c>
      <c r="AV698" s="34">
        <f t="shared" si="608"/>
        <v>0</v>
      </c>
      <c r="AW698" s="34">
        <f t="shared" si="609"/>
        <v>0</v>
      </c>
      <c r="AX698" s="34">
        <f t="shared" si="610"/>
        <v>0</v>
      </c>
      <c r="AY698" s="35" t="s">
        <v>3684</v>
      </c>
      <c r="AZ698" s="35" t="s">
        <v>3716</v>
      </c>
      <c r="BA698" s="27" t="s">
        <v>3729</v>
      </c>
      <c r="BC698" s="34">
        <f t="shared" si="611"/>
        <v>0</v>
      </c>
      <c r="BD698" s="34">
        <f t="shared" si="612"/>
        <v>0</v>
      </c>
      <c r="BE698" s="34">
        <v>0</v>
      </c>
      <c r="BF698" s="34">
        <f>698</f>
        <v>698</v>
      </c>
      <c r="BH698" s="18">
        <f t="shared" si="613"/>
        <v>0</v>
      </c>
      <c r="BI698" s="18">
        <f t="shared" si="614"/>
        <v>0</v>
      </c>
      <c r="BJ698" s="18">
        <f t="shared" si="615"/>
        <v>0</v>
      </c>
    </row>
    <row r="699" spans="1:62" x14ac:dyDescent="0.2">
      <c r="A699" s="5" t="s">
        <v>655</v>
      </c>
      <c r="B699" s="5" t="s">
        <v>1842</v>
      </c>
      <c r="C699" s="135" t="s">
        <v>3043</v>
      </c>
      <c r="D699" s="136"/>
      <c r="E699" s="136"/>
      <c r="F699" s="136"/>
      <c r="G699" s="136"/>
      <c r="H699" s="5" t="s">
        <v>3612</v>
      </c>
      <c r="I699" s="18">
        <v>12</v>
      </c>
      <c r="J699" s="18">
        <v>0</v>
      </c>
      <c r="K699" s="18">
        <f t="shared" si="596"/>
        <v>0</v>
      </c>
      <c r="L699" s="28" t="s">
        <v>3635</v>
      </c>
      <c r="Z699" s="34">
        <f t="shared" si="597"/>
        <v>0</v>
      </c>
      <c r="AB699" s="34">
        <f t="shared" si="598"/>
        <v>0</v>
      </c>
      <c r="AC699" s="34">
        <f t="shared" si="599"/>
        <v>0</v>
      </c>
      <c r="AD699" s="34">
        <f t="shared" si="600"/>
        <v>0</v>
      </c>
      <c r="AE699" s="34">
        <f t="shared" si="601"/>
        <v>0</v>
      </c>
      <c r="AF699" s="34">
        <f t="shared" si="602"/>
        <v>0</v>
      </c>
      <c r="AG699" s="34">
        <f t="shared" si="603"/>
        <v>0</v>
      </c>
      <c r="AH699" s="34">
        <f t="shared" si="604"/>
        <v>0</v>
      </c>
      <c r="AI699" s="27" t="s">
        <v>3645</v>
      </c>
      <c r="AJ699" s="18">
        <f t="shared" si="605"/>
        <v>0</v>
      </c>
      <c r="AK699" s="18">
        <f t="shared" si="606"/>
        <v>0</v>
      </c>
      <c r="AL699" s="18">
        <f t="shared" si="607"/>
        <v>0</v>
      </c>
      <c r="AN699" s="34">
        <v>21</v>
      </c>
      <c r="AO699" s="34">
        <f>J699*0.0628157894736842</f>
        <v>0</v>
      </c>
      <c r="AP699" s="34">
        <f>J699*(1-0.0628157894736842)</f>
        <v>0</v>
      </c>
      <c r="AQ699" s="28" t="s">
        <v>13</v>
      </c>
      <c r="AV699" s="34">
        <f t="shared" si="608"/>
        <v>0</v>
      </c>
      <c r="AW699" s="34">
        <f t="shared" si="609"/>
        <v>0</v>
      </c>
      <c r="AX699" s="34">
        <f t="shared" si="610"/>
        <v>0</v>
      </c>
      <c r="AY699" s="35" t="s">
        <v>3684</v>
      </c>
      <c r="AZ699" s="35" t="s">
        <v>3716</v>
      </c>
      <c r="BA699" s="27" t="s">
        <v>3729</v>
      </c>
      <c r="BC699" s="34">
        <f t="shared" si="611"/>
        <v>0</v>
      </c>
      <c r="BD699" s="34">
        <f t="shared" si="612"/>
        <v>0</v>
      </c>
      <c r="BE699" s="34">
        <v>0</v>
      </c>
      <c r="BF699" s="34">
        <f>699</f>
        <v>699</v>
      </c>
      <c r="BH699" s="18">
        <f t="shared" si="613"/>
        <v>0</v>
      </c>
      <c r="BI699" s="18">
        <f t="shared" si="614"/>
        <v>0</v>
      </c>
      <c r="BJ699" s="18">
        <f t="shared" si="615"/>
        <v>0</v>
      </c>
    </row>
    <row r="700" spans="1:62" x14ac:dyDescent="0.2">
      <c r="A700" s="5" t="s">
        <v>656</v>
      </c>
      <c r="B700" s="5" t="s">
        <v>1843</v>
      </c>
      <c r="C700" s="135" t="s">
        <v>3044</v>
      </c>
      <c r="D700" s="136"/>
      <c r="E700" s="136"/>
      <c r="F700" s="136"/>
      <c r="G700" s="136"/>
      <c r="H700" s="5" t="s">
        <v>3612</v>
      </c>
      <c r="I700" s="18">
        <v>1</v>
      </c>
      <c r="J700" s="18">
        <v>0</v>
      </c>
      <c r="K700" s="18">
        <f t="shared" si="596"/>
        <v>0</v>
      </c>
      <c r="L700" s="28" t="s">
        <v>3635</v>
      </c>
      <c r="Z700" s="34">
        <f t="shared" si="597"/>
        <v>0</v>
      </c>
      <c r="AB700" s="34">
        <f t="shared" si="598"/>
        <v>0</v>
      </c>
      <c r="AC700" s="34">
        <f t="shared" si="599"/>
        <v>0</v>
      </c>
      <c r="AD700" s="34">
        <f t="shared" si="600"/>
        <v>0</v>
      </c>
      <c r="AE700" s="34">
        <f t="shared" si="601"/>
        <v>0</v>
      </c>
      <c r="AF700" s="34">
        <f t="shared" si="602"/>
        <v>0</v>
      </c>
      <c r="AG700" s="34">
        <f t="shared" si="603"/>
        <v>0</v>
      </c>
      <c r="AH700" s="34">
        <f t="shared" si="604"/>
        <v>0</v>
      </c>
      <c r="AI700" s="27" t="s">
        <v>3645</v>
      </c>
      <c r="AJ700" s="18">
        <f t="shared" si="605"/>
        <v>0</v>
      </c>
      <c r="AK700" s="18">
        <f t="shared" si="606"/>
        <v>0</v>
      </c>
      <c r="AL700" s="18">
        <f t="shared" si="607"/>
        <v>0</v>
      </c>
      <c r="AN700" s="34">
        <v>21</v>
      </c>
      <c r="AO700" s="34">
        <f>J700*0.0628157565652355</f>
        <v>0</v>
      </c>
      <c r="AP700" s="34">
        <f>J700*(1-0.0628157565652355)</f>
        <v>0</v>
      </c>
      <c r="AQ700" s="28" t="s">
        <v>13</v>
      </c>
      <c r="AV700" s="34">
        <f t="shared" si="608"/>
        <v>0</v>
      </c>
      <c r="AW700" s="34">
        <f t="shared" si="609"/>
        <v>0</v>
      </c>
      <c r="AX700" s="34">
        <f t="shared" si="610"/>
        <v>0</v>
      </c>
      <c r="AY700" s="35" t="s">
        <v>3684</v>
      </c>
      <c r="AZ700" s="35" t="s">
        <v>3716</v>
      </c>
      <c r="BA700" s="27" t="s">
        <v>3729</v>
      </c>
      <c r="BC700" s="34">
        <f t="shared" si="611"/>
        <v>0</v>
      </c>
      <c r="BD700" s="34">
        <f t="shared" si="612"/>
        <v>0</v>
      </c>
      <c r="BE700" s="34">
        <v>0</v>
      </c>
      <c r="BF700" s="34">
        <f>700</f>
        <v>700</v>
      </c>
      <c r="BH700" s="18">
        <f t="shared" si="613"/>
        <v>0</v>
      </c>
      <c r="BI700" s="18">
        <f t="shared" si="614"/>
        <v>0</v>
      </c>
      <c r="BJ700" s="18">
        <f t="shared" si="615"/>
        <v>0</v>
      </c>
    </row>
    <row r="701" spans="1:62" x14ac:dyDescent="0.2">
      <c r="A701" s="5" t="s">
        <v>657</v>
      </c>
      <c r="B701" s="5" t="s">
        <v>1844</v>
      </c>
      <c r="C701" s="135" t="s">
        <v>3045</v>
      </c>
      <c r="D701" s="136"/>
      <c r="E701" s="136"/>
      <c r="F701" s="136"/>
      <c r="G701" s="136"/>
      <c r="H701" s="5" t="s">
        <v>3612</v>
      </c>
      <c r="I701" s="18">
        <v>1</v>
      </c>
      <c r="J701" s="18">
        <v>0</v>
      </c>
      <c r="K701" s="18">
        <f t="shared" si="596"/>
        <v>0</v>
      </c>
      <c r="L701" s="28" t="s">
        <v>3635</v>
      </c>
      <c r="Z701" s="34">
        <f t="shared" si="597"/>
        <v>0</v>
      </c>
      <c r="AB701" s="34">
        <f t="shared" si="598"/>
        <v>0</v>
      </c>
      <c r="AC701" s="34">
        <f t="shared" si="599"/>
        <v>0</v>
      </c>
      <c r="AD701" s="34">
        <f t="shared" si="600"/>
        <v>0</v>
      </c>
      <c r="AE701" s="34">
        <f t="shared" si="601"/>
        <v>0</v>
      </c>
      <c r="AF701" s="34">
        <f t="shared" si="602"/>
        <v>0</v>
      </c>
      <c r="AG701" s="34">
        <f t="shared" si="603"/>
        <v>0</v>
      </c>
      <c r="AH701" s="34">
        <f t="shared" si="604"/>
        <v>0</v>
      </c>
      <c r="AI701" s="27" t="s">
        <v>3645</v>
      </c>
      <c r="AJ701" s="18">
        <f t="shared" si="605"/>
        <v>0</v>
      </c>
      <c r="AK701" s="18">
        <f t="shared" si="606"/>
        <v>0</v>
      </c>
      <c r="AL701" s="18">
        <f t="shared" si="607"/>
        <v>0</v>
      </c>
      <c r="AN701" s="34">
        <v>21</v>
      </c>
      <c r="AO701" s="34">
        <f>J701*0.0628157768157768</f>
        <v>0</v>
      </c>
      <c r="AP701" s="34">
        <f>J701*(1-0.0628157768157768)</f>
        <v>0</v>
      </c>
      <c r="AQ701" s="28" t="s">
        <v>13</v>
      </c>
      <c r="AV701" s="34">
        <f t="shared" si="608"/>
        <v>0</v>
      </c>
      <c r="AW701" s="34">
        <f t="shared" si="609"/>
        <v>0</v>
      </c>
      <c r="AX701" s="34">
        <f t="shared" si="610"/>
        <v>0</v>
      </c>
      <c r="AY701" s="35" t="s">
        <v>3684</v>
      </c>
      <c r="AZ701" s="35" t="s">
        <v>3716</v>
      </c>
      <c r="BA701" s="27" t="s">
        <v>3729</v>
      </c>
      <c r="BC701" s="34">
        <f t="shared" si="611"/>
        <v>0</v>
      </c>
      <c r="BD701" s="34">
        <f t="shared" si="612"/>
        <v>0</v>
      </c>
      <c r="BE701" s="34">
        <v>0</v>
      </c>
      <c r="BF701" s="34">
        <f>701</f>
        <v>701</v>
      </c>
      <c r="BH701" s="18">
        <f t="shared" si="613"/>
        <v>0</v>
      </c>
      <c r="BI701" s="18">
        <f t="shared" si="614"/>
        <v>0</v>
      </c>
      <c r="BJ701" s="18">
        <f t="shared" si="615"/>
        <v>0</v>
      </c>
    </row>
    <row r="702" spans="1:62" x14ac:dyDescent="0.2">
      <c r="A702" s="5" t="s">
        <v>658</v>
      </c>
      <c r="B702" s="5" t="s">
        <v>1845</v>
      </c>
      <c r="C702" s="135" t="s">
        <v>3046</v>
      </c>
      <c r="D702" s="136"/>
      <c r="E702" s="136"/>
      <c r="F702" s="136"/>
      <c r="G702" s="136"/>
      <c r="H702" s="5" t="s">
        <v>3612</v>
      </c>
      <c r="I702" s="18">
        <v>1</v>
      </c>
      <c r="J702" s="18">
        <v>0</v>
      </c>
      <c r="K702" s="18">
        <f t="shared" si="596"/>
        <v>0</v>
      </c>
      <c r="L702" s="28" t="s">
        <v>3635</v>
      </c>
      <c r="Z702" s="34">
        <f t="shared" si="597"/>
        <v>0</v>
      </c>
      <c r="AB702" s="34">
        <f t="shared" si="598"/>
        <v>0</v>
      </c>
      <c r="AC702" s="34">
        <f t="shared" si="599"/>
        <v>0</v>
      </c>
      <c r="AD702" s="34">
        <f t="shared" si="600"/>
        <v>0</v>
      </c>
      <c r="AE702" s="34">
        <f t="shared" si="601"/>
        <v>0</v>
      </c>
      <c r="AF702" s="34">
        <f t="shared" si="602"/>
        <v>0</v>
      </c>
      <c r="AG702" s="34">
        <f t="shared" si="603"/>
        <v>0</v>
      </c>
      <c r="AH702" s="34">
        <f t="shared" si="604"/>
        <v>0</v>
      </c>
      <c r="AI702" s="27" t="s">
        <v>3645</v>
      </c>
      <c r="AJ702" s="18">
        <f t="shared" si="605"/>
        <v>0</v>
      </c>
      <c r="AK702" s="18">
        <f t="shared" si="606"/>
        <v>0</v>
      </c>
      <c r="AL702" s="18">
        <f t="shared" si="607"/>
        <v>0</v>
      </c>
      <c r="AN702" s="34">
        <v>21</v>
      </c>
      <c r="AO702" s="34">
        <f>J702*0.0628158493017213</f>
        <v>0</v>
      </c>
      <c r="AP702" s="34">
        <f>J702*(1-0.0628158493017213)</f>
        <v>0</v>
      </c>
      <c r="AQ702" s="28" t="s">
        <v>13</v>
      </c>
      <c r="AV702" s="34">
        <f t="shared" si="608"/>
        <v>0</v>
      </c>
      <c r="AW702" s="34">
        <f t="shared" si="609"/>
        <v>0</v>
      </c>
      <c r="AX702" s="34">
        <f t="shared" si="610"/>
        <v>0</v>
      </c>
      <c r="AY702" s="35" t="s">
        <v>3684</v>
      </c>
      <c r="AZ702" s="35" t="s">
        <v>3716</v>
      </c>
      <c r="BA702" s="27" t="s">
        <v>3729</v>
      </c>
      <c r="BC702" s="34">
        <f t="shared" si="611"/>
        <v>0</v>
      </c>
      <c r="BD702" s="34">
        <f t="shared" si="612"/>
        <v>0</v>
      </c>
      <c r="BE702" s="34">
        <v>0</v>
      </c>
      <c r="BF702" s="34">
        <f>702</f>
        <v>702</v>
      </c>
      <c r="BH702" s="18">
        <f t="shared" si="613"/>
        <v>0</v>
      </c>
      <c r="BI702" s="18">
        <f t="shared" si="614"/>
        <v>0</v>
      </c>
      <c r="BJ702" s="18">
        <f t="shared" si="615"/>
        <v>0</v>
      </c>
    </row>
    <row r="703" spans="1:62" x14ac:dyDescent="0.2">
      <c r="A703" s="5" t="s">
        <v>659</v>
      </c>
      <c r="B703" s="5" t="s">
        <v>1846</v>
      </c>
      <c r="C703" s="135" t="s">
        <v>3047</v>
      </c>
      <c r="D703" s="136"/>
      <c r="E703" s="136"/>
      <c r="F703" s="136"/>
      <c r="G703" s="136"/>
      <c r="H703" s="5" t="s">
        <v>3612</v>
      </c>
      <c r="I703" s="18">
        <v>1</v>
      </c>
      <c r="J703" s="18">
        <v>0</v>
      </c>
      <c r="K703" s="18">
        <f t="shared" si="596"/>
        <v>0</v>
      </c>
      <c r="L703" s="28" t="s">
        <v>3635</v>
      </c>
      <c r="Z703" s="34">
        <f t="shared" si="597"/>
        <v>0</v>
      </c>
      <c r="AB703" s="34">
        <f t="shared" si="598"/>
        <v>0</v>
      </c>
      <c r="AC703" s="34">
        <f t="shared" si="599"/>
        <v>0</v>
      </c>
      <c r="AD703" s="34">
        <f t="shared" si="600"/>
        <v>0</v>
      </c>
      <c r="AE703" s="34">
        <f t="shared" si="601"/>
        <v>0</v>
      </c>
      <c r="AF703" s="34">
        <f t="shared" si="602"/>
        <v>0</v>
      </c>
      <c r="AG703" s="34">
        <f t="shared" si="603"/>
        <v>0</v>
      </c>
      <c r="AH703" s="34">
        <f t="shared" si="604"/>
        <v>0</v>
      </c>
      <c r="AI703" s="27" t="s">
        <v>3645</v>
      </c>
      <c r="AJ703" s="18">
        <f t="shared" si="605"/>
        <v>0</v>
      </c>
      <c r="AK703" s="18">
        <f t="shared" si="606"/>
        <v>0</v>
      </c>
      <c r="AL703" s="18">
        <f t="shared" si="607"/>
        <v>0</v>
      </c>
      <c r="AN703" s="34">
        <v>21</v>
      </c>
      <c r="AO703" s="34">
        <f>J703*0.062815988973122</f>
        <v>0</v>
      </c>
      <c r="AP703" s="34">
        <f>J703*(1-0.062815988973122)</f>
        <v>0</v>
      </c>
      <c r="AQ703" s="28" t="s">
        <v>13</v>
      </c>
      <c r="AV703" s="34">
        <f t="shared" si="608"/>
        <v>0</v>
      </c>
      <c r="AW703" s="34">
        <f t="shared" si="609"/>
        <v>0</v>
      </c>
      <c r="AX703" s="34">
        <f t="shared" si="610"/>
        <v>0</v>
      </c>
      <c r="AY703" s="35" t="s">
        <v>3684</v>
      </c>
      <c r="AZ703" s="35" t="s">
        <v>3716</v>
      </c>
      <c r="BA703" s="27" t="s">
        <v>3729</v>
      </c>
      <c r="BC703" s="34">
        <f t="shared" si="611"/>
        <v>0</v>
      </c>
      <c r="BD703" s="34">
        <f t="shared" si="612"/>
        <v>0</v>
      </c>
      <c r="BE703" s="34">
        <v>0</v>
      </c>
      <c r="BF703" s="34">
        <f>703</f>
        <v>703</v>
      </c>
      <c r="BH703" s="18">
        <f t="shared" si="613"/>
        <v>0</v>
      </c>
      <c r="BI703" s="18">
        <f t="shared" si="614"/>
        <v>0</v>
      </c>
      <c r="BJ703" s="18">
        <f t="shared" si="615"/>
        <v>0</v>
      </c>
    </row>
    <row r="704" spans="1:62" x14ac:dyDescent="0.2">
      <c r="A704" s="5" t="s">
        <v>660</v>
      </c>
      <c r="B704" s="5" t="s">
        <v>1847</v>
      </c>
      <c r="C704" s="135" t="s">
        <v>3048</v>
      </c>
      <c r="D704" s="136"/>
      <c r="E704" s="136"/>
      <c r="F704" s="136"/>
      <c r="G704" s="136"/>
      <c r="H704" s="5" t="s">
        <v>3612</v>
      </c>
      <c r="I704" s="18">
        <v>1</v>
      </c>
      <c r="J704" s="18">
        <v>0</v>
      </c>
      <c r="K704" s="18">
        <f t="shared" si="596"/>
        <v>0</v>
      </c>
      <c r="L704" s="28" t="s">
        <v>3635</v>
      </c>
      <c r="Z704" s="34">
        <f t="shared" si="597"/>
        <v>0</v>
      </c>
      <c r="AB704" s="34">
        <f t="shared" si="598"/>
        <v>0</v>
      </c>
      <c r="AC704" s="34">
        <f t="shared" si="599"/>
        <v>0</v>
      </c>
      <c r="AD704" s="34">
        <f t="shared" si="600"/>
        <v>0</v>
      </c>
      <c r="AE704" s="34">
        <f t="shared" si="601"/>
        <v>0</v>
      </c>
      <c r="AF704" s="34">
        <f t="shared" si="602"/>
        <v>0</v>
      </c>
      <c r="AG704" s="34">
        <f t="shared" si="603"/>
        <v>0</v>
      </c>
      <c r="AH704" s="34">
        <f t="shared" si="604"/>
        <v>0</v>
      </c>
      <c r="AI704" s="27" t="s">
        <v>3645</v>
      </c>
      <c r="AJ704" s="18">
        <f t="shared" si="605"/>
        <v>0</v>
      </c>
      <c r="AK704" s="18">
        <f t="shared" si="606"/>
        <v>0</v>
      </c>
      <c r="AL704" s="18">
        <f t="shared" si="607"/>
        <v>0</v>
      </c>
      <c r="AN704" s="34">
        <v>21</v>
      </c>
      <c r="AO704" s="34">
        <f>J704*0.062816015625</f>
        <v>0</v>
      </c>
      <c r="AP704" s="34">
        <f>J704*(1-0.062816015625)</f>
        <v>0</v>
      </c>
      <c r="AQ704" s="28" t="s">
        <v>13</v>
      </c>
      <c r="AV704" s="34">
        <f t="shared" si="608"/>
        <v>0</v>
      </c>
      <c r="AW704" s="34">
        <f t="shared" si="609"/>
        <v>0</v>
      </c>
      <c r="AX704" s="34">
        <f t="shared" si="610"/>
        <v>0</v>
      </c>
      <c r="AY704" s="35" t="s">
        <v>3684</v>
      </c>
      <c r="AZ704" s="35" t="s">
        <v>3716</v>
      </c>
      <c r="BA704" s="27" t="s">
        <v>3729</v>
      </c>
      <c r="BC704" s="34">
        <f t="shared" si="611"/>
        <v>0</v>
      </c>
      <c r="BD704" s="34">
        <f t="shared" si="612"/>
        <v>0</v>
      </c>
      <c r="BE704" s="34">
        <v>0</v>
      </c>
      <c r="BF704" s="34">
        <f>704</f>
        <v>704</v>
      </c>
      <c r="BH704" s="18">
        <f t="shared" si="613"/>
        <v>0</v>
      </c>
      <c r="BI704" s="18">
        <f t="shared" si="614"/>
        <v>0</v>
      </c>
      <c r="BJ704" s="18">
        <f t="shared" si="615"/>
        <v>0</v>
      </c>
    </row>
    <row r="705" spans="1:62" x14ac:dyDescent="0.2">
      <c r="A705" s="5" t="s">
        <v>661</v>
      </c>
      <c r="B705" s="5" t="s">
        <v>1848</v>
      </c>
      <c r="C705" s="135" t="s">
        <v>3049</v>
      </c>
      <c r="D705" s="136"/>
      <c r="E705" s="136"/>
      <c r="F705" s="136"/>
      <c r="G705" s="136"/>
      <c r="H705" s="5" t="s">
        <v>3612</v>
      </c>
      <c r="I705" s="18">
        <v>5</v>
      </c>
      <c r="J705" s="18">
        <v>0</v>
      </c>
      <c r="K705" s="18">
        <f t="shared" si="596"/>
        <v>0</v>
      </c>
      <c r="L705" s="28" t="s">
        <v>3635</v>
      </c>
      <c r="Z705" s="34">
        <f t="shared" si="597"/>
        <v>0</v>
      </c>
      <c r="AB705" s="34">
        <f t="shared" si="598"/>
        <v>0</v>
      </c>
      <c r="AC705" s="34">
        <f t="shared" si="599"/>
        <v>0</v>
      </c>
      <c r="AD705" s="34">
        <f t="shared" si="600"/>
        <v>0</v>
      </c>
      <c r="AE705" s="34">
        <f t="shared" si="601"/>
        <v>0</v>
      </c>
      <c r="AF705" s="34">
        <f t="shared" si="602"/>
        <v>0</v>
      </c>
      <c r="AG705" s="34">
        <f t="shared" si="603"/>
        <v>0</v>
      </c>
      <c r="AH705" s="34">
        <f t="shared" si="604"/>
        <v>0</v>
      </c>
      <c r="AI705" s="27" t="s">
        <v>3645</v>
      </c>
      <c r="AJ705" s="18">
        <f t="shared" si="605"/>
        <v>0</v>
      </c>
      <c r="AK705" s="18">
        <f t="shared" si="606"/>
        <v>0</v>
      </c>
      <c r="AL705" s="18">
        <f t="shared" si="607"/>
        <v>0</v>
      </c>
      <c r="AN705" s="34">
        <v>21</v>
      </c>
      <c r="AO705" s="34">
        <f t="shared" ref="AO705:AO716" si="616">J705*0</f>
        <v>0</v>
      </c>
      <c r="AP705" s="34">
        <f t="shared" ref="AP705:AP716" si="617">J705*(1-0)</f>
        <v>0</v>
      </c>
      <c r="AQ705" s="28" t="s">
        <v>13</v>
      </c>
      <c r="AV705" s="34">
        <f t="shared" si="608"/>
        <v>0</v>
      </c>
      <c r="AW705" s="34">
        <f t="shared" si="609"/>
        <v>0</v>
      </c>
      <c r="AX705" s="34">
        <f t="shared" si="610"/>
        <v>0</v>
      </c>
      <c r="AY705" s="35" t="s">
        <v>3684</v>
      </c>
      <c r="AZ705" s="35" t="s">
        <v>3716</v>
      </c>
      <c r="BA705" s="27" t="s">
        <v>3729</v>
      </c>
      <c r="BC705" s="34">
        <f t="shared" si="611"/>
        <v>0</v>
      </c>
      <c r="BD705" s="34">
        <f t="shared" si="612"/>
        <v>0</v>
      </c>
      <c r="BE705" s="34">
        <v>0</v>
      </c>
      <c r="BF705" s="34">
        <f>705</f>
        <v>705</v>
      </c>
      <c r="BH705" s="18">
        <f t="shared" si="613"/>
        <v>0</v>
      </c>
      <c r="BI705" s="18">
        <f t="shared" si="614"/>
        <v>0</v>
      </c>
      <c r="BJ705" s="18">
        <f t="shared" si="615"/>
        <v>0</v>
      </c>
    </row>
    <row r="706" spans="1:62" x14ac:dyDescent="0.2">
      <c r="A706" s="5" t="s">
        <v>662</v>
      </c>
      <c r="B706" s="5" t="s">
        <v>1849</v>
      </c>
      <c r="C706" s="135" t="s">
        <v>3050</v>
      </c>
      <c r="D706" s="136"/>
      <c r="E706" s="136"/>
      <c r="F706" s="136"/>
      <c r="G706" s="136"/>
      <c r="H706" s="5" t="s">
        <v>3612</v>
      </c>
      <c r="I706" s="18">
        <v>3</v>
      </c>
      <c r="J706" s="18">
        <v>0</v>
      </c>
      <c r="K706" s="18">
        <f t="shared" si="596"/>
        <v>0</v>
      </c>
      <c r="L706" s="28" t="s">
        <v>3635</v>
      </c>
      <c r="Z706" s="34">
        <f t="shared" si="597"/>
        <v>0</v>
      </c>
      <c r="AB706" s="34">
        <f t="shared" si="598"/>
        <v>0</v>
      </c>
      <c r="AC706" s="34">
        <f t="shared" si="599"/>
        <v>0</v>
      </c>
      <c r="AD706" s="34">
        <f t="shared" si="600"/>
        <v>0</v>
      </c>
      <c r="AE706" s="34">
        <f t="shared" si="601"/>
        <v>0</v>
      </c>
      <c r="AF706" s="34">
        <f t="shared" si="602"/>
        <v>0</v>
      </c>
      <c r="AG706" s="34">
        <f t="shared" si="603"/>
        <v>0</v>
      </c>
      <c r="AH706" s="34">
        <f t="shared" si="604"/>
        <v>0</v>
      </c>
      <c r="AI706" s="27" t="s">
        <v>3645</v>
      </c>
      <c r="AJ706" s="18">
        <f t="shared" si="605"/>
        <v>0</v>
      </c>
      <c r="AK706" s="18">
        <f t="shared" si="606"/>
        <v>0</v>
      </c>
      <c r="AL706" s="18">
        <f t="shared" si="607"/>
        <v>0</v>
      </c>
      <c r="AN706" s="34">
        <v>21</v>
      </c>
      <c r="AO706" s="34">
        <f t="shared" si="616"/>
        <v>0</v>
      </c>
      <c r="AP706" s="34">
        <f t="shared" si="617"/>
        <v>0</v>
      </c>
      <c r="AQ706" s="28" t="s">
        <v>13</v>
      </c>
      <c r="AV706" s="34">
        <f t="shared" si="608"/>
        <v>0</v>
      </c>
      <c r="AW706" s="34">
        <f t="shared" si="609"/>
        <v>0</v>
      </c>
      <c r="AX706" s="34">
        <f t="shared" si="610"/>
        <v>0</v>
      </c>
      <c r="AY706" s="35" t="s">
        <v>3684</v>
      </c>
      <c r="AZ706" s="35" t="s">
        <v>3716</v>
      </c>
      <c r="BA706" s="27" t="s">
        <v>3729</v>
      </c>
      <c r="BC706" s="34">
        <f t="shared" si="611"/>
        <v>0</v>
      </c>
      <c r="BD706" s="34">
        <f t="shared" si="612"/>
        <v>0</v>
      </c>
      <c r="BE706" s="34">
        <v>0</v>
      </c>
      <c r="BF706" s="34">
        <f>706</f>
        <v>706</v>
      </c>
      <c r="BH706" s="18">
        <f t="shared" si="613"/>
        <v>0</v>
      </c>
      <c r="BI706" s="18">
        <f t="shared" si="614"/>
        <v>0</v>
      </c>
      <c r="BJ706" s="18">
        <f t="shared" si="615"/>
        <v>0</v>
      </c>
    </row>
    <row r="707" spans="1:62" x14ac:dyDescent="0.2">
      <c r="A707" s="5" t="s">
        <v>663</v>
      </c>
      <c r="B707" s="5" t="s">
        <v>1850</v>
      </c>
      <c r="C707" s="135" t="s">
        <v>3051</v>
      </c>
      <c r="D707" s="136"/>
      <c r="E707" s="136"/>
      <c r="F707" s="136"/>
      <c r="G707" s="136"/>
      <c r="H707" s="5" t="s">
        <v>3612</v>
      </c>
      <c r="I707" s="18">
        <v>5</v>
      </c>
      <c r="J707" s="18">
        <v>0</v>
      </c>
      <c r="K707" s="18">
        <f t="shared" si="596"/>
        <v>0</v>
      </c>
      <c r="L707" s="28" t="s">
        <v>3635</v>
      </c>
      <c r="Z707" s="34">
        <f t="shared" si="597"/>
        <v>0</v>
      </c>
      <c r="AB707" s="34">
        <f t="shared" si="598"/>
        <v>0</v>
      </c>
      <c r="AC707" s="34">
        <f t="shared" si="599"/>
        <v>0</v>
      </c>
      <c r="AD707" s="34">
        <f t="shared" si="600"/>
        <v>0</v>
      </c>
      <c r="AE707" s="34">
        <f t="shared" si="601"/>
        <v>0</v>
      </c>
      <c r="AF707" s="34">
        <f t="shared" si="602"/>
        <v>0</v>
      </c>
      <c r="AG707" s="34">
        <f t="shared" si="603"/>
        <v>0</v>
      </c>
      <c r="AH707" s="34">
        <f t="shared" si="604"/>
        <v>0</v>
      </c>
      <c r="AI707" s="27" t="s">
        <v>3645</v>
      </c>
      <c r="AJ707" s="18">
        <f t="shared" si="605"/>
        <v>0</v>
      </c>
      <c r="AK707" s="18">
        <f t="shared" si="606"/>
        <v>0</v>
      </c>
      <c r="AL707" s="18">
        <f t="shared" si="607"/>
        <v>0</v>
      </c>
      <c r="AN707" s="34">
        <v>21</v>
      </c>
      <c r="AO707" s="34">
        <f t="shared" si="616"/>
        <v>0</v>
      </c>
      <c r="AP707" s="34">
        <f t="shared" si="617"/>
        <v>0</v>
      </c>
      <c r="AQ707" s="28" t="s">
        <v>13</v>
      </c>
      <c r="AV707" s="34">
        <f t="shared" si="608"/>
        <v>0</v>
      </c>
      <c r="AW707" s="34">
        <f t="shared" si="609"/>
        <v>0</v>
      </c>
      <c r="AX707" s="34">
        <f t="shared" si="610"/>
        <v>0</v>
      </c>
      <c r="AY707" s="35" t="s">
        <v>3684</v>
      </c>
      <c r="AZ707" s="35" t="s">
        <v>3716</v>
      </c>
      <c r="BA707" s="27" t="s">
        <v>3729</v>
      </c>
      <c r="BC707" s="34">
        <f t="shared" si="611"/>
        <v>0</v>
      </c>
      <c r="BD707" s="34">
        <f t="shared" si="612"/>
        <v>0</v>
      </c>
      <c r="BE707" s="34">
        <v>0</v>
      </c>
      <c r="BF707" s="34">
        <f>707</f>
        <v>707</v>
      </c>
      <c r="BH707" s="18">
        <f t="shared" si="613"/>
        <v>0</v>
      </c>
      <c r="BI707" s="18">
        <f t="shared" si="614"/>
        <v>0</v>
      </c>
      <c r="BJ707" s="18">
        <f t="shared" si="615"/>
        <v>0</v>
      </c>
    </row>
    <row r="708" spans="1:62" x14ac:dyDescent="0.2">
      <c r="A708" s="5" t="s">
        <v>664</v>
      </c>
      <c r="B708" s="5" t="s">
        <v>1851</v>
      </c>
      <c r="C708" s="135" t="s">
        <v>3052</v>
      </c>
      <c r="D708" s="136"/>
      <c r="E708" s="136"/>
      <c r="F708" s="136"/>
      <c r="G708" s="136"/>
      <c r="H708" s="5" t="s">
        <v>3612</v>
      </c>
      <c r="I708" s="18">
        <v>5</v>
      </c>
      <c r="J708" s="18">
        <v>0</v>
      </c>
      <c r="K708" s="18">
        <f t="shared" si="596"/>
        <v>0</v>
      </c>
      <c r="L708" s="28" t="s">
        <v>3635</v>
      </c>
      <c r="Z708" s="34">
        <f t="shared" si="597"/>
        <v>0</v>
      </c>
      <c r="AB708" s="34">
        <f t="shared" si="598"/>
        <v>0</v>
      </c>
      <c r="AC708" s="34">
        <f t="shared" si="599"/>
        <v>0</v>
      </c>
      <c r="AD708" s="34">
        <f t="shared" si="600"/>
        <v>0</v>
      </c>
      <c r="AE708" s="34">
        <f t="shared" si="601"/>
        <v>0</v>
      </c>
      <c r="AF708" s="34">
        <f t="shared" si="602"/>
        <v>0</v>
      </c>
      <c r="AG708" s="34">
        <f t="shared" si="603"/>
        <v>0</v>
      </c>
      <c r="AH708" s="34">
        <f t="shared" si="604"/>
        <v>0</v>
      </c>
      <c r="AI708" s="27" t="s">
        <v>3645</v>
      </c>
      <c r="AJ708" s="18">
        <f t="shared" si="605"/>
        <v>0</v>
      </c>
      <c r="AK708" s="18">
        <f t="shared" si="606"/>
        <v>0</v>
      </c>
      <c r="AL708" s="18">
        <f t="shared" si="607"/>
        <v>0</v>
      </c>
      <c r="AN708" s="34">
        <v>21</v>
      </c>
      <c r="AO708" s="34">
        <f t="shared" si="616"/>
        <v>0</v>
      </c>
      <c r="AP708" s="34">
        <f t="shared" si="617"/>
        <v>0</v>
      </c>
      <c r="AQ708" s="28" t="s">
        <v>13</v>
      </c>
      <c r="AV708" s="34">
        <f t="shared" si="608"/>
        <v>0</v>
      </c>
      <c r="AW708" s="34">
        <f t="shared" si="609"/>
        <v>0</v>
      </c>
      <c r="AX708" s="34">
        <f t="shared" si="610"/>
        <v>0</v>
      </c>
      <c r="AY708" s="35" t="s">
        <v>3684</v>
      </c>
      <c r="AZ708" s="35" t="s">
        <v>3716</v>
      </c>
      <c r="BA708" s="27" t="s">
        <v>3729</v>
      </c>
      <c r="BC708" s="34">
        <f t="shared" si="611"/>
        <v>0</v>
      </c>
      <c r="BD708" s="34">
        <f t="shared" si="612"/>
        <v>0</v>
      </c>
      <c r="BE708" s="34">
        <v>0</v>
      </c>
      <c r="BF708" s="34">
        <f>708</f>
        <v>708</v>
      </c>
      <c r="BH708" s="18">
        <f t="shared" si="613"/>
        <v>0</v>
      </c>
      <c r="BI708" s="18">
        <f t="shared" si="614"/>
        <v>0</v>
      </c>
      <c r="BJ708" s="18">
        <f t="shared" si="615"/>
        <v>0</v>
      </c>
    </row>
    <row r="709" spans="1:62" x14ac:dyDescent="0.2">
      <c r="A709" s="5" t="s">
        <v>665</v>
      </c>
      <c r="B709" s="5" t="s">
        <v>1852</v>
      </c>
      <c r="C709" s="135" t="s">
        <v>3053</v>
      </c>
      <c r="D709" s="136"/>
      <c r="E709" s="136"/>
      <c r="F709" s="136"/>
      <c r="G709" s="136"/>
      <c r="H709" s="5" t="s">
        <v>3612</v>
      </c>
      <c r="I709" s="18">
        <v>2</v>
      </c>
      <c r="J709" s="18">
        <v>0</v>
      </c>
      <c r="K709" s="18">
        <f t="shared" si="596"/>
        <v>0</v>
      </c>
      <c r="L709" s="28" t="s">
        <v>3635</v>
      </c>
      <c r="Z709" s="34">
        <f t="shared" si="597"/>
        <v>0</v>
      </c>
      <c r="AB709" s="34">
        <f t="shared" si="598"/>
        <v>0</v>
      </c>
      <c r="AC709" s="34">
        <f t="shared" si="599"/>
        <v>0</v>
      </c>
      <c r="AD709" s="34">
        <f t="shared" si="600"/>
        <v>0</v>
      </c>
      <c r="AE709" s="34">
        <f t="shared" si="601"/>
        <v>0</v>
      </c>
      <c r="AF709" s="34">
        <f t="shared" si="602"/>
        <v>0</v>
      </c>
      <c r="AG709" s="34">
        <f t="shared" si="603"/>
        <v>0</v>
      </c>
      <c r="AH709" s="34">
        <f t="shared" si="604"/>
        <v>0</v>
      </c>
      <c r="AI709" s="27" t="s">
        <v>3645</v>
      </c>
      <c r="AJ709" s="18">
        <f t="shared" si="605"/>
        <v>0</v>
      </c>
      <c r="AK709" s="18">
        <f t="shared" si="606"/>
        <v>0</v>
      </c>
      <c r="AL709" s="18">
        <f t="shared" si="607"/>
        <v>0</v>
      </c>
      <c r="AN709" s="34">
        <v>21</v>
      </c>
      <c r="AO709" s="34">
        <f t="shared" si="616"/>
        <v>0</v>
      </c>
      <c r="AP709" s="34">
        <f t="shared" si="617"/>
        <v>0</v>
      </c>
      <c r="AQ709" s="28" t="s">
        <v>13</v>
      </c>
      <c r="AV709" s="34">
        <f t="shared" si="608"/>
        <v>0</v>
      </c>
      <c r="AW709" s="34">
        <f t="shared" si="609"/>
        <v>0</v>
      </c>
      <c r="AX709" s="34">
        <f t="shared" si="610"/>
        <v>0</v>
      </c>
      <c r="AY709" s="35" t="s">
        <v>3684</v>
      </c>
      <c r="AZ709" s="35" t="s">
        <v>3716</v>
      </c>
      <c r="BA709" s="27" t="s">
        <v>3729</v>
      </c>
      <c r="BC709" s="34">
        <f t="shared" si="611"/>
        <v>0</v>
      </c>
      <c r="BD709" s="34">
        <f t="shared" si="612"/>
        <v>0</v>
      </c>
      <c r="BE709" s="34">
        <v>0</v>
      </c>
      <c r="BF709" s="34">
        <f>709</f>
        <v>709</v>
      </c>
      <c r="BH709" s="18">
        <f t="shared" si="613"/>
        <v>0</v>
      </c>
      <c r="BI709" s="18">
        <f t="shared" si="614"/>
        <v>0</v>
      </c>
      <c r="BJ709" s="18">
        <f t="shared" si="615"/>
        <v>0</v>
      </c>
    </row>
    <row r="710" spans="1:62" x14ac:dyDescent="0.2">
      <c r="A710" s="5" t="s">
        <v>666</v>
      </c>
      <c r="B710" s="5" t="s">
        <v>1853</v>
      </c>
      <c r="C710" s="135" t="s">
        <v>3054</v>
      </c>
      <c r="D710" s="136"/>
      <c r="E710" s="136"/>
      <c r="F710" s="136"/>
      <c r="G710" s="136"/>
      <c r="H710" s="5" t="s">
        <v>3612</v>
      </c>
      <c r="I710" s="18">
        <v>3</v>
      </c>
      <c r="J710" s="18">
        <v>0</v>
      </c>
      <c r="K710" s="18">
        <f t="shared" si="596"/>
        <v>0</v>
      </c>
      <c r="L710" s="28" t="s">
        <v>3635</v>
      </c>
      <c r="Z710" s="34">
        <f t="shared" si="597"/>
        <v>0</v>
      </c>
      <c r="AB710" s="34">
        <f t="shared" si="598"/>
        <v>0</v>
      </c>
      <c r="AC710" s="34">
        <f t="shared" si="599"/>
        <v>0</v>
      </c>
      <c r="AD710" s="34">
        <f t="shared" si="600"/>
        <v>0</v>
      </c>
      <c r="AE710" s="34">
        <f t="shared" si="601"/>
        <v>0</v>
      </c>
      <c r="AF710" s="34">
        <f t="shared" si="602"/>
        <v>0</v>
      </c>
      <c r="AG710" s="34">
        <f t="shared" si="603"/>
        <v>0</v>
      </c>
      <c r="AH710" s="34">
        <f t="shared" si="604"/>
        <v>0</v>
      </c>
      <c r="AI710" s="27" t="s">
        <v>3645</v>
      </c>
      <c r="AJ710" s="18">
        <f t="shared" si="605"/>
        <v>0</v>
      </c>
      <c r="AK710" s="18">
        <f t="shared" si="606"/>
        <v>0</v>
      </c>
      <c r="AL710" s="18">
        <f t="shared" si="607"/>
        <v>0</v>
      </c>
      <c r="AN710" s="34">
        <v>21</v>
      </c>
      <c r="AO710" s="34">
        <f t="shared" si="616"/>
        <v>0</v>
      </c>
      <c r="AP710" s="34">
        <f t="shared" si="617"/>
        <v>0</v>
      </c>
      <c r="AQ710" s="28" t="s">
        <v>13</v>
      </c>
      <c r="AV710" s="34">
        <f t="shared" si="608"/>
        <v>0</v>
      </c>
      <c r="AW710" s="34">
        <f t="shared" si="609"/>
        <v>0</v>
      </c>
      <c r="AX710" s="34">
        <f t="shared" si="610"/>
        <v>0</v>
      </c>
      <c r="AY710" s="35" t="s">
        <v>3684</v>
      </c>
      <c r="AZ710" s="35" t="s">
        <v>3716</v>
      </c>
      <c r="BA710" s="27" t="s">
        <v>3729</v>
      </c>
      <c r="BC710" s="34">
        <f t="shared" si="611"/>
        <v>0</v>
      </c>
      <c r="BD710" s="34">
        <f t="shared" si="612"/>
        <v>0</v>
      </c>
      <c r="BE710" s="34">
        <v>0</v>
      </c>
      <c r="BF710" s="34">
        <f>710</f>
        <v>710</v>
      </c>
      <c r="BH710" s="18">
        <f t="shared" si="613"/>
        <v>0</v>
      </c>
      <c r="BI710" s="18">
        <f t="shared" si="614"/>
        <v>0</v>
      </c>
      <c r="BJ710" s="18">
        <f t="shared" si="615"/>
        <v>0</v>
      </c>
    </row>
    <row r="711" spans="1:62" x14ac:dyDescent="0.2">
      <c r="A711" s="5" t="s">
        <v>667</v>
      </c>
      <c r="B711" s="5" t="s">
        <v>1854</v>
      </c>
      <c r="C711" s="135" t="s">
        <v>3055</v>
      </c>
      <c r="D711" s="136"/>
      <c r="E711" s="136"/>
      <c r="F711" s="136"/>
      <c r="G711" s="136"/>
      <c r="H711" s="5" t="s">
        <v>3612</v>
      </c>
      <c r="I711" s="18">
        <v>5</v>
      </c>
      <c r="J711" s="18">
        <v>0</v>
      </c>
      <c r="K711" s="18">
        <f t="shared" si="596"/>
        <v>0</v>
      </c>
      <c r="L711" s="28" t="s">
        <v>3635</v>
      </c>
      <c r="Z711" s="34">
        <f t="shared" si="597"/>
        <v>0</v>
      </c>
      <c r="AB711" s="34">
        <f t="shared" si="598"/>
        <v>0</v>
      </c>
      <c r="AC711" s="34">
        <f t="shared" si="599"/>
        <v>0</v>
      </c>
      <c r="AD711" s="34">
        <f t="shared" si="600"/>
        <v>0</v>
      </c>
      <c r="AE711" s="34">
        <f t="shared" si="601"/>
        <v>0</v>
      </c>
      <c r="AF711" s="34">
        <f t="shared" si="602"/>
        <v>0</v>
      </c>
      <c r="AG711" s="34">
        <f t="shared" si="603"/>
        <v>0</v>
      </c>
      <c r="AH711" s="34">
        <f t="shared" si="604"/>
        <v>0</v>
      </c>
      <c r="AI711" s="27" t="s">
        <v>3645</v>
      </c>
      <c r="AJ711" s="18">
        <f t="shared" si="605"/>
        <v>0</v>
      </c>
      <c r="AK711" s="18">
        <f t="shared" si="606"/>
        <v>0</v>
      </c>
      <c r="AL711" s="18">
        <f t="shared" si="607"/>
        <v>0</v>
      </c>
      <c r="AN711" s="34">
        <v>21</v>
      </c>
      <c r="AO711" s="34">
        <f t="shared" si="616"/>
        <v>0</v>
      </c>
      <c r="AP711" s="34">
        <f t="shared" si="617"/>
        <v>0</v>
      </c>
      <c r="AQ711" s="28" t="s">
        <v>13</v>
      </c>
      <c r="AV711" s="34">
        <f t="shared" si="608"/>
        <v>0</v>
      </c>
      <c r="AW711" s="34">
        <f t="shared" si="609"/>
        <v>0</v>
      </c>
      <c r="AX711" s="34">
        <f t="shared" si="610"/>
        <v>0</v>
      </c>
      <c r="AY711" s="35" t="s">
        <v>3684</v>
      </c>
      <c r="AZ711" s="35" t="s">
        <v>3716</v>
      </c>
      <c r="BA711" s="27" t="s">
        <v>3729</v>
      </c>
      <c r="BC711" s="34">
        <f t="shared" si="611"/>
        <v>0</v>
      </c>
      <c r="BD711" s="34">
        <f t="shared" si="612"/>
        <v>0</v>
      </c>
      <c r="BE711" s="34">
        <v>0</v>
      </c>
      <c r="BF711" s="34">
        <f>711</f>
        <v>711</v>
      </c>
      <c r="BH711" s="18">
        <f t="shared" si="613"/>
        <v>0</v>
      </c>
      <c r="BI711" s="18">
        <f t="shared" si="614"/>
        <v>0</v>
      </c>
      <c r="BJ711" s="18">
        <f t="shared" si="615"/>
        <v>0</v>
      </c>
    </row>
    <row r="712" spans="1:62" x14ac:dyDescent="0.2">
      <c r="A712" s="5" t="s">
        <v>668</v>
      </c>
      <c r="B712" s="5" t="s">
        <v>1855</v>
      </c>
      <c r="C712" s="135" t="s">
        <v>3056</v>
      </c>
      <c r="D712" s="136"/>
      <c r="E712" s="136"/>
      <c r="F712" s="136"/>
      <c r="G712" s="136"/>
      <c r="H712" s="5" t="s">
        <v>3612</v>
      </c>
      <c r="I712" s="18">
        <v>1</v>
      </c>
      <c r="J712" s="18">
        <v>0</v>
      </c>
      <c r="K712" s="18">
        <f t="shared" si="596"/>
        <v>0</v>
      </c>
      <c r="L712" s="28" t="s">
        <v>3635</v>
      </c>
      <c r="Z712" s="34">
        <f t="shared" si="597"/>
        <v>0</v>
      </c>
      <c r="AB712" s="34">
        <f t="shared" si="598"/>
        <v>0</v>
      </c>
      <c r="AC712" s="34">
        <f t="shared" si="599"/>
        <v>0</v>
      </c>
      <c r="AD712" s="34">
        <f t="shared" si="600"/>
        <v>0</v>
      </c>
      <c r="AE712" s="34">
        <f t="shared" si="601"/>
        <v>0</v>
      </c>
      <c r="AF712" s="34">
        <f t="shared" si="602"/>
        <v>0</v>
      </c>
      <c r="AG712" s="34">
        <f t="shared" si="603"/>
        <v>0</v>
      </c>
      <c r="AH712" s="34">
        <f t="shared" si="604"/>
        <v>0</v>
      </c>
      <c r="AI712" s="27" t="s">
        <v>3645</v>
      </c>
      <c r="AJ712" s="18">
        <f t="shared" si="605"/>
        <v>0</v>
      </c>
      <c r="AK712" s="18">
        <f t="shared" si="606"/>
        <v>0</v>
      </c>
      <c r="AL712" s="18">
        <f t="shared" si="607"/>
        <v>0</v>
      </c>
      <c r="AN712" s="34">
        <v>21</v>
      </c>
      <c r="AO712" s="34">
        <f t="shared" si="616"/>
        <v>0</v>
      </c>
      <c r="AP712" s="34">
        <f t="shared" si="617"/>
        <v>0</v>
      </c>
      <c r="AQ712" s="28" t="s">
        <v>13</v>
      </c>
      <c r="AV712" s="34">
        <f t="shared" si="608"/>
        <v>0</v>
      </c>
      <c r="AW712" s="34">
        <f t="shared" si="609"/>
        <v>0</v>
      </c>
      <c r="AX712" s="34">
        <f t="shared" si="610"/>
        <v>0</v>
      </c>
      <c r="AY712" s="35" t="s">
        <v>3684</v>
      </c>
      <c r="AZ712" s="35" t="s">
        <v>3716</v>
      </c>
      <c r="BA712" s="27" t="s">
        <v>3729</v>
      </c>
      <c r="BC712" s="34">
        <f t="shared" si="611"/>
        <v>0</v>
      </c>
      <c r="BD712" s="34">
        <f t="shared" si="612"/>
        <v>0</v>
      </c>
      <c r="BE712" s="34">
        <v>0</v>
      </c>
      <c r="BF712" s="34">
        <f>712</f>
        <v>712</v>
      </c>
      <c r="BH712" s="18">
        <f t="shared" si="613"/>
        <v>0</v>
      </c>
      <c r="BI712" s="18">
        <f t="shared" si="614"/>
        <v>0</v>
      </c>
      <c r="BJ712" s="18">
        <f t="shared" si="615"/>
        <v>0</v>
      </c>
    </row>
    <row r="713" spans="1:62" x14ac:dyDescent="0.2">
      <c r="A713" s="5" t="s">
        <v>669</v>
      </c>
      <c r="B713" s="5" t="s">
        <v>1856</v>
      </c>
      <c r="C713" s="135" t="s">
        <v>3057</v>
      </c>
      <c r="D713" s="136"/>
      <c r="E713" s="136"/>
      <c r="F713" s="136"/>
      <c r="G713" s="136"/>
      <c r="H713" s="5" t="s">
        <v>3612</v>
      </c>
      <c r="I713" s="18">
        <v>4</v>
      </c>
      <c r="J713" s="18">
        <v>0</v>
      </c>
      <c r="K713" s="18">
        <f t="shared" si="596"/>
        <v>0</v>
      </c>
      <c r="L713" s="28" t="s">
        <v>3635</v>
      </c>
      <c r="Z713" s="34">
        <f t="shared" si="597"/>
        <v>0</v>
      </c>
      <c r="AB713" s="34">
        <f t="shared" si="598"/>
        <v>0</v>
      </c>
      <c r="AC713" s="34">
        <f t="shared" si="599"/>
        <v>0</v>
      </c>
      <c r="AD713" s="34">
        <f t="shared" si="600"/>
        <v>0</v>
      </c>
      <c r="AE713" s="34">
        <f t="shared" si="601"/>
        <v>0</v>
      </c>
      <c r="AF713" s="34">
        <f t="shared" si="602"/>
        <v>0</v>
      </c>
      <c r="AG713" s="34">
        <f t="shared" si="603"/>
        <v>0</v>
      </c>
      <c r="AH713" s="34">
        <f t="shared" si="604"/>
        <v>0</v>
      </c>
      <c r="AI713" s="27" t="s">
        <v>3645</v>
      </c>
      <c r="AJ713" s="18">
        <f t="shared" si="605"/>
        <v>0</v>
      </c>
      <c r="AK713" s="18">
        <f t="shared" si="606"/>
        <v>0</v>
      </c>
      <c r="AL713" s="18">
        <f t="shared" si="607"/>
        <v>0</v>
      </c>
      <c r="AN713" s="34">
        <v>21</v>
      </c>
      <c r="AO713" s="34">
        <f t="shared" si="616"/>
        <v>0</v>
      </c>
      <c r="AP713" s="34">
        <f t="shared" si="617"/>
        <v>0</v>
      </c>
      <c r="AQ713" s="28" t="s">
        <v>13</v>
      </c>
      <c r="AV713" s="34">
        <f t="shared" si="608"/>
        <v>0</v>
      </c>
      <c r="AW713" s="34">
        <f t="shared" si="609"/>
        <v>0</v>
      </c>
      <c r="AX713" s="34">
        <f t="shared" si="610"/>
        <v>0</v>
      </c>
      <c r="AY713" s="35" t="s">
        <v>3684</v>
      </c>
      <c r="AZ713" s="35" t="s">
        <v>3716</v>
      </c>
      <c r="BA713" s="27" t="s">
        <v>3729</v>
      </c>
      <c r="BC713" s="34">
        <f t="shared" si="611"/>
        <v>0</v>
      </c>
      <c r="BD713" s="34">
        <f t="shared" si="612"/>
        <v>0</v>
      </c>
      <c r="BE713" s="34">
        <v>0</v>
      </c>
      <c r="BF713" s="34">
        <f>713</f>
        <v>713</v>
      </c>
      <c r="BH713" s="18">
        <f t="shared" si="613"/>
        <v>0</v>
      </c>
      <c r="BI713" s="18">
        <f t="shared" si="614"/>
        <v>0</v>
      </c>
      <c r="BJ713" s="18">
        <f t="shared" si="615"/>
        <v>0</v>
      </c>
    </row>
    <row r="714" spans="1:62" x14ac:dyDescent="0.2">
      <c r="A714" s="5" t="s">
        <v>670</v>
      </c>
      <c r="B714" s="5" t="s">
        <v>1857</v>
      </c>
      <c r="C714" s="135" t="s">
        <v>3058</v>
      </c>
      <c r="D714" s="136"/>
      <c r="E714" s="136"/>
      <c r="F714" s="136"/>
      <c r="G714" s="136"/>
      <c r="H714" s="5" t="s">
        <v>3612</v>
      </c>
      <c r="I714" s="18">
        <v>9</v>
      </c>
      <c r="J714" s="18">
        <v>0</v>
      </c>
      <c r="K714" s="18">
        <f t="shared" si="596"/>
        <v>0</v>
      </c>
      <c r="L714" s="28" t="s">
        <v>3635</v>
      </c>
      <c r="Z714" s="34">
        <f t="shared" si="597"/>
        <v>0</v>
      </c>
      <c r="AB714" s="34">
        <f t="shared" si="598"/>
        <v>0</v>
      </c>
      <c r="AC714" s="34">
        <f t="shared" si="599"/>
        <v>0</v>
      </c>
      <c r="AD714" s="34">
        <f t="shared" si="600"/>
        <v>0</v>
      </c>
      <c r="AE714" s="34">
        <f t="shared" si="601"/>
        <v>0</v>
      </c>
      <c r="AF714" s="34">
        <f t="shared" si="602"/>
        <v>0</v>
      </c>
      <c r="AG714" s="34">
        <f t="shared" si="603"/>
        <v>0</v>
      </c>
      <c r="AH714" s="34">
        <f t="shared" si="604"/>
        <v>0</v>
      </c>
      <c r="AI714" s="27" t="s">
        <v>3645</v>
      </c>
      <c r="AJ714" s="18">
        <f t="shared" si="605"/>
        <v>0</v>
      </c>
      <c r="AK714" s="18">
        <f t="shared" si="606"/>
        <v>0</v>
      </c>
      <c r="AL714" s="18">
        <f t="shared" si="607"/>
        <v>0</v>
      </c>
      <c r="AN714" s="34">
        <v>21</v>
      </c>
      <c r="AO714" s="34">
        <f t="shared" si="616"/>
        <v>0</v>
      </c>
      <c r="AP714" s="34">
        <f t="shared" si="617"/>
        <v>0</v>
      </c>
      <c r="AQ714" s="28" t="s">
        <v>13</v>
      </c>
      <c r="AV714" s="34">
        <f t="shared" si="608"/>
        <v>0</v>
      </c>
      <c r="AW714" s="34">
        <f t="shared" si="609"/>
        <v>0</v>
      </c>
      <c r="AX714" s="34">
        <f t="shared" si="610"/>
        <v>0</v>
      </c>
      <c r="AY714" s="35" t="s">
        <v>3684</v>
      </c>
      <c r="AZ714" s="35" t="s">
        <v>3716</v>
      </c>
      <c r="BA714" s="27" t="s">
        <v>3729</v>
      </c>
      <c r="BC714" s="34">
        <f t="shared" si="611"/>
        <v>0</v>
      </c>
      <c r="BD714" s="34">
        <f t="shared" si="612"/>
        <v>0</v>
      </c>
      <c r="BE714" s="34">
        <v>0</v>
      </c>
      <c r="BF714" s="34">
        <f>714</f>
        <v>714</v>
      </c>
      <c r="BH714" s="18">
        <f t="shared" si="613"/>
        <v>0</v>
      </c>
      <c r="BI714" s="18">
        <f t="shared" si="614"/>
        <v>0</v>
      </c>
      <c r="BJ714" s="18">
        <f t="shared" si="615"/>
        <v>0</v>
      </c>
    </row>
    <row r="715" spans="1:62" x14ac:dyDescent="0.2">
      <c r="A715" s="5" t="s">
        <v>671</v>
      </c>
      <c r="B715" s="5" t="s">
        <v>1858</v>
      </c>
      <c r="C715" s="135" t="s">
        <v>3059</v>
      </c>
      <c r="D715" s="136"/>
      <c r="E715" s="136"/>
      <c r="F715" s="136"/>
      <c r="G715" s="136"/>
      <c r="H715" s="5" t="s">
        <v>3612</v>
      </c>
      <c r="I715" s="18">
        <v>1</v>
      </c>
      <c r="J715" s="18">
        <v>0</v>
      </c>
      <c r="K715" s="18">
        <f t="shared" si="596"/>
        <v>0</v>
      </c>
      <c r="L715" s="28" t="s">
        <v>3635</v>
      </c>
      <c r="Z715" s="34">
        <f t="shared" si="597"/>
        <v>0</v>
      </c>
      <c r="AB715" s="34">
        <f t="shared" si="598"/>
        <v>0</v>
      </c>
      <c r="AC715" s="34">
        <f t="shared" si="599"/>
        <v>0</v>
      </c>
      <c r="AD715" s="34">
        <f t="shared" si="600"/>
        <v>0</v>
      </c>
      <c r="AE715" s="34">
        <f t="shared" si="601"/>
        <v>0</v>
      </c>
      <c r="AF715" s="34">
        <f t="shared" si="602"/>
        <v>0</v>
      </c>
      <c r="AG715" s="34">
        <f t="shared" si="603"/>
        <v>0</v>
      </c>
      <c r="AH715" s="34">
        <f t="shared" si="604"/>
        <v>0</v>
      </c>
      <c r="AI715" s="27" t="s">
        <v>3645</v>
      </c>
      <c r="AJ715" s="18">
        <f t="shared" si="605"/>
        <v>0</v>
      </c>
      <c r="AK715" s="18">
        <f t="shared" si="606"/>
        <v>0</v>
      </c>
      <c r="AL715" s="18">
        <f t="shared" si="607"/>
        <v>0</v>
      </c>
      <c r="AN715" s="34">
        <v>21</v>
      </c>
      <c r="AO715" s="34">
        <f t="shared" si="616"/>
        <v>0</v>
      </c>
      <c r="AP715" s="34">
        <f t="shared" si="617"/>
        <v>0</v>
      </c>
      <c r="AQ715" s="28" t="s">
        <v>13</v>
      </c>
      <c r="AV715" s="34">
        <f t="shared" si="608"/>
        <v>0</v>
      </c>
      <c r="AW715" s="34">
        <f t="shared" si="609"/>
        <v>0</v>
      </c>
      <c r="AX715" s="34">
        <f t="shared" si="610"/>
        <v>0</v>
      </c>
      <c r="AY715" s="35" t="s">
        <v>3684</v>
      </c>
      <c r="AZ715" s="35" t="s">
        <v>3716</v>
      </c>
      <c r="BA715" s="27" t="s">
        <v>3729</v>
      </c>
      <c r="BC715" s="34">
        <f t="shared" si="611"/>
        <v>0</v>
      </c>
      <c r="BD715" s="34">
        <f t="shared" si="612"/>
        <v>0</v>
      </c>
      <c r="BE715" s="34">
        <v>0</v>
      </c>
      <c r="BF715" s="34">
        <f>715</f>
        <v>715</v>
      </c>
      <c r="BH715" s="18">
        <f t="shared" si="613"/>
        <v>0</v>
      </c>
      <c r="BI715" s="18">
        <f t="shared" si="614"/>
        <v>0</v>
      </c>
      <c r="BJ715" s="18">
        <f t="shared" si="615"/>
        <v>0</v>
      </c>
    </row>
    <row r="716" spans="1:62" x14ac:dyDescent="0.2">
      <c r="A716" s="5" t="s">
        <v>672</v>
      </c>
      <c r="B716" s="5" t="s">
        <v>1859</v>
      </c>
      <c r="C716" s="135" t="s">
        <v>3060</v>
      </c>
      <c r="D716" s="136"/>
      <c r="E716" s="136"/>
      <c r="F716" s="136"/>
      <c r="G716" s="136"/>
      <c r="H716" s="5" t="s">
        <v>3612</v>
      </c>
      <c r="I716" s="18">
        <v>1</v>
      </c>
      <c r="J716" s="18">
        <v>0</v>
      </c>
      <c r="K716" s="18">
        <f t="shared" si="596"/>
        <v>0</v>
      </c>
      <c r="L716" s="28" t="s">
        <v>3635</v>
      </c>
      <c r="Z716" s="34">
        <f t="shared" si="597"/>
        <v>0</v>
      </c>
      <c r="AB716" s="34">
        <f t="shared" si="598"/>
        <v>0</v>
      </c>
      <c r="AC716" s="34">
        <f t="shared" si="599"/>
        <v>0</v>
      </c>
      <c r="AD716" s="34">
        <f t="shared" si="600"/>
        <v>0</v>
      </c>
      <c r="AE716" s="34">
        <f t="shared" si="601"/>
        <v>0</v>
      </c>
      <c r="AF716" s="34">
        <f t="shared" si="602"/>
        <v>0</v>
      </c>
      <c r="AG716" s="34">
        <f t="shared" si="603"/>
        <v>0</v>
      </c>
      <c r="AH716" s="34">
        <f t="shared" si="604"/>
        <v>0</v>
      </c>
      <c r="AI716" s="27" t="s">
        <v>3645</v>
      </c>
      <c r="AJ716" s="18">
        <f t="shared" si="605"/>
        <v>0</v>
      </c>
      <c r="AK716" s="18">
        <f t="shared" si="606"/>
        <v>0</v>
      </c>
      <c r="AL716" s="18">
        <f t="shared" si="607"/>
        <v>0</v>
      </c>
      <c r="AN716" s="34">
        <v>21</v>
      </c>
      <c r="AO716" s="34">
        <f t="shared" si="616"/>
        <v>0</v>
      </c>
      <c r="AP716" s="34">
        <f t="shared" si="617"/>
        <v>0</v>
      </c>
      <c r="AQ716" s="28" t="s">
        <v>13</v>
      </c>
      <c r="AV716" s="34">
        <f t="shared" si="608"/>
        <v>0</v>
      </c>
      <c r="AW716" s="34">
        <f t="shared" si="609"/>
        <v>0</v>
      </c>
      <c r="AX716" s="34">
        <f t="shared" si="610"/>
        <v>0</v>
      </c>
      <c r="AY716" s="35" t="s">
        <v>3684</v>
      </c>
      <c r="AZ716" s="35" t="s">
        <v>3716</v>
      </c>
      <c r="BA716" s="27" t="s">
        <v>3729</v>
      </c>
      <c r="BC716" s="34">
        <f t="shared" si="611"/>
        <v>0</v>
      </c>
      <c r="BD716" s="34">
        <f t="shared" si="612"/>
        <v>0</v>
      </c>
      <c r="BE716" s="34">
        <v>0</v>
      </c>
      <c r="BF716" s="34">
        <f>716</f>
        <v>716</v>
      </c>
      <c r="BH716" s="18">
        <f t="shared" si="613"/>
        <v>0</v>
      </c>
      <c r="BI716" s="18">
        <f t="shared" si="614"/>
        <v>0</v>
      </c>
      <c r="BJ716" s="18">
        <f t="shared" si="615"/>
        <v>0</v>
      </c>
    </row>
    <row r="717" spans="1:62" x14ac:dyDescent="0.2">
      <c r="A717" s="5" t="s">
        <v>673</v>
      </c>
      <c r="B717" s="5" t="s">
        <v>1860</v>
      </c>
      <c r="C717" s="135" t="s">
        <v>3061</v>
      </c>
      <c r="D717" s="136"/>
      <c r="E717" s="136"/>
      <c r="F717" s="136"/>
      <c r="G717" s="136"/>
      <c r="H717" s="5" t="s">
        <v>3614</v>
      </c>
      <c r="I717" s="18">
        <v>21.065000000000001</v>
      </c>
      <c r="J717" s="18">
        <v>0</v>
      </c>
      <c r="K717" s="18">
        <f t="shared" si="596"/>
        <v>0</v>
      </c>
      <c r="L717" s="28" t="s">
        <v>3635</v>
      </c>
      <c r="Z717" s="34">
        <f t="shared" si="597"/>
        <v>0</v>
      </c>
      <c r="AB717" s="34">
        <f t="shared" si="598"/>
        <v>0</v>
      </c>
      <c r="AC717" s="34">
        <f t="shared" si="599"/>
        <v>0</v>
      </c>
      <c r="AD717" s="34">
        <f t="shared" si="600"/>
        <v>0</v>
      </c>
      <c r="AE717" s="34">
        <f t="shared" si="601"/>
        <v>0</v>
      </c>
      <c r="AF717" s="34">
        <f t="shared" si="602"/>
        <v>0</v>
      </c>
      <c r="AG717" s="34">
        <f t="shared" si="603"/>
        <v>0</v>
      </c>
      <c r="AH717" s="34">
        <f t="shared" si="604"/>
        <v>0</v>
      </c>
      <c r="AI717" s="27" t="s">
        <v>3645</v>
      </c>
      <c r="AJ717" s="18">
        <f t="shared" si="605"/>
        <v>0</v>
      </c>
      <c r="AK717" s="18">
        <f t="shared" si="606"/>
        <v>0</v>
      </c>
      <c r="AL717" s="18">
        <f t="shared" si="607"/>
        <v>0</v>
      </c>
      <c r="AN717" s="34">
        <v>21</v>
      </c>
      <c r="AO717" s="34">
        <f>J717*0.0262857142857143</f>
        <v>0</v>
      </c>
      <c r="AP717" s="34">
        <f>J717*(1-0.0262857142857143)</f>
        <v>0</v>
      </c>
      <c r="AQ717" s="28" t="s">
        <v>13</v>
      </c>
      <c r="AV717" s="34">
        <f t="shared" si="608"/>
        <v>0</v>
      </c>
      <c r="AW717" s="34">
        <f t="shared" si="609"/>
        <v>0</v>
      </c>
      <c r="AX717" s="34">
        <f t="shared" si="610"/>
        <v>0</v>
      </c>
      <c r="AY717" s="35" t="s">
        <v>3684</v>
      </c>
      <c r="AZ717" s="35" t="s">
        <v>3716</v>
      </c>
      <c r="BA717" s="27" t="s">
        <v>3729</v>
      </c>
      <c r="BC717" s="34">
        <f t="shared" si="611"/>
        <v>0</v>
      </c>
      <c r="BD717" s="34">
        <f t="shared" si="612"/>
        <v>0</v>
      </c>
      <c r="BE717" s="34">
        <v>0</v>
      </c>
      <c r="BF717" s="34">
        <f>717</f>
        <v>717</v>
      </c>
      <c r="BH717" s="18">
        <f t="shared" si="613"/>
        <v>0</v>
      </c>
      <c r="BI717" s="18">
        <f t="shared" si="614"/>
        <v>0</v>
      </c>
      <c r="BJ717" s="18">
        <f t="shared" si="615"/>
        <v>0</v>
      </c>
    </row>
    <row r="718" spans="1:62" x14ac:dyDescent="0.2">
      <c r="A718" s="5" t="s">
        <v>674</v>
      </c>
      <c r="B718" s="5" t="s">
        <v>1861</v>
      </c>
      <c r="C718" s="135" t="s">
        <v>3062</v>
      </c>
      <c r="D718" s="136"/>
      <c r="E718" s="136"/>
      <c r="F718" s="136"/>
      <c r="G718" s="136"/>
      <c r="H718" s="5" t="s">
        <v>3614</v>
      </c>
      <c r="I718" s="18">
        <v>15.75</v>
      </c>
      <c r="J718" s="18">
        <v>0</v>
      </c>
      <c r="K718" s="18">
        <f t="shared" si="596"/>
        <v>0</v>
      </c>
      <c r="L718" s="28" t="s">
        <v>3635</v>
      </c>
      <c r="Z718" s="34">
        <f t="shared" si="597"/>
        <v>0</v>
      </c>
      <c r="AB718" s="34">
        <f t="shared" si="598"/>
        <v>0</v>
      </c>
      <c r="AC718" s="34">
        <f t="shared" si="599"/>
        <v>0</v>
      </c>
      <c r="AD718" s="34">
        <f t="shared" si="600"/>
        <v>0</v>
      </c>
      <c r="AE718" s="34">
        <f t="shared" si="601"/>
        <v>0</v>
      </c>
      <c r="AF718" s="34">
        <f t="shared" si="602"/>
        <v>0</v>
      </c>
      <c r="AG718" s="34">
        <f t="shared" si="603"/>
        <v>0</v>
      </c>
      <c r="AH718" s="34">
        <f t="shared" si="604"/>
        <v>0</v>
      </c>
      <c r="AI718" s="27" t="s">
        <v>3645</v>
      </c>
      <c r="AJ718" s="18">
        <f t="shared" si="605"/>
        <v>0</v>
      </c>
      <c r="AK718" s="18">
        <f t="shared" si="606"/>
        <v>0</v>
      </c>
      <c r="AL718" s="18">
        <f t="shared" si="607"/>
        <v>0</v>
      </c>
      <c r="AN718" s="34">
        <v>21</v>
      </c>
      <c r="AO718" s="34">
        <f>J718*0.0262886597938144</f>
        <v>0</v>
      </c>
      <c r="AP718" s="34">
        <f>J718*(1-0.0262886597938144)</f>
        <v>0</v>
      </c>
      <c r="AQ718" s="28" t="s">
        <v>13</v>
      </c>
      <c r="AV718" s="34">
        <f t="shared" si="608"/>
        <v>0</v>
      </c>
      <c r="AW718" s="34">
        <f t="shared" si="609"/>
        <v>0</v>
      </c>
      <c r="AX718" s="34">
        <f t="shared" si="610"/>
        <v>0</v>
      </c>
      <c r="AY718" s="35" t="s">
        <v>3684</v>
      </c>
      <c r="AZ718" s="35" t="s">
        <v>3716</v>
      </c>
      <c r="BA718" s="27" t="s">
        <v>3729</v>
      </c>
      <c r="BC718" s="34">
        <f t="shared" si="611"/>
        <v>0</v>
      </c>
      <c r="BD718" s="34">
        <f t="shared" si="612"/>
        <v>0</v>
      </c>
      <c r="BE718" s="34">
        <v>0</v>
      </c>
      <c r="BF718" s="34">
        <f>718</f>
        <v>718</v>
      </c>
      <c r="BH718" s="18">
        <f t="shared" si="613"/>
        <v>0</v>
      </c>
      <c r="BI718" s="18">
        <f t="shared" si="614"/>
        <v>0</v>
      </c>
      <c r="BJ718" s="18">
        <f t="shared" si="615"/>
        <v>0</v>
      </c>
    </row>
    <row r="719" spans="1:62" x14ac:dyDescent="0.2">
      <c r="A719" s="5" t="s">
        <v>675</v>
      </c>
      <c r="B719" s="5" t="s">
        <v>1862</v>
      </c>
      <c r="C719" s="135" t="s">
        <v>3063</v>
      </c>
      <c r="D719" s="136"/>
      <c r="E719" s="136"/>
      <c r="F719" s="136"/>
      <c r="G719" s="136"/>
      <c r="H719" s="5" t="s">
        <v>3616</v>
      </c>
      <c r="I719" s="18">
        <v>7.1166999999999998</v>
      </c>
      <c r="J719" s="18">
        <v>0</v>
      </c>
      <c r="K719" s="18">
        <f t="shared" si="596"/>
        <v>0</v>
      </c>
      <c r="L719" s="28" t="s">
        <v>3635</v>
      </c>
      <c r="Z719" s="34">
        <f t="shared" si="597"/>
        <v>0</v>
      </c>
      <c r="AB719" s="34">
        <f t="shared" si="598"/>
        <v>0</v>
      </c>
      <c r="AC719" s="34">
        <f t="shared" si="599"/>
        <v>0</v>
      </c>
      <c r="AD719" s="34">
        <f t="shared" si="600"/>
        <v>0</v>
      </c>
      <c r="AE719" s="34">
        <f t="shared" si="601"/>
        <v>0</v>
      </c>
      <c r="AF719" s="34">
        <f t="shared" si="602"/>
        <v>0</v>
      </c>
      <c r="AG719" s="34">
        <f t="shared" si="603"/>
        <v>0</v>
      </c>
      <c r="AH719" s="34">
        <f t="shared" si="604"/>
        <v>0</v>
      </c>
      <c r="AI719" s="27" t="s">
        <v>3645</v>
      </c>
      <c r="AJ719" s="18">
        <f t="shared" si="605"/>
        <v>0</v>
      </c>
      <c r="AK719" s="18">
        <f t="shared" si="606"/>
        <v>0</v>
      </c>
      <c r="AL719" s="18">
        <f t="shared" si="607"/>
        <v>0</v>
      </c>
      <c r="AN719" s="34">
        <v>21</v>
      </c>
      <c r="AO719" s="34">
        <f>J719*0</f>
        <v>0</v>
      </c>
      <c r="AP719" s="34">
        <f>J719*(1-0)</f>
        <v>0</v>
      </c>
      <c r="AQ719" s="28" t="s">
        <v>11</v>
      </c>
      <c r="AV719" s="34">
        <f t="shared" si="608"/>
        <v>0</v>
      </c>
      <c r="AW719" s="34">
        <f t="shared" si="609"/>
        <v>0</v>
      </c>
      <c r="AX719" s="34">
        <f t="shared" si="610"/>
        <v>0</v>
      </c>
      <c r="AY719" s="35" t="s">
        <v>3684</v>
      </c>
      <c r="AZ719" s="35" t="s">
        <v>3716</v>
      </c>
      <c r="BA719" s="27" t="s">
        <v>3729</v>
      </c>
      <c r="BC719" s="34">
        <f t="shared" si="611"/>
        <v>0</v>
      </c>
      <c r="BD719" s="34">
        <f t="shared" si="612"/>
        <v>0</v>
      </c>
      <c r="BE719" s="34">
        <v>0</v>
      </c>
      <c r="BF719" s="34">
        <f>719</f>
        <v>719</v>
      </c>
      <c r="BH719" s="18">
        <f t="shared" si="613"/>
        <v>0</v>
      </c>
      <c r="BI719" s="18">
        <f t="shared" si="614"/>
        <v>0</v>
      </c>
      <c r="BJ719" s="18">
        <f t="shared" si="615"/>
        <v>0</v>
      </c>
    </row>
    <row r="720" spans="1:62" x14ac:dyDescent="0.2">
      <c r="A720" s="4"/>
      <c r="B720" s="14" t="s">
        <v>773</v>
      </c>
      <c r="C720" s="133" t="s">
        <v>3064</v>
      </c>
      <c r="D720" s="134"/>
      <c r="E720" s="134"/>
      <c r="F720" s="134"/>
      <c r="G720" s="134"/>
      <c r="H720" s="4" t="s">
        <v>6</v>
      </c>
      <c r="I720" s="4" t="s">
        <v>6</v>
      </c>
      <c r="J720" s="4" t="s">
        <v>6</v>
      </c>
      <c r="K720" s="37">
        <f>SUM(K721:K772)</f>
        <v>0</v>
      </c>
      <c r="L720" s="27"/>
      <c r="AI720" s="27" t="s">
        <v>3645</v>
      </c>
      <c r="AS720" s="37">
        <f>SUM(AJ721:AJ772)</f>
        <v>0</v>
      </c>
      <c r="AT720" s="37">
        <f>SUM(AK721:AK772)</f>
        <v>0</v>
      </c>
      <c r="AU720" s="37">
        <f>SUM(AL721:AL772)</f>
        <v>0</v>
      </c>
    </row>
    <row r="721" spans="1:62" x14ac:dyDescent="0.2">
      <c r="A721" s="5" t="s">
        <v>676</v>
      </c>
      <c r="B721" s="5" t="s">
        <v>1863</v>
      </c>
      <c r="C721" s="135" t="s">
        <v>3065</v>
      </c>
      <c r="D721" s="136"/>
      <c r="E721" s="136"/>
      <c r="F721" s="136"/>
      <c r="G721" s="136"/>
      <c r="H721" s="5" t="s">
        <v>3614</v>
      </c>
      <c r="I721" s="18">
        <v>5.3</v>
      </c>
      <c r="J721" s="18">
        <v>0</v>
      </c>
      <c r="K721" s="18">
        <f t="shared" ref="K721:K752" si="618">I721*J721</f>
        <v>0</v>
      </c>
      <c r="L721" s="28" t="s">
        <v>3635</v>
      </c>
      <c r="Z721" s="34">
        <f t="shared" ref="Z721:Z752" si="619">IF(AQ721="5",BJ721,0)</f>
        <v>0</v>
      </c>
      <c r="AB721" s="34">
        <f t="shared" ref="AB721:AB752" si="620">IF(AQ721="1",BH721,0)</f>
        <v>0</v>
      </c>
      <c r="AC721" s="34">
        <f t="shared" ref="AC721:AC752" si="621">IF(AQ721="1",BI721,0)</f>
        <v>0</v>
      </c>
      <c r="AD721" s="34">
        <f t="shared" ref="AD721:AD752" si="622">IF(AQ721="7",BH721,0)</f>
        <v>0</v>
      </c>
      <c r="AE721" s="34">
        <f t="shared" ref="AE721:AE752" si="623">IF(AQ721="7",BI721,0)</f>
        <v>0</v>
      </c>
      <c r="AF721" s="34">
        <f t="shared" ref="AF721:AF752" si="624">IF(AQ721="2",BH721,0)</f>
        <v>0</v>
      </c>
      <c r="AG721" s="34">
        <f t="shared" ref="AG721:AG752" si="625">IF(AQ721="2",BI721,0)</f>
        <v>0</v>
      </c>
      <c r="AH721" s="34">
        <f t="shared" ref="AH721:AH752" si="626">IF(AQ721="0",BJ721,0)</f>
        <v>0</v>
      </c>
      <c r="AI721" s="27" t="s">
        <v>3645</v>
      </c>
      <c r="AJ721" s="18">
        <f t="shared" ref="AJ721:AJ752" si="627">IF(AN721=0,K721,0)</f>
        <v>0</v>
      </c>
      <c r="AK721" s="18">
        <f t="shared" ref="AK721:AK752" si="628">IF(AN721=15,K721,0)</f>
        <v>0</v>
      </c>
      <c r="AL721" s="18">
        <f t="shared" ref="AL721:AL752" si="629">IF(AN721=21,K721,0)</f>
        <v>0</v>
      </c>
      <c r="AN721" s="34">
        <v>21</v>
      </c>
      <c r="AO721" s="34">
        <f>J721*0.106531365313653</f>
        <v>0</v>
      </c>
      <c r="AP721" s="34">
        <f>J721*(1-0.106531365313653)</f>
        <v>0</v>
      </c>
      <c r="AQ721" s="28" t="s">
        <v>13</v>
      </c>
      <c r="AV721" s="34">
        <f t="shared" ref="AV721:AV752" si="630">AW721+AX721</f>
        <v>0</v>
      </c>
      <c r="AW721" s="34">
        <f t="shared" ref="AW721:AW752" si="631">I721*AO721</f>
        <v>0</v>
      </c>
      <c r="AX721" s="34">
        <f t="shared" ref="AX721:AX752" si="632">I721*AP721</f>
        <v>0</v>
      </c>
      <c r="AY721" s="35" t="s">
        <v>3685</v>
      </c>
      <c r="AZ721" s="35" t="s">
        <v>3716</v>
      </c>
      <c r="BA721" s="27" t="s">
        <v>3729</v>
      </c>
      <c r="BC721" s="34">
        <f t="shared" ref="BC721:BC752" si="633">AW721+AX721</f>
        <v>0</v>
      </c>
      <c r="BD721" s="34">
        <f t="shared" ref="BD721:BD752" si="634">J721/(100-BE721)*100</f>
        <v>0</v>
      </c>
      <c r="BE721" s="34">
        <v>0</v>
      </c>
      <c r="BF721" s="34">
        <f>721</f>
        <v>721</v>
      </c>
      <c r="BH721" s="18">
        <f t="shared" ref="BH721:BH752" si="635">I721*AO721</f>
        <v>0</v>
      </c>
      <c r="BI721" s="18">
        <f t="shared" ref="BI721:BI752" si="636">I721*AP721</f>
        <v>0</v>
      </c>
      <c r="BJ721" s="18">
        <f t="shared" ref="BJ721:BJ752" si="637">I721*J721</f>
        <v>0</v>
      </c>
    </row>
    <row r="722" spans="1:62" x14ac:dyDescent="0.2">
      <c r="A722" s="5" t="s">
        <v>677</v>
      </c>
      <c r="B722" s="5" t="s">
        <v>1864</v>
      </c>
      <c r="C722" s="135" t="s">
        <v>3065</v>
      </c>
      <c r="D722" s="136"/>
      <c r="E722" s="136"/>
      <c r="F722" s="136"/>
      <c r="G722" s="136"/>
      <c r="H722" s="5" t="s">
        <v>3614</v>
      </c>
      <c r="I722" s="18">
        <v>23</v>
      </c>
      <c r="J722" s="18">
        <v>0</v>
      </c>
      <c r="K722" s="18">
        <f t="shared" si="618"/>
        <v>0</v>
      </c>
      <c r="L722" s="28" t="s">
        <v>3635</v>
      </c>
      <c r="Z722" s="34">
        <f t="shared" si="619"/>
        <v>0</v>
      </c>
      <c r="AB722" s="34">
        <f t="shared" si="620"/>
        <v>0</v>
      </c>
      <c r="AC722" s="34">
        <f t="shared" si="621"/>
        <v>0</v>
      </c>
      <c r="AD722" s="34">
        <f t="shared" si="622"/>
        <v>0</v>
      </c>
      <c r="AE722" s="34">
        <f t="shared" si="623"/>
        <v>0</v>
      </c>
      <c r="AF722" s="34">
        <f t="shared" si="624"/>
        <v>0</v>
      </c>
      <c r="AG722" s="34">
        <f t="shared" si="625"/>
        <v>0</v>
      </c>
      <c r="AH722" s="34">
        <f t="shared" si="626"/>
        <v>0</v>
      </c>
      <c r="AI722" s="27" t="s">
        <v>3645</v>
      </c>
      <c r="AJ722" s="18">
        <f t="shared" si="627"/>
        <v>0</v>
      </c>
      <c r="AK722" s="18">
        <f t="shared" si="628"/>
        <v>0</v>
      </c>
      <c r="AL722" s="18">
        <f t="shared" si="629"/>
        <v>0</v>
      </c>
      <c r="AN722" s="34">
        <v>21</v>
      </c>
      <c r="AO722" s="34">
        <f>J722*0.10651724137931</f>
        <v>0</v>
      </c>
      <c r="AP722" s="34">
        <f>J722*(1-0.10651724137931)</f>
        <v>0</v>
      </c>
      <c r="AQ722" s="28" t="s">
        <v>13</v>
      </c>
      <c r="AV722" s="34">
        <f t="shared" si="630"/>
        <v>0</v>
      </c>
      <c r="AW722" s="34">
        <f t="shared" si="631"/>
        <v>0</v>
      </c>
      <c r="AX722" s="34">
        <f t="shared" si="632"/>
        <v>0</v>
      </c>
      <c r="AY722" s="35" t="s">
        <v>3685</v>
      </c>
      <c r="AZ722" s="35" t="s">
        <v>3716</v>
      </c>
      <c r="BA722" s="27" t="s">
        <v>3729</v>
      </c>
      <c r="BC722" s="34">
        <f t="shared" si="633"/>
        <v>0</v>
      </c>
      <c r="BD722" s="34">
        <f t="shared" si="634"/>
        <v>0</v>
      </c>
      <c r="BE722" s="34">
        <v>0</v>
      </c>
      <c r="BF722" s="34">
        <f>722</f>
        <v>722</v>
      </c>
      <c r="BH722" s="18">
        <f t="shared" si="635"/>
        <v>0</v>
      </c>
      <c r="BI722" s="18">
        <f t="shared" si="636"/>
        <v>0</v>
      </c>
      <c r="BJ722" s="18">
        <f t="shared" si="637"/>
        <v>0</v>
      </c>
    </row>
    <row r="723" spans="1:62" x14ac:dyDescent="0.2">
      <c r="A723" s="5" t="s">
        <v>678</v>
      </c>
      <c r="B723" s="5" t="s">
        <v>1865</v>
      </c>
      <c r="C723" s="135" t="s">
        <v>3066</v>
      </c>
      <c r="D723" s="136"/>
      <c r="E723" s="136"/>
      <c r="F723" s="136"/>
      <c r="G723" s="136"/>
      <c r="H723" s="5" t="s">
        <v>3612</v>
      </c>
      <c r="I723" s="18">
        <v>1</v>
      </c>
      <c r="J723" s="18">
        <v>0</v>
      </c>
      <c r="K723" s="18">
        <f t="shared" si="618"/>
        <v>0</v>
      </c>
      <c r="L723" s="28" t="s">
        <v>3635</v>
      </c>
      <c r="Z723" s="34">
        <f t="shared" si="619"/>
        <v>0</v>
      </c>
      <c r="AB723" s="34">
        <f t="shared" si="620"/>
        <v>0</v>
      </c>
      <c r="AC723" s="34">
        <f t="shared" si="621"/>
        <v>0</v>
      </c>
      <c r="AD723" s="34">
        <f t="shared" si="622"/>
        <v>0</v>
      </c>
      <c r="AE723" s="34">
        <f t="shared" si="623"/>
        <v>0</v>
      </c>
      <c r="AF723" s="34">
        <f t="shared" si="624"/>
        <v>0</v>
      </c>
      <c r="AG723" s="34">
        <f t="shared" si="625"/>
        <v>0</v>
      </c>
      <c r="AH723" s="34">
        <f t="shared" si="626"/>
        <v>0</v>
      </c>
      <c r="AI723" s="27" t="s">
        <v>3645</v>
      </c>
      <c r="AJ723" s="18">
        <f t="shared" si="627"/>
        <v>0</v>
      </c>
      <c r="AK723" s="18">
        <f t="shared" si="628"/>
        <v>0</v>
      </c>
      <c r="AL723" s="18">
        <f t="shared" si="629"/>
        <v>0</v>
      </c>
      <c r="AN723" s="34">
        <v>21</v>
      </c>
      <c r="AO723" s="34">
        <f>J723*0.106517939814815</f>
        <v>0</v>
      </c>
      <c r="AP723" s="34">
        <f>J723*(1-0.106517939814815)</f>
        <v>0</v>
      </c>
      <c r="AQ723" s="28" t="s">
        <v>13</v>
      </c>
      <c r="AV723" s="34">
        <f t="shared" si="630"/>
        <v>0</v>
      </c>
      <c r="AW723" s="34">
        <f t="shared" si="631"/>
        <v>0</v>
      </c>
      <c r="AX723" s="34">
        <f t="shared" si="632"/>
        <v>0</v>
      </c>
      <c r="AY723" s="35" t="s">
        <v>3685</v>
      </c>
      <c r="AZ723" s="35" t="s">
        <v>3716</v>
      </c>
      <c r="BA723" s="27" t="s">
        <v>3729</v>
      </c>
      <c r="BC723" s="34">
        <f t="shared" si="633"/>
        <v>0</v>
      </c>
      <c r="BD723" s="34">
        <f t="shared" si="634"/>
        <v>0</v>
      </c>
      <c r="BE723" s="34">
        <v>0</v>
      </c>
      <c r="BF723" s="34">
        <f>723</f>
        <v>723</v>
      </c>
      <c r="BH723" s="18">
        <f t="shared" si="635"/>
        <v>0</v>
      </c>
      <c r="BI723" s="18">
        <f t="shared" si="636"/>
        <v>0</v>
      </c>
      <c r="BJ723" s="18">
        <f t="shared" si="637"/>
        <v>0</v>
      </c>
    </row>
    <row r="724" spans="1:62" x14ac:dyDescent="0.2">
      <c r="A724" s="5" t="s">
        <v>679</v>
      </c>
      <c r="B724" s="5" t="s">
        <v>1866</v>
      </c>
      <c r="C724" s="135" t="s">
        <v>3067</v>
      </c>
      <c r="D724" s="136"/>
      <c r="E724" s="136"/>
      <c r="F724" s="136"/>
      <c r="G724" s="136"/>
      <c r="H724" s="5" t="s">
        <v>3612</v>
      </c>
      <c r="I724" s="18">
        <v>1</v>
      </c>
      <c r="J724" s="18">
        <v>0</v>
      </c>
      <c r="K724" s="18">
        <f t="shared" si="618"/>
        <v>0</v>
      </c>
      <c r="L724" s="28" t="s">
        <v>3635</v>
      </c>
      <c r="Z724" s="34">
        <f t="shared" si="619"/>
        <v>0</v>
      </c>
      <c r="AB724" s="34">
        <f t="shared" si="620"/>
        <v>0</v>
      </c>
      <c r="AC724" s="34">
        <f t="shared" si="621"/>
        <v>0</v>
      </c>
      <c r="AD724" s="34">
        <f t="shared" si="622"/>
        <v>0</v>
      </c>
      <c r="AE724" s="34">
        <f t="shared" si="623"/>
        <v>0</v>
      </c>
      <c r="AF724" s="34">
        <f t="shared" si="624"/>
        <v>0</v>
      </c>
      <c r="AG724" s="34">
        <f t="shared" si="625"/>
        <v>0</v>
      </c>
      <c r="AH724" s="34">
        <f t="shared" si="626"/>
        <v>0</v>
      </c>
      <c r="AI724" s="27" t="s">
        <v>3645</v>
      </c>
      <c r="AJ724" s="18">
        <f t="shared" si="627"/>
        <v>0</v>
      </c>
      <c r="AK724" s="18">
        <f t="shared" si="628"/>
        <v>0</v>
      </c>
      <c r="AL724" s="18">
        <f t="shared" si="629"/>
        <v>0</v>
      </c>
      <c r="AN724" s="34">
        <v>21</v>
      </c>
      <c r="AO724" s="34">
        <f>J724*0.106517814726841</f>
        <v>0</v>
      </c>
      <c r="AP724" s="34">
        <f>J724*(1-0.106517814726841)</f>
        <v>0</v>
      </c>
      <c r="AQ724" s="28" t="s">
        <v>13</v>
      </c>
      <c r="AV724" s="34">
        <f t="shared" si="630"/>
        <v>0</v>
      </c>
      <c r="AW724" s="34">
        <f t="shared" si="631"/>
        <v>0</v>
      </c>
      <c r="AX724" s="34">
        <f t="shared" si="632"/>
        <v>0</v>
      </c>
      <c r="AY724" s="35" t="s">
        <v>3685</v>
      </c>
      <c r="AZ724" s="35" t="s">
        <v>3716</v>
      </c>
      <c r="BA724" s="27" t="s">
        <v>3729</v>
      </c>
      <c r="BC724" s="34">
        <f t="shared" si="633"/>
        <v>0</v>
      </c>
      <c r="BD724" s="34">
        <f t="shared" si="634"/>
        <v>0</v>
      </c>
      <c r="BE724" s="34">
        <v>0</v>
      </c>
      <c r="BF724" s="34">
        <f>724</f>
        <v>724</v>
      </c>
      <c r="BH724" s="18">
        <f t="shared" si="635"/>
        <v>0</v>
      </c>
      <c r="BI724" s="18">
        <f t="shared" si="636"/>
        <v>0</v>
      </c>
      <c r="BJ724" s="18">
        <f t="shared" si="637"/>
        <v>0</v>
      </c>
    </row>
    <row r="725" spans="1:62" x14ac:dyDescent="0.2">
      <c r="A725" s="5" t="s">
        <v>680</v>
      </c>
      <c r="B725" s="5" t="s">
        <v>1867</v>
      </c>
      <c r="C725" s="135" t="s">
        <v>3068</v>
      </c>
      <c r="D725" s="136"/>
      <c r="E725" s="136"/>
      <c r="F725" s="136"/>
      <c r="G725" s="136"/>
      <c r="H725" s="5" t="s">
        <v>3612</v>
      </c>
      <c r="I725" s="18">
        <v>1</v>
      </c>
      <c r="J725" s="18">
        <v>0</v>
      </c>
      <c r="K725" s="18">
        <f t="shared" si="618"/>
        <v>0</v>
      </c>
      <c r="L725" s="28" t="s">
        <v>3635</v>
      </c>
      <c r="Z725" s="34">
        <f t="shared" si="619"/>
        <v>0</v>
      </c>
      <c r="AB725" s="34">
        <f t="shared" si="620"/>
        <v>0</v>
      </c>
      <c r="AC725" s="34">
        <f t="shared" si="621"/>
        <v>0</v>
      </c>
      <c r="AD725" s="34">
        <f t="shared" si="622"/>
        <v>0</v>
      </c>
      <c r="AE725" s="34">
        <f t="shared" si="623"/>
        <v>0</v>
      </c>
      <c r="AF725" s="34">
        <f t="shared" si="624"/>
        <v>0</v>
      </c>
      <c r="AG725" s="34">
        <f t="shared" si="625"/>
        <v>0</v>
      </c>
      <c r="AH725" s="34">
        <f t="shared" si="626"/>
        <v>0</v>
      </c>
      <c r="AI725" s="27" t="s">
        <v>3645</v>
      </c>
      <c r="AJ725" s="18">
        <f t="shared" si="627"/>
        <v>0</v>
      </c>
      <c r="AK725" s="18">
        <f t="shared" si="628"/>
        <v>0</v>
      </c>
      <c r="AL725" s="18">
        <f t="shared" si="629"/>
        <v>0</v>
      </c>
      <c r="AN725" s="34">
        <v>21</v>
      </c>
      <c r="AO725" s="34">
        <f>J725*0.106517857142857</f>
        <v>0</v>
      </c>
      <c r="AP725" s="34">
        <f>J725*(1-0.106517857142857)</f>
        <v>0</v>
      </c>
      <c r="AQ725" s="28" t="s">
        <v>13</v>
      </c>
      <c r="AV725" s="34">
        <f t="shared" si="630"/>
        <v>0</v>
      </c>
      <c r="AW725" s="34">
        <f t="shared" si="631"/>
        <v>0</v>
      </c>
      <c r="AX725" s="34">
        <f t="shared" si="632"/>
        <v>0</v>
      </c>
      <c r="AY725" s="35" t="s">
        <v>3685</v>
      </c>
      <c r="AZ725" s="35" t="s">
        <v>3716</v>
      </c>
      <c r="BA725" s="27" t="s">
        <v>3729</v>
      </c>
      <c r="BC725" s="34">
        <f t="shared" si="633"/>
        <v>0</v>
      </c>
      <c r="BD725" s="34">
        <f t="shared" si="634"/>
        <v>0</v>
      </c>
      <c r="BE725" s="34">
        <v>0</v>
      </c>
      <c r="BF725" s="34">
        <f>725</f>
        <v>725</v>
      </c>
      <c r="BH725" s="18">
        <f t="shared" si="635"/>
        <v>0</v>
      </c>
      <c r="BI725" s="18">
        <f t="shared" si="636"/>
        <v>0</v>
      </c>
      <c r="BJ725" s="18">
        <f t="shared" si="637"/>
        <v>0</v>
      </c>
    </row>
    <row r="726" spans="1:62" x14ac:dyDescent="0.2">
      <c r="A726" s="5" t="s">
        <v>681</v>
      </c>
      <c r="B726" s="5" t="s">
        <v>1868</v>
      </c>
      <c r="C726" s="135" t="s">
        <v>3069</v>
      </c>
      <c r="D726" s="136"/>
      <c r="E726" s="136"/>
      <c r="F726" s="136"/>
      <c r="G726" s="136"/>
      <c r="H726" s="5" t="s">
        <v>3612</v>
      </c>
      <c r="I726" s="18">
        <v>1</v>
      </c>
      <c r="J726" s="18">
        <v>0</v>
      </c>
      <c r="K726" s="18">
        <f t="shared" si="618"/>
        <v>0</v>
      </c>
      <c r="L726" s="28" t="s">
        <v>3635</v>
      </c>
      <c r="Z726" s="34">
        <f t="shared" si="619"/>
        <v>0</v>
      </c>
      <c r="AB726" s="34">
        <f t="shared" si="620"/>
        <v>0</v>
      </c>
      <c r="AC726" s="34">
        <f t="shared" si="621"/>
        <v>0</v>
      </c>
      <c r="AD726" s="34">
        <f t="shared" si="622"/>
        <v>0</v>
      </c>
      <c r="AE726" s="34">
        <f t="shared" si="623"/>
        <v>0</v>
      </c>
      <c r="AF726" s="34">
        <f t="shared" si="624"/>
        <v>0</v>
      </c>
      <c r="AG726" s="34">
        <f t="shared" si="625"/>
        <v>0</v>
      </c>
      <c r="AH726" s="34">
        <f t="shared" si="626"/>
        <v>0</v>
      </c>
      <c r="AI726" s="27" t="s">
        <v>3645</v>
      </c>
      <c r="AJ726" s="18">
        <f t="shared" si="627"/>
        <v>0</v>
      </c>
      <c r="AK726" s="18">
        <f t="shared" si="628"/>
        <v>0</v>
      </c>
      <c r="AL726" s="18">
        <f t="shared" si="629"/>
        <v>0</v>
      </c>
      <c r="AN726" s="34">
        <v>21</v>
      </c>
      <c r="AO726" s="34">
        <f>J726*0.106518518518519</f>
        <v>0</v>
      </c>
      <c r="AP726" s="34">
        <f>J726*(1-0.106518518518519)</f>
        <v>0</v>
      </c>
      <c r="AQ726" s="28" t="s">
        <v>13</v>
      </c>
      <c r="AV726" s="34">
        <f t="shared" si="630"/>
        <v>0</v>
      </c>
      <c r="AW726" s="34">
        <f t="shared" si="631"/>
        <v>0</v>
      </c>
      <c r="AX726" s="34">
        <f t="shared" si="632"/>
        <v>0</v>
      </c>
      <c r="AY726" s="35" t="s">
        <v>3685</v>
      </c>
      <c r="AZ726" s="35" t="s">
        <v>3716</v>
      </c>
      <c r="BA726" s="27" t="s">
        <v>3729</v>
      </c>
      <c r="BC726" s="34">
        <f t="shared" si="633"/>
        <v>0</v>
      </c>
      <c r="BD726" s="34">
        <f t="shared" si="634"/>
        <v>0</v>
      </c>
      <c r="BE726" s="34">
        <v>0</v>
      </c>
      <c r="BF726" s="34">
        <f>726</f>
        <v>726</v>
      </c>
      <c r="BH726" s="18">
        <f t="shared" si="635"/>
        <v>0</v>
      </c>
      <c r="BI726" s="18">
        <f t="shared" si="636"/>
        <v>0</v>
      </c>
      <c r="BJ726" s="18">
        <f t="shared" si="637"/>
        <v>0</v>
      </c>
    </row>
    <row r="727" spans="1:62" x14ac:dyDescent="0.2">
      <c r="A727" s="5" t="s">
        <v>682</v>
      </c>
      <c r="B727" s="5" t="s">
        <v>1869</v>
      </c>
      <c r="C727" s="135" t="s">
        <v>3070</v>
      </c>
      <c r="D727" s="136"/>
      <c r="E727" s="136"/>
      <c r="F727" s="136"/>
      <c r="G727" s="136"/>
      <c r="H727" s="5" t="s">
        <v>3612</v>
      </c>
      <c r="I727" s="18">
        <v>21</v>
      </c>
      <c r="J727" s="18">
        <v>0</v>
      </c>
      <c r="K727" s="18">
        <f t="shared" si="618"/>
        <v>0</v>
      </c>
      <c r="L727" s="28" t="s">
        <v>3635</v>
      </c>
      <c r="Z727" s="34">
        <f t="shared" si="619"/>
        <v>0</v>
      </c>
      <c r="AB727" s="34">
        <f t="shared" si="620"/>
        <v>0</v>
      </c>
      <c r="AC727" s="34">
        <f t="shared" si="621"/>
        <v>0</v>
      </c>
      <c r="AD727" s="34">
        <f t="shared" si="622"/>
        <v>0</v>
      </c>
      <c r="AE727" s="34">
        <f t="shared" si="623"/>
        <v>0</v>
      </c>
      <c r="AF727" s="34">
        <f t="shared" si="624"/>
        <v>0</v>
      </c>
      <c r="AG727" s="34">
        <f t="shared" si="625"/>
        <v>0</v>
      </c>
      <c r="AH727" s="34">
        <f t="shared" si="626"/>
        <v>0</v>
      </c>
      <c r="AI727" s="27" t="s">
        <v>3645</v>
      </c>
      <c r="AJ727" s="18">
        <f t="shared" si="627"/>
        <v>0</v>
      </c>
      <c r="AK727" s="18">
        <f t="shared" si="628"/>
        <v>0</v>
      </c>
      <c r="AL727" s="18">
        <f t="shared" si="629"/>
        <v>0</v>
      </c>
      <c r="AN727" s="34">
        <v>21</v>
      </c>
      <c r="AO727" s="34">
        <f>J727*0.106518409425626</f>
        <v>0</v>
      </c>
      <c r="AP727" s="34">
        <f>J727*(1-0.106518409425626)</f>
        <v>0</v>
      </c>
      <c r="AQ727" s="28" t="s">
        <v>13</v>
      </c>
      <c r="AV727" s="34">
        <f t="shared" si="630"/>
        <v>0</v>
      </c>
      <c r="AW727" s="34">
        <f t="shared" si="631"/>
        <v>0</v>
      </c>
      <c r="AX727" s="34">
        <f t="shared" si="632"/>
        <v>0</v>
      </c>
      <c r="AY727" s="35" t="s">
        <v>3685</v>
      </c>
      <c r="AZ727" s="35" t="s">
        <v>3716</v>
      </c>
      <c r="BA727" s="27" t="s">
        <v>3729</v>
      </c>
      <c r="BC727" s="34">
        <f t="shared" si="633"/>
        <v>0</v>
      </c>
      <c r="BD727" s="34">
        <f t="shared" si="634"/>
        <v>0</v>
      </c>
      <c r="BE727" s="34">
        <v>0</v>
      </c>
      <c r="BF727" s="34">
        <f>727</f>
        <v>727</v>
      </c>
      <c r="BH727" s="18">
        <f t="shared" si="635"/>
        <v>0</v>
      </c>
      <c r="BI727" s="18">
        <f t="shared" si="636"/>
        <v>0</v>
      </c>
      <c r="BJ727" s="18">
        <f t="shared" si="637"/>
        <v>0</v>
      </c>
    </row>
    <row r="728" spans="1:62" x14ac:dyDescent="0.2">
      <c r="A728" s="5" t="s">
        <v>683</v>
      </c>
      <c r="B728" s="5" t="s">
        <v>1870</v>
      </c>
      <c r="C728" s="135" t="s">
        <v>3071</v>
      </c>
      <c r="D728" s="136"/>
      <c r="E728" s="136"/>
      <c r="F728" s="136"/>
      <c r="G728" s="136"/>
      <c r="H728" s="5" t="s">
        <v>3612</v>
      </c>
      <c r="I728" s="18">
        <v>5</v>
      </c>
      <c r="J728" s="18">
        <v>0</v>
      </c>
      <c r="K728" s="18">
        <f t="shared" si="618"/>
        <v>0</v>
      </c>
      <c r="L728" s="28" t="s">
        <v>3635</v>
      </c>
      <c r="Z728" s="34">
        <f t="shared" si="619"/>
        <v>0</v>
      </c>
      <c r="AB728" s="34">
        <f t="shared" si="620"/>
        <v>0</v>
      </c>
      <c r="AC728" s="34">
        <f t="shared" si="621"/>
        <v>0</v>
      </c>
      <c r="AD728" s="34">
        <f t="shared" si="622"/>
        <v>0</v>
      </c>
      <c r="AE728" s="34">
        <f t="shared" si="623"/>
        <v>0</v>
      </c>
      <c r="AF728" s="34">
        <f t="shared" si="624"/>
        <v>0</v>
      </c>
      <c r="AG728" s="34">
        <f t="shared" si="625"/>
        <v>0</v>
      </c>
      <c r="AH728" s="34">
        <f t="shared" si="626"/>
        <v>0</v>
      </c>
      <c r="AI728" s="27" t="s">
        <v>3645</v>
      </c>
      <c r="AJ728" s="18">
        <f t="shared" si="627"/>
        <v>0</v>
      </c>
      <c r="AK728" s="18">
        <f t="shared" si="628"/>
        <v>0</v>
      </c>
      <c r="AL728" s="18">
        <f t="shared" si="629"/>
        <v>0</v>
      </c>
      <c r="AN728" s="34">
        <v>21</v>
      </c>
      <c r="AO728" s="34">
        <f>J728*0.106518376302798</f>
        <v>0</v>
      </c>
      <c r="AP728" s="34">
        <f>J728*(1-0.106518376302798)</f>
        <v>0</v>
      </c>
      <c r="AQ728" s="28" t="s">
        <v>13</v>
      </c>
      <c r="AV728" s="34">
        <f t="shared" si="630"/>
        <v>0</v>
      </c>
      <c r="AW728" s="34">
        <f t="shared" si="631"/>
        <v>0</v>
      </c>
      <c r="AX728" s="34">
        <f t="shared" si="632"/>
        <v>0</v>
      </c>
      <c r="AY728" s="35" t="s">
        <v>3685</v>
      </c>
      <c r="AZ728" s="35" t="s">
        <v>3716</v>
      </c>
      <c r="BA728" s="27" t="s">
        <v>3729</v>
      </c>
      <c r="BC728" s="34">
        <f t="shared" si="633"/>
        <v>0</v>
      </c>
      <c r="BD728" s="34">
        <f t="shared" si="634"/>
        <v>0</v>
      </c>
      <c r="BE728" s="34">
        <v>0</v>
      </c>
      <c r="BF728" s="34">
        <f>728</f>
        <v>728</v>
      </c>
      <c r="BH728" s="18">
        <f t="shared" si="635"/>
        <v>0</v>
      </c>
      <c r="BI728" s="18">
        <f t="shared" si="636"/>
        <v>0</v>
      </c>
      <c r="BJ728" s="18">
        <f t="shared" si="637"/>
        <v>0</v>
      </c>
    </row>
    <row r="729" spans="1:62" x14ac:dyDescent="0.2">
      <c r="A729" s="5" t="s">
        <v>684</v>
      </c>
      <c r="B729" s="5" t="s">
        <v>1871</v>
      </c>
      <c r="C729" s="135" t="s">
        <v>3072</v>
      </c>
      <c r="D729" s="136"/>
      <c r="E729" s="136"/>
      <c r="F729" s="136"/>
      <c r="G729" s="136"/>
      <c r="H729" s="5" t="s">
        <v>3612</v>
      </c>
      <c r="I729" s="18">
        <v>4</v>
      </c>
      <c r="J729" s="18">
        <v>0</v>
      </c>
      <c r="K729" s="18">
        <f t="shared" si="618"/>
        <v>0</v>
      </c>
      <c r="L729" s="28" t="s">
        <v>3635</v>
      </c>
      <c r="Z729" s="34">
        <f t="shared" si="619"/>
        <v>0</v>
      </c>
      <c r="AB729" s="34">
        <f t="shared" si="620"/>
        <v>0</v>
      </c>
      <c r="AC729" s="34">
        <f t="shared" si="621"/>
        <v>0</v>
      </c>
      <c r="AD729" s="34">
        <f t="shared" si="622"/>
        <v>0</v>
      </c>
      <c r="AE729" s="34">
        <f t="shared" si="623"/>
        <v>0</v>
      </c>
      <c r="AF729" s="34">
        <f t="shared" si="624"/>
        <v>0</v>
      </c>
      <c r="AG729" s="34">
        <f t="shared" si="625"/>
        <v>0</v>
      </c>
      <c r="AH729" s="34">
        <f t="shared" si="626"/>
        <v>0</v>
      </c>
      <c r="AI729" s="27" t="s">
        <v>3645</v>
      </c>
      <c r="AJ729" s="18">
        <f t="shared" si="627"/>
        <v>0</v>
      </c>
      <c r="AK729" s="18">
        <f t="shared" si="628"/>
        <v>0</v>
      </c>
      <c r="AL729" s="18">
        <f t="shared" si="629"/>
        <v>0</v>
      </c>
      <c r="AN729" s="34">
        <v>21</v>
      </c>
      <c r="AO729" s="34">
        <f>J729*0.106518501805054</f>
        <v>0</v>
      </c>
      <c r="AP729" s="34">
        <f>J729*(1-0.106518501805054)</f>
        <v>0</v>
      </c>
      <c r="AQ729" s="28" t="s">
        <v>13</v>
      </c>
      <c r="AV729" s="34">
        <f t="shared" si="630"/>
        <v>0</v>
      </c>
      <c r="AW729" s="34">
        <f t="shared" si="631"/>
        <v>0</v>
      </c>
      <c r="AX729" s="34">
        <f t="shared" si="632"/>
        <v>0</v>
      </c>
      <c r="AY729" s="35" t="s">
        <v>3685</v>
      </c>
      <c r="AZ729" s="35" t="s">
        <v>3716</v>
      </c>
      <c r="BA729" s="27" t="s">
        <v>3729</v>
      </c>
      <c r="BC729" s="34">
        <f t="shared" si="633"/>
        <v>0</v>
      </c>
      <c r="BD729" s="34">
        <f t="shared" si="634"/>
        <v>0</v>
      </c>
      <c r="BE729" s="34">
        <v>0</v>
      </c>
      <c r="BF729" s="34">
        <f>729</f>
        <v>729</v>
      </c>
      <c r="BH729" s="18">
        <f t="shared" si="635"/>
        <v>0</v>
      </c>
      <c r="BI729" s="18">
        <f t="shared" si="636"/>
        <v>0</v>
      </c>
      <c r="BJ729" s="18">
        <f t="shared" si="637"/>
        <v>0</v>
      </c>
    </row>
    <row r="730" spans="1:62" x14ac:dyDescent="0.2">
      <c r="A730" s="5" t="s">
        <v>685</v>
      </c>
      <c r="B730" s="5" t="s">
        <v>1872</v>
      </c>
      <c r="C730" s="135" t="s">
        <v>3073</v>
      </c>
      <c r="D730" s="136"/>
      <c r="E730" s="136"/>
      <c r="F730" s="136"/>
      <c r="G730" s="136"/>
      <c r="H730" s="5" t="s">
        <v>3612</v>
      </c>
      <c r="I730" s="18">
        <v>2</v>
      </c>
      <c r="J730" s="18">
        <v>0</v>
      </c>
      <c r="K730" s="18">
        <f t="shared" si="618"/>
        <v>0</v>
      </c>
      <c r="L730" s="28" t="s">
        <v>3635</v>
      </c>
      <c r="Z730" s="34">
        <f t="shared" si="619"/>
        <v>0</v>
      </c>
      <c r="AB730" s="34">
        <f t="shared" si="620"/>
        <v>0</v>
      </c>
      <c r="AC730" s="34">
        <f t="shared" si="621"/>
        <v>0</v>
      </c>
      <c r="AD730" s="34">
        <f t="shared" si="622"/>
        <v>0</v>
      </c>
      <c r="AE730" s="34">
        <f t="shared" si="623"/>
        <v>0</v>
      </c>
      <c r="AF730" s="34">
        <f t="shared" si="624"/>
        <v>0</v>
      </c>
      <c r="AG730" s="34">
        <f t="shared" si="625"/>
        <v>0</v>
      </c>
      <c r="AH730" s="34">
        <f t="shared" si="626"/>
        <v>0</v>
      </c>
      <c r="AI730" s="27" t="s">
        <v>3645</v>
      </c>
      <c r="AJ730" s="18">
        <f t="shared" si="627"/>
        <v>0</v>
      </c>
      <c r="AK730" s="18">
        <f t="shared" si="628"/>
        <v>0</v>
      </c>
      <c r="AL730" s="18">
        <f t="shared" si="629"/>
        <v>0</v>
      </c>
      <c r="AN730" s="34">
        <v>21</v>
      </c>
      <c r="AO730" s="34">
        <f>J730*0.106517647058824</f>
        <v>0</v>
      </c>
      <c r="AP730" s="34">
        <f>J730*(1-0.106517647058824)</f>
        <v>0</v>
      </c>
      <c r="AQ730" s="28" t="s">
        <v>13</v>
      </c>
      <c r="AV730" s="34">
        <f t="shared" si="630"/>
        <v>0</v>
      </c>
      <c r="AW730" s="34">
        <f t="shared" si="631"/>
        <v>0</v>
      </c>
      <c r="AX730" s="34">
        <f t="shared" si="632"/>
        <v>0</v>
      </c>
      <c r="AY730" s="35" t="s">
        <v>3685</v>
      </c>
      <c r="AZ730" s="35" t="s">
        <v>3716</v>
      </c>
      <c r="BA730" s="27" t="s">
        <v>3729</v>
      </c>
      <c r="BC730" s="34">
        <f t="shared" si="633"/>
        <v>0</v>
      </c>
      <c r="BD730" s="34">
        <f t="shared" si="634"/>
        <v>0</v>
      </c>
      <c r="BE730" s="34">
        <v>0</v>
      </c>
      <c r="BF730" s="34">
        <f>730</f>
        <v>730</v>
      </c>
      <c r="BH730" s="18">
        <f t="shared" si="635"/>
        <v>0</v>
      </c>
      <c r="BI730" s="18">
        <f t="shared" si="636"/>
        <v>0</v>
      </c>
      <c r="BJ730" s="18">
        <f t="shared" si="637"/>
        <v>0</v>
      </c>
    </row>
    <row r="731" spans="1:62" x14ac:dyDescent="0.2">
      <c r="A731" s="5" t="s">
        <v>686</v>
      </c>
      <c r="B731" s="5" t="s">
        <v>1873</v>
      </c>
      <c r="C731" s="135" t="s">
        <v>3074</v>
      </c>
      <c r="D731" s="136"/>
      <c r="E731" s="136"/>
      <c r="F731" s="136"/>
      <c r="G731" s="136"/>
      <c r="H731" s="5" t="s">
        <v>3612</v>
      </c>
      <c r="I731" s="18">
        <v>4</v>
      </c>
      <c r="J731" s="18">
        <v>0</v>
      </c>
      <c r="K731" s="18">
        <f t="shared" si="618"/>
        <v>0</v>
      </c>
      <c r="L731" s="28" t="s">
        <v>3635</v>
      </c>
      <c r="Z731" s="34">
        <f t="shared" si="619"/>
        <v>0</v>
      </c>
      <c r="AB731" s="34">
        <f t="shared" si="620"/>
        <v>0</v>
      </c>
      <c r="AC731" s="34">
        <f t="shared" si="621"/>
        <v>0</v>
      </c>
      <c r="AD731" s="34">
        <f t="shared" si="622"/>
        <v>0</v>
      </c>
      <c r="AE731" s="34">
        <f t="shared" si="623"/>
        <v>0</v>
      </c>
      <c r="AF731" s="34">
        <f t="shared" si="624"/>
        <v>0</v>
      </c>
      <c r="AG731" s="34">
        <f t="shared" si="625"/>
        <v>0</v>
      </c>
      <c r="AH731" s="34">
        <f t="shared" si="626"/>
        <v>0</v>
      </c>
      <c r="AI731" s="27" t="s">
        <v>3645</v>
      </c>
      <c r="AJ731" s="18">
        <f t="shared" si="627"/>
        <v>0</v>
      </c>
      <c r="AK731" s="18">
        <f t="shared" si="628"/>
        <v>0</v>
      </c>
      <c r="AL731" s="18">
        <f t="shared" si="629"/>
        <v>0</v>
      </c>
      <c r="AN731" s="34">
        <v>21</v>
      </c>
      <c r="AO731" s="34">
        <f>J731*0.106523076923077</f>
        <v>0</v>
      </c>
      <c r="AP731" s="34">
        <f>J731*(1-0.106523076923077)</f>
        <v>0</v>
      </c>
      <c r="AQ731" s="28" t="s">
        <v>13</v>
      </c>
      <c r="AV731" s="34">
        <f t="shared" si="630"/>
        <v>0</v>
      </c>
      <c r="AW731" s="34">
        <f t="shared" si="631"/>
        <v>0</v>
      </c>
      <c r="AX731" s="34">
        <f t="shared" si="632"/>
        <v>0</v>
      </c>
      <c r="AY731" s="35" t="s">
        <v>3685</v>
      </c>
      <c r="AZ731" s="35" t="s">
        <v>3716</v>
      </c>
      <c r="BA731" s="27" t="s">
        <v>3729</v>
      </c>
      <c r="BC731" s="34">
        <f t="shared" si="633"/>
        <v>0</v>
      </c>
      <c r="BD731" s="34">
        <f t="shared" si="634"/>
        <v>0</v>
      </c>
      <c r="BE731" s="34">
        <v>0</v>
      </c>
      <c r="BF731" s="34">
        <f>731</f>
        <v>731</v>
      </c>
      <c r="BH731" s="18">
        <f t="shared" si="635"/>
        <v>0</v>
      </c>
      <c r="BI731" s="18">
        <f t="shared" si="636"/>
        <v>0</v>
      </c>
      <c r="BJ731" s="18">
        <f t="shared" si="637"/>
        <v>0</v>
      </c>
    </row>
    <row r="732" spans="1:62" x14ac:dyDescent="0.2">
      <c r="A732" s="5" t="s">
        <v>687</v>
      </c>
      <c r="B732" s="5" t="s">
        <v>1874</v>
      </c>
      <c r="C732" s="135" t="s">
        <v>3075</v>
      </c>
      <c r="D732" s="136"/>
      <c r="E732" s="136"/>
      <c r="F732" s="136"/>
      <c r="G732" s="136"/>
      <c r="H732" s="5" t="s">
        <v>3618</v>
      </c>
      <c r="I732" s="18">
        <v>1</v>
      </c>
      <c r="J732" s="18">
        <v>0</v>
      </c>
      <c r="K732" s="18">
        <f t="shared" si="618"/>
        <v>0</v>
      </c>
      <c r="L732" s="28" t="s">
        <v>3635</v>
      </c>
      <c r="Z732" s="34">
        <f t="shared" si="619"/>
        <v>0</v>
      </c>
      <c r="AB732" s="34">
        <f t="shared" si="620"/>
        <v>0</v>
      </c>
      <c r="AC732" s="34">
        <f t="shared" si="621"/>
        <v>0</v>
      </c>
      <c r="AD732" s="34">
        <f t="shared" si="622"/>
        <v>0</v>
      </c>
      <c r="AE732" s="34">
        <f t="shared" si="623"/>
        <v>0</v>
      </c>
      <c r="AF732" s="34">
        <f t="shared" si="624"/>
        <v>0</v>
      </c>
      <c r="AG732" s="34">
        <f t="shared" si="625"/>
        <v>0</v>
      </c>
      <c r="AH732" s="34">
        <f t="shared" si="626"/>
        <v>0</v>
      </c>
      <c r="AI732" s="27" t="s">
        <v>3645</v>
      </c>
      <c r="AJ732" s="18">
        <f t="shared" si="627"/>
        <v>0</v>
      </c>
      <c r="AK732" s="18">
        <f t="shared" si="628"/>
        <v>0</v>
      </c>
      <c r="AL732" s="18">
        <f t="shared" si="629"/>
        <v>0</v>
      </c>
      <c r="AN732" s="34">
        <v>21</v>
      </c>
      <c r="AO732" s="34">
        <f>J732*0.106523125</f>
        <v>0</v>
      </c>
      <c r="AP732" s="34">
        <f>J732*(1-0.106523125)</f>
        <v>0</v>
      </c>
      <c r="AQ732" s="28" t="s">
        <v>13</v>
      </c>
      <c r="AV732" s="34">
        <f t="shared" si="630"/>
        <v>0</v>
      </c>
      <c r="AW732" s="34">
        <f t="shared" si="631"/>
        <v>0</v>
      </c>
      <c r="AX732" s="34">
        <f t="shared" si="632"/>
        <v>0</v>
      </c>
      <c r="AY732" s="35" t="s">
        <v>3685</v>
      </c>
      <c r="AZ732" s="35" t="s">
        <v>3716</v>
      </c>
      <c r="BA732" s="27" t="s">
        <v>3729</v>
      </c>
      <c r="BC732" s="34">
        <f t="shared" si="633"/>
        <v>0</v>
      </c>
      <c r="BD732" s="34">
        <f t="shared" si="634"/>
        <v>0</v>
      </c>
      <c r="BE732" s="34">
        <v>0</v>
      </c>
      <c r="BF732" s="34">
        <f>732</f>
        <v>732</v>
      </c>
      <c r="BH732" s="18">
        <f t="shared" si="635"/>
        <v>0</v>
      </c>
      <c r="BI732" s="18">
        <f t="shared" si="636"/>
        <v>0</v>
      </c>
      <c r="BJ732" s="18">
        <f t="shared" si="637"/>
        <v>0</v>
      </c>
    </row>
    <row r="733" spans="1:62" x14ac:dyDescent="0.2">
      <c r="A733" s="5" t="s">
        <v>688</v>
      </c>
      <c r="B733" s="5" t="s">
        <v>1875</v>
      </c>
      <c r="C733" s="135" t="s">
        <v>3076</v>
      </c>
      <c r="D733" s="136"/>
      <c r="E733" s="136"/>
      <c r="F733" s="136"/>
      <c r="G733" s="136"/>
      <c r="H733" s="5" t="s">
        <v>3618</v>
      </c>
      <c r="I733" s="18">
        <v>1</v>
      </c>
      <c r="J733" s="18">
        <v>0</v>
      </c>
      <c r="K733" s="18">
        <f t="shared" si="618"/>
        <v>0</v>
      </c>
      <c r="L733" s="28" t="s">
        <v>3635</v>
      </c>
      <c r="Z733" s="34">
        <f t="shared" si="619"/>
        <v>0</v>
      </c>
      <c r="AB733" s="34">
        <f t="shared" si="620"/>
        <v>0</v>
      </c>
      <c r="AC733" s="34">
        <f t="shared" si="621"/>
        <v>0</v>
      </c>
      <c r="AD733" s="34">
        <f t="shared" si="622"/>
        <v>0</v>
      </c>
      <c r="AE733" s="34">
        <f t="shared" si="623"/>
        <v>0</v>
      </c>
      <c r="AF733" s="34">
        <f t="shared" si="624"/>
        <v>0</v>
      </c>
      <c r="AG733" s="34">
        <f t="shared" si="625"/>
        <v>0</v>
      </c>
      <c r="AH733" s="34">
        <f t="shared" si="626"/>
        <v>0</v>
      </c>
      <c r="AI733" s="27" t="s">
        <v>3645</v>
      </c>
      <c r="AJ733" s="18">
        <f t="shared" si="627"/>
        <v>0</v>
      </c>
      <c r="AK733" s="18">
        <f t="shared" si="628"/>
        <v>0</v>
      </c>
      <c r="AL733" s="18">
        <f t="shared" si="629"/>
        <v>0</v>
      </c>
      <c r="AN733" s="34">
        <v>21</v>
      </c>
      <c r="AO733" s="34">
        <f>J733*0.106523043478261</f>
        <v>0</v>
      </c>
      <c r="AP733" s="34">
        <f>J733*(1-0.106523043478261)</f>
        <v>0</v>
      </c>
      <c r="AQ733" s="28" t="s">
        <v>13</v>
      </c>
      <c r="AV733" s="34">
        <f t="shared" si="630"/>
        <v>0</v>
      </c>
      <c r="AW733" s="34">
        <f t="shared" si="631"/>
        <v>0</v>
      </c>
      <c r="AX733" s="34">
        <f t="shared" si="632"/>
        <v>0</v>
      </c>
      <c r="AY733" s="35" t="s">
        <v>3685</v>
      </c>
      <c r="AZ733" s="35" t="s">
        <v>3716</v>
      </c>
      <c r="BA733" s="27" t="s">
        <v>3729</v>
      </c>
      <c r="BC733" s="34">
        <f t="shared" si="633"/>
        <v>0</v>
      </c>
      <c r="BD733" s="34">
        <f t="shared" si="634"/>
        <v>0</v>
      </c>
      <c r="BE733" s="34">
        <v>0</v>
      </c>
      <c r="BF733" s="34">
        <f>733</f>
        <v>733</v>
      </c>
      <c r="BH733" s="18">
        <f t="shared" si="635"/>
        <v>0</v>
      </c>
      <c r="BI733" s="18">
        <f t="shared" si="636"/>
        <v>0</v>
      </c>
      <c r="BJ733" s="18">
        <f t="shared" si="637"/>
        <v>0</v>
      </c>
    </row>
    <row r="734" spans="1:62" x14ac:dyDescent="0.2">
      <c r="A734" s="5" t="s">
        <v>689</v>
      </c>
      <c r="B734" s="5" t="s">
        <v>1876</v>
      </c>
      <c r="C734" s="135" t="s">
        <v>3077</v>
      </c>
      <c r="D734" s="136"/>
      <c r="E734" s="136"/>
      <c r="F734" s="136"/>
      <c r="G734" s="136"/>
      <c r="H734" s="5" t="s">
        <v>3614</v>
      </c>
      <c r="I734" s="18">
        <v>1</v>
      </c>
      <c r="J734" s="18">
        <v>0</v>
      </c>
      <c r="K734" s="18">
        <f t="shared" si="618"/>
        <v>0</v>
      </c>
      <c r="L734" s="28" t="s">
        <v>3635</v>
      </c>
      <c r="Z734" s="34">
        <f t="shared" si="619"/>
        <v>0</v>
      </c>
      <c r="AB734" s="34">
        <f t="shared" si="620"/>
        <v>0</v>
      </c>
      <c r="AC734" s="34">
        <f t="shared" si="621"/>
        <v>0</v>
      </c>
      <c r="AD734" s="34">
        <f t="shared" si="622"/>
        <v>0</v>
      </c>
      <c r="AE734" s="34">
        <f t="shared" si="623"/>
        <v>0</v>
      </c>
      <c r="AF734" s="34">
        <f t="shared" si="624"/>
        <v>0</v>
      </c>
      <c r="AG734" s="34">
        <f t="shared" si="625"/>
        <v>0</v>
      </c>
      <c r="AH734" s="34">
        <f t="shared" si="626"/>
        <v>0</v>
      </c>
      <c r="AI734" s="27" t="s">
        <v>3645</v>
      </c>
      <c r="AJ734" s="18">
        <f t="shared" si="627"/>
        <v>0</v>
      </c>
      <c r="AK734" s="18">
        <f t="shared" si="628"/>
        <v>0</v>
      </c>
      <c r="AL734" s="18">
        <f t="shared" si="629"/>
        <v>0</v>
      </c>
      <c r="AN734" s="34">
        <v>21</v>
      </c>
      <c r="AO734" s="34">
        <f>J734*0.106527272727273</f>
        <v>0</v>
      </c>
      <c r="AP734" s="34">
        <f>J734*(1-0.106527272727273)</f>
        <v>0</v>
      </c>
      <c r="AQ734" s="28" t="s">
        <v>13</v>
      </c>
      <c r="AV734" s="34">
        <f t="shared" si="630"/>
        <v>0</v>
      </c>
      <c r="AW734" s="34">
        <f t="shared" si="631"/>
        <v>0</v>
      </c>
      <c r="AX734" s="34">
        <f t="shared" si="632"/>
        <v>0</v>
      </c>
      <c r="AY734" s="35" t="s">
        <v>3685</v>
      </c>
      <c r="AZ734" s="35" t="s">
        <v>3716</v>
      </c>
      <c r="BA734" s="27" t="s">
        <v>3729</v>
      </c>
      <c r="BC734" s="34">
        <f t="shared" si="633"/>
        <v>0</v>
      </c>
      <c r="BD734" s="34">
        <f t="shared" si="634"/>
        <v>0</v>
      </c>
      <c r="BE734" s="34">
        <v>0</v>
      </c>
      <c r="BF734" s="34">
        <f>734</f>
        <v>734</v>
      </c>
      <c r="BH734" s="18">
        <f t="shared" si="635"/>
        <v>0</v>
      </c>
      <c r="BI734" s="18">
        <f t="shared" si="636"/>
        <v>0</v>
      </c>
      <c r="BJ734" s="18">
        <f t="shared" si="637"/>
        <v>0</v>
      </c>
    </row>
    <row r="735" spans="1:62" x14ac:dyDescent="0.2">
      <c r="A735" s="5" t="s">
        <v>690</v>
      </c>
      <c r="B735" s="5" t="s">
        <v>1877</v>
      </c>
      <c r="C735" s="135" t="s">
        <v>3078</v>
      </c>
      <c r="D735" s="136"/>
      <c r="E735" s="136"/>
      <c r="F735" s="136"/>
      <c r="G735" s="136"/>
      <c r="H735" s="5" t="s">
        <v>3614</v>
      </c>
      <c r="I735" s="18">
        <v>2</v>
      </c>
      <c r="J735" s="18">
        <v>0</v>
      </c>
      <c r="K735" s="18">
        <f t="shared" si="618"/>
        <v>0</v>
      </c>
      <c r="L735" s="28" t="s">
        <v>3635</v>
      </c>
      <c r="Z735" s="34">
        <f t="shared" si="619"/>
        <v>0</v>
      </c>
      <c r="AB735" s="34">
        <f t="shared" si="620"/>
        <v>0</v>
      </c>
      <c r="AC735" s="34">
        <f t="shared" si="621"/>
        <v>0</v>
      </c>
      <c r="AD735" s="34">
        <f t="shared" si="622"/>
        <v>0</v>
      </c>
      <c r="AE735" s="34">
        <f t="shared" si="623"/>
        <v>0</v>
      </c>
      <c r="AF735" s="34">
        <f t="shared" si="624"/>
        <v>0</v>
      </c>
      <c r="AG735" s="34">
        <f t="shared" si="625"/>
        <v>0</v>
      </c>
      <c r="AH735" s="34">
        <f t="shared" si="626"/>
        <v>0</v>
      </c>
      <c r="AI735" s="27" t="s">
        <v>3645</v>
      </c>
      <c r="AJ735" s="18">
        <f t="shared" si="627"/>
        <v>0</v>
      </c>
      <c r="AK735" s="18">
        <f t="shared" si="628"/>
        <v>0</v>
      </c>
      <c r="AL735" s="18">
        <f t="shared" si="629"/>
        <v>0</v>
      </c>
      <c r="AN735" s="34">
        <v>21</v>
      </c>
      <c r="AO735" s="34">
        <f>J735*0.106526315789474</f>
        <v>0</v>
      </c>
      <c r="AP735" s="34">
        <f>J735*(1-0.106526315789474)</f>
        <v>0</v>
      </c>
      <c r="AQ735" s="28" t="s">
        <v>13</v>
      </c>
      <c r="AV735" s="34">
        <f t="shared" si="630"/>
        <v>0</v>
      </c>
      <c r="AW735" s="34">
        <f t="shared" si="631"/>
        <v>0</v>
      </c>
      <c r="AX735" s="34">
        <f t="shared" si="632"/>
        <v>0</v>
      </c>
      <c r="AY735" s="35" t="s">
        <v>3685</v>
      </c>
      <c r="AZ735" s="35" t="s">
        <v>3716</v>
      </c>
      <c r="BA735" s="27" t="s">
        <v>3729</v>
      </c>
      <c r="BC735" s="34">
        <f t="shared" si="633"/>
        <v>0</v>
      </c>
      <c r="BD735" s="34">
        <f t="shared" si="634"/>
        <v>0</v>
      </c>
      <c r="BE735" s="34">
        <v>0</v>
      </c>
      <c r="BF735" s="34">
        <f>735</f>
        <v>735</v>
      </c>
      <c r="BH735" s="18">
        <f t="shared" si="635"/>
        <v>0</v>
      </c>
      <c r="BI735" s="18">
        <f t="shared" si="636"/>
        <v>0</v>
      </c>
      <c r="BJ735" s="18">
        <f t="shared" si="637"/>
        <v>0</v>
      </c>
    </row>
    <row r="736" spans="1:62" x14ac:dyDescent="0.2">
      <c r="A736" s="5" t="s">
        <v>691</v>
      </c>
      <c r="B736" s="5" t="s">
        <v>1878</v>
      </c>
      <c r="C736" s="135" t="s">
        <v>3079</v>
      </c>
      <c r="D736" s="136"/>
      <c r="E736" s="136"/>
      <c r="F736" s="136"/>
      <c r="G736" s="136"/>
      <c r="H736" s="5" t="s">
        <v>3614</v>
      </c>
      <c r="I736" s="18">
        <v>150</v>
      </c>
      <c r="J736" s="18">
        <v>0</v>
      </c>
      <c r="K736" s="18">
        <f t="shared" si="618"/>
        <v>0</v>
      </c>
      <c r="L736" s="28" t="s">
        <v>3635</v>
      </c>
      <c r="Z736" s="34">
        <f t="shared" si="619"/>
        <v>0</v>
      </c>
      <c r="AB736" s="34">
        <f t="shared" si="620"/>
        <v>0</v>
      </c>
      <c r="AC736" s="34">
        <f t="shared" si="621"/>
        <v>0</v>
      </c>
      <c r="AD736" s="34">
        <f t="shared" si="622"/>
        <v>0</v>
      </c>
      <c r="AE736" s="34">
        <f t="shared" si="623"/>
        <v>0</v>
      </c>
      <c r="AF736" s="34">
        <f t="shared" si="624"/>
        <v>0</v>
      </c>
      <c r="AG736" s="34">
        <f t="shared" si="625"/>
        <v>0</v>
      </c>
      <c r="AH736" s="34">
        <f t="shared" si="626"/>
        <v>0</v>
      </c>
      <c r="AI736" s="27" t="s">
        <v>3645</v>
      </c>
      <c r="AJ736" s="18">
        <f t="shared" si="627"/>
        <v>0</v>
      </c>
      <c r="AK736" s="18">
        <f t="shared" si="628"/>
        <v>0</v>
      </c>
      <c r="AL736" s="18">
        <f t="shared" si="629"/>
        <v>0</v>
      </c>
      <c r="AN736" s="34">
        <v>21</v>
      </c>
      <c r="AO736" s="34">
        <f>J736*0.106528</f>
        <v>0</v>
      </c>
      <c r="AP736" s="34">
        <f>J736*(1-0.106528)</f>
        <v>0</v>
      </c>
      <c r="AQ736" s="28" t="s">
        <v>13</v>
      </c>
      <c r="AV736" s="34">
        <f t="shared" si="630"/>
        <v>0</v>
      </c>
      <c r="AW736" s="34">
        <f t="shared" si="631"/>
        <v>0</v>
      </c>
      <c r="AX736" s="34">
        <f t="shared" si="632"/>
        <v>0</v>
      </c>
      <c r="AY736" s="35" t="s">
        <v>3685</v>
      </c>
      <c r="AZ736" s="35" t="s">
        <v>3716</v>
      </c>
      <c r="BA736" s="27" t="s">
        <v>3729</v>
      </c>
      <c r="BC736" s="34">
        <f t="shared" si="633"/>
        <v>0</v>
      </c>
      <c r="BD736" s="34">
        <f t="shared" si="634"/>
        <v>0</v>
      </c>
      <c r="BE736" s="34">
        <v>0</v>
      </c>
      <c r="BF736" s="34">
        <f>736</f>
        <v>736</v>
      </c>
      <c r="BH736" s="18">
        <f t="shared" si="635"/>
        <v>0</v>
      </c>
      <c r="BI736" s="18">
        <f t="shared" si="636"/>
        <v>0</v>
      </c>
      <c r="BJ736" s="18">
        <f t="shared" si="637"/>
        <v>0</v>
      </c>
    </row>
    <row r="737" spans="1:62" x14ac:dyDescent="0.2">
      <c r="A737" s="5" t="s">
        <v>692</v>
      </c>
      <c r="B737" s="5" t="s">
        <v>1879</v>
      </c>
      <c r="C737" s="135" t="s">
        <v>3080</v>
      </c>
      <c r="D737" s="136"/>
      <c r="E737" s="136"/>
      <c r="F737" s="136"/>
      <c r="G737" s="136"/>
      <c r="H737" s="5" t="s">
        <v>3614</v>
      </c>
      <c r="I737" s="18">
        <v>150</v>
      </c>
      <c r="J737" s="18">
        <v>0</v>
      </c>
      <c r="K737" s="18">
        <f t="shared" si="618"/>
        <v>0</v>
      </c>
      <c r="L737" s="28" t="s">
        <v>3635</v>
      </c>
      <c r="Z737" s="34">
        <f t="shared" si="619"/>
        <v>0</v>
      </c>
      <c r="AB737" s="34">
        <f t="shared" si="620"/>
        <v>0</v>
      </c>
      <c r="AC737" s="34">
        <f t="shared" si="621"/>
        <v>0</v>
      </c>
      <c r="AD737" s="34">
        <f t="shared" si="622"/>
        <v>0</v>
      </c>
      <c r="AE737" s="34">
        <f t="shared" si="623"/>
        <v>0</v>
      </c>
      <c r="AF737" s="34">
        <f t="shared" si="624"/>
        <v>0</v>
      </c>
      <c r="AG737" s="34">
        <f t="shared" si="625"/>
        <v>0</v>
      </c>
      <c r="AH737" s="34">
        <f t="shared" si="626"/>
        <v>0</v>
      </c>
      <c r="AI737" s="27" t="s">
        <v>3645</v>
      </c>
      <c r="AJ737" s="18">
        <f t="shared" si="627"/>
        <v>0</v>
      </c>
      <c r="AK737" s="18">
        <f t="shared" si="628"/>
        <v>0</v>
      </c>
      <c r="AL737" s="18">
        <f t="shared" si="629"/>
        <v>0</v>
      </c>
      <c r="AN737" s="34">
        <v>21</v>
      </c>
      <c r="AO737" s="34">
        <f>J737*0.106531034482759</f>
        <v>0</v>
      </c>
      <c r="AP737" s="34">
        <f>J737*(1-0.106531034482759)</f>
        <v>0</v>
      </c>
      <c r="AQ737" s="28" t="s">
        <v>13</v>
      </c>
      <c r="AV737" s="34">
        <f t="shared" si="630"/>
        <v>0</v>
      </c>
      <c r="AW737" s="34">
        <f t="shared" si="631"/>
        <v>0</v>
      </c>
      <c r="AX737" s="34">
        <f t="shared" si="632"/>
        <v>0</v>
      </c>
      <c r="AY737" s="35" t="s">
        <v>3685</v>
      </c>
      <c r="AZ737" s="35" t="s">
        <v>3716</v>
      </c>
      <c r="BA737" s="27" t="s">
        <v>3729</v>
      </c>
      <c r="BC737" s="34">
        <f t="shared" si="633"/>
        <v>0</v>
      </c>
      <c r="BD737" s="34">
        <f t="shared" si="634"/>
        <v>0</v>
      </c>
      <c r="BE737" s="34">
        <v>0</v>
      </c>
      <c r="BF737" s="34">
        <f>737</f>
        <v>737</v>
      </c>
      <c r="BH737" s="18">
        <f t="shared" si="635"/>
        <v>0</v>
      </c>
      <c r="BI737" s="18">
        <f t="shared" si="636"/>
        <v>0</v>
      </c>
      <c r="BJ737" s="18">
        <f t="shared" si="637"/>
        <v>0</v>
      </c>
    </row>
    <row r="738" spans="1:62" x14ac:dyDescent="0.2">
      <c r="A738" s="5" t="s">
        <v>693</v>
      </c>
      <c r="B738" s="5" t="s">
        <v>1880</v>
      </c>
      <c r="C738" s="135" t="s">
        <v>3081</v>
      </c>
      <c r="D738" s="136"/>
      <c r="E738" s="136"/>
      <c r="F738" s="136"/>
      <c r="G738" s="136"/>
      <c r="H738" s="5" t="s">
        <v>3612</v>
      </c>
      <c r="I738" s="18">
        <v>30</v>
      </c>
      <c r="J738" s="18">
        <v>0</v>
      </c>
      <c r="K738" s="18">
        <f t="shared" si="618"/>
        <v>0</v>
      </c>
      <c r="L738" s="28" t="s">
        <v>3635</v>
      </c>
      <c r="Z738" s="34">
        <f t="shared" si="619"/>
        <v>0</v>
      </c>
      <c r="AB738" s="34">
        <f t="shared" si="620"/>
        <v>0</v>
      </c>
      <c r="AC738" s="34">
        <f t="shared" si="621"/>
        <v>0</v>
      </c>
      <c r="AD738" s="34">
        <f t="shared" si="622"/>
        <v>0</v>
      </c>
      <c r="AE738" s="34">
        <f t="shared" si="623"/>
        <v>0</v>
      </c>
      <c r="AF738" s="34">
        <f t="shared" si="624"/>
        <v>0</v>
      </c>
      <c r="AG738" s="34">
        <f t="shared" si="625"/>
        <v>0</v>
      </c>
      <c r="AH738" s="34">
        <f t="shared" si="626"/>
        <v>0</v>
      </c>
      <c r="AI738" s="27" t="s">
        <v>3645</v>
      </c>
      <c r="AJ738" s="18">
        <f t="shared" si="627"/>
        <v>0</v>
      </c>
      <c r="AK738" s="18">
        <f t="shared" si="628"/>
        <v>0</v>
      </c>
      <c r="AL738" s="18">
        <f t="shared" si="629"/>
        <v>0</v>
      </c>
      <c r="AN738" s="34">
        <v>21</v>
      </c>
      <c r="AO738" s="34">
        <f>J738*0.106533333333333</f>
        <v>0</v>
      </c>
      <c r="AP738" s="34">
        <f>J738*(1-0.106533333333333)</f>
        <v>0</v>
      </c>
      <c r="AQ738" s="28" t="s">
        <v>13</v>
      </c>
      <c r="AV738" s="34">
        <f t="shared" si="630"/>
        <v>0</v>
      </c>
      <c r="AW738" s="34">
        <f t="shared" si="631"/>
        <v>0</v>
      </c>
      <c r="AX738" s="34">
        <f t="shared" si="632"/>
        <v>0</v>
      </c>
      <c r="AY738" s="35" t="s">
        <v>3685</v>
      </c>
      <c r="AZ738" s="35" t="s">
        <v>3716</v>
      </c>
      <c r="BA738" s="27" t="s">
        <v>3729</v>
      </c>
      <c r="BC738" s="34">
        <f t="shared" si="633"/>
        <v>0</v>
      </c>
      <c r="BD738" s="34">
        <f t="shared" si="634"/>
        <v>0</v>
      </c>
      <c r="BE738" s="34">
        <v>0</v>
      </c>
      <c r="BF738" s="34">
        <f>738</f>
        <v>738</v>
      </c>
      <c r="BH738" s="18">
        <f t="shared" si="635"/>
        <v>0</v>
      </c>
      <c r="BI738" s="18">
        <f t="shared" si="636"/>
        <v>0</v>
      </c>
      <c r="BJ738" s="18">
        <f t="shared" si="637"/>
        <v>0</v>
      </c>
    </row>
    <row r="739" spans="1:62" x14ac:dyDescent="0.2">
      <c r="A739" s="5" t="s">
        <v>694</v>
      </c>
      <c r="B739" s="5" t="s">
        <v>1881</v>
      </c>
      <c r="C739" s="135" t="s">
        <v>3082</v>
      </c>
      <c r="D739" s="136"/>
      <c r="E739" s="136"/>
      <c r="F739" s="136"/>
      <c r="G739" s="136"/>
      <c r="H739" s="5" t="s">
        <v>3612</v>
      </c>
      <c r="I739" s="18">
        <v>30</v>
      </c>
      <c r="J739" s="18">
        <v>0</v>
      </c>
      <c r="K739" s="18">
        <f t="shared" si="618"/>
        <v>0</v>
      </c>
      <c r="L739" s="28" t="s">
        <v>3635</v>
      </c>
      <c r="Z739" s="34">
        <f t="shared" si="619"/>
        <v>0</v>
      </c>
      <c r="AB739" s="34">
        <f t="shared" si="620"/>
        <v>0</v>
      </c>
      <c r="AC739" s="34">
        <f t="shared" si="621"/>
        <v>0</v>
      </c>
      <c r="AD739" s="34">
        <f t="shared" si="622"/>
        <v>0</v>
      </c>
      <c r="AE739" s="34">
        <f t="shared" si="623"/>
        <v>0</v>
      </c>
      <c r="AF739" s="34">
        <f t="shared" si="624"/>
        <v>0</v>
      </c>
      <c r="AG739" s="34">
        <f t="shared" si="625"/>
        <v>0</v>
      </c>
      <c r="AH739" s="34">
        <f t="shared" si="626"/>
        <v>0</v>
      </c>
      <c r="AI739" s="27" t="s">
        <v>3645</v>
      </c>
      <c r="AJ739" s="18">
        <f t="shared" si="627"/>
        <v>0</v>
      </c>
      <c r="AK739" s="18">
        <f t="shared" si="628"/>
        <v>0</v>
      </c>
      <c r="AL739" s="18">
        <f t="shared" si="629"/>
        <v>0</v>
      </c>
      <c r="AN739" s="34">
        <v>21</v>
      </c>
      <c r="AO739" s="34">
        <f>J739*0.106534285714286</f>
        <v>0</v>
      </c>
      <c r="AP739" s="34">
        <f>J739*(1-0.106534285714286)</f>
        <v>0</v>
      </c>
      <c r="AQ739" s="28" t="s">
        <v>13</v>
      </c>
      <c r="AV739" s="34">
        <f t="shared" si="630"/>
        <v>0</v>
      </c>
      <c r="AW739" s="34">
        <f t="shared" si="631"/>
        <v>0</v>
      </c>
      <c r="AX739" s="34">
        <f t="shared" si="632"/>
        <v>0</v>
      </c>
      <c r="AY739" s="35" t="s">
        <v>3685</v>
      </c>
      <c r="AZ739" s="35" t="s">
        <v>3716</v>
      </c>
      <c r="BA739" s="27" t="s">
        <v>3729</v>
      </c>
      <c r="BC739" s="34">
        <f t="shared" si="633"/>
        <v>0</v>
      </c>
      <c r="BD739" s="34">
        <f t="shared" si="634"/>
        <v>0</v>
      </c>
      <c r="BE739" s="34">
        <v>0</v>
      </c>
      <c r="BF739" s="34">
        <f>739</f>
        <v>739</v>
      </c>
      <c r="BH739" s="18">
        <f t="shared" si="635"/>
        <v>0</v>
      </c>
      <c r="BI739" s="18">
        <f t="shared" si="636"/>
        <v>0</v>
      </c>
      <c r="BJ739" s="18">
        <f t="shared" si="637"/>
        <v>0</v>
      </c>
    </row>
    <row r="740" spans="1:62" x14ac:dyDescent="0.2">
      <c r="A740" s="5" t="s">
        <v>695</v>
      </c>
      <c r="B740" s="5" t="s">
        <v>1882</v>
      </c>
      <c r="C740" s="135" t="s">
        <v>3083</v>
      </c>
      <c r="D740" s="136"/>
      <c r="E740" s="136"/>
      <c r="F740" s="136"/>
      <c r="G740" s="136"/>
      <c r="H740" s="5" t="s">
        <v>3612</v>
      </c>
      <c r="I740" s="18">
        <v>5</v>
      </c>
      <c r="J740" s="18">
        <v>0</v>
      </c>
      <c r="K740" s="18">
        <f t="shared" si="618"/>
        <v>0</v>
      </c>
      <c r="L740" s="28" t="s">
        <v>3635</v>
      </c>
      <c r="Z740" s="34">
        <f t="shared" si="619"/>
        <v>0</v>
      </c>
      <c r="AB740" s="34">
        <f t="shared" si="620"/>
        <v>0</v>
      </c>
      <c r="AC740" s="34">
        <f t="shared" si="621"/>
        <v>0</v>
      </c>
      <c r="AD740" s="34">
        <f t="shared" si="622"/>
        <v>0</v>
      </c>
      <c r="AE740" s="34">
        <f t="shared" si="623"/>
        <v>0</v>
      </c>
      <c r="AF740" s="34">
        <f t="shared" si="624"/>
        <v>0</v>
      </c>
      <c r="AG740" s="34">
        <f t="shared" si="625"/>
        <v>0</v>
      </c>
      <c r="AH740" s="34">
        <f t="shared" si="626"/>
        <v>0</v>
      </c>
      <c r="AI740" s="27" t="s">
        <v>3645</v>
      </c>
      <c r="AJ740" s="18">
        <f t="shared" si="627"/>
        <v>0</v>
      </c>
      <c r="AK740" s="18">
        <f t="shared" si="628"/>
        <v>0</v>
      </c>
      <c r="AL740" s="18">
        <f t="shared" si="629"/>
        <v>0</v>
      </c>
      <c r="AN740" s="34">
        <v>21</v>
      </c>
      <c r="AO740" s="34">
        <f>J740*0.106529411764706</f>
        <v>0</v>
      </c>
      <c r="AP740" s="34">
        <f>J740*(1-0.106529411764706)</f>
        <v>0</v>
      </c>
      <c r="AQ740" s="28" t="s">
        <v>13</v>
      </c>
      <c r="AV740" s="34">
        <f t="shared" si="630"/>
        <v>0</v>
      </c>
      <c r="AW740" s="34">
        <f t="shared" si="631"/>
        <v>0</v>
      </c>
      <c r="AX740" s="34">
        <f t="shared" si="632"/>
        <v>0</v>
      </c>
      <c r="AY740" s="35" t="s">
        <v>3685</v>
      </c>
      <c r="AZ740" s="35" t="s">
        <v>3716</v>
      </c>
      <c r="BA740" s="27" t="s">
        <v>3729</v>
      </c>
      <c r="BC740" s="34">
        <f t="shared" si="633"/>
        <v>0</v>
      </c>
      <c r="BD740" s="34">
        <f t="shared" si="634"/>
        <v>0</v>
      </c>
      <c r="BE740" s="34">
        <v>0</v>
      </c>
      <c r="BF740" s="34">
        <f>740</f>
        <v>740</v>
      </c>
      <c r="BH740" s="18">
        <f t="shared" si="635"/>
        <v>0</v>
      </c>
      <c r="BI740" s="18">
        <f t="shared" si="636"/>
        <v>0</v>
      </c>
      <c r="BJ740" s="18">
        <f t="shared" si="637"/>
        <v>0</v>
      </c>
    </row>
    <row r="741" spans="1:62" x14ac:dyDescent="0.2">
      <c r="A741" s="5" t="s">
        <v>696</v>
      </c>
      <c r="B741" s="5" t="s">
        <v>1883</v>
      </c>
      <c r="C741" s="135" t="s">
        <v>3084</v>
      </c>
      <c r="D741" s="136"/>
      <c r="E741" s="136"/>
      <c r="F741" s="136"/>
      <c r="G741" s="136"/>
      <c r="H741" s="5" t="s">
        <v>3612</v>
      </c>
      <c r="I741" s="18">
        <v>6</v>
      </c>
      <c r="J741" s="18">
        <v>0</v>
      </c>
      <c r="K741" s="18">
        <f t="shared" si="618"/>
        <v>0</v>
      </c>
      <c r="L741" s="28" t="s">
        <v>3635</v>
      </c>
      <c r="Z741" s="34">
        <f t="shared" si="619"/>
        <v>0</v>
      </c>
      <c r="AB741" s="34">
        <f t="shared" si="620"/>
        <v>0</v>
      </c>
      <c r="AC741" s="34">
        <f t="shared" si="621"/>
        <v>0</v>
      </c>
      <c r="AD741" s="34">
        <f t="shared" si="622"/>
        <v>0</v>
      </c>
      <c r="AE741" s="34">
        <f t="shared" si="623"/>
        <v>0</v>
      </c>
      <c r="AF741" s="34">
        <f t="shared" si="624"/>
        <v>0</v>
      </c>
      <c r="AG741" s="34">
        <f t="shared" si="625"/>
        <v>0</v>
      </c>
      <c r="AH741" s="34">
        <f t="shared" si="626"/>
        <v>0</v>
      </c>
      <c r="AI741" s="27" t="s">
        <v>3645</v>
      </c>
      <c r="AJ741" s="18">
        <f t="shared" si="627"/>
        <v>0</v>
      </c>
      <c r="AK741" s="18">
        <f t="shared" si="628"/>
        <v>0</v>
      </c>
      <c r="AL741" s="18">
        <f t="shared" si="629"/>
        <v>0</v>
      </c>
      <c r="AN741" s="34">
        <v>21</v>
      </c>
      <c r="AO741" s="34">
        <f>J741*0.106527272727273</f>
        <v>0</v>
      </c>
      <c r="AP741" s="34">
        <f>J741*(1-0.106527272727273)</f>
        <v>0</v>
      </c>
      <c r="AQ741" s="28" t="s">
        <v>13</v>
      </c>
      <c r="AV741" s="34">
        <f t="shared" si="630"/>
        <v>0</v>
      </c>
      <c r="AW741" s="34">
        <f t="shared" si="631"/>
        <v>0</v>
      </c>
      <c r="AX741" s="34">
        <f t="shared" si="632"/>
        <v>0</v>
      </c>
      <c r="AY741" s="35" t="s">
        <v>3685</v>
      </c>
      <c r="AZ741" s="35" t="s">
        <v>3716</v>
      </c>
      <c r="BA741" s="27" t="s">
        <v>3729</v>
      </c>
      <c r="BC741" s="34">
        <f t="shared" si="633"/>
        <v>0</v>
      </c>
      <c r="BD741" s="34">
        <f t="shared" si="634"/>
        <v>0</v>
      </c>
      <c r="BE741" s="34">
        <v>0</v>
      </c>
      <c r="BF741" s="34">
        <f>741</f>
        <v>741</v>
      </c>
      <c r="BH741" s="18">
        <f t="shared" si="635"/>
        <v>0</v>
      </c>
      <c r="BI741" s="18">
        <f t="shared" si="636"/>
        <v>0</v>
      </c>
      <c r="BJ741" s="18">
        <f t="shared" si="637"/>
        <v>0</v>
      </c>
    </row>
    <row r="742" spans="1:62" x14ac:dyDescent="0.2">
      <c r="A742" s="5" t="s">
        <v>697</v>
      </c>
      <c r="B742" s="5" t="s">
        <v>1884</v>
      </c>
      <c r="C742" s="135" t="s">
        <v>3085</v>
      </c>
      <c r="D742" s="136"/>
      <c r="E742" s="136"/>
      <c r="F742" s="136"/>
      <c r="G742" s="136"/>
      <c r="H742" s="5" t="s">
        <v>3612</v>
      </c>
      <c r="I742" s="18">
        <v>5</v>
      </c>
      <c r="J742" s="18">
        <v>0</v>
      </c>
      <c r="K742" s="18">
        <f t="shared" si="618"/>
        <v>0</v>
      </c>
      <c r="L742" s="28" t="s">
        <v>3635</v>
      </c>
      <c r="Z742" s="34">
        <f t="shared" si="619"/>
        <v>0</v>
      </c>
      <c r="AB742" s="34">
        <f t="shared" si="620"/>
        <v>0</v>
      </c>
      <c r="AC742" s="34">
        <f t="shared" si="621"/>
        <v>0</v>
      </c>
      <c r="AD742" s="34">
        <f t="shared" si="622"/>
        <v>0</v>
      </c>
      <c r="AE742" s="34">
        <f t="shared" si="623"/>
        <v>0</v>
      </c>
      <c r="AF742" s="34">
        <f t="shared" si="624"/>
        <v>0</v>
      </c>
      <c r="AG742" s="34">
        <f t="shared" si="625"/>
        <v>0</v>
      </c>
      <c r="AH742" s="34">
        <f t="shared" si="626"/>
        <v>0</v>
      </c>
      <c r="AI742" s="27" t="s">
        <v>3645</v>
      </c>
      <c r="AJ742" s="18">
        <f t="shared" si="627"/>
        <v>0</v>
      </c>
      <c r="AK742" s="18">
        <f t="shared" si="628"/>
        <v>0</v>
      </c>
      <c r="AL742" s="18">
        <f t="shared" si="629"/>
        <v>0</v>
      </c>
      <c r="AN742" s="34">
        <v>21</v>
      </c>
      <c r="AO742" s="34">
        <f>J742*0.106529411764706</f>
        <v>0</v>
      </c>
      <c r="AP742" s="34">
        <f>J742*(1-0.106529411764706)</f>
        <v>0</v>
      </c>
      <c r="AQ742" s="28" t="s">
        <v>13</v>
      </c>
      <c r="AV742" s="34">
        <f t="shared" si="630"/>
        <v>0</v>
      </c>
      <c r="AW742" s="34">
        <f t="shared" si="631"/>
        <v>0</v>
      </c>
      <c r="AX742" s="34">
        <f t="shared" si="632"/>
        <v>0</v>
      </c>
      <c r="AY742" s="35" t="s">
        <v>3685</v>
      </c>
      <c r="AZ742" s="35" t="s">
        <v>3716</v>
      </c>
      <c r="BA742" s="27" t="s">
        <v>3729</v>
      </c>
      <c r="BC742" s="34">
        <f t="shared" si="633"/>
        <v>0</v>
      </c>
      <c r="BD742" s="34">
        <f t="shared" si="634"/>
        <v>0</v>
      </c>
      <c r="BE742" s="34">
        <v>0</v>
      </c>
      <c r="BF742" s="34">
        <f>742</f>
        <v>742</v>
      </c>
      <c r="BH742" s="18">
        <f t="shared" si="635"/>
        <v>0</v>
      </c>
      <c r="BI742" s="18">
        <f t="shared" si="636"/>
        <v>0</v>
      </c>
      <c r="BJ742" s="18">
        <f t="shared" si="637"/>
        <v>0</v>
      </c>
    </row>
    <row r="743" spans="1:62" x14ac:dyDescent="0.2">
      <c r="A743" s="5" t="s">
        <v>698</v>
      </c>
      <c r="B743" s="5" t="s">
        <v>1885</v>
      </c>
      <c r="C743" s="135" t="s">
        <v>3086</v>
      </c>
      <c r="D743" s="136"/>
      <c r="E743" s="136"/>
      <c r="F743" s="136"/>
      <c r="G743" s="136"/>
      <c r="H743" s="5" t="s">
        <v>3612</v>
      </c>
      <c r="I743" s="18">
        <v>7</v>
      </c>
      <c r="J743" s="18">
        <v>0</v>
      </c>
      <c r="K743" s="18">
        <f t="shared" si="618"/>
        <v>0</v>
      </c>
      <c r="L743" s="28" t="s">
        <v>3635</v>
      </c>
      <c r="Z743" s="34">
        <f t="shared" si="619"/>
        <v>0</v>
      </c>
      <c r="AB743" s="34">
        <f t="shared" si="620"/>
        <v>0</v>
      </c>
      <c r="AC743" s="34">
        <f t="shared" si="621"/>
        <v>0</v>
      </c>
      <c r="AD743" s="34">
        <f t="shared" si="622"/>
        <v>0</v>
      </c>
      <c r="AE743" s="34">
        <f t="shared" si="623"/>
        <v>0</v>
      </c>
      <c r="AF743" s="34">
        <f t="shared" si="624"/>
        <v>0</v>
      </c>
      <c r="AG743" s="34">
        <f t="shared" si="625"/>
        <v>0</v>
      </c>
      <c r="AH743" s="34">
        <f t="shared" si="626"/>
        <v>0</v>
      </c>
      <c r="AI743" s="27" t="s">
        <v>3645</v>
      </c>
      <c r="AJ743" s="18">
        <f t="shared" si="627"/>
        <v>0</v>
      </c>
      <c r="AK743" s="18">
        <f t="shared" si="628"/>
        <v>0</v>
      </c>
      <c r="AL743" s="18">
        <f t="shared" si="629"/>
        <v>0</v>
      </c>
      <c r="AN743" s="34">
        <v>21</v>
      </c>
      <c r="AO743" s="34">
        <f>J743*0.106529411764706</f>
        <v>0</v>
      </c>
      <c r="AP743" s="34">
        <f>J743*(1-0.106529411764706)</f>
        <v>0</v>
      </c>
      <c r="AQ743" s="28" t="s">
        <v>13</v>
      </c>
      <c r="AV743" s="34">
        <f t="shared" si="630"/>
        <v>0</v>
      </c>
      <c r="AW743" s="34">
        <f t="shared" si="631"/>
        <v>0</v>
      </c>
      <c r="AX743" s="34">
        <f t="shared" si="632"/>
        <v>0</v>
      </c>
      <c r="AY743" s="35" t="s">
        <v>3685</v>
      </c>
      <c r="AZ743" s="35" t="s">
        <v>3716</v>
      </c>
      <c r="BA743" s="27" t="s">
        <v>3729</v>
      </c>
      <c r="BC743" s="34">
        <f t="shared" si="633"/>
        <v>0</v>
      </c>
      <c r="BD743" s="34">
        <f t="shared" si="634"/>
        <v>0</v>
      </c>
      <c r="BE743" s="34">
        <v>0</v>
      </c>
      <c r="BF743" s="34">
        <f>743</f>
        <v>743</v>
      </c>
      <c r="BH743" s="18">
        <f t="shared" si="635"/>
        <v>0</v>
      </c>
      <c r="BI743" s="18">
        <f t="shared" si="636"/>
        <v>0</v>
      </c>
      <c r="BJ743" s="18">
        <f t="shared" si="637"/>
        <v>0</v>
      </c>
    </row>
    <row r="744" spans="1:62" x14ac:dyDescent="0.2">
      <c r="A744" s="5" t="s">
        <v>699</v>
      </c>
      <c r="B744" s="5" t="s">
        <v>1886</v>
      </c>
      <c r="C744" s="135" t="s">
        <v>3087</v>
      </c>
      <c r="D744" s="136"/>
      <c r="E744" s="136"/>
      <c r="F744" s="136"/>
      <c r="G744" s="136"/>
      <c r="H744" s="5" t="s">
        <v>3612</v>
      </c>
      <c r="I744" s="18">
        <v>10</v>
      </c>
      <c r="J744" s="18">
        <v>0</v>
      </c>
      <c r="K744" s="18">
        <f t="shared" si="618"/>
        <v>0</v>
      </c>
      <c r="L744" s="28" t="s">
        <v>3635</v>
      </c>
      <c r="Z744" s="34">
        <f t="shared" si="619"/>
        <v>0</v>
      </c>
      <c r="AB744" s="34">
        <f t="shared" si="620"/>
        <v>0</v>
      </c>
      <c r="AC744" s="34">
        <f t="shared" si="621"/>
        <v>0</v>
      </c>
      <c r="AD744" s="34">
        <f t="shared" si="622"/>
        <v>0</v>
      </c>
      <c r="AE744" s="34">
        <f t="shared" si="623"/>
        <v>0</v>
      </c>
      <c r="AF744" s="34">
        <f t="shared" si="624"/>
        <v>0</v>
      </c>
      <c r="AG744" s="34">
        <f t="shared" si="625"/>
        <v>0</v>
      </c>
      <c r="AH744" s="34">
        <f t="shared" si="626"/>
        <v>0</v>
      </c>
      <c r="AI744" s="27" t="s">
        <v>3645</v>
      </c>
      <c r="AJ744" s="18">
        <f t="shared" si="627"/>
        <v>0</v>
      </c>
      <c r="AK744" s="18">
        <f t="shared" si="628"/>
        <v>0</v>
      </c>
      <c r="AL744" s="18">
        <f t="shared" si="629"/>
        <v>0</v>
      </c>
      <c r="AN744" s="34">
        <v>21</v>
      </c>
      <c r="AO744" s="34">
        <f>J744*0.106527607361963</f>
        <v>0</v>
      </c>
      <c r="AP744" s="34">
        <f>J744*(1-0.106527607361963)</f>
        <v>0</v>
      </c>
      <c r="AQ744" s="28" t="s">
        <v>13</v>
      </c>
      <c r="AV744" s="34">
        <f t="shared" si="630"/>
        <v>0</v>
      </c>
      <c r="AW744" s="34">
        <f t="shared" si="631"/>
        <v>0</v>
      </c>
      <c r="AX744" s="34">
        <f t="shared" si="632"/>
        <v>0</v>
      </c>
      <c r="AY744" s="35" t="s">
        <v>3685</v>
      </c>
      <c r="AZ744" s="35" t="s">
        <v>3716</v>
      </c>
      <c r="BA744" s="27" t="s">
        <v>3729</v>
      </c>
      <c r="BC744" s="34">
        <f t="shared" si="633"/>
        <v>0</v>
      </c>
      <c r="BD744" s="34">
        <f t="shared" si="634"/>
        <v>0</v>
      </c>
      <c r="BE744" s="34">
        <v>0</v>
      </c>
      <c r="BF744" s="34">
        <f>744</f>
        <v>744</v>
      </c>
      <c r="BH744" s="18">
        <f t="shared" si="635"/>
        <v>0</v>
      </c>
      <c r="BI744" s="18">
        <f t="shared" si="636"/>
        <v>0</v>
      </c>
      <c r="BJ744" s="18">
        <f t="shared" si="637"/>
        <v>0</v>
      </c>
    </row>
    <row r="745" spans="1:62" x14ac:dyDescent="0.2">
      <c r="A745" s="5" t="s">
        <v>700</v>
      </c>
      <c r="B745" s="5" t="s">
        <v>1887</v>
      </c>
      <c r="C745" s="135" t="s">
        <v>3088</v>
      </c>
      <c r="D745" s="136"/>
      <c r="E745" s="136"/>
      <c r="F745" s="136"/>
      <c r="G745" s="136"/>
      <c r="H745" s="5" t="s">
        <v>3612</v>
      </c>
      <c r="I745" s="18">
        <v>50</v>
      </c>
      <c r="J745" s="18">
        <v>0</v>
      </c>
      <c r="K745" s="18">
        <f t="shared" si="618"/>
        <v>0</v>
      </c>
      <c r="L745" s="28" t="s">
        <v>3635</v>
      </c>
      <c r="Z745" s="34">
        <f t="shared" si="619"/>
        <v>0</v>
      </c>
      <c r="AB745" s="34">
        <f t="shared" si="620"/>
        <v>0</v>
      </c>
      <c r="AC745" s="34">
        <f t="shared" si="621"/>
        <v>0</v>
      </c>
      <c r="AD745" s="34">
        <f t="shared" si="622"/>
        <v>0</v>
      </c>
      <c r="AE745" s="34">
        <f t="shared" si="623"/>
        <v>0</v>
      </c>
      <c r="AF745" s="34">
        <f t="shared" si="624"/>
        <v>0</v>
      </c>
      <c r="AG745" s="34">
        <f t="shared" si="625"/>
        <v>0</v>
      </c>
      <c r="AH745" s="34">
        <f t="shared" si="626"/>
        <v>0</v>
      </c>
      <c r="AI745" s="27" t="s">
        <v>3645</v>
      </c>
      <c r="AJ745" s="18">
        <f t="shared" si="627"/>
        <v>0</v>
      </c>
      <c r="AK745" s="18">
        <f t="shared" si="628"/>
        <v>0</v>
      </c>
      <c r="AL745" s="18">
        <f t="shared" si="629"/>
        <v>0</v>
      </c>
      <c r="AN745" s="34">
        <v>21</v>
      </c>
      <c r="AO745" s="34">
        <f>J745*0.1066</f>
        <v>0</v>
      </c>
      <c r="AP745" s="34">
        <f>J745*(1-0.1066)</f>
        <v>0</v>
      </c>
      <c r="AQ745" s="28" t="s">
        <v>13</v>
      </c>
      <c r="AV745" s="34">
        <f t="shared" si="630"/>
        <v>0</v>
      </c>
      <c r="AW745" s="34">
        <f t="shared" si="631"/>
        <v>0</v>
      </c>
      <c r="AX745" s="34">
        <f t="shared" si="632"/>
        <v>0</v>
      </c>
      <c r="AY745" s="35" t="s">
        <v>3685</v>
      </c>
      <c r="AZ745" s="35" t="s">
        <v>3716</v>
      </c>
      <c r="BA745" s="27" t="s">
        <v>3729</v>
      </c>
      <c r="BC745" s="34">
        <f t="shared" si="633"/>
        <v>0</v>
      </c>
      <c r="BD745" s="34">
        <f t="shared" si="634"/>
        <v>0</v>
      </c>
      <c r="BE745" s="34">
        <v>0</v>
      </c>
      <c r="BF745" s="34">
        <f>745</f>
        <v>745</v>
      </c>
      <c r="BH745" s="18">
        <f t="shared" si="635"/>
        <v>0</v>
      </c>
      <c r="BI745" s="18">
        <f t="shared" si="636"/>
        <v>0</v>
      </c>
      <c r="BJ745" s="18">
        <f t="shared" si="637"/>
        <v>0</v>
      </c>
    </row>
    <row r="746" spans="1:62" x14ac:dyDescent="0.2">
      <c r="A746" s="5" t="s">
        <v>701</v>
      </c>
      <c r="B746" s="5" t="s">
        <v>1888</v>
      </c>
      <c r="C746" s="135" t="s">
        <v>3089</v>
      </c>
      <c r="D746" s="136"/>
      <c r="E746" s="136"/>
      <c r="F746" s="136"/>
      <c r="G746" s="136"/>
      <c r="H746" s="5" t="s">
        <v>3612</v>
      </c>
      <c r="I746" s="18">
        <v>2</v>
      </c>
      <c r="J746" s="18">
        <v>0</v>
      </c>
      <c r="K746" s="18">
        <f t="shared" si="618"/>
        <v>0</v>
      </c>
      <c r="L746" s="28" t="s">
        <v>3635</v>
      </c>
      <c r="Z746" s="34">
        <f t="shared" si="619"/>
        <v>0</v>
      </c>
      <c r="AB746" s="34">
        <f t="shared" si="620"/>
        <v>0</v>
      </c>
      <c r="AC746" s="34">
        <f t="shared" si="621"/>
        <v>0</v>
      </c>
      <c r="AD746" s="34">
        <f t="shared" si="622"/>
        <v>0</v>
      </c>
      <c r="AE746" s="34">
        <f t="shared" si="623"/>
        <v>0</v>
      </c>
      <c r="AF746" s="34">
        <f t="shared" si="624"/>
        <v>0</v>
      </c>
      <c r="AG746" s="34">
        <f t="shared" si="625"/>
        <v>0</v>
      </c>
      <c r="AH746" s="34">
        <f t="shared" si="626"/>
        <v>0</v>
      </c>
      <c r="AI746" s="27" t="s">
        <v>3645</v>
      </c>
      <c r="AJ746" s="18">
        <f t="shared" si="627"/>
        <v>0</v>
      </c>
      <c r="AK746" s="18">
        <f t="shared" si="628"/>
        <v>0</v>
      </c>
      <c r="AL746" s="18">
        <f t="shared" si="629"/>
        <v>0</v>
      </c>
      <c r="AN746" s="34">
        <v>21</v>
      </c>
      <c r="AO746" s="34">
        <f>J746*0.1066</f>
        <v>0</v>
      </c>
      <c r="AP746" s="34">
        <f>J746*(1-0.1066)</f>
        <v>0</v>
      </c>
      <c r="AQ746" s="28" t="s">
        <v>13</v>
      </c>
      <c r="AV746" s="34">
        <f t="shared" si="630"/>
        <v>0</v>
      </c>
      <c r="AW746" s="34">
        <f t="shared" si="631"/>
        <v>0</v>
      </c>
      <c r="AX746" s="34">
        <f t="shared" si="632"/>
        <v>0</v>
      </c>
      <c r="AY746" s="35" t="s">
        <v>3685</v>
      </c>
      <c r="AZ746" s="35" t="s">
        <v>3716</v>
      </c>
      <c r="BA746" s="27" t="s">
        <v>3729</v>
      </c>
      <c r="BC746" s="34">
        <f t="shared" si="633"/>
        <v>0</v>
      </c>
      <c r="BD746" s="34">
        <f t="shared" si="634"/>
        <v>0</v>
      </c>
      <c r="BE746" s="34">
        <v>0</v>
      </c>
      <c r="BF746" s="34">
        <f>746</f>
        <v>746</v>
      </c>
      <c r="BH746" s="18">
        <f t="shared" si="635"/>
        <v>0</v>
      </c>
      <c r="BI746" s="18">
        <f t="shared" si="636"/>
        <v>0</v>
      </c>
      <c r="BJ746" s="18">
        <f t="shared" si="637"/>
        <v>0</v>
      </c>
    </row>
    <row r="747" spans="1:62" x14ac:dyDescent="0.2">
      <c r="A747" s="5" t="s">
        <v>702</v>
      </c>
      <c r="B747" s="5" t="s">
        <v>1889</v>
      </c>
      <c r="C747" s="135" t="s">
        <v>3090</v>
      </c>
      <c r="D747" s="136"/>
      <c r="E747" s="136"/>
      <c r="F747" s="136"/>
      <c r="G747" s="136"/>
      <c r="H747" s="5" t="s">
        <v>3612</v>
      </c>
      <c r="I747" s="18">
        <v>1</v>
      </c>
      <c r="J747" s="18">
        <v>0</v>
      </c>
      <c r="K747" s="18">
        <f t="shared" si="618"/>
        <v>0</v>
      </c>
      <c r="L747" s="28" t="s">
        <v>3635</v>
      </c>
      <c r="Z747" s="34">
        <f t="shared" si="619"/>
        <v>0</v>
      </c>
      <c r="AB747" s="34">
        <f t="shared" si="620"/>
        <v>0</v>
      </c>
      <c r="AC747" s="34">
        <f t="shared" si="621"/>
        <v>0</v>
      </c>
      <c r="AD747" s="34">
        <f t="shared" si="622"/>
        <v>0</v>
      </c>
      <c r="AE747" s="34">
        <f t="shared" si="623"/>
        <v>0</v>
      </c>
      <c r="AF747" s="34">
        <f t="shared" si="624"/>
        <v>0</v>
      </c>
      <c r="AG747" s="34">
        <f t="shared" si="625"/>
        <v>0</v>
      </c>
      <c r="AH747" s="34">
        <f t="shared" si="626"/>
        <v>0</v>
      </c>
      <c r="AI747" s="27" t="s">
        <v>3645</v>
      </c>
      <c r="AJ747" s="18">
        <f t="shared" si="627"/>
        <v>0</v>
      </c>
      <c r="AK747" s="18">
        <f t="shared" si="628"/>
        <v>0</v>
      </c>
      <c r="AL747" s="18">
        <f t="shared" si="629"/>
        <v>0</v>
      </c>
      <c r="AN747" s="34">
        <v>21</v>
      </c>
      <c r="AO747" s="34">
        <f>J747*0.1066</f>
        <v>0</v>
      </c>
      <c r="AP747" s="34">
        <f>J747*(1-0.1066)</f>
        <v>0</v>
      </c>
      <c r="AQ747" s="28" t="s">
        <v>13</v>
      </c>
      <c r="AV747" s="34">
        <f t="shared" si="630"/>
        <v>0</v>
      </c>
      <c r="AW747" s="34">
        <f t="shared" si="631"/>
        <v>0</v>
      </c>
      <c r="AX747" s="34">
        <f t="shared" si="632"/>
        <v>0</v>
      </c>
      <c r="AY747" s="35" t="s">
        <v>3685</v>
      </c>
      <c r="AZ747" s="35" t="s">
        <v>3716</v>
      </c>
      <c r="BA747" s="27" t="s">
        <v>3729</v>
      </c>
      <c r="BC747" s="34">
        <f t="shared" si="633"/>
        <v>0</v>
      </c>
      <c r="BD747" s="34">
        <f t="shared" si="634"/>
        <v>0</v>
      </c>
      <c r="BE747" s="34">
        <v>0</v>
      </c>
      <c r="BF747" s="34">
        <f>747</f>
        <v>747</v>
      </c>
      <c r="BH747" s="18">
        <f t="shared" si="635"/>
        <v>0</v>
      </c>
      <c r="BI747" s="18">
        <f t="shared" si="636"/>
        <v>0</v>
      </c>
      <c r="BJ747" s="18">
        <f t="shared" si="637"/>
        <v>0</v>
      </c>
    </row>
    <row r="748" spans="1:62" x14ac:dyDescent="0.2">
      <c r="A748" s="5" t="s">
        <v>703</v>
      </c>
      <c r="B748" s="5" t="s">
        <v>1890</v>
      </c>
      <c r="C748" s="135" t="s">
        <v>3091</v>
      </c>
      <c r="D748" s="136"/>
      <c r="E748" s="136"/>
      <c r="F748" s="136"/>
      <c r="G748" s="136"/>
      <c r="H748" s="5" t="s">
        <v>3612</v>
      </c>
      <c r="I748" s="18">
        <v>1</v>
      </c>
      <c r="J748" s="18">
        <v>0</v>
      </c>
      <c r="K748" s="18">
        <f t="shared" si="618"/>
        <v>0</v>
      </c>
      <c r="L748" s="28" t="s">
        <v>3635</v>
      </c>
      <c r="Z748" s="34">
        <f t="shared" si="619"/>
        <v>0</v>
      </c>
      <c r="AB748" s="34">
        <f t="shared" si="620"/>
        <v>0</v>
      </c>
      <c r="AC748" s="34">
        <f t="shared" si="621"/>
        <v>0</v>
      </c>
      <c r="AD748" s="34">
        <f t="shared" si="622"/>
        <v>0</v>
      </c>
      <c r="AE748" s="34">
        <f t="shared" si="623"/>
        <v>0</v>
      </c>
      <c r="AF748" s="34">
        <f t="shared" si="624"/>
        <v>0</v>
      </c>
      <c r="AG748" s="34">
        <f t="shared" si="625"/>
        <v>0</v>
      </c>
      <c r="AH748" s="34">
        <f t="shared" si="626"/>
        <v>0</v>
      </c>
      <c r="AI748" s="27" t="s">
        <v>3645</v>
      </c>
      <c r="AJ748" s="18">
        <f t="shared" si="627"/>
        <v>0</v>
      </c>
      <c r="AK748" s="18">
        <f t="shared" si="628"/>
        <v>0</v>
      </c>
      <c r="AL748" s="18">
        <f t="shared" si="629"/>
        <v>0</v>
      </c>
      <c r="AN748" s="34">
        <v>21</v>
      </c>
      <c r="AO748" s="34">
        <f>J748*0.1066</f>
        <v>0</v>
      </c>
      <c r="AP748" s="34">
        <f>J748*(1-0.1066)</f>
        <v>0</v>
      </c>
      <c r="AQ748" s="28" t="s">
        <v>13</v>
      </c>
      <c r="AV748" s="34">
        <f t="shared" si="630"/>
        <v>0</v>
      </c>
      <c r="AW748" s="34">
        <f t="shared" si="631"/>
        <v>0</v>
      </c>
      <c r="AX748" s="34">
        <f t="shared" si="632"/>
        <v>0</v>
      </c>
      <c r="AY748" s="35" t="s">
        <v>3685</v>
      </c>
      <c r="AZ748" s="35" t="s">
        <v>3716</v>
      </c>
      <c r="BA748" s="27" t="s">
        <v>3729</v>
      </c>
      <c r="BC748" s="34">
        <f t="shared" si="633"/>
        <v>0</v>
      </c>
      <c r="BD748" s="34">
        <f t="shared" si="634"/>
        <v>0</v>
      </c>
      <c r="BE748" s="34">
        <v>0</v>
      </c>
      <c r="BF748" s="34">
        <f>748</f>
        <v>748</v>
      </c>
      <c r="BH748" s="18">
        <f t="shared" si="635"/>
        <v>0</v>
      </c>
      <c r="BI748" s="18">
        <f t="shared" si="636"/>
        <v>0</v>
      </c>
      <c r="BJ748" s="18">
        <f t="shared" si="637"/>
        <v>0</v>
      </c>
    </row>
    <row r="749" spans="1:62" x14ac:dyDescent="0.2">
      <c r="A749" s="5" t="s">
        <v>704</v>
      </c>
      <c r="B749" s="5" t="s">
        <v>1891</v>
      </c>
      <c r="C749" s="135" t="s">
        <v>3092</v>
      </c>
      <c r="D749" s="136"/>
      <c r="E749" s="136"/>
      <c r="F749" s="136"/>
      <c r="G749" s="136"/>
      <c r="H749" s="5" t="s">
        <v>3612</v>
      </c>
      <c r="I749" s="18">
        <v>1</v>
      </c>
      <c r="J749" s="18">
        <v>0</v>
      </c>
      <c r="K749" s="18">
        <f t="shared" si="618"/>
        <v>0</v>
      </c>
      <c r="L749" s="28" t="s">
        <v>3635</v>
      </c>
      <c r="Z749" s="34">
        <f t="shared" si="619"/>
        <v>0</v>
      </c>
      <c r="AB749" s="34">
        <f t="shared" si="620"/>
        <v>0</v>
      </c>
      <c r="AC749" s="34">
        <f t="shared" si="621"/>
        <v>0</v>
      </c>
      <c r="AD749" s="34">
        <f t="shared" si="622"/>
        <v>0</v>
      </c>
      <c r="AE749" s="34">
        <f t="shared" si="623"/>
        <v>0</v>
      </c>
      <c r="AF749" s="34">
        <f t="shared" si="624"/>
        <v>0</v>
      </c>
      <c r="AG749" s="34">
        <f t="shared" si="625"/>
        <v>0</v>
      </c>
      <c r="AH749" s="34">
        <f t="shared" si="626"/>
        <v>0</v>
      </c>
      <c r="AI749" s="27" t="s">
        <v>3645</v>
      </c>
      <c r="AJ749" s="18">
        <f t="shared" si="627"/>
        <v>0</v>
      </c>
      <c r="AK749" s="18">
        <f t="shared" si="628"/>
        <v>0</v>
      </c>
      <c r="AL749" s="18">
        <f t="shared" si="629"/>
        <v>0</v>
      </c>
      <c r="AN749" s="34">
        <v>21</v>
      </c>
      <c r="AO749" s="34">
        <f>J749*0.106600104275287</f>
        <v>0</v>
      </c>
      <c r="AP749" s="34">
        <f>J749*(1-0.106600104275287)</f>
        <v>0</v>
      </c>
      <c r="AQ749" s="28" t="s">
        <v>13</v>
      </c>
      <c r="AV749" s="34">
        <f t="shared" si="630"/>
        <v>0</v>
      </c>
      <c r="AW749" s="34">
        <f t="shared" si="631"/>
        <v>0</v>
      </c>
      <c r="AX749" s="34">
        <f t="shared" si="632"/>
        <v>0</v>
      </c>
      <c r="AY749" s="35" t="s">
        <v>3685</v>
      </c>
      <c r="AZ749" s="35" t="s">
        <v>3716</v>
      </c>
      <c r="BA749" s="27" t="s">
        <v>3729</v>
      </c>
      <c r="BC749" s="34">
        <f t="shared" si="633"/>
        <v>0</v>
      </c>
      <c r="BD749" s="34">
        <f t="shared" si="634"/>
        <v>0</v>
      </c>
      <c r="BE749" s="34">
        <v>0</v>
      </c>
      <c r="BF749" s="34">
        <f>749</f>
        <v>749</v>
      </c>
      <c r="BH749" s="18">
        <f t="shared" si="635"/>
        <v>0</v>
      </c>
      <c r="BI749" s="18">
        <f t="shared" si="636"/>
        <v>0</v>
      </c>
      <c r="BJ749" s="18">
        <f t="shared" si="637"/>
        <v>0</v>
      </c>
    </row>
    <row r="750" spans="1:62" x14ac:dyDescent="0.2">
      <c r="A750" s="5" t="s">
        <v>705</v>
      </c>
      <c r="B750" s="5" t="s">
        <v>1892</v>
      </c>
      <c r="C750" s="135" t="s">
        <v>3093</v>
      </c>
      <c r="D750" s="136"/>
      <c r="E750" s="136"/>
      <c r="F750" s="136"/>
      <c r="G750" s="136"/>
      <c r="H750" s="5" t="s">
        <v>3612</v>
      </c>
      <c r="I750" s="18">
        <v>1</v>
      </c>
      <c r="J750" s="18">
        <v>0</v>
      </c>
      <c r="K750" s="18">
        <f t="shared" si="618"/>
        <v>0</v>
      </c>
      <c r="L750" s="28" t="s">
        <v>3635</v>
      </c>
      <c r="Z750" s="34">
        <f t="shared" si="619"/>
        <v>0</v>
      </c>
      <c r="AB750" s="34">
        <f t="shared" si="620"/>
        <v>0</v>
      </c>
      <c r="AC750" s="34">
        <f t="shared" si="621"/>
        <v>0</v>
      </c>
      <c r="AD750" s="34">
        <f t="shared" si="622"/>
        <v>0</v>
      </c>
      <c r="AE750" s="34">
        <f t="shared" si="623"/>
        <v>0</v>
      </c>
      <c r="AF750" s="34">
        <f t="shared" si="624"/>
        <v>0</v>
      </c>
      <c r="AG750" s="34">
        <f t="shared" si="625"/>
        <v>0</v>
      </c>
      <c r="AH750" s="34">
        <f t="shared" si="626"/>
        <v>0</v>
      </c>
      <c r="AI750" s="27" t="s">
        <v>3645</v>
      </c>
      <c r="AJ750" s="18">
        <f t="shared" si="627"/>
        <v>0</v>
      </c>
      <c r="AK750" s="18">
        <f t="shared" si="628"/>
        <v>0</v>
      </c>
      <c r="AL750" s="18">
        <f t="shared" si="629"/>
        <v>0</v>
      </c>
      <c r="AN750" s="34">
        <v>21</v>
      </c>
      <c r="AO750" s="34">
        <f>J750*0.106600137883488</f>
        <v>0</v>
      </c>
      <c r="AP750" s="34">
        <f>J750*(1-0.106600137883488)</f>
        <v>0</v>
      </c>
      <c r="AQ750" s="28" t="s">
        <v>13</v>
      </c>
      <c r="AV750" s="34">
        <f t="shared" si="630"/>
        <v>0</v>
      </c>
      <c r="AW750" s="34">
        <f t="shared" si="631"/>
        <v>0</v>
      </c>
      <c r="AX750" s="34">
        <f t="shared" si="632"/>
        <v>0</v>
      </c>
      <c r="AY750" s="35" t="s">
        <v>3685</v>
      </c>
      <c r="AZ750" s="35" t="s">
        <v>3716</v>
      </c>
      <c r="BA750" s="27" t="s">
        <v>3729</v>
      </c>
      <c r="BC750" s="34">
        <f t="shared" si="633"/>
        <v>0</v>
      </c>
      <c r="BD750" s="34">
        <f t="shared" si="634"/>
        <v>0</v>
      </c>
      <c r="BE750" s="34">
        <v>0</v>
      </c>
      <c r="BF750" s="34">
        <f>750</f>
        <v>750</v>
      </c>
      <c r="BH750" s="18">
        <f t="shared" si="635"/>
        <v>0</v>
      </c>
      <c r="BI750" s="18">
        <f t="shared" si="636"/>
        <v>0</v>
      </c>
      <c r="BJ750" s="18">
        <f t="shared" si="637"/>
        <v>0</v>
      </c>
    </row>
    <row r="751" spans="1:62" x14ac:dyDescent="0.2">
      <c r="A751" s="5" t="s">
        <v>706</v>
      </c>
      <c r="B751" s="5" t="s">
        <v>1893</v>
      </c>
      <c r="C751" s="135" t="s">
        <v>3094</v>
      </c>
      <c r="D751" s="136"/>
      <c r="E751" s="136"/>
      <c r="F751" s="136"/>
      <c r="G751" s="136"/>
      <c r="H751" s="5" t="s">
        <v>3612</v>
      </c>
      <c r="I751" s="18">
        <v>1</v>
      </c>
      <c r="J751" s="18">
        <v>0</v>
      </c>
      <c r="K751" s="18">
        <f t="shared" si="618"/>
        <v>0</v>
      </c>
      <c r="L751" s="28" t="s">
        <v>3635</v>
      </c>
      <c r="Z751" s="34">
        <f t="shared" si="619"/>
        <v>0</v>
      </c>
      <c r="AB751" s="34">
        <f t="shared" si="620"/>
        <v>0</v>
      </c>
      <c r="AC751" s="34">
        <f t="shared" si="621"/>
        <v>0</v>
      </c>
      <c r="AD751" s="34">
        <f t="shared" si="622"/>
        <v>0</v>
      </c>
      <c r="AE751" s="34">
        <f t="shared" si="623"/>
        <v>0</v>
      </c>
      <c r="AF751" s="34">
        <f t="shared" si="624"/>
        <v>0</v>
      </c>
      <c r="AG751" s="34">
        <f t="shared" si="625"/>
        <v>0</v>
      </c>
      <c r="AH751" s="34">
        <f t="shared" si="626"/>
        <v>0</v>
      </c>
      <c r="AI751" s="27" t="s">
        <v>3645</v>
      </c>
      <c r="AJ751" s="18">
        <f t="shared" si="627"/>
        <v>0</v>
      </c>
      <c r="AK751" s="18">
        <f t="shared" si="628"/>
        <v>0</v>
      </c>
      <c r="AL751" s="18">
        <f t="shared" si="629"/>
        <v>0</v>
      </c>
      <c r="AN751" s="34">
        <v>21</v>
      </c>
      <c r="AO751" s="34">
        <f>J751*0.10660022296544</f>
        <v>0</v>
      </c>
      <c r="AP751" s="34">
        <f>J751*(1-0.10660022296544)</f>
        <v>0</v>
      </c>
      <c r="AQ751" s="28" t="s">
        <v>13</v>
      </c>
      <c r="AV751" s="34">
        <f t="shared" si="630"/>
        <v>0</v>
      </c>
      <c r="AW751" s="34">
        <f t="shared" si="631"/>
        <v>0</v>
      </c>
      <c r="AX751" s="34">
        <f t="shared" si="632"/>
        <v>0</v>
      </c>
      <c r="AY751" s="35" t="s">
        <v>3685</v>
      </c>
      <c r="AZ751" s="35" t="s">
        <v>3716</v>
      </c>
      <c r="BA751" s="27" t="s">
        <v>3729</v>
      </c>
      <c r="BC751" s="34">
        <f t="shared" si="633"/>
        <v>0</v>
      </c>
      <c r="BD751" s="34">
        <f t="shared" si="634"/>
        <v>0</v>
      </c>
      <c r="BE751" s="34">
        <v>0</v>
      </c>
      <c r="BF751" s="34">
        <f>751</f>
        <v>751</v>
      </c>
      <c r="BH751" s="18">
        <f t="shared" si="635"/>
        <v>0</v>
      </c>
      <c r="BI751" s="18">
        <f t="shared" si="636"/>
        <v>0</v>
      </c>
      <c r="BJ751" s="18">
        <f t="shared" si="637"/>
        <v>0</v>
      </c>
    </row>
    <row r="752" spans="1:62" x14ac:dyDescent="0.2">
      <c r="A752" s="5" t="s">
        <v>707</v>
      </c>
      <c r="B752" s="5" t="s">
        <v>1894</v>
      </c>
      <c r="C752" s="135" t="s">
        <v>3095</v>
      </c>
      <c r="D752" s="136"/>
      <c r="E752" s="136"/>
      <c r="F752" s="136"/>
      <c r="G752" s="136"/>
      <c r="H752" s="5" t="s">
        <v>3612</v>
      </c>
      <c r="I752" s="18">
        <v>1</v>
      </c>
      <c r="J752" s="18">
        <v>0</v>
      </c>
      <c r="K752" s="18">
        <f t="shared" si="618"/>
        <v>0</v>
      </c>
      <c r="L752" s="28" t="s">
        <v>3635</v>
      </c>
      <c r="Z752" s="34">
        <f t="shared" si="619"/>
        <v>0</v>
      </c>
      <c r="AB752" s="34">
        <f t="shared" si="620"/>
        <v>0</v>
      </c>
      <c r="AC752" s="34">
        <f t="shared" si="621"/>
        <v>0</v>
      </c>
      <c r="AD752" s="34">
        <f t="shared" si="622"/>
        <v>0</v>
      </c>
      <c r="AE752" s="34">
        <f t="shared" si="623"/>
        <v>0</v>
      </c>
      <c r="AF752" s="34">
        <f t="shared" si="624"/>
        <v>0</v>
      </c>
      <c r="AG752" s="34">
        <f t="shared" si="625"/>
        <v>0</v>
      </c>
      <c r="AH752" s="34">
        <f t="shared" si="626"/>
        <v>0</v>
      </c>
      <c r="AI752" s="27" t="s">
        <v>3645</v>
      </c>
      <c r="AJ752" s="18">
        <f t="shared" si="627"/>
        <v>0</v>
      </c>
      <c r="AK752" s="18">
        <f t="shared" si="628"/>
        <v>0</v>
      </c>
      <c r="AL752" s="18">
        <f t="shared" si="629"/>
        <v>0</v>
      </c>
      <c r="AN752" s="34">
        <v>21</v>
      </c>
      <c r="AO752" s="34">
        <f>J752*0.106600102669405</f>
        <v>0</v>
      </c>
      <c r="AP752" s="34">
        <f>J752*(1-0.106600102669405)</f>
        <v>0</v>
      </c>
      <c r="AQ752" s="28" t="s">
        <v>13</v>
      </c>
      <c r="AV752" s="34">
        <f t="shared" si="630"/>
        <v>0</v>
      </c>
      <c r="AW752" s="34">
        <f t="shared" si="631"/>
        <v>0</v>
      </c>
      <c r="AX752" s="34">
        <f t="shared" si="632"/>
        <v>0</v>
      </c>
      <c r="AY752" s="35" t="s">
        <v>3685</v>
      </c>
      <c r="AZ752" s="35" t="s">
        <v>3716</v>
      </c>
      <c r="BA752" s="27" t="s">
        <v>3729</v>
      </c>
      <c r="BC752" s="34">
        <f t="shared" si="633"/>
        <v>0</v>
      </c>
      <c r="BD752" s="34">
        <f t="shared" si="634"/>
        <v>0</v>
      </c>
      <c r="BE752" s="34">
        <v>0</v>
      </c>
      <c r="BF752" s="34">
        <f>752</f>
        <v>752</v>
      </c>
      <c r="BH752" s="18">
        <f t="shared" si="635"/>
        <v>0</v>
      </c>
      <c r="BI752" s="18">
        <f t="shared" si="636"/>
        <v>0</v>
      </c>
      <c r="BJ752" s="18">
        <f t="shared" si="637"/>
        <v>0</v>
      </c>
    </row>
    <row r="753" spans="1:62" x14ac:dyDescent="0.2">
      <c r="A753" s="5" t="s">
        <v>708</v>
      </c>
      <c r="B753" s="5" t="s">
        <v>1895</v>
      </c>
      <c r="C753" s="135" t="s">
        <v>3096</v>
      </c>
      <c r="D753" s="136"/>
      <c r="E753" s="136"/>
      <c r="F753" s="136"/>
      <c r="G753" s="136"/>
      <c r="H753" s="5" t="s">
        <v>3612</v>
      </c>
      <c r="I753" s="18">
        <v>16</v>
      </c>
      <c r="J753" s="18">
        <v>0</v>
      </c>
      <c r="K753" s="18">
        <f t="shared" ref="K753:K772" si="638">I753*J753</f>
        <v>0</v>
      </c>
      <c r="L753" s="28" t="s">
        <v>3635</v>
      </c>
      <c r="Z753" s="34">
        <f t="shared" ref="Z753:Z772" si="639">IF(AQ753="5",BJ753,0)</f>
        <v>0</v>
      </c>
      <c r="AB753" s="34">
        <f t="shared" ref="AB753:AB772" si="640">IF(AQ753="1",BH753,0)</f>
        <v>0</v>
      </c>
      <c r="AC753" s="34">
        <f t="shared" ref="AC753:AC772" si="641">IF(AQ753="1",BI753,0)</f>
        <v>0</v>
      </c>
      <c r="AD753" s="34">
        <f t="shared" ref="AD753:AD772" si="642">IF(AQ753="7",BH753,0)</f>
        <v>0</v>
      </c>
      <c r="AE753" s="34">
        <f t="shared" ref="AE753:AE772" si="643">IF(AQ753="7",BI753,0)</f>
        <v>0</v>
      </c>
      <c r="AF753" s="34">
        <f t="shared" ref="AF753:AF772" si="644">IF(AQ753="2",BH753,0)</f>
        <v>0</v>
      </c>
      <c r="AG753" s="34">
        <f t="shared" ref="AG753:AG772" si="645">IF(AQ753="2",BI753,0)</f>
        <v>0</v>
      </c>
      <c r="AH753" s="34">
        <f t="shared" ref="AH753:AH772" si="646">IF(AQ753="0",BJ753,0)</f>
        <v>0</v>
      </c>
      <c r="AI753" s="27" t="s">
        <v>3645</v>
      </c>
      <c r="AJ753" s="18">
        <f t="shared" ref="AJ753:AJ772" si="647">IF(AN753=0,K753,0)</f>
        <v>0</v>
      </c>
      <c r="AK753" s="18">
        <f t="shared" ref="AK753:AK772" si="648">IF(AN753=15,K753,0)</f>
        <v>0</v>
      </c>
      <c r="AL753" s="18">
        <f t="shared" ref="AL753:AL772" si="649">IF(AN753=21,K753,0)</f>
        <v>0</v>
      </c>
      <c r="AN753" s="34">
        <v>21</v>
      </c>
      <c r="AO753" s="34">
        <f>J753*0.106600382409178</f>
        <v>0</v>
      </c>
      <c r="AP753" s="34">
        <f>J753*(1-0.106600382409178)</f>
        <v>0</v>
      </c>
      <c r="AQ753" s="28" t="s">
        <v>13</v>
      </c>
      <c r="AV753" s="34">
        <f t="shared" ref="AV753:AV772" si="650">AW753+AX753</f>
        <v>0</v>
      </c>
      <c r="AW753" s="34">
        <f t="shared" ref="AW753:AW772" si="651">I753*AO753</f>
        <v>0</v>
      </c>
      <c r="AX753" s="34">
        <f t="shared" ref="AX753:AX772" si="652">I753*AP753</f>
        <v>0</v>
      </c>
      <c r="AY753" s="35" t="s">
        <v>3685</v>
      </c>
      <c r="AZ753" s="35" t="s">
        <v>3716</v>
      </c>
      <c r="BA753" s="27" t="s">
        <v>3729</v>
      </c>
      <c r="BC753" s="34">
        <f t="shared" ref="BC753:BC772" si="653">AW753+AX753</f>
        <v>0</v>
      </c>
      <c r="BD753" s="34">
        <f t="shared" ref="BD753:BD772" si="654">J753/(100-BE753)*100</f>
        <v>0</v>
      </c>
      <c r="BE753" s="34">
        <v>0</v>
      </c>
      <c r="BF753" s="34">
        <f>753</f>
        <v>753</v>
      </c>
      <c r="BH753" s="18">
        <f t="shared" ref="BH753:BH772" si="655">I753*AO753</f>
        <v>0</v>
      </c>
      <c r="BI753" s="18">
        <f t="shared" ref="BI753:BI772" si="656">I753*AP753</f>
        <v>0</v>
      </c>
      <c r="BJ753" s="18">
        <f t="shared" ref="BJ753:BJ772" si="657">I753*J753</f>
        <v>0</v>
      </c>
    </row>
    <row r="754" spans="1:62" x14ac:dyDescent="0.2">
      <c r="A754" s="5" t="s">
        <v>709</v>
      </c>
      <c r="B754" s="5" t="s">
        <v>1896</v>
      </c>
      <c r="C754" s="135" t="s">
        <v>3097</v>
      </c>
      <c r="D754" s="136"/>
      <c r="E754" s="136"/>
      <c r="F754" s="136"/>
      <c r="G754" s="136"/>
      <c r="H754" s="5" t="s">
        <v>3612</v>
      </c>
      <c r="I754" s="18">
        <v>1</v>
      </c>
      <c r="J754" s="18">
        <v>0</v>
      </c>
      <c r="K754" s="18">
        <f t="shared" si="638"/>
        <v>0</v>
      </c>
      <c r="L754" s="28" t="s">
        <v>3635</v>
      </c>
      <c r="Z754" s="34">
        <f t="shared" si="639"/>
        <v>0</v>
      </c>
      <c r="AB754" s="34">
        <f t="shared" si="640"/>
        <v>0</v>
      </c>
      <c r="AC754" s="34">
        <f t="shared" si="641"/>
        <v>0</v>
      </c>
      <c r="AD754" s="34">
        <f t="shared" si="642"/>
        <v>0</v>
      </c>
      <c r="AE754" s="34">
        <f t="shared" si="643"/>
        <v>0</v>
      </c>
      <c r="AF754" s="34">
        <f t="shared" si="644"/>
        <v>0</v>
      </c>
      <c r="AG754" s="34">
        <f t="shared" si="645"/>
        <v>0</v>
      </c>
      <c r="AH754" s="34">
        <f t="shared" si="646"/>
        <v>0</v>
      </c>
      <c r="AI754" s="27" t="s">
        <v>3645</v>
      </c>
      <c r="AJ754" s="18">
        <f t="shared" si="647"/>
        <v>0</v>
      </c>
      <c r="AK754" s="18">
        <f t="shared" si="648"/>
        <v>0</v>
      </c>
      <c r="AL754" s="18">
        <f t="shared" si="649"/>
        <v>0</v>
      </c>
      <c r="AN754" s="34">
        <v>21</v>
      </c>
      <c r="AO754" s="34">
        <f>J754*0.106600169779287</f>
        <v>0</v>
      </c>
      <c r="AP754" s="34">
        <f>J754*(1-0.106600169779287)</f>
        <v>0</v>
      </c>
      <c r="AQ754" s="28" t="s">
        <v>13</v>
      </c>
      <c r="AV754" s="34">
        <f t="shared" si="650"/>
        <v>0</v>
      </c>
      <c r="AW754" s="34">
        <f t="shared" si="651"/>
        <v>0</v>
      </c>
      <c r="AX754" s="34">
        <f t="shared" si="652"/>
        <v>0</v>
      </c>
      <c r="AY754" s="35" t="s">
        <v>3685</v>
      </c>
      <c r="AZ754" s="35" t="s">
        <v>3716</v>
      </c>
      <c r="BA754" s="27" t="s">
        <v>3729</v>
      </c>
      <c r="BC754" s="34">
        <f t="shared" si="653"/>
        <v>0</v>
      </c>
      <c r="BD754" s="34">
        <f t="shared" si="654"/>
        <v>0</v>
      </c>
      <c r="BE754" s="34">
        <v>0</v>
      </c>
      <c r="BF754" s="34">
        <f>754</f>
        <v>754</v>
      </c>
      <c r="BH754" s="18">
        <f t="shared" si="655"/>
        <v>0</v>
      </c>
      <c r="BI754" s="18">
        <f t="shared" si="656"/>
        <v>0</v>
      </c>
      <c r="BJ754" s="18">
        <f t="shared" si="657"/>
        <v>0</v>
      </c>
    </row>
    <row r="755" spans="1:62" x14ac:dyDescent="0.2">
      <c r="A755" s="5" t="s">
        <v>710</v>
      </c>
      <c r="B755" s="5" t="s">
        <v>1897</v>
      </c>
      <c r="C755" s="135" t="s">
        <v>3098</v>
      </c>
      <c r="D755" s="136"/>
      <c r="E755" s="136"/>
      <c r="F755" s="136"/>
      <c r="G755" s="136"/>
      <c r="H755" s="5" t="s">
        <v>3612</v>
      </c>
      <c r="I755" s="18">
        <v>1</v>
      </c>
      <c r="J755" s="18">
        <v>0</v>
      </c>
      <c r="K755" s="18">
        <f t="shared" si="638"/>
        <v>0</v>
      </c>
      <c r="L755" s="28" t="s">
        <v>3635</v>
      </c>
      <c r="Z755" s="34">
        <f t="shared" si="639"/>
        <v>0</v>
      </c>
      <c r="AB755" s="34">
        <f t="shared" si="640"/>
        <v>0</v>
      </c>
      <c r="AC755" s="34">
        <f t="shared" si="641"/>
        <v>0</v>
      </c>
      <c r="AD755" s="34">
        <f t="shared" si="642"/>
        <v>0</v>
      </c>
      <c r="AE755" s="34">
        <f t="shared" si="643"/>
        <v>0</v>
      </c>
      <c r="AF755" s="34">
        <f t="shared" si="644"/>
        <v>0</v>
      </c>
      <c r="AG755" s="34">
        <f t="shared" si="645"/>
        <v>0</v>
      </c>
      <c r="AH755" s="34">
        <f t="shared" si="646"/>
        <v>0</v>
      </c>
      <c r="AI755" s="27" t="s">
        <v>3645</v>
      </c>
      <c r="AJ755" s="18">
        <f t="shared" si="647"/>
        <v>0</v>
      </c>
      <c r="AK755" s="18">
        <f t="shared" si="648"/>
        <v>0</v>
      </c>
      <c r="AL755" s="18">
        <f t="shared" si="649"/>
        <v>0</v>
      </c>
      <c r="AN755" s="34">
        <v>21</v>
      </c>
      <c r="AO755" s="34">
        <f>J755*0.1066</f>
        <v>0</v>
      </c>
      <c r="AP755" s="34">
        <f>J755*(1-0.1066)</f>
        <v>0</v>
      </c>
      <c r="AQ755" s="28" t="s">
        <v>13</v>
      </c>
      <c r="AV755" s="34">
        <f t="shared" si="650"/>
        <v>0</v>
      </c>
      <c r="AW755" s="34">
        <f t="shared" si="651"/>
        <v>0</v>
      </c>
      <c r="AX755" s="34">
        <f t="shared" si="652"/>
        <v>0</v>
      </c>
      <c r="AY755" s="35" t="s">
        <v>3685</v>
      </c>
      <c r="AZ755" s="35" t="s">
        <v>3716</v>
      </c>
      <c r="BA755" s="27" t="s">
        <v>3729</v>
      </c>
      <c r="BC755" s="34">
        <f t="shared" si="653"/>
        <v>0</v>
      </c>
      <c r="BD755" s="34">
        <f t="shared" si="654"/>
        <v>0</v>
      </c>
      <c r="BE755" s="34">
        <v>0</v>
      </c>
      <c r="BF755" s="34">
        <f>755</f>
        <v>755</v>
      </c>
      <c r="BH755" s="18">
        <f t="shared" si="655"/>
        <v>0</v>
      </c>
      <c r="BI755" s="18">
        <f t="shared" si="656"/>
        <v>0</v>
      </c>
      <c r="BJ755" s="18">
        <f t="shared" si="657"/>
        <v>0</v>
      </c>
    </row>
    <row r="756" spans="1:62" x14ac:dyDescent="0.2">
      <c r="A756" s="5" t="s">
        <v>711</v>
      </c>
      <c r="B756" s="5" t="s">
        <v>1898</v>
      </c>
      <c r="C756" s="135" t="s">
        <v>3099</v>
      </c>
      <c r="D756" s="136"/>
      <c r="E756" s="136"/>
      <c r="F756" s="136"/>
      <c r="G756" s="136"/>
      <c r="H756" s="5" t="s">
        <v>3612</v>
      </c>
      <c r="I756" s="18">
        <v>1</v>
      </c>
      <c r="J756" s="18">
        <v>0</v>
      </c>
      <c r="K756" s="18">
        <f t="shared" si="638"/>
        <v>0</v>
      </c>
      <c r="L756" s="28" t="s">
        <v>3635</v>
      </c>
      <c r="Z756" s="34">
        <f t="shared" si="639"/>
        <v>0</v>
      </c>
      <c r="AB756" s="34">
        <f t="shared" si="640"/>
        <v>0</v>
      </c>
      <c r="AC756" s="34">
        <f t="shared" si="641"/>
        <v>0</v>
      </c>
      <c r="AD756" s="34">
        <f t="shared" si="642"/>
        <v>0</v>
      </c>
      <c r="AE756" s="34">
        <f t="shared" si="643"/>
        <v>0</v>
      </c>
      <c r="AF756" s="34">
        <f t="shared" si="644"/>
        <v>0</v>
      </c>
      <c r="AG756" s="34">
        <f t="shared" si="645"/>
        <v>0</v>
      </c>
      <c r="AH756" s="34">
        <f t="shared" si="646"/>
        <v>0</v>
      </c>
      <c r="AI756" s="27" t="s">
        <v>3645</v>
      </c>
      <c r="AJ756" s="18">
        <f t="shared" si="647"/>
        <v>0</v>
      </c>
      <c r="AK756" s="18">
        <f t="shared" si="648"/>
        <v>0</v>
      </c>
      <c r="AL756" s="18">
        <f t="shared" si="649"/>
        <v>0</v>
      </c>
      <c r="AN756" s="34">
        <v>21</v>
      </c>
      <c r="AO756" s="34">
        <f>J756*0.1066</f>
        <v>0</v>
      </c>
      <c r="AP756" s="34">
        <f>J756*(1-0.1066)</f>
        <v>0</v>
      </c>
      <c r="AQ756" s="28" t="s">
        <v>13</v>
      </c>
      <c r="AV756" s="34">
        <f t="shared" si="650"/>
        <v>0</v>
      </c>
      <c r="AW756" s="34">
        <f t="shared" si="651"/>
        <v>0</v>
      </c>
      <c r="AX756" s="34">
        <f t="shared" si="652"/>
        <v>0</v>
      </c>
      <c r="AY756" s="35" t="s">
        <v>3685</v>
      </c>
      <c r="AZ756" s="35" t="s">
        <v>3716</v>
      </c>
      <c r="BA756" s="27" t="s">
        <v>3729</v>
      </c>
      <c r="BC756" s="34">
        <f t="shared" si="653"/>
        <v>0</v>
      </c>
      <c r="BD756" s="34">
        <f t="shared" si="654"/>
        <v>0</v>
      </c>
      <c r="BE756" s="34">
        <v>0</v>
      </c>
      <c r="BF756" s="34">
        <f>756</f>
        <v>756</v>
      </c>
      <c r="BH756" s="18">
        <f t="shared" si="655"/>
        <v>0</v>
      </c>
      <c r="BI756" s="18">
        <f t="shared" si="656"/>
        <v>0</v>
      </c>
      <c r="BJ756" s="18">
        <f t="shared" si="657"/>
        <v>0</v>
      </c>
    </row>
    <row r="757" spans="1:62" x14ac:dyDescent="0.2">
      <c r="A757" s="5" t="s">
        <v>712</v>
      </c>
      <c r="B757" s="5" t="s">
        <v>1899</v>
      </c>
      <c r="C757" s="135" t="s">
        <v>3100</v>
      </c>
      <c r="D757" s="136"/>
      <c r="E757" s="136"/>
      <c r="F757" s="136"/>
      <c r="G757" s="136"/>
      <c r="H757" s="5" t="s">
        <v>3612</v>
      </c>
      <c r="I757" s="18">
        <v>1</v>
      </c>
      <c r="J757" s="18">
        <v>0</v>
      </c>
      <c r="K757" s="18">
        <f t="shared" si="638"/>
        <v>0</v>
      </c>
      <c r="L757" s="28" t="s">
        <v>3635</v>
      </c>
      <c r="Z757" s="34">
        <f t="shared" si="639"/>
        <v>0</v>
      </c>
      <c r="AB757" s="34">
        <f t="shared" si="640"/>
        <v>0</v>
      </c>
      <c r="AC757" s="34">
        <f t="shared" si="641"/>
        <v>0</v>
      </c>
      <c r="AD757" s="34">
        <f t="shared" si="642"/>
        <v>0</v>
      </c>
      <c r="AE757" s="34">
        <f t="shared" si="643"/>
        <v>0</v>
      </c>
      <c r="AF757" s="34">
        <f t="shared" si="644"/>
        <v>0</v>
      </c>
      <c r="AG757" s="34">
        <f t="shared" si="645"/>
        <v>0</v>
      </c>
      <c r="AH757" s="34">
        <f t="shared" si="646"/>
        <v>0</v>
      </c>
      <c r="AI757" s="27" t="s">
        <v>3645</v>
      </c>
      <c r="AJ757" s="18">
        <f t="shared" si="647"/>
        <v>0</v>
      </c>
      <c r="AK757" s="18">
        <f t="shared" si="648"/>
        <v>0</v>
      </c>
      <c r="AL757" s="18">
        <f t="shared" si="649"/>
        <v>0</v>
      </c>
      <c r="AN757" s="34">
        <v>21</v>
      </c>
      <c r="AO757" s="34">
        <f>J757*0.106600054975261</f>
        <v>0</v>
      </c>
      <c r="AP757" s="34">
        <f>J757*(1-0.106600054975261)</f>
        <v>0</v>
      </c>
      <c r="AQ757" s="28" t="s">
        <v>13</v>
      </c>
      <c r="AV757" s="34">
        <f t="shared" si="650"/>
        <v>0</v>
      </c>
      <c r="AW757" s="34">
        <f t="shared" si="651"/>
        <v>0</v>
      </c>
      <c r="AX757" s="34">
        <f t="shared" si="652"/>
        <v>0</v>
      </c>
      <c r="AY757" s="35" t="s">
        <v>3685</v>
      </c>
      <c r="AZ757" s="35" t="s">
        <v>3716</v>
      </c>
      <c r="BA757" s="27" t="s">
        <v>3729</v>
      </c>
      <c r="BC757" s="34">
        <f t="shared" si="653"/>
        <v>0</v>
      </c>
      <c r="BD757" s="34">
        <f t="shared" si="654"/>
        <v>0</v>
      </c>
      <c r="BE757" s="34">
        <v>0</v>
      </c>
      <c r="BF757" s="34">
        <f>757</f>
        <v>757</v>
      </c>
      <c r="BH757" s="18">
        <f t="shared" si="655"/>
        <v>0</v>
      </c>
      <c r="BI757" s="18">
        <f t="shared" si="656"/>
        <v>0</v>
      </c>
      <c r="BJ757" s="18">
        <f t="shared" si="657"/>
        <v>0</v>
      </c>
    </row>
    <row r="758" spans="1:62" x14ac:dyDescent="0.2">
      <c r="A758" s="5" t="s">
        <v>713</v>
      </c>
      <c r="B758" s="5" t="s">
        <v>1900</v>
      </c>
      <c r="C758" s="135" t="s">
        <v>3101</v>
      </c>
      <c r="D758" s="136"/>
      <c r="E758" s="136"/>
      <c r="F758" s="136"/>
      <c r="G758" s="136"/>
      <c r="H758" s="5" t="s">
        <v>3612</v>
      </c>
      <c r="I758" s="18">
        <v>1</v>
      </c>
      <c r="J758" s="18">
        <v>0</v>
      </c>
      <c r="K758" s="18">
        <f t="shared" si="638"/>
        <v>0</v>
      </c>
      <c r="L758" s="28" t="s">
        <v>3635</v>
      </c>
      <c r="Z758" s="34">
        <f t="shared" si="639"/>
        <v>0</v>
      </c>
      <c r="AB758" s="34">
        <f t="shared" si="640"/>
        <v>0</v>
      </c>
      <c r="AC758" s="34">
        <f t="shared" si="641"/>
        <v>0</v>
      </c>
      <c r="AD758" s="34">
        <f t="shared" si="642"/>
        <v>0</v>
      </c>
      <c r="AE758" s="34">
        <f t="shared" si="643"/>
        <v>0</v>
      </c>
      <c r="AF758" s="34">
        <f t="shared" si="644"/>
        <v>0</v>
      </c>
      <c r="AG758" s="34">
        <f t="shared" si="645"/>
        <v>0</v>
      </c>
      <c r="AH758" s="34">
        <f t="shared" si="646"/>
        <v>0</v>
      </c>
      <c r="AI758" s="27" t="s">
        <v>3645</v>
      </c>
      <c r="AJ758" s="18">
        <f t="shared" si="647"/>
        <v>0</v>
      </c>
      <c r="AK758" s="18">
        <f t="shared" si="648"/>
        <v>0</v>
      </c>
      <c r="AL758" s="18">
        <f t="shared" si="649"/>
        <v>0</v>
      </c>
      <c r="AN758" s="34">
        <v>21</v>
      </c>
      <c r="AO758" s="34">
        <f>J758*0.1066</f>
        <v>0</v>
      </c>
      <c r="AP758" s="34">
        <f>J758*(1-0.1066)</f>
        <v>0</v>
      </c>
      <c r="AQ758" s="28" t="s">
        <v>13</v>
      </c>
      <c r="AV758" s="34">
        <f t="shared" si="650"/>
        <v>0</v>
      </c>
      <c r="AW758" s="34">
        <f t="shared" si="651"/>
        <v>0</v>
      </c>
      <c r="AX758" s="34">
        <f t="shared" si="652"/>
        <v>0</v>
      </c>
      <c r="AY758" s="35" t="s">
        <v>3685</v>
      </c>
      <c r="AZ758" s="35" t="s">
        <v>3716</v>
      </c>
      <c r="BA758" s="27" t="s">
        <v>3729</v>
      </c>
      <c r="BC758" s="34">
        <f t="shared" si="653"/>
        <v>0</v>
      </c>
      <c r="BD758" s="34">
        <f t="shared" si="654"/>
        <v>0</v>
      </c>
      <c r="BE758" s="34">
        <v>0</v>
      </c>
      <c r="BF758" s="34">
        <f>758</f>
        <v>758</v>
      </c>
      <c r="BH758" s="18">
        <f t="shared" si="655"/>
        <v>0</v>
      </c>
      <c r="BI758" s="18">
        <f t="shared" si="656"/>
        <v>0</v>
      </c>
      <c r="BJ758" s="18">
        <f t="shared" si="657"/>
        <v>0</v>
      </c>
    </row>
    <row r="759" spans="1:62" x14ac:dyDescent="0.2">
      <c r="A759" s="5" t="s">
        <v>714</v>
      </c>
      <c r="B759" s="5" t="s">
        <v>1901</v>
      </c>
      <c r="C759" s="135" t="s">
        <v>3102</v>
      </c>
      <c r="D759" s="136"/>
      <c r="E759" s="136"/>
      <c r="F759" s="136"/>
      <c r="G759" s="136"/>
      <c r="H759" s="5" t="s">
        <v>3612</v>
      </c>
      <c r="I759" s="18">
        <v>1</v>
      </c>
      <c r="J759" s="18">
        <v>0</v>
      </c>
      <c r="K759" s="18">
        <f t="shared" si="638"/>
        <v>0</v>
      </c>
      <c r="L759" s="28" t="s">
        <v>3635</v>
      </c>
      <c r="Z759" s="34">
        <f t="shared" si="639"/>
        <v>0</v>
      </c>
      <c r="AB759" s="34">
        <f t="shared" si="640"/>
        <v>0</v>
      </c>
      <c r="AC759" s="34">
        <f t="shared" si="641"/>
        <v>0</v>
      </c>
      <c r="AD759" s="34">
        <f t="shared" si="642"/>
        <v>0</v>
      </c>
      <c r="AE759" s="34">
        <f t="shared" si="643"/>
        <v>0</v>
      </c>
      <c r="AF759" s="34">
        <f t="shared" si="644"/>
        <v>0</v>
      </c>
      <c r="AG759" s="34">
        <f t="shared" si="645"/>
        <v>0</v>
      </c>
      <c r="AH759" s="34">
        <f t="shared" si="646"/>
        <v>0</v>
      </c>
      <c r="AI759" s="27" t="s">
        <v>3645</v>
      </c>
      <c r="AJ759" s="18">
        <f t="shared" si="647"/>
        <v>0</v>
      </c>
      <c r="AK759" s="18">
        <f t="shared" si="648"/>
        <v>0</v>
      </c>
      <c r="AL759" s="18">
        <f t="shared" si="649"/>
        <v>0</v>
      </c>
      <c r="AN759" s="34">
        <v>21</v>
      </c>
      <c r="AO759" s="34">
        <f>J759*0.1066</f>
        <v>0</v>
      </c>
      <c r="AP759" s="34">
        <f>J759*(1-0.1066)</f>
        <v>0</v>
      </c>
      <c r="AQ759" s="28" t="s">
        <v>13</v>
      </c>
      <c r="AV759" s="34">
        <f t="shared" si="650"/>
        <v>0</v>
      </c>
      <c r="AW759" s="34">
        <f t="shared" si="651"/>
        <v>0</v>
      </c>
      <c r="AX759" s="34">
        <f t="shared" si="652"/>
        <v>0</v>
      </c>
      <c r="AY759" s="35" t="s">
        <v>3685</v>
      </c>
      <c r="AZ759" s="35" t="s">
        <v>3716</v>
      </c>
      <c r="BA759" s="27" t="s">
        <v>3729</v>
      </c>
      <c r="BC759" s="34">
        <f t="shared" si="653"/>
        <v>0</v>
      </c>
      <c r="BD759" s="34">
        <f t="shared" si="654"/>
        <v>0</v>
      </c>
      <c r="BE759" s="34">
        <v>0</v>
      </c>
      <c r="BF759" s="34">
        <f>759</f>
        <v>759</v>
      </c>
      <c r="BH759" s="18">
        <f t="shared" si="655"/>
        <v>0</v>
      </c>
      <c r="BI759" s="18">
        <f t="shared" si="656"/>
        <v>0</v>
      </c>
      <c r="BJ759" s="18">
        <f t="shared" si="657"/>
        <v>0</v>
      </c>
    </row>
    <row r="760" spans="1:62" x14ac:dyDescent="0.2">
      <c r="A760" s="5" t="s">
        <v>715</v>
      </c>
      <c r="B760" s="5" t="s">
        <v>1902</v>
      </c>
      <c r="C760" s="135" t="s">
        <v>3103</v>
      </c>
      <c r="D760" s="136"/>
      <c r="E760" s="136"/>
      <c r="F760" s="136"/>
      <c r="G760" s="136"/>
      <c r="H760" s="5" t="s">
        <v>3612</v>
      </c>
      <c r="I760" s="18">
        <v>1</v>
      </c>
      <c r="J760" s="18">
        <v>0</v>
      </c>
      <c r="K760" s="18">
        <f t="shared" si="638"/>
        <v>0</v>
      </c>
      <c r="L760" s="28" t="s">
        <v>3635</v>
      </c>
      <c r="Z760" s="34">
        <f t="shared" si="639"/>
        <v>0</v>
      </c>
      <c r="AB760" s="34">
        <f t="shared" si="640"/>
        <v>0</v>
      </c>
      <c r="AC760" s="34">
        <f t="shared" si="641"/>
        <v>0</v>
      </c>
      <c r="AD760" s="34">
        <f t="shared" si="642"/>
        <v>0</v>
      </c>
      <c r="AE760" s="34">
        <f t="shared" si="643"/>
        <v>0</v>
      </c>
      <c r="AF760" s="34">
        <f t="shared" si="644"/>
        <v>0</v>
      </c>
      <c r="AG760" s="34">
        <f t="shared" si="645"/>
        <v>0</v>
      </c>
      <c r="AH760" s="34">
        <f t="shared" si="646"/>
        <v>0</v>
      </c>
      <c r="AI760" s="27" t="s">
        <v>3645</v>
      </c>
      <c r="AJ760" s="18">
        <f t="shared" si="647"/>
        <v>0</v>
      </c>
      <c r="AK760" s="18">
        <f t="shared" si="648"/>
        <v>0</v>
      </c>
      <c r="AL760" s="18">
        <f t="shared" si="649"/>
        <v>0</v>
      </c>
      <c r="AN760" s="34">
        <v>21</v>
      </c>
      <c r="AO760" s="34">
        <f>J760*0.1066</f>
        <v>0</v>
      </c>
      <c r="AP760" s="34">
        <f>J760*(1-0.1066)</f>
        <v>0</v>
      </c>
      <c r="AQ760" s="28" t="s">
        <v>13</v>
      </c>
      <c r="AV760" s="34">
        <f t="shared" si="650"/>
        <v>0</v>
      </c>
      <c r="AW760" s="34">
        <f t="shared" si="651"/>
        <v>0</v>
      </c>
      <c r="AX760" s="34">
        <f t="shared" si="652"/>
        <v>0</v>
      </c>
      <c r="AY760" s="35" t="s">
        <v>3685</v>
      </c>
      <c r="AZ760" s="35" t="s">
        <v>3716</v>
      </c>
      <c r="BA760" s="27" t="s">
        <v>3729</v>
      </c>
      <c r="BC760" s="34">
        <f t="shared" si="653"/>
        <v>0</v>
      </c>
      <c r="BD760" s="34">
        <f t="shared" si="654"/>
        <v>0</v>
      </c>
      <c r="BE760" s="34">
        <v>0</v>
      </c>
      <c r="BF760" s="34">
        <f>760</f>
        <v>760</v>
      </c>
      <c r="BH760" s="18">
        <f t="shared" si="655"/>
        <v>0</v>
      </c>
      <c r="BI760" s="18">
        <f t="shared" si="656"/>
        <v>0</v>
      </c>
      <c r="BJ760" s="18">
        <f t="shared" si="657"/>
        <v>0</v>
      </c>
    </row>
    <row r="761" spans="1:62" x14ac:dyDescent="0.2">
      <c r="A761" s="5" t="s">
        <v>716</v>
      </c>
      <c r="B761" s="5" t="s">
        <v>1903</v>
      </c>
      <c r="C761" s="135" t="s">
        <v>3104</v>
      </c>
      <c r="D761" s="136"/>
      <c r="E761" s="136"/>
      <c r="F761" s="136"/>
      <c r="G761" s="136"/>
      <c r="H761" s="5" t="s">
        <v>3612</v>
      </c>
      <c r="I761" s="18">
        <v>1</v>
      </c>
      <c r="J761" s="18">
        <v>0</v>
      </c>
      <c r="K761" s="18">
        <f t="shared" si="638"/>
        <v>0</v>
      </c>
      <c r="L761" s="28" t="s">
        <v>3635</v>
      </c>
      <c r="Z761" s="34">
        <f t="shared" si="639"/>
        <v>0</v>
      </c>
      <c r="AB761" s="34">
        <f t="shared" si="640"/>
        <v>0</v>
      </c>
      <c r="AC761" s="34">
        <f t="shared" si="641"/>
        <v>0</v>
      </c>
      <c r="AD761" s="34">
        <f t="shared" si="642"/>
        <v>0</v>
      </c>
      <c r="AE761" s="34">
        <f t="shared" si="643"/>
        <v>0</v>
      </c>
      <c r="AF761" s="34">
        <f t="shared" si="644"/>
        <v>0</v>
      </c>
      <c r="AG761" s="34">
        <f t="shared" si="645"/>
        <v>0</v>
      </c>
      <c r="AH761" s="34">
        <f t="shared" si="646"/>
        <v>0</v>
      </c>
      <c r="AI761" s="27" t="s">
        <v>3645</v>
      </c>
      <c r="AJ761" s="18">
        <f t="shared" si="647"/>
        <v>0</v>
      </c>
      <c r="AK761" s="18">
        <f t="shared" si="648"/>
        <v>0</v>
      </c>
      <c r="AL761" s="18">
        <f t="shared" si="649"/>
        <v>0</v>
      </c>
      <c r="AN761" s="34">
        <v>21</v>
      </c>
      <c r="AO761" s="34">
        <f>J761*0.1066</f>
        <v>0</v>
      </c>
      <c r="AP761" s="34">
        <f>J761*(1-0.1066)</f>
        <v>0</v>
      </c>
      <c r="AQ761" s="28" t="s">
        <v>13</v>
      </c>
      <c r="AV761" s="34">
        <f t="shared" si="650"/>
        <v>0</v>
      </c>
      <c r="AW761" s="34">
        <f t="shared" si="651"/>
        <v>0</v>
      </c>
      <c r="AX761" s="34">
        <f t="shared" si="652"/>
        <v>0</v>
      </c>
      <c r="AY761" s="35" t="s">
        <v>3685</v>
      </c>
      <c r="AZ761" s="35" t="s">
        <v>3716</v>
      </c>
      <c r="BA761" s="27" t="s">
        <v>3729</v>
      </c>
      <c r="BC761" s="34">
        <f t="shared" si="653"/>
        <v>0</v>
      </c>
      <c r="BD761" s="34">
        <f t="shared" si="654"/>
        <v>0</v>
      </c>
      <c r="BE761" s="34">
        <v>0</v>
      </c>
      <c r="BF761" s="34">
        <f>761</f>
        <v>761</v>
      </c>
      <c r="BH761" s="18">
        <f t="shared" si="655"/>
        <v>0</v>
      </c>
      <c r="BI761" s="18">
        <f t="shared" si="656"/>
        <v>0</v>
      </c>
      <c r="BJ761" s="18">
        <f t="shared" si="657"/>
        <v>0</v>
      </c>
    </row>
    <row r="762" spans="1:62" x14ac:dyDescent="0.2">
      <c r="A762" s="5" t="s">
        <v>717</v>
      </c>
      <c r="B762" s="5" t="s">
        <v>1904</v>
      </c>
      <c r="C762" s="135" t="s">
        <v>3105</v>
      </c>
      <c r="D762" s="136"/>
      <c r="E762" s="136"/>
      <c r="F762" s="136"/>
      <c r="G762" s="136"/>
      <c r="H762" s="5" t="s">
        <v>3612</v>
      </c>
      <c r="I762" s="18">
        <v>2</v>
      </c>
      <c r="J762" s="18">
        <v>0</v>
      </c>
      <c r="K762" s="18">
        <f t="shared" si="638"/>
        <v>0</v>
      </c>
      <c r="L762" s="28" t="s">
        <v>3635</v>
      </c>
      <c r="Z762" s="34">
        <f t="shared" si="639"/>
        <v>0</v>
      </c>
      <c r="AB762" s="34">
        <f t="shared" si="640"/>
        <v>0</v>
      </c>
      <c r="AC762" s="34">
        <f t="shared" si="641"/>
        <v>0</v>
      </c>
      <c r="AD762" s="34">
        <f t="shared" si="642"/>
        <v>0</v>
      </c>
      <c r="AE762" s="34">
        <f t="shared" si="643"/>
        <v>0</v>
      </c>
      <c r="AF762" s="34">
        <f t="shared" si="644"/>
        <v>0</v>
      </c>
      <c r="AG762" s="34">
        <f t="shared" si="645"/>
        <v>0</v>
      </c>
      <c r="AH762" s="34">
        <f t="shared" si="646"/>
        <v>0</v>
      </c>
      <c r="AI762" s="27" t="s">
        <v>3645</v>
      </c>
      <c r="AJ762" s="18">
        <f t="shared" si="647"/>
        <v>0</v>
      </c>
      <c r="AK762" s="18">
        <f t="shared" si="648"/>
        <v>0</v>
      </c>
      <c r="AL762" s="18">
        <f t="shared" si="649"/>
        <v>0</v>
      </c>
      <c r="AN762" s="34">
        <v>21</v>
      </c>
      <c r="AO762" s="34">
        <f>J762*0.1066</f>
        <v>0</v>
      </c>
      <c r="AP762" s="34">
        <f>J762*(1-0.1066)</f>
        <v>0</v>
      </c>
      <c r="AQ762" s="28" t="s">
        <v>13</v>
      </c>
      <c r="AV762" s="34">
        <f t="shared" si="650"/>
        <v>0</v>
      </c>
      <c r="AW762" s="34">
        <f t="shared" si="651"/>
        <v>0</v>
      </c>
      <c r="AX762" s="34">
        <f t="shared" si="652"/>
        <v>0</v>
      </c>
      <c r="AY762" s="35" t="s">
        <v>3685</v>
      </c>
      <c r="AZ762" s="35" t="s">
        <v>3716</v>
      </c>
      <c r="BA762" s="27" t="s">
        <v>3729</v>
      </c>
      <c r="BC762" s="34">
        <f t="shared" si="653"/>
        <v>0</v>
      </c>
      <c r="BD762" s="34">
        <f t="shared" si="654"/>
        <v>0</v>
      </c>
      <c r="BE762" s="34">
        <v>0</v>
      </c>
      <c r="BF762" s="34">
        <f>762</f>
        <v>762</v>
      </c>
      <c r="BH762" s="18">
        <f t="shared" si="655"/>
        <v>0</v>
      </c>
      <c r="BI762" s="18">
        <f t="shared" si="656"/>
        <v>0</v>
      </c>
      <c r="BJ762" s="18">
        <f t="shared" si="657"/>
        <v>0</v>
      </c>
    </row>
    <row r="763" spans="1:62" x14ac:dyDescent="0.2">
      <c r="A763" s="5" t="s">
        <v>718</v>
      </c>
      <c r="B763" s="5" t="s">
        <v>1905</v>
      </c>
      <c r="C763" s="135" t="s">
        <v>3106</v>
      </c>
      <c r="D763" s="136"/>
      <c r="E763" s="136"/>
      <c r="F763" s="136"/>
      <c r="G763" s="136"/>
      <c r="H763" s="5" t="s">
        <v>3612</v>
      </c>
      <c r="I763" s="18">
        <v>1</v>
      </c>
      <c r="J763" s="18">
        <v>0</v>
      </c>
      <c r="K763" s="18">
        <f t="shared" si="638"/>
        <v>0</v>
      </c>
      <c r="L763" s="28" t="s">
        <v>3635</v>
      </c>
      <c r="Z763" s="34">
        <f t="shared" si="639"/>
        <v>0</v>
      </c>
      <c r="AB763" s="34">
        <f t="shared" si="640"/>
        <v>0</v>
      </c>
      <c r="AC763" s="34">
        <f t="shared" si="641"/>
        <v>0</v>
      </c>
      <c r="AD763" s="34">
        <f t="shared" si="642"/>
        <v>0</v>
      </c>
      <c r="AE763" s="34">
        <f t="shared" si="643"/>
        <v>0</v>
      </c>
      <c r="AF763" s="34">
        <f t="shared" si="644"/>
        <v>0</v>
      </c>
      <c r="AG763" s="34">
        <f t="shared" si="645"/>
        <v>0</v>
      </c>
      <c r="AH763" s="34">
        <f t="shared" si="646"/>
        <v>0</v>
      </c>
      <c r="AI763" s="27" t="s">
        <v>3645</v>
      </c>
      <c r="AJ763" s="18">
        <f t="shared" si="647"/>
        <v>0</v>
      </c>
      <c r="AK763" s="18">
        <f t="shared" si="648"/>
        <v>0</v>
      </c>
      <c r="AL763" s="18">
        <f t="shared" si="649"/>
        <v>0</v>
      </c>
      <c r="AN763" s="34">
        <v>21</v>
      </c>
      <c r="AO763" s="34">
        <f>J763*0.106599940950694</f>
        <v>0</v>
      </c>
      <c r="AP763" s="34">
        <f>J763*(1-0.106599940950694)</f>
        <v>0</v>
      </c>
      <c r="AQ763" s="28" t="s">
        <v>13</v>
      </c>
      <c r="AV763" s="34">
        <f t="shared" si="650"/>
        <v>0</v>
      </c>
      <c r="AW763" s="34">
        <f t="shared" si="651"/>
        <v>0</v>
      </c>
      <c r="AX763" s="34">
        <f t="shared" si="652"/>
        <v>0</v>
      </c>
      <c r="AY763" s="35" t="s">
        <v>3685</v>
      </c>
      <c r="AZ763" s="35" t="s">
        <v>3716</v>
      </c>
      <c r="BA763" s="27" t="s">
        <v>3729</v>
      </c>
      <c r="BC763" s="34">
        <f t="shared" si="653"/>
        <v>0</v>
      </c>
      <c r="BD763" s="34">
        <f t="shared" si="654"/>
        <v>0</v>
      </c>
      <c r="BE763" s="34">
        <v>0</v>
      </c>
      <c r="BF763" s="34">
        <f>763</f>
        <v>763</v>
      </c>
      <c r="BH763" s="18">
        <f t="shared" si="655"/>
        <v>0</v>
      </c>
      <c r="BI763" s="18">
        <f t="shared" si="656"/>
        <v>0</v>
      </c>
      <c r="BJ763" s="18">
        <f t="shared" si="657"/>
        <v>0</v>
      </c>
    </row>
    <row r="764" spans="1:62" x14ac:dyDescent="0.2">
      <c r="A764" s="5" t="s">
        <v>719</v>
      </c>
      <c r="B764" s="5" t="s">
        <v>1906</v>
      </c>
      <c r="C764" s="135" t="s">
        <v>3107</v>
      </c>
      <c r="D764" s="136"/>
      <c r="E764" s="136"/>
      <c r="F764" s="136"/>
      <c r="G764" s="136"/>
      <c r="H764" s="5" t="s">
        <v>3612</v>
      </c>
      <c r="I764" s="18">
        <v>1</v>
      </c>
      <c r="J764" s="18">
        <v>0</v>
      </c>
      <c r="K764" s="18">
        <f t="shared" si="638"/>
        <v>0</v>
      </c>
      <c r="L764" s="28" t="s">
        <v>3635</v>
      </c>
      <c r="Z764" s="34">
        <f t="shared" si="639"/>
        <v>0</v>
      </c>
      <c r="AB764" s="34">
        <f t="shared" si="640"/>
        <v>0</v>
      </c>
      <c r="AC764" s="34">
        <f t="shared" si="641"/>
        <v>0</v>
      </c>
      <c r="AD764" s="34">
        <f t="shared" si="642"/>
        <v>0</v>
      </c>
      <c r="AE764" s="34">
        <f t="shared" si="643"/>
        <v>0</v>
      </c>
      <c r="AF764" s="34">
        <f t="shared" si="644"/>
        <v>0</v>
      </c>
      <c r="AG764" s="34">
        <f t="shared" si="645"/>
        <v>0</v>
      </c>
      <c r="AH764" s="34">
        <f t="shared" si="646"/>
        <v>0</v>
      </c>
      <c r="AI764" s="27" t="s">
        <v>3645</v>
      </c>
      <c r="AJ764" s="18">
        <f t="shared" si="647"/>
        <v>0</v>
      </c>
      <c r="AK764" s="18">
        <f t="shared" si="648"/>
        <v>0</v>
      </c>
      <c r="AL764" s="18">
        <f t="shared" si="649"/>
        <v>0</v>
      </c>
      <c r="AN764" s="34">
        <v>21</v>
      </c>
      <c r="AO764" s="34">
        <f>J764*0.106599953563966</f>
        <v>0</v>
      </c>
      <c r="AP764" s="34">
        <f>J764*(1-0.106599953563966)</f>
        <v>0</v>
      </c>
      <c r="AQ764" s="28" t="s">
        <v>13</v>
      </c>
      <c r="AV764" s="34">
        <f t="shared" si="650"/>
        <v>0</v>
      </c>
      <c r="AW764" s="34">
        <f t="shared" si="651"/>
        <v>0</v>
      </c>
      <c r="AX764" s="34">
        <f t="shared" si="652"/>
        <v>0</v>
      </c>
      <c r="AY764" s="35" t="s">
        <v>3685</v>
      </c>
      <c r="AZ764" s="35" t="s">
        <v>3716</v>
      </c>
      <c r="BA764" s="27" t="s">
        <v>3729</v>
      </c>
      <c r="BC764" s="34">
        <f t="shared" si="653"/>
        <v>0</v>
      </c>
      <c r="BD764" s="34">
        <f t="shared" si="654"/>
        <v>0</v>
      </c>
      <c r="BE764" s="34">
        <v>0</v>
      </c>
      <c r="BF764" s="34">
        <f>764</f>
        <v>764</v>
      </c>
      <c r="BH764" s="18">
        <f t="shared" si="655"/>
        <v>0</v>
      </c>
      <c r="BI764" s="18">
        <f t="shared" si="656"/>
        <v>0</v>
      </c>
      <c r="BJ764" s="18">
        <f t="shared" si="657"/>
        <v>0</v>
      </c>
    </row>
    <row r="765" spans="1:62" x14ac:dyDescent="0.2">
      <c r="A765" s="5" t="s">
        <v>720</v>
      </c>
      <c r="B765" s="5" t="s">
        <v>1907</v>
      </c>
      <c r="C765" s="135" t="s">
        <v>3108</v>
      </c>
      <c r="D765" s="136"/>
      <c r="E765" s="136"/>
      <c r="F765" s="136"/>
      <c r="G765" s="136"/>
      <c r="H765" s="5" t="s">
        <v>3612</v>
      </c>
      <c r="I765" s="18">
        <v>1</v>
      </c>
      <c r="J765" s="18">
        <v>0</v>
      </c>
      <c r="K765" s="18">
        <f t="shared" si="638"/>
        <v>0</v>
      </c>
      <c r="L765" s="28" t="s">
        <v>3635</v>
      </c>
      <c r="Z765" s="34">
        <f t="shared" si="639"/>
        <v>0</v>
      </c>
      <c r="AB765" s="34">
        <f t="shared" si="640"/>
        <v>0</v>
      </c>
      <c r="AC765" s="34">
        <f t="shared" si="641"/>
        <v>0</v>
      </c>
      <c r="AD765" s="34">
        <f t="shared" si="642"/>
        <v>0</v>
      </c>
      <c r="AE765" s="34">
        <f t="shared" si="643"/>
        <v>0</v>
      </c>
      <c r="AF765" s="34">
        <f t="shared" si="644"/>
        <v>0</v>
      </c>
      <c r="AG765" s="34">
        <f t="shared" si="645"/>
        <v>0</v>
      </c>
      <c r="AH765" s="34">
        <f t="shared" si="646"/>
        <v>0</v>
      </c>
      <c r="AI765" s="27" t="s">
        <v>3645</v>
      </c>
      <c r="AJ765" s="18">
        <f t="shared" si="647"/>
        <v>0</v>
      </c>
      <c r="AK765" s="18">
        <f t="shared" si="648"/>
        <v>0</v>
      </c>
      <c r="AL765" s="18">
        <f t="shared" si="649"/>
        <v>0</v>
      </c>
      <c r="AN765" s="34">
        <v>21</v>
      </c>
      <c r="AO765" s="34">
        <f>J765*0.106599956369983</f>
        <v>0</v>
      </c>
      <c r="AP765" s="34">
        <f>J765*(1-0.106599956369983)</f>
        <v>0</v>
      </c>
      <c r="AQ765" s="28" t="s">
        <v>13</v>
      </c>
      <c r="AV765" s="34">
        <f t="shared" si="650"/>
        <v>0</v>
      </c>
      <c r="AW765" s="34">
        <f t="shared" si="651"/>
        <v>0</v>
      </c>
      <c r="AX765" s="34">
        <f t="shared" si="652"/>
        <v>0</v>
      </c>
      <c r="AY765" s="35" t="s">
        <v>3685</v>
      </c>
      <c r="AZ765" s="35" t="s">
        <v>3716</v>
      </c>
      <c r="BA765" s="27" t="s">
        <v>3729</v>
      </c>
      <c r="BC765" s="34">
        <f t="shared" si="653"/>
        <v>0</v>
      </c>
      <c r="BD765" s="34">
        <f t="shared" si="654"/>
        <v>0</v>
      </c>
      <c r="BE765" s="34">
        <v>0</v>
      </c>
      <c r="BF765" s="34">
        <f>765</f>
        <v>765</v>
      </c>
      <c r="BH765" s="18">
        <f t="shared" si="655"/>
        <v>0</v>
      </c>
      <c r="BI765" s="18">
        <f t="shared" si="656"/>
        <v>0</v>
      </c>
      <c r="BJ765" s="18">
        <f t="shared" si="657"/>
        <v>0</v>
      </c>
    </row>
    <row r="766" spans="1:62" x14ac:dyDescent="0.2">
      <c r="A766" s="5" t="s">
        <v>721</v>
      </c>
      <c r="B766" s="5" t="s">
        <v>1908</v>
      </c>
      <c r="C766" s="135" t="s">
        <v>3109</v>
      </c>
      <c r="D766" s="136"/>
      <c r="E766" s="136"/>
      <c r="F766" s="136"/>
      <c r="G766" s="136"/>
      <c r="H766" s="5" t="s">
        <v>3612</v>
      </c>
      <c r="I766" s="18">
        <v>3</v>
      </c>
      <c r="J766" s="18">
        <v>0</v>
      </c>
      <c r="K766" s="18">
        <f t="shared" si="638"/>
        <v>0</v>
      </c>
      <c r="L766" s="28" t="s">
        <v>3635</v>
      </c>
      <c r="Z766" s="34">
        <f t="shared" si="639"/>
        <v>0</v>
      </c>
      <c r="AB766" s="34">
        <f t="shared" si="640"/>
        <v>0</v>
      </c>
      <c r="AC766" s="34">
        <f t="shared" si="641"/>
        <v>0</v>
      </c>
      <c r="AD766" s="34">
        <f t="shared" si="642"/>
        <v>0</v>
      </c>
      <c r="AE766" s="34">
        <f t="shared" si="643"/>
        <v>0</v>
      </c>
      <c r="AF766" s="34">
        <f t="shared" si="644"/>
        <v>0</v>
      </c>
      <c r="AG766" s="34">
        <f t="shared" si="645"/>
        <v>0</v>
      </c>
      <c r="AH766" s="34">
        <f t="shared" si="646"/>
        <v>0</v>
      </c>
      <c r="AI766" s="27" t="s">
        <v>3645</v>
      </c>
      <c r="AJ766" s="18">
        <f t="shared" si="647"/>
        <v>0</v>
      </c>
      <c r="AK766" s="18">
        <f t="shared" si="648"/>
        <v>0</v>
      </c>
      <c r="AL766" s="18">
        <f t="shared" si="649"/>
        <v>0</v>
      </c>
      <c r="AN766" s="34">
        <v>21</v>
      </c>
      <c r="AO766" s="34">
        <f>J766*0.10659993425378</f>
        <v>0</v>
      </c>
      <c r="AP766" s="34">
        <f>J766*(1-0.10659993425378)</f>
        <v>0</v>
      </c>
      <c r="AQ766" s="28" t="s">
        <v>13</v>
      </c>
      <c r="AV766" s="34">
        <f t="shared" si="650"/>
        <v>0</v>
      </c>
      <c r="AW766" s="34">
        <f t="shared" si="651"/>
        <v>0</v>
      </c>
      <c r="AX766" s="34">
        <f t="shared" si="652"/>
        <v>0</v>
      </c>
      <c r="AY766" s="35" t="s">
        <v>3685</v>
      </c>
      <c r="AZ766" s="35" t="s">
        <v>3716</v>
      </c>
      <c r="BA766" s="27" t="s">
        <v>3729</v>
      </c>
      <c r="BC766" s="34">
        <f t="shared" si="653"/>
        <v>0</v>
      </c>
      <c r="BD766" s="34">
        <f t="shared" si="654"/>
        <v>0</v>
      </c>
      <c r="BE766" s="34">
        <v>0</v>
      </c>
      <c r="BF766" s="34">
        <f>766</f>
        <v>766</v>
      </c>
      <c r="BH766" s="18">
        <f t="shared" si="655"/>
        <v>0</v>
      </c>
      <c r="BI766" s="18">
        <f t="shared" si="656"/>
        <v>0</v>
      </c>
      <c r="BJ766" s="18">
        <f t="shared" si="657"/>
        <v>0</v>
      </c>
    </row>
    <row r="767" spans="1:62" x14ac:dyDescent="0.2">
      <c r="A767" s="5" t="s">
        <v>722</v>
      </c>
      <c r="B767" s="5" t="s">
        <v>1909</v>
      </c>
      <c r="C767" s="135" t="s">
        <v>3110</v>
      </c>
      <c r="D767" s="136"/>
      <c r="E767" s="136"/>
      <c r="F767" s="136"/>
      <c r="G767" s="136"/>
      <c r="H767" s="5" t="s">
        <v>3612</v>
      </c>
      <c r="I767" s="18">
        <v>1</v>
      </c>
      <c r="J767" s="18">
        <v>0</v>
      </c>
      <c r="K767" s="18">
        <f t="shared" si="638"/>
        <v>0</v>
      </c>
      <c r="L767" s="28" t="s">
        <v>3635</v>
      </c>
      <c r="Z767" s="34">
        <f t="shared" si="639"/>
        <v>0</v>
      </c>
      <c r="AB767" s="34">
        <f t="shared" si="640"/>
        <v>0</v>
      </c>
      <c r="AC767" s="34">
        <f t="shared" si="641"/>
        <v>0</v>
      </c>
      <c r="AD767" s="34">
        <f t="shared" si="642"/>
        <v>0</v>
      </c>
      <c r="AE767" s="34">
        <f t="shared" si="643"/>
        <v>0</v>
      </c>
      <c r="AF767" s="34">
        <f t="shared" si="644"/>
        <v>0</v>
      </c>
      <c r="AG767" s="34">
        <f t="shared" si="645"/>
        <v>0</v>
      </c>
      <c r="AH767" s="34">
        <f t="shared" si="646"/>
        <v>0</v>
      </c>
      <c r="AI767" s="27" t="s">
        <v>3645</v>
      </c>
      <c r="AJ767" s="18">
        <f t="shared" si="647"/>
        <v>0</v>
      </c>
      <c r="AK767" s="18">
        <f t="shared" si="648"/>
        <v>0</v>
      </c>
      <c r="AL767" s="18">
        <f t="shared" si="649"/>
        <v>0</v>
      </c>
      <c r="AN767" s="34">
        <v>21</v>
      </c>
      <c r="AO767" s="34">
        <f>J767*0.106599946042819</f>
        <v>0</v>
      </c>
      <c r="AP767" s="34">
        <f>J767*(1-0.106599946042819)</f>
        <v>0</v>
      </c>
      <c r="AQ767" s="28" t="s">
        <v>13</v>
      </c>
      <c r="AV767" s="34">
        <f t="shared" si="650"/>
        <v>0</v>
      </c>
      <c r="AW767" s="34">
        <f t="shared" si="651"/>
        <v>0</v>
      </c>
      <c r="AX767" s="34">
        <f t="shared" si="652"/>
        <v>0</v>
      </c>
      <c r="AY767" s="35" t="s">
        <v>3685</v>
      </c>
      <c r="AZ767" s="35" t="s">
        <v>3716</v>
      </c>
      <c r="BA767" s="27" t="s">
        <v>3729</v>
      </c>
      <c r="BC767" s="34">
        <f t="shared" si="653"/>
        <v>0</v>
      </c>
      <c r="BD767" s="34">
        <f t="shared" si="654"/>
        <v>0</v>
      </c>
      <c r="BE767" s="34">
        <v>0</v>
      </c>
      <c r="BF767" s="34">
        <f>767</f>
        <v>767</v>
      </c>
      <c r="BH767" s="18">
        <f t="shared" si="655"/>
        <v>0</v>
      </c>
      <c r="BI767" s="18">
        <f t="shared" si="656"/>
        <v>0</v>
      </c>
      <c r="BJ767" s="18">
        <f t="shared" si="657"/>
        <v>0</v>
      </c>
    </row>
    <row r="768" spans="1:62" x14ac:dyDescent="0.2">
      <c r="A768" s="5" t="s">
        <v>723</v>
      </c>
      <c r="B768" s="5" t="s">
        <v>1910</v>
      </c>
      <c r="C768" s="135" t="s">
        <v>3111</v>
      </c>
      <c r="D768" s="136"/>
      <c r="E768" s="136"/>
      <c r="F768" s="136"/>
      <c r="G768" s="136"/>
      <c r="H768" s="5" t="s">
        <v>3612</v>
      </c>
      <c r="I768" s="18">
        <v>2</v>
      </c>
      <c r="J768" s="18">
        <v>0</v>
      </c>
      <c r="K768" s="18">
        <f t="shared" si="638"/>
        <v>0</v>
      </c>
      <c r="L768" s="28" t="s">
        <v>3635</v>
      </c>
      <c r="Z768" s="34">
        <f t="shared" si="639"/>
        <v>0</v>
      </c>
      <c r="AB768" s="34">
        <f t="shared" si="640"/>
        <v>0</v>
      </c>
      <c r="AC768" s="34">
        <f t="shared" si="641"/>
        <v>0</v>
      </c>
      <c r="AD768" s="34">
        <f t="shared" si="642"/>
        <v>0</v>
      </c>
      <c r="AE768" s="34">
        <f t="shared" si="643"/>
        <v>0</v>
      </c>
      <c r="AF768" s="34">
        <f t="shared" si="644"/>
        <v>0</v>
      </c>
      <c r="AG768" s="34">
        <f t="shared" si="645"/>
        <v>0</v>
      </c>
      <c r="AH768" s="34">
        <f t="shared" si="646"/>
        <v>0</v>
      </c>
      <c r="AI768" s="27" t="s">
        <v>3645</v>
      </c>
      <c r="AJ768" s="18">
        <f t="shared" si="647"/>
        <v>0</v>
      </c>
      <c r="AK768" s="18">
        <f t="shared" si="648"/>
        <v>0</v>
      </c>
      <c r="AL768" s="18">
        <f t="shared" si="649"/>
        <v>0</v>
      </c>
      <c r="AN768" s="34">
        <v>21</v>
      </c>
      <c r="AO768" s="34">
        <f>J768*0.106599933927982</f>
        <v>0</v>
      </c>
      <c r="AP768" s="34">
        <f>J768*(1-0.106599933927982)</f>
        <v>0</v>
      </c>
      <c r="AQ768" s="28" t="s">
        <v>13</v>
      </c>
      <c r="AV768" s="34">
        <f t="shared" si="650"/>
        <v>0</v>
      </c>
      <c r="AW768" s="34">
        <f t="shared" si="651"/>
        <v>0</v>
      </c>
      <c r="AX768" s="34">
        <f t="shared" si="652"/>
        <v>0</v>
      </c>
      <c r="AY768" s="35" t="s">
        <v>3685</v>
      </c>
      <c r="AZ768" s="35" t="s">
        <v>3716</v>
      </c>
      <c r="BA768" s="27" t="s">
        <v>3729</v>
      </c>
      <c r="BC768" s="34">
        <f t="shared" si="653"/>
        <v>0</v>
      </c>
      <c r="BD768" s="34">
        <f t="shared" si="654"/>
        <v>0</v>
      </c>
      <c r="BE768" s="34">
        <v>0</v>
      </c>
      <c r="BF768" s="34">
        <f>768</f>
        <v>768</v>
      </c>
      <c r="BH768" s="18">
        <f t="shared" si="655"/>
        <v>0</v>
      </c>
      <c r="BI768" s="18">
        <f t="shared" si="656"/>
        <v>0</v>
      </c>
      <c r="BJ768" s="18">
        <f t="shared" si="657"/>
        <v>0</v>
      </c>
    </row>
    <row r="769" spans="1:62" x14ac:dyDescent="0.2">
      <c r="A769" s="5" t="s">
        <v>724</v>
      </c>
      <c r="B769" s="5" t="s">
        <v>1911</v>
      </c>
      <c r="C769" s="135" t="s">
        <v>3112</v>
      </c>
      <c r="D769" s="136"/>
      <c r="E769" s="136"/>
      <c r="F769" s="136"/>
      <c r="G769" s="136"/>
      <c r="H769" s="5" t="s">
        <v>3612</v>
      </c>
      <c r="I769" s="18">
        <v>4</v>
      </c>
      <c r="J769" s="18">
        <v>0</v>
      </c>
      <c r="K769" s="18">
        <f t="shared" si="638"/>
        <v>0</v>
      </c>
      <c r="L769" s="28" t="s">
        <v>3635</v>
      </c>
      <c r="Z769" s="34">
        <f t="shared" si="639"/>
        <v>0</v>
      </c>
      <c r="AB769" s="34">
        <f t="shared" si="640"/>
        <v>0</v>
      </c>
      <c r="AC769" s="34">
        <f t="shared" si="641"/>
        <v>0</v>
      </c>
      <c r="AD769" s="34">
        <f t="shared" si="642"/>
        <v>0</v>
      </c>
      <c r="AE769" s="34">
        <f t="shared" si="643"/>
        <v>0</v>
      </c>
      <c r="AF769" s="34">
        <f t="shared" si="644"/>
        <v>0</v>
      </c>
      <c r="AG769" s="34">
        <f t="shared" si="645"/>
        <v>0</v>
      </c>
      <c r="AH769" s="34">
        <f t="shared" si="646"/>
        <v>0</v>
      </c>
      <c r="AI769" s="27" t="s">
        <v>3645</v>
      </c>
      <c r="AJ769" s="18">
        <f t="shared" si="647"/>
        <v>0</v>
      </c>
      <c r="AK769" s="18">
        <f t="shared" si="648"/>
        <v>0</v>
      </c>
      <c r="AL769" s="18">
        <f t="shared" si="649"/>
        <v>0</v>
      </c>
      <c r="AN769" s="34">
        <v>21</v>
      </c>
      <c r="AO769" s="34">
        <f>J769*0.1066</f>
        <v>0</v>
      </c>
      <c r="AP769" s="34">
        <f>J769*(1-0.1066)</f>
        <v>0</v>
      </c>
      <c r="AQ769" s="28" t="s">
        <v>13</v>
      </c>
      <c r="AV769" s="34">
        <f t="shared" si="650"/>
        <v>0</v>
      </c>
      <c r="AW769" s="34">
        <f t="shared" si="651"/>
        <v>0</v>
      </c>
      <c r="AX769" s="34">
        <f t="shared" si="652"/>
        <v>0</v>
      </c>
      <c r="AY769" s="35" t="s">
        <v>3685</v>
      </c>
      <c r="AZ769" s="35" t="s">
        <v>3716</v>
      </c>
      <c r="BA769" s="27" t="s">
        <v>3729</v>
      </c>
      <c r="BC769" s="34">
        <f t="shared" si="653"/>
        <v>0</v>
      </c>
      <c r="BD769" s="34">
        <f t="shared" si="654"/>
        <v>0</v>
      </c>
      <c r="BE769" s="34">
        <v>0</v>
      </c>
      <c r="BF769" s="34">
        <f>769</f>
        <v>769</v>
      </c>
      <c r="BH769" s="18">
        <f t="shared" si="655"/>
        <v>0</v>
      </c>
      <c r="BI769" s="18">
        <f t="shared" si="656"/>
        <v>0</v>
      </c>
      <c r="BJ769" s="18">
        <f t="shared" si="657"/>
        <v>0</v>
      </c>
    </row>
    <row r="770" spans="1:62" x14ac:dyDescent="0.2">
      <c r="A770" s="5" t="s">
        <v>725</v>
      </c>
      <c r="B770" s="5" t="s">
        <v>1912</v>
      </c>
      <c r="C770" s="135" t="s">
        <v>3113</v>
      </c>
      <c r="D770" s="136"/>
      <c r="E770" s="136"/>
      <c r="F770" s="136"/>
      <c r="G770" s="136"/>
      <c r="H770" s="5" t="s">
        <v>3612</v>
      </c>
      <c r="I770" s="18">
        <v>1</v>
      </c>
      <c r="J770" s="18">
        <v>0</v>
      </c>
      <c r="K770" s="18">
        <f t="shared" si="638"/>
        <v>0</v>
      </c>
      <c r="L770" s="28" t="s">
        <v>3635</v>
      </c>
      <c r="Z770" s="34">
        <f t="shared" si="639"/>
        <v>0</v>
      </c>
      <c r="AB770" s="34">
        <f t="shared" si="640"/>
        <v>0</v>
      </c>
      <c r="AC770" s="34">
        <f t="shared" si="641"/>
        <v>0</v>
      </c>
      <c r="AD770" s="34">
        <f t="shared" si="642"/>
        <v>0</v>
      </c>
      <c r="AE770" s="34">
        <f t="shared" si="643"/>
        <v>0</v>
      </c>
      <c r="AF770" s="34">
        <f t="shared" si="644"/>
        <v>0</v>
      </c>
      <c r="AG770" s="34">
        <f t="shared" si="645"/>
        <v>0</v>
      </c>
      <c r="AH770" s="34">
        <f t="shared" si="646"/>
        <v>0</v>
      </c>
      <c r="AI770" s="27" t="s">
        <v>3645</v>
      </c>
      <c r="AJ770" s="18">
        <f t="shared" si="647"/>
        <v>0</v>
      </c>
      <c r="AK770" s="18">
        <f t="shared" si="648"/>
        <v>0</v>
      </c>
      <c r="AL770" s="18">
        <f t="shared" si="649"/>
        <v>0</v>
      </c>
      <c r="AN770" s="34">
        <v>21</v>
      </c>
      <c r="AO770" s="34">
        <f>J770*0.106599918765232</f>
        <v>0</v>
      </c>
      <c r="AP770" s="34">
        <f>J770*(1-0.106599918765232)</f>
        <v>0</v>
      </c>
      <c r="AQ770" s="28" t="s">
        <v>13</v>
      </c>
      <c r="AV770" s="34">
        <f t="shared" si="650"/>
        <v>0</v>
      </c>
      <c r="AW770" s="34">
        <f t="shared" si="651"/>
        <v>0</v>
      </c>
      <c r="AX770" s="34">
        <f t="shared" si="652"/>
        <v>0</v>
      </c>
      <c r="AY770" s="35" t="s">
        <v>3685</v>
      </c>
      <c r="AZ770" s="35" t="s">
        <v>3716</v>
      </c>
      <c r="BA770" s="27" t="s">
        <v>3729</v>
      </c>
      <c r="BC770" s="34">
        <f t="shared" si="653"/>
        <v>0</v>
      </c>
      <c r="BD770" s="34">
        <f t="shared" si="654"/>
        <v>0</v>
      </c>
      <c r="BE770" s="34">
        <v>0</v>
      </c>
      <c r="BF770" s="34">
        <f>770</f>
        <v>770</v>
      </c>
      <c r="BH770" s="18">
        <f t="shared" si="655"/>
        <v>0</v>
      </c>
      <c r="BI770" s="18">
        <f t="shared" si="656"/>
        <v>0</v>
      </c>
      <c r="BJ770" s="18">
        <f t="shared" si="657"/>
        <v>0</v>
      </c>
    </row>
    <row r="771" spans="1:62" x14ac:dyDescent="0.2">
      <c r="A771" s="5" t="s">
        <v>726</v>
      </c>
      <c r="B771" s="5" t="s">
        <v>1913</v>
      </c>
      <c r="C771" s="135" t="s">
        <v>3114</v>
      </c>
      <c r="D771" s="136"/>
      <c r="E771" s="136"/>
      <c r="F771" s="136"/>
      <c r="G771" s="136"/>
      <c r="H771" s="5" t="s">
        <v>3612</v>
      </c>
      <c r="I771" s="18">
        <v>1</v>
      </c>
      <c r="J771" s="18">
        <v>0</v>
      </c>
      <c r="K771" s="18">
        <f t="shared" si="638"/>
        <v>0</v>
      </c>
      <c r="L771" s="28" t="s">
        <v>3635</v>
      </c>
      <c r="Z771" s="34">
        <f t="shared" si="639"/>
        <v>0</v>
      </c>
      <c r="AB771" s="34">
        <f t="shared" si="640"/>
        <v>0</v>
      </c>
      <c r="AC771" s="34">
        <f t="shared" si="641"/>
        <v>0</v>
      </c>
      <c r="AD771" s="34">
        <f t="shared" si="642"/>
        <v>0</v>
      </c>
      <c r="AE771" s="34">
        <f t="shared" si="643"/>
        <v>0</v>
      </c>
      <c r="AF771" s="34">
        <f t="shared" si="644"/>
        <v>0</v>
      </c>
      <c r="AG771" s="34">
        <f t="shared" si="645"/>
        <v>0</v>
      </c>
      <c r="AH771" s="34">
        <f t="shared" si="646"/>
        <v>0</v>
      </c>
      <c r="AI771" s="27" t="s">
        <v>3645</v>
      </c>
      <c r="AJ771" s="18">
        <f t="shared" si="647"/>
        <v>0</v>
      </c>
      <c r="AK771" s="18">
        <f t="shared" si="648"/>
        <v>0</v>
      </c>
      <c r="AL771" s="18">
        <f t="shared" si="649"/>
        <v>0</v>
      </c>
      <c r="AN771" s="34">
        <v>21</v>
      </c>
      <c r="AO771" s="34">
        <f>J771*0.106599875</f>
        <v>0</v>
      </c>
      <c r="AP771" s="34">
        <f>J771*(1-0.106599875)</f>
        <v>0</v>
      </c>
      <c r="AQ771" s="28" t="s">
        <v>13</v>
      </c>
      <c r="AV771" s="34">
        <f t="shared" si="650"/>
        <v>0</v>
      </c>
      <c r="AW771" s="34">
        <f t="shared" si="651"/>
        <v>0</v>
      </c>
      <c r="AX771" s="34">
        <f t="shared" si="652"/>
        <v>0</v>
      </c>
      <c r="AY771" s="35" t="s">
        <v>3685</v>
      </c>
      <c r="AZ771" s="35" t="s">
        <v>3716</v>
      </c>
      <c r="BA771" s="27" t="s">
        <v>3729</v>
      </c>
      <c r="BC771" s="34">
        <f t="shared" si="653"/>
        <v>0</v>
      </c>
      <c r="BD771" s="34">
        <f t="shared" si="654"/>
        <v>0</v>
      </c>
      <c r="BE771" s="34">
        <v>0</v>
      </c>
      <c r="BF771" s="34">
        <f>771</f>
        <v>771</v>
      </c>
      <c r="BH771" s="18">
        <f t="shared" si="655"/>
        <v>0</v>
      </c>
      <c r="BI771" s="18">
        <f t="shared" si="656"/>
        <v>0</v>
      </c>
      <c r="BJ771" s="18">
        <f t="shared" si="657"/>
        <v>0</v>
      </c>
    </row>
    <row r="772" spans="1:62" x14ac:dyDescent="0.2">
      <c r="A772" s="5" t="s">
        <v>727</v>
      </c>
      <c r="B772" s="5" t="s">
        <v>1914</v>
      </c>
      <c r="C772" s="135" t="s">
        <v>3115</v>
      </c>
      <c r="D772" s="136"/>
      <c r="E772" s="136"/>
      <c r="F772" s="136"/>
      <c r="G772" s="136"/>
      <c r="H772" s="5" t="s">
        <v>3616</v>
      </c>
      <c r="I772" s="18">
        <v>9.9619</v>
      </c>
      <c r="J772" s="18">
        <v>0</v>
      </c>
      <c r="K772" s="18">
        <f t="shared" si="638"/>
        <v>0</v>
      </c>
      <c r="L772" s="28" t="s">
        <v>3635</v>
      </c>
      <c r="Z772" s="34">
        <f t="shared" si="639"/>
        <v>0</v>
      </c>
      <c r="AB772" s="34">
        <f t="shared" si="640"/>
        <v>0</v>
      </c>
      <c r="AC772" s="34">
        <f t="shared" si="641"/>
        <v>0</v>
      </c>
      <c r="AD772" s="34">
        <f t="shared" si="642"/>
        <v>0</v>
      </c>
      <c r="AE772" s="34">
        <f t="shared" si="643"/>
        <v>0</v>
      </c>
      <c r="AF772" s="34">
        <f t="shared" si="644"/>
        <v>0</v>
      </c>
      <c r="AG772" s="34">
        <f t="shared" si="645"/>
        <v>0</v>
      </c>
      <c r="AH772" s="34">
        <f t="shared" si="646"/>
        <v>0</v>
      </c>
      <c r="AI772" s="27" t="s">
        <v>3645</v>
      </c>
      <c r="AJ772" s="18">
        <f t="shared" si="647"/>
        <v>0</v>
      </c>
      <c r="AK772" s="18">
        <f t="shared" si="648"/>
        <v>0</v>
      </c>
      <c r="AL772" s="18">
        <f t="shared" si="649"/>
        <v>0</v>
      </c>
      <c r="AN772" s="34">
        <v>21</v>
      </c>
      <c r="AO772" s="34">
        <f>J772*0</f>
        <v>0</v>
      </c>
      <c r="AP772" s="34">
        <f>J772*(1-0)</f>
        <v>0</v>
      </c>
      <c r="AQ772" s="28" t="s">
        <v>11</v>
      </c>
      <c r="AV772" s="34">
        <f t="shared" si="650"/>
        <v>0</v>
      </c>
      <c r="AW772" s="34">
        <f t="shared" si="651"/>
        <v>0</v>
      </c>
      <c r="AX772" s="34">
        <f t="shared" si="652"/>
        <v>0</v>
      </c>
      <c r="AY772" s="35" t="s">
        <v>3685</v>
      </c>
      <c r="AZ772" s="35" t="s">
        <v>3716</v>
      </c>
      <c r="BA772" s="27" t="s">
        <v>3729</v>
      </c>
      <c r="BC772" s="34">
        <f t="shared" si="653"/>
        <v>0</v>
      </c>
      <c r="BD772" s="34">
        <f t="shared" si="654"/>
        <v>0</v>
      </c>
      <c r="BE772" s="34">
        <v>0</v>
      </c>
      <c r="BF772" s="34">
        <f>772</f>
        <v>772</v>
      </c>
      <c r="BH772" s="18">
        <f t="shared" si="655"/>
        <v>0</v>
      </c>
      <c r="BI772" s="18">
        <f t="shared" si="656"/>
        <v>0</v>
      </c>
      <c r="BJ772" s="18">
        <f t="shared" si="657"/>
        <v>0</v>
      </c>
    </row>
    <row r="773" spans="1:62" x14ac:dyDescent="0.2">
      <c r="A773" s="4"/>
      <c r="B773" s="14" t="s">
        <v>777</v>
      </c>
      <c r="C773" s="133" t="s">
        <v>3116</v>
      </c>
      <c r="D773" s="134"/>
      <c r="E773" s="134"/>
      <c r="F773" s="134"/>
      <c r="G773" s="134"/>
      <c r="H773" s="4" t="s">
        <v>6</v>
      </c>
      <c r="I773" s="4" t="s">
        <v>6</v>
      </c>
      <c r="J773" s="4" t="s">
        <v>6</v>
      </c>
      <c r="K773" s="37">
        <f>SUM(K774:K785)</f>
        <v>0</v>
      </c>
      <c r="L773" s="27"/>
      <c r="AI773" s="27" t="s">
        <v>3645</v>
      </c>
      <c r="AS773" s="37">
        <f>SUM(AJ774:AJ785)</f>
        <v>0</v>
      </c>
      <c r="AT773" s="37">
        <f>SUM(AK774:AK785)</f>
        <v>0</v>
      </c>
      <c r="AU773" s="37">
        <f>SUM(AL774:AL785)</f>
        <v>0</v>
      </c>
    </row>
    <row r="774" spans="1:62" x14ac:dyDescent="0.2">
      <c r="A774" s="5" t="s">
        <v>728</v>
      </c>
      <c r="B774" s="5" t="s">
        <v>1915</v>
      </c>
      <c r="C774" s="135" t="s">
        <v>3117</v>
      </c>
      <c r="D774" s="136"/>
      <c r="E774" s="136"/>
      <c r="F774" s="136"/>
      <c r="G774" s="136"/>
      <c r="H774" s="5" t="s">
        <v>3615</v>
      </c>
      <c r="I774" s="18">
        <v>137.35</v>
      </c>
      <c r="J774" s="18">
        <v>0</v>
      </c>
      <c r="K774" s="18">
        <f t="shared" ref="K774:K785" si="658">I774*J774</f>
        <v>0</v>
      </c>
      <c r="L774" s="28" t="s">
        <v>3635</v>
      </c>
      <c r="Z774" s="34">
        <f t="shared" ref="Z774:Z785" si="659">IF(AQ774="5",BJ774,0)</f>
        <v>0</v>
      </c>
      <c r="AB774" s="34">
        <f t="shared" ref="AB774:AB785" si="660">IF(AQ774="1",BH774,0)</f>
        <v>0</v>
      </c>
      <c r="AC774" s="34">
        <f t="shared" ref="AC774:AC785" si="661">IF(AQ774="1",BI774,0)</f>
        <v>0</v>
      </c>
      <c r="AD774" s="34">
        <f t="shared" ref="AD774:AD785" si="662">IF(AQ774="7",BH774,0)</f>
        <v>0</v>
      </c>
      <c r="AE774" s="34">
        <f t="shared" ref="AE774:AE785" si="663">IF(AQ774="7",BI774,0)</f>
        <v>0</v>
      </c>
      <c r="AF774" s="34">
        <f t="shared" ref="AF774:AF785" si="664">IF(AQ774="2",BH774,0)</f>
        <v>0</v>
      </c>
      <c r="AG774" s="34">
        <f t="shared" ref="AG774:AG785" si="665">IF(AQ774="2",BI774,0)</f>
        <v>0</v>
      </c>
      <c r="AH774" s="34">
        <f t="shared" ref="AH774:AH785" si="666">IF(AQ774="0",BJ774,0)</f>
        <v>0</v>
      </c>
      <c r="AI774" s="27" t="s">
        <v>3645</v>
      </c>
      <c r="AJ774" s="18">
        <f t="shared" ref="AJ774:AJ785" si="667">IF(AN774=0,K774,0)</f>
        <v>0</v>
      </c>
      <c r="AK774" s="18">
        <f t="shared" ref="AK774:AK785" si="668">IF(AN774=15,K774,0)</f>
        <v>0</v>
      </c>
      <c r="AL774" s="18">
        <f t="shared" ref="AL774:AL785" si="669">IF(AN774=21,K774,0)</f>
        <v>0</v>
      </c>
      <c r="AN774" s="34">
        <v>21</v>
      </c>
      <c r="AO774" s="34">
        <f>J774*0</f>
        <v>0</v>
      </c>
      <c r="AP774" s="34">
        <f>J774*(1-0)</f>
        <v>0</v>
      </c>
      <c r="AQ774" s="28" t="s">
        <v>13</v>
      </c>
      <c r="AV774" s="34">
        <f t="shared" ref="AV774:AV785" si="670">AW774+AX774</f>
        <v>0</v>
      </c>
      <c r="AW774" s="34">
        <f t="shared" ref="AW774:AW785" si="671">I774*AO774</f>
        <v>0</v>
      </c>
      <c r="AX774" s="34">
        <f t="shared" ref="AX774:AX785" si="672">I774*AP774</f>
        <v>0</v>
      </c>
      <c r="AY774" s="35" t="s">
        <v>3686</v>
      </c>
      <c r="AZ774" s="35" t="s">
        <v>3717</v>
      </c>
      <c r="BA774" s="27" t="s">
        <v>3729</v>
      </c>
      <c r="BC774" s="34">
        <f t="shared" ref="BC774:BC785" si="673">AW774+AX774</f>
        <v>0</v>
      </c>
      <c r="BD774" s="34">
        <f t="shared" ref="BD774:BD785" si="674">J774/(100-BE774)*100</f>
        <v>0</v>
      </c>
      <c r="BE774" s="34">
        <v>0</v>
      </c>
      <c r="BF774" s="34">
        <f>774</f>
        <v>774</v>
      </c>
      <c r="BH774" s="18">
        <f t="shared" ref="BH774:BH785" si="675">I774*AO774</f>
        <v>0</v>
      </c>
      <c r="BI774" s="18">
        <f t="shared" ref="BI774:BI785" si="676">I774*AP774</f>
        <v>0</v>
      </c>
      <c r="BJ774" s="18">
        <f t="shared" ref="BJ774:BJ785" si="677">I774*J774</f>
        <v>0</v>
      </c>
    </row>
    <row r="775" spans="1:62" x14ac:dyDescent="0.2">
      <c r="A775" s="5" t="s">
        <v>729</v>
      </c>
      <c r="B775" s="5" t="s">
        <v>1916</v>
      </c>
      <c r="C775" s="135" t="s">
        <v>3118</v>
      </c>
      <c r="D775" s="136"/>
      <c r="E775" s="136"/>
      <c r="F775" s="136"/>
      <c r="G775" s="136"/>
      <c r="H775" s="5" t="s">
        <v>3615</v>
      </c>
      <c r="I775" s="18">
        <v>137.35</v>
      </c>
      <c r="J775" s="18">
        <v>0</v>
      </c>
      <c r="K775" s="18">
        <f t="shared" si="658"/>
        <v>0</v>
      </c>
      <c r="L775" s="28" t="s">
        <v>3635</v>
      </c>
      <c r="Z775" s="34">
        <f t="shared" si="659"/>
        <v>0</v>
      </c>
      <c r="AB775" s="34">
        <f t="shared" si="660"/>
        <v>0</v>
      </c>
      <c r="AC775" s="34">
        <f t="shared" si="661"/>
        <v>0</v>
      </c>
      <c r="AD775" s="34">
        <f t="shared" si="662"/>
        <v>0</v>
      </c>
      <c r="AE775" s="34">
        <f t="shared" si="663"/>
        <v>0</v>
      </c>
      <c r="AF775" s="34">
        <f t="shared" si="664"/>
        <v>0</v>
      </c>
      <c r="AG775" s="34">
        <f t="shared" si="665"/>
        <v>0</v>
      </c>
      <c r="AH775" s="34">
        <f t="shared" si="666"/>
        <v>0</v>
      </c>
      <c r="AI775" s="27" t="s">
        <v>3645</v>
      </c>
      <c r="AJ775" s="18">
        <f t="shared" si="667"/>
        <v>0</v>
      </c>
      <c r="AK775" s="18">
        <f t="shared" si="668"/>
        <v>0</v>
      </c>
      <c r="AL775" s="18">
        <f t="shared" si="669"/>
        <v>0</v>
      </c>
      <c r="AN775" s="34">
        <v>21</v>
      </c>
      <c r="AO775" s="34">
        <f>J775*0.466666301328682</f>
        <v>0</v>
      </c>
      <c r="AP775" s="34">
        <f>J775*(1-0.466666301328682)</f>
        <v>0</v>
      </c>
      <c r="AQ775" s="28" t="s">
        <v>13</v>
      </c>
      <c r="AV775" s="34">
        <f t="shared" si="670"/>
        <v>0</v>
      </c>
      <c r="AW775" s="34">
        <f t="shared" si="671"/>
        <v>0</v>
      </c>
      <c r="AX775" s="34">
        <f t="shared" si="672"/>
        <v>0</v>
      </c>
      <c r="AY775" s="35" t="s">
        <v>3686</v>
      </c>
      <c r="AZ775" s="35" t="s">
        <v>3717</v>
      </c>
      <c r="BA775" s="27" t="s">
        <v>3729</v>
      </c>
      <c r="BC775" s="34">
        <f t="shared" si="673"/>
        <v>0</v>
      </c>
      <c r="BD775" s="34">
        <f t="shared" si="674"/>
        <v>0</v>
      </c>
      <c r="BE775" s="34">
        <v>0</v>
      </c>
      <c r="BF775" s="34">
        <f>775</f>
        <v>775</v>
      </c>
      <c r="BH775" s="18">
        <f t="shared" si="675"/>
        <v>0</v>
      </c>
      <c r="BI775" s="18">
        <f t="shared" si="676"/>
        <v>0</v>
      </c>
      <c r="BJ775" s="18">
        <f t="shared" si="677"/>
        <v>0</v>
      </c>
    </row>
    <row r="776" spans="1:62" x14ac:dyDescent="0.2">
      <c r="A776" s="5" t="s">
        <v>730</v>
      </c>
      <c r="B776" s="5" t="s">
        <v>1917</v>
      </c>
      <c r="C776" s="135" t="s">
        <v>3119</v>
      </c>
      <c r="D776" s="136"/>
      <c r="E776" s="136"/>
      <c r="F776" s="136"/>
      <c r="G776" s="136"/>
      <c r="H776" s="5" t="s">
        <v>3615</v>
      </c>
      <c r="I776" s="18">
        <v>137.35</v>
      </c>
      <c r="J776" s="18">
        <v>0</v>
      </c>
      <c r="K776" s="18">
        <f t="shared" si="658"/>
        <v>0</v>
      </c>
      <c r="L776" s="28" t="s">
        <v>3635</v>
      </c>
      <c r="Z776" s="34">
        <f t="shared" si="659"/>
        <v>0</v>
      </c>
      <c r="AB776" s="34">
        <f t="shared" si="660"/>
        <v>0</v>
      </c>
      <c r="AC776" s="34">
        <f t="shared" si="661"/>
        <v>0</v>
      </c>
      <c r="AD776" s="34">
        <f t="shared" si="662"/>
        <v>0</v>
      </c>
      <c r="AE776" s="34">
        <f t="shared" si="663"/>
        <v>0</v>
      </c>
      <c r="AF776" s="34">
        <f t="shared" si="664"/>
        <v>0</v>
      </c>
      <c r="AG776" s="34">
        <f t="shared" si="665"/>
        <v>0</v>
      </c>
      <c r="AH776" s="34">
        <f t="shared" si="666"/>
        <v>0</v>
      </c>
      <c r="AI776" s="27" t="s">
        <v>3645</v>
      </c>
      <c r="AJ776" s="18">
        <f t="shared" si="667"/>
        <v>0</v>
      </c>
      <c r="AK776" s="18">
        <f t="shared" si="668"/>
        <v>0</v>
      </c>
      <c r="AL776" s="18">
        <f t="shared" si="669"/>
        <v>0</v>
      </c>
      <c r="AN776" s="34">
        <v>21</v>
      </c>
      <c r="AO776" s="34">
        <f>J776*0</f>
        <v>0</v>
      </c>
      <c r="AP776" s="34">
        <f>J776*(1-0)</f>
        <v>0</v>
      </c>
      <c r="AQ776" s="28" t="s">
        <v>13</v>
      </c>
      <c r="AV776" s="34">
        <f t="shared" si="670"/>
        <v>0</v>
      </c>
      <c r="AW776" s="34">
        <f t="shared" si="671"/>
        <v>0</v>
      </c>
      <c r="AX776" s="34">
        <f t="shared" si="672"/>
        <v>0</v>
      </c>
      <c r="AY776" s="35" t="s">
        <v>3686</v>
      </c>
      <c r="AZ776" s="35" t="s">
        <v>3717</v>
      </c>
      <c r="BA776" s="27" t="s">
        <v>3729</v>
      </c>
      <c r="BC776" s="34">
        <f t="shared" si="673"/>
        <v>0</v>
      </c>
      <c r="BD776" s="34">
        <f t="shared" si="674"/>
        <v>0</v>
      </c>
      <c r="BE776" s="34">
        <v>0</v>
      </c>
      <c r="BF776" s="34">
        <f>776</f>
        <v>776</v>
      </c>
      <c r="BH776" s="18">
        <f t="shared" si="675"/>
        <v>0</v>
      </c>
      <c r="BI776" s="18">
        <f t="shared" si="676"/>
        <v>0</v>
      </c>
      <c r="BJ776" s="18">
        <f t="shared" si="677"/>
        <v>0</v>
      </c>
    </row>
    <row r="777" spans="1:62" x14ac:dyDescent="0.2">
      <c r="A777" s="6" t="s">
        <v>731</v>
      </c>
      <c r="B777" s="6" t="s">
        <v>1918</v>
      </c>
      <c r="C777" s="137" t="s">
        <v>3120</v>
      </c>
      <c r="D777" s="138"/>
      <c r="E777" s="138"/>
      <c r="F777" s="138"/>
      <c r="G777" s="138"/>
      <c r="H777" s="6" t="s">
        <v>3615</v>
      </c>
      <c r="I777" s="19">
        <v>157.95249999999999</v>
      </c>
      <c r="J777" s="19">
        <v>0</v>
      </c>
      <c r="K777" s="19">
        <f t="shared" si="658"/>
        <v>0</v>
      </c>
      <c r="L777" s="29" t="s">
        <v>3635</v>
      </c>
      <c r="Z777" s="34">
        <f t="shared" si="659"/>
        <v>0</v>
      </c>
      <c r="AB777" s="34">
        <f t="shared" si="660"/>
        <v>0</v>
      </c>
      <c r="AC777" s="34">
        <f t="shared" si="661"/>
        <v>0</v>
      </c>
      <c r="AD777" s="34">
        <f t="shared" si="662"/>
        <v>0</v>
      </c>
      <c r="AE777" s="34">
        <f t="shared" si="663"/>
        <v>0</v>
      </c>
      <c r="AF777" s="34">
        <f t="shared" si="664"/>
        <v>0</v>
      </c>
      <c r="AG777" s="34">
        <f t="shared" si="665"/>
        <v>0</v>
      </c>
      <c r="AH777" s="34">
        <f t="shared" si="666"/>
        <v>0</v>
      </c>
      <c r="AI777" s="27" t="s">
        <v>3645</v>
      </c>
      <c r="AJ777" s="19">
        <f t="shared" si="667"/>
        <v>0</v>
      </c>
      <c r="AK777" s="19">
        <f t="shared" si="668"/>
        <v>0</v>
      </c>
      <c r="AL777" s="19">
        <f t="shared" si="669"/>
        <v>0</v>
      </c>
      <c r="AN777" s="34">
        <v>21</v>
      </c>
      <c r="AO777" s="34">
        <f>J777*1</f>
        <v>0</v>
      </c>
      <c r="AP777" s="34">
        <f>J777*(1-1)</f>
        <v>0</v>
      </c>
      <c r="AQ777" s="29" t="s">
        <v>13</v>
      </c>
      <c r="AV777" s="34">
        <f t="shared" si="670"/>
        <v>0</v>
      </c>
      <c r="AW777" s="34">
        <f t="shared" si="671"/>
        <v>0</v>
      </c>
      <c r="AX777" s="34">
        <f t="shared" si="672"/>
        <v>0</v>
      </c>
      <c r="AY777" s="35" t="s">
        <v>3686</v>
      </c>
      <c r="AZ777" s="35" t="s">
        <v>3717</v>
      </c>
      <c r="BA777" s="27" t="s">
        <v>3729</v>
      </c>
      <c r="BC777" s="34">
        <f t="shared" si="673"/>
        <v>0</v>
      </c>
      <c r="BD777" s="34">
        <f t="shared" si="674"/>
        <v>0</v>
      </c>
      <c r="BE777" s="34">
        <v>0</v>
      </c>
      <c r="BF777" s="34">
        <f>777</f>
        <v>777</v>
      </c>
      <c r="BH777" s="19">
        <f t="shared" si="675"/>
        <v>0</v>
      </c>
      <c r="BI777" s="19">
        <f t="shared" si="676"/>
        <v>0</v>
      </c>
      <c r="BJ777" s="19">
        <f t="shared" si="677"/>
        <v>0</v>
      </c>
    </row>
    <row r="778" spans="1:62" x14ac:dyDescent="0.2">
      <c r="A778" s="5" t="s">
        <v>732</v>
      </c>
      <c r="B778" s="5" t="s">
        <v>1919</v>
      </c>
      <c r="C778" s="135" t="s">
        <v>3121</v>
      </c>
      <c r="D778" s="136"/>
      <c r="E778" s="136"/>
      <c r="F778" s="136"/>
      <c r="G778" s="136"/>
      <c r="H778" s="5" t="s">
        <v>3615</v>
      </c>
      <c r="I778" s="18">
        <v>9.74</v>
      </c>
      <c r="J778" s="18">
        <v>0</v>
      </c>
      <c r="K778" s="18">
        <f t="shared" si="658"/>
        <v>0</v>
      </c>
      <c r="L778" s="28" t="s">
        <v>3635</v>
      </c>
      <c r="Z778" s="34">
        <f t="shared" si="659"/>
        <v>0</v>
      </c>
      <c r="AB778" s="34">
        <f t="shared" si="660"/>
        <v>0</v>
      </c>
      <c r="AC778" s="34">
        <f t="shared" si="661"/>
        <v>0</v>
      </c>
      <c r="AD778" s="34">
        <f t="shared" si="662"/>
        <v>0</v>
      </c>
      <c r="AE778" s="34">
        <f t="shared" si="663"/>
        <v>0</v>
      </c>
      <c r="AF778" s="34">
        <f t="shared" si="664"/>
        <v>0</v>
      </c>
      <c r="AG778" s="34">
        <f t="shared" si="665"/>
        <v>0</v>
      </c>
      <c r="AH778" s="34">
        <f t="shared" si="666"/>
        <v>0</v>
      </c>
      <c r="AI778" s="27" t="s">
        <v>3645</v>
      </c>
      <c r="AJ778" s="18">
        <f t="shared" si="667"/>
        <v>0</v>
      </c>
      <c r="AK778" s="18">
        <f t="shared" si="668"/>
        <v>0</v>
      </c>
      <c r="AL778" s="18">
        <f t="shared" si="669"/>
        <v>0</v>
      </c>
      <c r="AN778" s="34">
        <v>21</v>
      </c>
      <c r="AO778" s="34">
        <f>J778*0.22764745308311</f>
        <v>0</v>
      </c>
      <c r="AP778" s="34">
        <f>J778*(1-0.22764745308311)</f>
        <v>0</v>
      </c>
      <c r="AQ778" s="28" t="s">
        <v>13</v>
      </c>
      <c r="AV778" s="34">
        <f t="shared" si="670"/>
        <v>0</v>
      </c>
      <c r="AW778" s="34">
        <f t="shared" si="671"/>
        <v>0</v>
      </c>
      <c r="AX778" s="34">
        <f t="shared" si="672"/>
        <v>0</v>
      </c>
      <c r="AY778" s="35" t="s">
        <v>3686</v>
      </c>
      <c r="AZ778" s="35" t="s">
        <v>3717</v>
      </c>
      <c r="BA778" s="27" t="s">
        <v>3729</v>
      </c>
      <c r="BC778" s="34">
        <f t="shared" si="673"/>
        <v>0</v>
      </c>
      <c r="BD778" s="34">
        <f t="shared" si="674"/>
        <v>0</v>
      </c>
      <c r="BE778" s="34">
        <v>0</v>
      </c>
      <c r="BF778" s="34">
        <f>778</f>
        <v>778</v>
      </c>
      <c r="BH778" s="18">
        <f t="shared" si="675"/>
        <v>0</v>
      </c>
      <c r="BI778" s="18">
        <f t="shared" si="676"/>
        <v>0</v>
      </c>
      <c r="BJ778" s="18">
        <f t="shared" si="677"/>
        <v>0</v>
      </c>
    </row>
    <row r="779" spans="1:62" x14ac:dyDescent="0.2">
      <c r="A779" s="5" t="s">
        <v>733</v>
      </c>
      <c r="B779" s="5" t="s">
        <v>1920</v>
      </c>
      <c r="C779" s="135" t="s">
        <v>3122</v>
      </c>
      <c r="D779" s="136"/>
      <c r="E779" s="136"/>
      <c r="F779" s="136"/>
      <c r="G779" s="136"/>
      <c r="H779" s="5" t="s">
        <v>3614</v>
      </c>
      <c r="I779" s="18">
        <v>40.75</v>
      </c>
      <c r="J779" s="18">
        <v>0</v>
      </c>
      <c r="K779" s="18">
        <f t="shared" si="658"/>
        <v>0</v>
      </c>
      <c r="L779" s="28" t="s">
        <v>3635</v>
      </c>
      <c r="Z779" s="34">
        <f t="shared" si="659"/>
        <v>0</v>
      </c>
      <c r="AB779" s="34">
        <f t="shared" si="660"/>
        <v>0</v>
      </c>
      <c r="AC779" s="34">
        <f t="shared" si="661"/>
        <v>0</v>
      </c>
      <c r="AD779" s="34">
        <f t="shared" si="662"/>
        <v>0</v>
      </c>
      <c r="AE779" s="34">
        <f t="shared" si="663"/>
        <v>0</v>
      </c>
      <c r="AF779" s="34">
        <f t="shared" si="664"/>
        <v>0</v>
      </c>
      <c r="AG779" s="34">
        <f t="shared" si="665"/>
        <v>0</v>
      </c>
      <c r="AH779" s="34">
        <f t="shared" si="666"/>
        <v>0</v>
      </c>
      <c r="AI779" s="27" t="s">
        <v>3645</v>
      </c>
      <c r="AJ779" s="18">
        <f t="shared" si="667"/>
        <v>0</v>
      </c>
      <c r="AK779" s="18">
        <f t="shared" si="668"/>
        <v>0</v>
      </c>
      <c r="AL779" s="18">
        <f t="shared" si="669"/>
        <v>0</v>
      </c>
      <c r="AN779" s="34">
        <v>21</v>
      </c>
      <c r="AO779" s="34">
        <f>J779*0.08578125</f>
        <v>0</v>
      </c>
      <c r="AP779" s="34">
        <f>J779*(1-0.08578125)</f>
        <v>0</v>
      </c>
      <c r="AQ779" s="28" t="s">
        <v>13</v>
      </c>
      <c r="AV779" s="34">
        <f t="shared" si="670"/>
        <v>0</v>
      </c>
      <c r="AW779" s="34">
        <f t="shared" si="671"/>
        <v>0</v>
      </c>
      <c r="AX779" s="34">
        <f t="shared" si="672"/>
        <v>0</v>
      </c>
      <c r="AY779" s="35" t="s">
        <v>3686</v>
      </c>
      <c r="AZ779" s="35" t="s">
        <v>3717</v>
      </c>
      <c r="BA779" s="27" t="s">
        <v>3729</v>
      </c>
      <c r="BC779" s="34">
        <f t="shared" si="673"/>
        <v>0</v>
      </c>
      <c r="BD779" s="34">
        <f t="shared" si="674"/>
        <v>0</v>
      </c>
      <c r="BE779" s="34">
        <v>0</v>
      </c>
      <c r="BF779" s="34">
        <f>779</f>
        <v>779</v>
      </c>
      <c r="BH779" s="18">
        <f t="shared" si="675"/>
        <v>0</v>
      </c>
      <c r="BI779" s="18">
        <f t="shared" si="676"/>
        <v>0</v>
      </c>
      <c r="BJ779" s="18">
        <f t="shared" si="677"/>
        <v>0</v>
      </c>
    </row>
    <row r="780" spans="1:62" x14ac:dyDescent="0.2">
      <c r="A780" s="6" t="s">
        <v>734</v>
      </c>
      <c r="B780" s="6" t="s">
        <v>1921</v>
      </c>
      <c r="C780" s="137" t="s">
        <v>3123</v>
      </c>
      <c r="D780" s="138"/>
      <c r="E780" s="138"/>
      <c r="F780" s="138"/>
      <c r="G780" s="138"/>
      <c r="H780" s="6" t="s">
        <v>3615</v>
      </c>
      <c r="I780" s="19">
        <v>5.09375</v>
      </c>
      <c r="J780" s="19">
        <v>0</v>
      </c>
      <c r="K780" s="19">
        <f t="shared" si="658"/>
        <v>0</v>
      </c>
      <c r="L780" s="29" t="s">
        <v>3635</v>
      </c>
      <c r="Z780" s="34">
        <f t="shared" si="659"/>
        <v>0</v>
      </c>
      <c r="AB780" s="34">
        <f t="shared" si="660"/>
        <v>0</v>
      </c>
      <c r="AC780" s="34">
        <f t="shared" si="661"/>
        <v>0</v>
      </c>
      <c r="AD780" s="34">
        <f t="shared" si="662"/>
        <v>0</v>
      </c>
      <c r="AE780" s="34">
        <f t="shared" si="663"/>
        <v>0</v>
      </c>
      <c r="AF780" s="34">
        <f t="shared" si="664"/>
        <v>0</v>
      </c>
      <c r="AG780" s="34">
        <f t="shared" si="665"/>
        <v>0</v>
      </c>
      <c r="AH780" s="34">
        <f t="shared" si="666"/>
        <v>0</v>
      </c>
      <c r="AI780" s="27" t="s">
        <v>3645</v>
      </c>
      <c r="AJ780" s="19">
        <f t="shared" si="667"/>
        <v>0</v>
      </c>
      <c r="AK780" s="19">
        <f t="shared" si="668"/>
        <v>0</v>
      </c>
      <c r="AL780" s="19">
        <f t="shared" si="669"/>
        <v>0</v>
      </c>
      <c r="AN780" s="34">
        <v>21</v>
      </c>
      <c r="AO780" s="34">
        <f>J780*1</f>
        <v>0</v>
      </c>
      <c r="AP780" s="34">
        <f>J780*(1-1)</f>
        <v>0</v>
      </c>
      <c r="AQ780" s="29" t="s">
        <v>13</v>
      </c>
      <c r="AV780" s="34">
        <f t="shared" si="670"/>
        <v>0</v>
      </c>
      <c r="AW780" s="34">
        <f t="shared" si="671"/>
        <v>0</v>
      </c>
      <c r="AX780" s="34">
        <f t="shared" si="672"/>
        <v>0</v>
      </c>
      <c r="AY780" s="35" t="s">
        <v>3686</v>
      </c>
      <c r="AZ780" s="35" t="s">
        <v>3717</v>
      </c>
      <c r="BA780" s="27" t="s">
        <v>3729</v>
      </c>
      <c r="BC780" s="34">
        <f t="shared" si="673"/>
        <v>0</v>
      </c>
      <c r="BD780" s="34">
        <f t="shared" si="674"/>
        <v>0</v>
      </c>
      <c r="BE780" s="34">
        <v>0</v>
      </c>
      <c r="BF780" s="34">
        <f>780</f>
        <v>780</v>
      </c>
      <c r="BH780" s="19">
        <f t="shared" si="675"/>
        <v>0</v>
      </c>
      <c r="BI780" s="19">
        <f t="shared" si="676"/>
        <v>0</v>
      </c>
      <c r="BJ780" s="19">
        <f t="shared" si="677"/>
        <v>0</v>
      </c>
    </row>
    <row r="781" spans="1:62" x14ac:dyDescent="0.2">
      <c r="A781" s="5" t="s">
        <v>735</v>
      </c>
      <c r="B781" s="5" t="s">
        <v>1922</v>
      </c>
      <c r="C781" s="135" t="s">
        <v>3124</v>
      </c>
      <c r="D781" s="136"/>
      <c r="E781" s="136"/>
      <c r="F781" s="136"/>
      <c r="G781" s="136"/>
      <c r="H781" s="5" t="s">
        <v>3614</v>
      </c>
      <c r="I781" s="18">
        <v>11.4</v>
      </c>
      <c r="J781" s="18">
        <v>0</v>
      </c>
      <c r="K781" s="18">
        <f t="shared" si="658"/>
        <v>0</v>
      </c>
      <c r="L781" s="28" t="s">
        <v>3635</v>
      </c>
      <c r="Z781" s="34">
        <f t="shared" si="659"/>
        <v>0</v>
      </c>
      <c r="AB781" s="34">
        <f t="shared" si="660"/>
        <v>0</v>
      </c>
      <c r="AC781" s="34">
        <f t="shared" si="661"/>
        <v>0</v>
      </c>
      <c r="AD781" s="34">
        <f t="shared" si="662"/>
        <v>0</v>
      </c>
      <c r="AE781" s="34">
        <f t="shared" si="663"/>
        <v>0</v>
      </c>
      <c r="AF781" s="34">
        <f t="shared" si="664"/>
        <v>0</v>
      </c>
      <c r="AG781" s="34">
        <f t="shared" si="665"/>
        <v>0</v>
      </c>
      <c r="AH781" s="34">
        <f t="shared" si="666"/>
        <v>0</v>
      </c>
      <c r="AI781" s="27" t="s">
        <v>3645</v>
      </c>
      <c r="AJ781" s="18">
        <f t="shared" si="667"/>
        <v>0</v>
      </c>
      <c r="AK781" s="18">
        <f t="shared" si="668"/>
        <v>0</v>
      </c>
      <c r="AL781" s="18">
        <f t="shared" si="669"/>
        <v>0</v>
      </c>
      <c r="AN781" s="34">
        <v>21</v>
      </c>
      <c r="AO781" s="34">
        <f>J781*0.699986912337421</f>
        <v>0</v>
      </c>
      <c r="AP781" s="34">
        <f>J781*(1-0.699986912337421)</f>
        <v>0</v>
      </c>
      <c r="AQ781" s="28" t="s">
        <v>13</v>
      </c>
      <c r="AV781" s="34">
        <f t="shared" si="670"/>
        <v>0</v>
      </c>
      <c r="AW781" s="34">
        <f t="shared" si="671"/>
        <v>0</v>
      </c>
      <c r="AX781" s="34">
        <f t="shared" si="672"/>
        <v>0</v>
      </c>
      <c r="AY781" s="35" t="s">
        <v>3686</v>
      </c>
      <c r="AZ781" s="35" t="s">
        <v>3717</v>
      </c>
      <c r="BA781" s="27" t="s">
        <v>3729</v>
      </c>
      <c r="BC781" s="34">
        <f t="shared" si="673"/>
        <v>0</v>
      </c>
      <c r="BD781" s="34">
        <f t="shared" si="674"/>
        <v>0</v>
      </c>
      <c r="BE781" s="34">
        <v>0</v>
      </c>
      <c r="BF781" s="34">
        <f>781</f>
        <v>781</v>
      </c>
      <c r="BH781" s="18">
        <f t="shared" si="675"/>
        <v>0</v>
      </c>
      <c r="BI781" s="18">
        <f t="shared" si="676"/>
        <v>0</v>
      </c>
      <c r="BJ781" s="18">
        <f t="shared" si="677"/>
        <v>0</v>
      </c>
    </row>
    <row r="782" spans="1:62" x14ac:dyDescent="0.2">
      <c r="A782" s="5" t="s">
        <v>736</v>
      </c>
      <c r="B782" s="5" t="s">
        <v>1923</v>
      </c>
      <c r="C782" s="135" t="s">
        <v>3125</v>
      </c>
      <c r="D782" s="136"/>
      <c r="E782" s="136"/>
      <c r="F782" s="136"/>
      <c r="G782" s="136"/>
      <c r="H782" s="5" t="s">
        <v>3614</v>
      </c>
      <c r="I782" s="18">
        <v>164.77</v>
      </c>
      <c r="J782" s="18">
        <v>0</v>
      </c>
      <c r="K782" s="18">
        <f t="shared" si="658"/>
        <v>0</v>
      </c>
      <c r="L782" s="28" t="s">
        <v>3635</v>
      </c>
      <c r="Z782" s="34">
        <f t="shared" si="659"/>
        <v>0</v>
      </c>
      <c r="AB782" s="34">
        <f t="shared" si="660"/>
        <v>0</v>
      </c>
      <c r="AC782" s="34">
        <f t="shared" si="661"/>
        <v>0</v>
      </c>
      <c r="AD782" s="34">
        <f t="shared" si="662"/>
        <v>0</v>
      </c>
      <c r="AE782" s="34">
        <f t="shared" si="663"/>
        <v>0</v>
      </c>
      <c r="AF782" s="34">
        <f t="shared" si="664"/>
        <v>0</v>
      </c>
      <c r="AG782" s="34">
        <f t="shared" si="665"/>
        <v>0</v>
      </c>
      <c r="AH782" s="34">
        <f t="shared" si="666"/>
        <v>0</v>
      </c>
      <c r="AI782" s="27" t="s">
        <v>3645</v>
      </c>
      <c r="AJ782" s="18">
        <f t="shared" si="667"/>
        <v>0</v>
      </c>
      <c r="AK782" s="18">
        <f t="shared" si="668"/>
        <v>0</v>
      </c>
      <c r="AL782" s="18">
        <f t="shared" si="669"/>
        <v>0</v>
      </c>
      <c r="AN782" s="34">
        <v>21</v>
      </c>
      <c r="AO782" s="34">
        <f>J782*0.625797921888962</f>
        <v>0</v>
      </c>
      <c r="AP782" s="34">
        <f>J782*(1-0.625797921888962)</f>
        <v>0</v>
      </c>
      <c r="AQ782" s="28" t="s">
        <v>13</v>
      </c>
      <c r="AV782" s="34">
        <f t="shared" si="670"/>
        <v>0</v>
      </c>
      <c r="AW782" s="34">
        <f t="shared" si="671"/>
        <v>0</v>
      </c>
      <c r="AX782" s="34">
        <f t="shared" si="672"/>
        <v>0</v>
      </c>
      <c r="AY782" s="35" t="s">
        <v>3686</v>
      </c>
      <c r="AZ782" s="35" t="s">
        <v>3717</v>
      </c>
      <c r="BA782" s="27" t="s">
        <v>3729</v>
      </c>
      <c r="BC782" s="34">
        <f t="shared" si="673"/>
        <v>0</v>
      </c>
      <c r="BD782" s="34">
        <f t="shared" si="674"/>
        <v>0</v>
      </c>
      <c r="BE782" s="34">
        <v>0</v>
      </c>
      <c r="BF782" s="34">
        <f>782</f>
        <v>782</v>
      </c>
      <c r="BH782" s="18">
        <f t="shared" si="675"/>
        <v>0</v>
      </c>
      <c r="BI782" s="18">
        <f t="shared" si="676"/>
        <v>0</v>
      </c>
      <c r="BJ782" s="18">
        <f t="shared" si="677"/>
        <v>0</v>
      </c>
    </row>
    <row r="783" spans="1:62" x14ac:dyDescent="0.2">
      <c r="A783" s="5" t="s">
        <v>737</v>
      </c>
      <c r="B783" s="5" t="s">
        <v>1924</v>
      </c>
      <c r="C783" s="135" t="s">
        <v>3126</v>
      </c>
      <c r="D783" s="136"/>
      <c r="E783" s="136"/>
      <c r="F783" s="136"/>
      <c r="G783" s="136"/>
      <c r="H783" s="5" t="s">
        <v>3615</v>
      </c>
      <c r="I783" s="18">
        <v>137.35</v>
      </c>
      <c r="J783" s="18">
        <v>0</v>
      </c>
      <c r="K783" s="18">
        <f t="shared" si="658"/>
        <v>0</v>
      </c>
      <c r="L783" s="28" t="s">
        <v>3635</v>
      </c>
      <c r="Z783" s="34">
        <f t="shared" si="659"/>
        <v>0</v>
      </c>
      <c r="AB783" s="34">
        <f t="shared" si="660"/>
        <v>0</v>
      </c>
      <c r="AC783" s="34">
        <f t="shared" si="661"/>
        <v>0</v>
      </c>
      <c r="AD783" s="34">
        <f t="shared" si="662"/>
        <v>0</v>
      </c>
      <c r="AE783" s="34">
        <f t="shared" si="663"/>
        <v>0</v>
      </c>
      <c r="AF783" s="34">
        <f t="shared" si="664"/>
        <v>0</v>
      </c>
      <c r="AG783" s="34">
        <f t="shared" si="665"/>
        <v>0</v>
      </c>
      <c r="AH783" s="34">
        <f t="shared" si="666"/>
        <v>0</v>
      </c>
      <c r="AI783" s="27" t="s">
        <v>3645</v>
      </c>
      <c r="AJ783" s="18">
        <f t="shared" si="667"/>
        <v>0</v>
      </c>
      <c r="AK783" s="18">
        <f t="shared" si="668"/>
        <v>0</v>
      </c>
      <c r="AL783" s="18">
        <f t="shared" si="669"/>
        <v>0</v>
      </c>
      <c r="AN783" s="34">
        <v>21</v>
      </c>
      <c r="AO783" s="34">
        <f>J783*1</f>
        <v>0</v>
      </c>
      <c r="AP783" s="34">
        <f>J783*(1-1)</f>
        <v>0</v>
      </c>
      <c r="AQ783" s="28" t="s">
        <v>13</v>
      </c>
      <c r="AV783" s="34">
        <f t="shared" si="670"/>
        <v>0</v>
      </c>
      <c r="AW783" s="34">
        <f t="shared" si="671"/>
        <v>0</v>
      </c>
      <c r="AX783" s="34">
        <f t="shared" si="672"/>
        <v>0</v>
      </c>
      <c r="AY783" s="35" t="s">
        <v>3686</v>
      </c>
      <c r="AZ783" s="35" t="s">
        <v>3717</v>
      </c>
      <c r="BA783" s="27" t="s">
        <v>3729</v>
      </c>
      <c r="BC783" s="34">
        <f t="shared" si="673"/>
        <v>0</v>
      </c>
      <c r="BD783" s="34">
        <f t="shared" si="674"/>
        <v>0</v>
      </c>
      <c r="BE783" s="34">
        <v>0</v>
      </c>
      <c r="BF783" s="34">
        <f>783</f>
        <v>783</v>
      </c>
      <c r="BH783" s="18">
        <f t="shared" si="675"/>
        <v>0</v>
      </c>
      <c r="BI783" s="18">
        <f t="shared" si="676"/>
        <v>0</v>
      </c>
      <c r="BJ783" s="18">
        <f t="shared" si="677"/>
        <v>0</v>
      </c>
    </row>
    <row r="784" spans="1:62" x14ac:dyDescent="0.2">
      <c r="A784" s="5" t="s">
        <v>738</v>
      </c>
      <c r="B784" s="5" t="s">
        <v>1925</v>
      </c>
      <c r="C784" s="135" t="s">
        <v>3127</v>
      </c>
      <c r="D784" s="136"/>
      <c r="E784" s="136"/>
      <c r="F784" s="136"/>
      <c r="G784" s="136"/>
      <c r="H784" s="5" t="s">
        <v>3615</v>
      </c>
      <c r="I784" s="18">
        <v>62.26</v>
      </c>
      <c r="J784" s="18">
        <v>0</v>
      </c>
      <c r="K784" s="18">
        <f t="shared" si="658"/>
        <v>0</v>
      </c>
      <c r="L784" s="28" t="s">
        <v>3635</v>
      </c>
      <c r="Z784" s="34">
        <f t="shared" si="659"/>
        <v>0</v>
      </c>
      <c r="AB784" s="34">
        <f t="shared" si="660"/>
        <v>0</v>
      </c>
      <c r="AC784" s="34">
        <f t="shared" si="661"/>
        <v>0</v>
      </c>
      <c r="AD784" s="34">
        <f t="shared" si="662"/>
        <v>0</v>
      </c>
      <c r="AE784" s="34">
        <f t="shared" si="663"/>
        <v>0</v>
      </c>
      <c r="AF784" s="34">
        <f t="shared" si="664"/>
        <v>0</v>
      </c>
      <c r="AG784" s="34">
        <f t="shared" si="665"/>
        <v>0</v>
      </c>
      <c r="AH784" s="34">
        <f t="shared" si="666"/>
        <v>0</v>
      </c>
      <c r="AI784" s="27" t="s">
        <v>3645</v>
      </c>
      <c r="AJ784" s="18">
        <f t="shared" si="667"/>
        <v>0</v>
      </c>
      <c r="AK784" s="18">
        <f t="shared" si="668"/>
        <v>0</v>
      </c>
      <c r="AL784" s="18">
        <f t="shared" si="669"/>
        <v>0</v>
      </c>
      <c r="AN784" s="34">
        <v>21</v>
      </c>
      <c r="AO784" s="34">
        <f>J784*0</f>
        <v>0</v>
      </c>
      <c r="AP784" s="34">
        <f>J784*(1-0)</f>
        <v>0</v>
      </c>
      <c r="AQ784" s="28" t="s">
        <v>13</v>
      </c>
      <c r="AV784" s="34">
        <f t="shared" si="670"/>
        <v>0</v>
      </c>
      <c r="AW784" s="34">
        <f t="shared" si="671"/>
        <v>0</v>
      </c>
      <c r="AX784" s="34">
        <f t="shared" si="672"/>
        <v>0</v>
      </c>
      <c r="AY784" s="35" t="s">
        <v>3686</v>
      </c>
      <c r="AZ784" s="35" t="s">
        <v>3717</v>
      </c>
      <c r="BA784" s="27" t="s">
        <v>3729</v>
      </c>
      <c r="BC784" s="34">
        <f t="shared" si="673"/>
        <v>0</v>
      </c>
      <c r="BD784" s="34">
        <f t="shared" si="674"/>
        <v>0</v>
      </c>
      <c r="BE784" s="34">
        <v>0</v>
      </c>
      <c r="BF784" s="34">
        <f>784</f>
        <v>784</v>
      </c>
      <c r="BH784" s="18">
        <f t="shared" si="675"/>
        <v>0</v>
      </c>
      <c r="BI784" s="18">
        <f t="shared" si="676"/>
        <v>0</v>
      </c>
      <c r="BJ784" s="18">
        <f t="shared" si="677"/>
        <v>0</v>
      </c>
    </row>
    <row r="785" spans="1:62" x14ac:dyDescent="0.2">
      <c r="A785" s="5" t="s">
        <v>739</v>
      </c>
      <c r="B785" s="5" t="s">
        <v>1926</v>
      </c>
      <c r="C785" s="135" t="s">
        <v>3128</v>
      </c>
      <c r="D785" s="136"/>
      <c r="E785" s="136"/>
      <c r="F785" s="136"/>
      <c r="G785" s="136"/>
      <c r="H785" s="5" t="s">
        <v>3616</v>
      </c>
      <c r="I785" s="18">
        <v>4.0427999999999997</v>
      </c>
      <c r="J785" s="18">
        <v>0</v>
      </c>
      <c r="K785" s="18">
        <f t="shared" si="658"/>
        <v>0</v>
      </c>
      <c r="L785" s="28" t="s">
        <v>3635</v>
      </c>
      <c r="Z785" s="34">
        <f t="shared" si="659"/>
        <v>0</v>
      </c>
      <c r="AB785" s="34">
        <f t="shared" si="660"/>
        <v>0</v>
      </c>
      <c r="AC785" s="34">
        <f t="shared" si="661"/>
        <v>0</v>
      </c>
      <c r="AD785" s="34">
        <f t="shared" si="662"/>
        <v>0</v>
      </c>
      <c r="AE785" s="34">
        <f t="shared" si="663"/>
        <v>0</v>
      </c>
      <c r="AF785" s="34">
        <f t="shared" si="664"/>
        <v>0</v>
      </c>
      <c r="AG785" s="34">
        <f t="shared" si="665"/>
        <v>0</v>
      </c>
      <c r="AH785" s="34">
        <f t="shared" si="666"/>
        <v>0</v>
      </c>
      <c r="AI785" s="27" t="s">
        <v>3645</v>
      </c>
      <c r="AJ785" s="18">
        <f t="shared" si="667"/>
        <v>0</v>
      </c>
      <c r="AK785" s="18">
        <f t="shared" si="668"/>
        <v>0</v>
      </c>
      <c r="AL785" s="18">
        <f t="shared" si="669"/>
        <v>0</v>
      </c>
      <c r="AN785" s="34">
        <v>21</v>
      </c>
      <c r="AO785" s="34">
        <f>J785*0</f>
        <v>0</v>
      </c>
      <c r="AP785" s="34">
        <f>J785*(1-0)</f>
        <v>0</v>
      </c>
      <c r="AQ785" s="28" t="s">
        <v>11</v>
      </c>
      <c r="AV785" s="34">
        <f t="shared" si="670"/>
        <v>0</v>
      </c>
      <c r="AW785" s="34">
        <f t="shared" si="671"/>
        <v>0</v>
      </c>
      <c r="AX785" s="34">
        <f t="shared" si="672"/>
        <v>0</v>
      </c>
      <c r="AY785" s="35" t="s">
        <v>3686</v>
      </c>
      <c r="AZ785" s="35" t="s">
        <v>3717</v>
      </c>
      <c r="BA785" s="27" t="s">
        <v>3729</v>
      </c>
      <c r="BC785" s="34">
        <f t="shared" si="673"/>
        <v>0</v>
      </c>
      <c r="BD785" s="34">
        <f t="shared" si="674"/>
        <v>0</v>
      </c>
      <c r="BE785" s="34">
        <v>0</v>
      </c>
      <c r="BF785" s="34">
        <f>785</f>
        <v>785</v>
      </c>
      <c r="BH785" s="18">
        <f t="shared" si="675"/>
        <v>0</v>
      </c>
      <c r="BI785" s="18">
        <f t="shared" si="676"/>
        <v>0</v>
      </c>
      <c r="BJ785" s="18">
        <f t="shared" si="677"/>
        <v>0</v>
      </c>
    </row>
    <row r="786" spans="1:62" x14ac:dyDescent="0.2">
      <c r="A786" s="4"/>
      <c r="B786" s="14" t="s">
        <v>782</v>
      </c>
      <c r="C786" s="133" t="s">
        <v>3129</v>
      </c>
      <c r="D786" s="134"/>
      <c r="E786" s="134"/>
      <c r="F786" s="134"/>
      <c r="G786" s="134"/>
      <c r="H786" s="4" t="s">
        <v>6</v>
      </c>
      <c r="I786" s="4" t="s">
        <v>6</v>
      </c>
      <c r="J786" s="4" t="s">
        <v>6</v>
      </c>
      <c r="K786" s="37">
        <f>SUM(K787:K795)</f>
        <v>0</v>
      </c>
      <c r="L786" s="27"/>
      <c r="AI786" s="27" t="s">
        <v>3645</v>
      </c>
      <c r="AS786" s="37">
        <f>SUM(AJ787:AJ795)</f>
        <v>0</v>
      </c>
      <c r="AT786" s="37">
        <f>SUM(AK787:AK795)</f>
        <v>0</v>
      </c>
      <c r="AU786" s="37">
        <f>SUM(AL787:AL795)</f>
        <v>0</v>
      </c>
    </row>
    <row r="787" spans="1:62" x14ac:dyDescent="0.2">
      <c r="A787" s="5" t="s">
        <v>740</v>
      </c>
      <c r="B787" s="5" t="s">
        <v>1927</v>
      </c>
      <c r="C787" s="135" t="s">
        <v>3130</v>
      </c>
      <c r="D787" s="136"/>
      <c r="E787" s="136"/>
      <c r="F787" s="136"/>
      <c r="G787" s="136"/>
      <c r="H787" s="5" t="s">
        <v>3615</v>
      </c>
      <c r="I787" s="18">
        <v>414.72</v>
      </c>
      <c r="J787" s="18">
        <v>0</v>
      </c>
      <c r="K787" s="18">
        <f t="shared" ref="K787:K795" si="678">I787*J787</f>
        <v>0</v>
      </c>
      <c r="L787" s="28" t="s">
        <v>3635</v>
      </c>
      <c r="Z787" s="34">
        <f t="shared" ref="Z787:Z795" si="679">IF(AQ787="5",BJ787,0)</f>
        <v>0</v>
      </c>
      <c r="AB787" s="34">
        <f t="shared" ref="AB787:AB795" si="680">IF(AQ787="1",BH787,0)</f>
        <v>0</v>
      </c>
      <c r="AC787" s="34">
        <f t="shared" ref="AC787:AC795" si="681">IF(AQ787="1",BI787,0)</f>
        <v>0</v>
      </c>
      <c r="AD787" s="34">
        <f t="shared" ref="AD787:AD795" si="682">IF(AQ787="7",BH787,0)</f>
        <v>0</v>
      </c>
      <c r="AE787" s="34">
        <f t="shared" ref="AE787:AE795" si="683">IF(AQ787="7",BI787,0)</f>
        <v>0</v>
      </c>
      <c r="AF787" s="34">
        <f t="shared" ref="AF787:AF795" si="684">IF(AQ787="2",BH787,0)</f>
        <v>0</v>
      </c>
      <c r="AG787" s="34">
        <f t="shared" ref="AG787:AG795" si="685">IF(AQ787="2",BI787,0)</f>
        <v>0</v>
      </c>
      <c r="AH787" s="34">
        <f t="shared" ref="AH787:AH795" si="686">IF(AQ787="0",BJ787,0)</f>
        <v>0</v>
      </c>
      <c r="AI787" s="27" t="s">
        <v>3645</v>
      </c>
      <c r="AJ787" s="18">
        <f t="shared" ref="AJ787:AJ795" si="687">IF(AN787=0,K787,0)</f>
        <v>0</v>
      </c>
      <c r="AK787" s="18">
        <f t="shared" ref="AK787:AK795" si="688">IF(AN787=15,K787,0)</f>
        <v>0</v>
      </c>
      <c r="AL787" s="18">
        <f t="shared" ref="AL787:AL795" si="689">IF(AN787=21,K787,0)</f>
        <v>0</v>
      </c>
      <c r="AN787" s="34">
        <v>21</v>
      </c>
      <c r="AO787" s="34">
        <f>J787*0</f>
        <v>0</v>
      </c>
      <c r="AP787" s="34">
        <f>J787*(1-0)</f>
        <v>0</v>
      </c>
      <c r="AQ787" s="28" t="s">
        <v>13</v>
      </c>
      <c r="AV787" s="34">
        <f t="shared" ref="AV787:AV795" si="690">AW787+AX787</f>
        <v>0</v>
      </c>
      <c r="AW787" s="34">
        <f t="shared" ref="AW787:AW795" si="691">I787*AO787</f>
        <v>0</v>
      </c>
      <c r="AX787" s="34">
        <f t="shared" ref="AX787:AX795" si="692">I787*AP787</f>
        <v>0</v>
      </c>
      <c r="AY787" s="35" t="s">
        <v>3687</v>
      </c>
      <c r="AZ787" s="35" t="s">
        <v>3717</v>
      </c>
      <c r="BA787" s="27" t="s">
        <v>3729</v>
      </c>
      <c r="BC787" s="34">
        <f t="shared" ref="BC787:BC795" si="693">AW787+AX787</f>
        <v>0</v>
      </c>
      <c r="BD787" s="34">
        <f t="shared" ref="BD787:BD795" si="694">J787/(100-BE787)*100</f>
        <v>0</v>
      </c>
      <c r="BE787" s="34">
        <v>0</v>
      </c>
      <c r="BF787" s="34">
        <f>787</f>
        <v>787</v>
      </c>
      <c r="BH787" s="18">
        <f t="shared" ref="BH787:BH795" si="695">I787*AO787</f>
        <v>0</v>
      </c>
      <c r="BI787" s="18">
        <f t="shared" ref="BI787:BI795" si="696">I787*AP787</f>
        <v>0</v>
      </c>
      <c r="BJ787" s="18">
        <f t="shared" ref="BJ787:BJ795" si="697">I787*J787</f>
        <v>0</v>
      </c>
    </row>
    <row r="788" spans="1:62" x14ac:dyDescent="0.2">
      <c r="A788" s="5" t="s">
        <v>741</v>
      </c>
      <c r="B788" s="5" t="s">
        <v>1928</v>
      </c>
      <c r="C788" s="135" t="s">
        <v>3131</v>
      </c>
      <c r="D788" s="136"/>
      <c r="E788" s="136"/>
      <c r="F788" s="136"/>
      <c r="G788" s="136"/>
      <c r="H788" s="5" t="s">
        <v>3615</v>
      </c>
      <c r="I788" s="18">
        <v>414.72</v>
      </c>
      <c r="J788" s="18">
        <v>0</v>
      </c>
      <c r="K788" s="18">
        <f t="shared" si="678"/>
        <v>0</v>
      </c>
      <c r="L788" s="28" t="s">
        <v>3635</v>
      </c>
      <c r="Z788" s="34">
        <f t="shared" si="679"/>
        <v>0</v>
      </c>
      <c r="AB788" s="34">
        <f t="shared" si="680"/>
        <v>0</v>
      </c>
      <c r="AC788" s="34">
        <f t="shared" si="681"/>
        <v>0</v>
      </c>
      <c r="AD788" s="34">
        <f t="shared" si="682"/>
        <v>0</v>
      </c>
      <c r="AE788" s="34">
        <f t="shared" si="683"/>
        <v>0</v>
      </c>
      <c r="AF788" s="34">
        <f t="shared" si="684"/>
        <v>0</v>
      </c>
      <c r="AG788" s="34">
        <f t="shared" si="685"/>
        <v>0</v>
      </c>
      <c r="AH788" s="34">
        <f t="shared" si="686"/>
        <v>0</v>
      </c>
      <c r="AI788" s="27" t="s">
        <v>3645</v>
      </c>
      <c r="AJ788" s="18">
        <f t="shared" si="687"/>
        <v>0</v>
      </c>
      <c r="AK788" s="18">
        <f t="shared" si="688"/>
        <v>0</v>
      </c>
      <c r="AL788" s="18">
        <f t="shared" si="689"/>
        <v>0</v>
      </c>
      <c r="AN788" s="34">
        <v>21</v>
      </c>
      <c r="AO788" s="34">
        <f>J788*0</f>
        <v>0</v>
      </c>
      <c r="AP788" s="34">
        <f>J788*(1-0)</f>
        <v>0</v>
      </c>
      <c r="AQ788" s="28" t="s">
        <v>13</v>
      </c>
      <c r="AV788" s="34">
        <f t="shared" si="690"/>
        <v>0</v>
      </c>
      <c r="AW788" s="34">
        <f t="shared" si="691"/>
        <v>0</v>
      </c>
      <c r="AX788" s="34">
        <f t="shared" si="692"/>
        <v>0</v>
      </c>
      <c r="AY788" s="35" t="s">
        <v>3687</v>
      </c>
      <c r="AZ788" s="35" t="s">
        <v>3717</v>
      </c>
      <c r="BA788" s="27" t="s">
        <v>3729</v>
      </c>
      <c r="BC788" s="34">
        <f t="shared" si="693"/>
        <v>0</v>
      </c>
      <c r="BD788" s="34">
        <f t="shared" si="694"/>
        <v>0</v>
      </c>
      <c r="BE788" s="34">
        <v>0</v>
      </c>
      <c r="BF788" s="34">
        <f>788</f>
        <v>788</v>
      </c>
      <c r="BH788" s="18">
        <f t="shared" si="695"/>
        <v>0</v>
      </c>
      <c r="BI788" s="18">
        <f t="shared" si="696"/>
        <v>0</v>
      </c>
      <c r="BJ788" s="18">
        <f t="shared" si="697"/>
        <v>0</v>
      </c>
    </row>
    <row r="789" spans="1:62" x14ac:dyDescent="0.2">
      <c r="A789" s="5" t="s">
        <v>742</v>
      </c>
      <c r="B789" s="5" t="s">
        <v>1929</v>
      </c>
      <c r="C789" s="135" t="s">
        <v>3132</v>
      </c>
      <c r="D789" s="136"/>
      <c r="E789" s="136"/>
      <c r="F789" s="136"/>
      <c r="G789" s="136"/>
      <c r="H789" s="5" t="s">
        <v>3614</v>
      </c>
      <c r="I789" s="18">
        <v>252.56</v>
      </c>
      <c r="J789" s="18">
        <v>0</v>
      </c>
      <c r="K789" s="18">
        <f t="shared" si="678"/>
        <v>0</v>
      </c>
      <c r="L789" s="28" t="s">
        <v>3635</v>
      </c>
      <c r="Z789" s="34">
        <f t="shared" si="679"/>
        <v>0</v>
      </c>
      <c r="AB789" s="34">
        <f t="shared" si="680"/>
        <v>0</v>
      </c>
      <c r="AC789" s="34">
        <f t="shared" si="681"/>
        <v>0</v>
      </c>
      <c r="AD789" s="34">
        <f t="shared" si="682"/>
        <v>0</v>
      </c>
      <c r="AE789" s="34">
        <f t="shared" si="683"/>
        <v>0</v>
      </c>
      <c r="AF789" s="34">
        <f t="shared" si="684"/>
        <v>0</v>
      </c>
      <c r="AG789" s="34">
        <f t="shared" si="685"/>
        <v>0</v>
      </c>
      <c r="AH789" s="34">
        <f t="shared" si="686"/>
        <v>0</v>
      </c>
      <c r="AI789" s="27" t="s">
        <v>3645</v>
      </c>
      <c r="AJ789" s="18">
        <f t="shared" si="687"/>
        <v>0</v>
      </c>
      <c r="AK789" s="18">
        <f t="shared" si="688"/>
        <v>0</v>
      </c>
      <c r="AL789" s="18">
        <f t="shared" si="689"/>
        <v>0</v>
      </c>
      <c r="AN789" s="34">
        <v>21</v>
      </c>
      <c r="AO789" s="34">
        <f>J789*0.311635271861882</f>
        <v>0</v>
      </c>
      <c r="AP789" s="34">
        <f>J789*(1-0.311635271861882)</f>
        <v>0</v>
      </c>
      <c r="AQ789" s="28" t="s">
        <v>13</v>
      </c>
      <c r="AV789" s="34">
        <f t="shared" si="690"/>
        <v>0</v>
      </c>
      <c r="AW789" s="34">
        <f t="shared" si="691"/>
        <v>0</v>
      </c>
      <c r="AX789" s="34">
        <f t="shared" si="692"/>
        <v>0</v>
      </c>
      <c r="AY789" s="35" t="s">
        <v>3687</v>
      </c>
      <c r="AZ789" s="35" t="s">
        <v>3717</v>
      </c>
      <c r="BA789" s="27" t="s">
        <v>3729</v>
      </c>
      <c r="BC789" s="34">
        <f t="shared" si="693"/>
        <v>0</v>
      </c>
      <c r="BD789" s="34">
        <f t="shared" si="694"/>
        <v>0</v>
      </c>
      <c r="BE789" s="34">
        <v>0</v>
      </c>
      <c r="BF789" s="34">
        <f>789</f>
        <v>789</v>
      </c>
      <c r="BH789" s="18">
        <f t="shared" si="695"/>
        <v>0</v>
      </c>
      <c r="BI789" s="18">
        <f t="shared" si="696"/>
        <v>0</v>
      </c>
      <c r="BJ789" s="18">
        <f t="shared" si="697"/>
        <v>0</v>
      </c>
    </row>
    <row r="790" spans="1:62" x14ac:dyDescent="0.2">
      <c r="A790" s="5" t="s">
        <v>743</v>
      </c>
      <c r="B790" s="5" t="s">
        <v>1930</v>
      </c>
      <c r="C790" s="135" t="s">
        <v>3133</v>
      </c>
      <c r="D790" s="136"/>
      <c r="E790" s="136"/>
      <c r="F790" s="136"/>
      <c r="G790" s="136"/>
      <c r="H790" s="5" t="s">
        <v>3615</v>
      </c>
      <c r="I790" s="18">
        <v>105.51</v>
      </c>
      <c r="J790" s="18">
        <v>0</v>
      </c>
      <c r="K790" s="18">
        <f t="shared" si="678"/>
        <v>0</v>
      </c>
      <c r="L790" s="28" t="s">
        <v>3635</v>
      </c>
      <c r="Z790" s="34">
        <f t="shared" si="679"/>
        <v>0</v>
      </c>
      <c r="AB790" s="34">
        <f t="shared" si="680"/>
        <v>0</v>
      </c>
      <c r="AC790" s="34">
        <f t="shared" si="681"/>
        <v>0</v>
      </c>
      <c r="AD790" s="34">
        <f t="shared" si="682"/>
        <v>0</v>
      </c>
      <c r="AE790" s="34">
        <f t="shared" si="683"/>
        <v>0</v>
      </c>
      <c r="AF790" s="34">
        <f t="shared" si="684"/>
        <v>0</v>
      </c>
      <c r="AG790" s="34">
        <f t="shared" si="685"/>
        <v>0</v>
      </c>
      <c r="AH790" s="34">
        <f t="shared" si="686"/>
        <v>0</v>
      </c>
      <c r="AI790" s="27" t="s">
        <v>3645</v>
      </c>
      <c r="AJ790" s="18">
        <f t="shared" si="687"/>
        <v>0</v>
      </c>
      <c r="AK790" s="18">
        <f t="shared" si="688"/>
        <v>0</v>
      </c>
      <c r="AL790" s="18">
        <f t="shared" si="689"/>
        <v>0</v>
      </c>
      <c r="AN790" s="34">
        <v>21</v>
      </c>
      <c r="AO790" s="34">
        <f>J790*0</f>
        <v>0</v>
      </c>
      <c r="AP790" s="34">
        <f>J790*(1-0)</f>
        <v>0</v>
      </c>
      <c r="AQ790" s="28" t="s">
        <v>13</v>
      </c>
      <c r="AV790" s="34">
        <f t="shared" si="690"/>
        <v>0</v>
      </c>
      <c r="AW790" s="34">
        <f t="shared" si="691"/>
        <v>0</v>
      </c>
      <c r="AX790" s="34">
        <f t="shared" si="692"/>
        <v>0</v>
      </c>
      <c r="AY790" s="35" t="s">
        <v>3687</v>
      </c>
      <c r="AZ790" s="35" t="s">
        <v>3717</v>
      </c>
      <c r="BA790" s="27" t="s">
        <v>3729</v>
      </c>
      <c r="BC790" s="34">
        <f t="shared" si="693"/>
        <v>0</v>
      </c>
      <c r="BD790" s="34">
        <f t="shared" si="694"/>
        <v>0</v>
      </c>
      <c r="BE790" s="34">
        <v>0</v>
      </c>
      <c r="BF790" s="34">
        <f>790</f>
        <v>790</v>
      </c>
      <c r="BH790" s="18">
        <f t="shared" si="695"/>
        <v>0</v>
      </c>
      <c r="BI790" s="18">
        <f t="shared" si="696"/>
        <v>0</v>
      </c>
      <c r="BJ790" s="18">
        <f t="shared" si="697"/>
        <v>0</v>
      </c>
    </row>
    <row r="791" spans="1:62" x14ac:dyDescent="0.2">
      <c r="A791" s="5" t="s">
        <v>744</v>
      </c>
      <c r="B791" s="5" t="s">
        <v>1931</v>
      </c>
      <c r="C791" s="135" t="s">
        <v>3134</v>
      </c>
      <c r="D791" s="136"/>
      <c r="E791" s="136"/>
      <c r="F791" s="136"/>
      <c r="G791" s="136"/>
      <c r="H791" s="5" t="s">
        <v>3615</v>
      </c>
      <c r="I791" s="18">
        <v>369.58</v>
      </c>
      <c r="J791" s="18">
        <v>0</v>
      </c>
      <c r="K791" s="18">
        <f t="shared" si="678"/>
        <v>0</v>
      </c>
      <c r="L791" s="28" t="s">
        <v>3635</v>
      </c>
      <c r="Z791" s="34">
        <f t="shared" si="679"/>
        <v>0</v>
      </c>
      <c r="AB791" s="34">
        <f t="shared" si="680"/>
        <v>0</v>
      </c>
      <c r="AC791" s="34">
        <f t="shared" si="681"/>
        <v>0</v>
      </c>
      <c r="AD791" s="34">
        <f t="shared" si="682"/>
        <v>0</v>
      </c>
      <c r="AE791" s="34">
        <f t="shared" si="683"/>
        <v>0</v>
      </c>
      <c r="AF791" s="34">
        <f t="shared" si="684"/>
        <v>0</v>
      </c>
      <c r="AG791" s="34">
        <f t="shared" si="685"/>
        <v>0</v>
      </c>
      <c r="AH791" s="34">
        <f t="shared" si="686"/>
        <v>0</v>
      </c>
      <c r="AI791" s="27" t="s">
        <v>3645</v>
      </c>
      <c r="AJ791" s="18">
        <f t="shared" si="687"/>
        <v>0</v>
      </c>
      <c r="AK791" s="18">
        <f t="shared" si="688"/>
        <v>0</v>
      </c>
      <c r="AL791" s="18">
        <f t="shared" si="689"/>
        <v>0</v>
      </c>
      <c r="AN791" s="34">
        <v>21</v>
      </c>
      <c r="AO791" s="34">
        <f>J791*0.269609233559208</f>
        <v>0</v>
      </c>
      <c r="AP791" s="34">
        <f>J791*(1-0.269609233559208)</f>
        <v>0</v>
      </c>
      <c r="AQ791" s="28" t="s">
        <v>13</v>
      </c>
      <c r="AV791" s="34">
        <f t="shared" si="690"/>
        <v>0</v>
      </c>
      <c r="AW791" s="34">
        <f t="shared" si="691"/>
        <v>0</v>
      </c>
      <c r="AX791" s="34">
        <f t="shared" si="692"/>
        <v>0</v>
      </c>
      <c r="AY791" s="35" t="s">
        <v>3687</v>
      </c>
      <c r="AZ791" s="35" t="s">
        <v>3717</v>
      </c>
      <c r="BA791" s="27" t="s">
        <v>3729</v>
      </c>
      <c r="BC791" s="34">
        <f t="shared" si="693"/>
        <v>0</v>
      </c>
      <c r="BD791" s="34">
        <f t="shared" si="694"/>
        <v>0</v>
      </c>
      <c r="BE791" s="34">
        <v>0</v>
      </c>
      <c r="BF791" s="34">
        <f>791</f>
        <v>791</v>
      </c>
      <c r="BH791" s="18">
        <f t="shared" si="695"/>
        <v>0</v>
      </c>
      <c r="BI791" s="18">
        <f t="shared" si="696"/>
        <v>0</v>
      </c>
      <c r="BJ791" s="18">
        <f t="shared" si="697"/>
        <v>0</v>
      </c>
    </row>
    <row r="792" spans="1:62" x14ac:dyDescent="0.2">
      <c r="A792" s="6" t="s">
        <v>745</v>
      </c>
      <c r="B792" s="6" t="s">
        <v>1932</v>
      </c>
      <c r="C792" s="137" t="s">
        <v>3135</v>
      </c>
      <c r="D792" s="138"/>
      <c r="E792" s="138"/>
      <c r="F792" s="138"/>
      <c r="G792" s="138"/>
      <c r="H792" s="6" t="s">
        <v>3615</v>
      </c>
      <c r="I792" s="19">
        <v>425.017</v>
      </c>
      <c r="J792" s="19">
        <v>0</v>
      </c>
      <c r="K792" s="19">
        <f t="shared" si="678"/>
        <v>0</v>
      </c>
      <c r="L792" s="29" t="s">
        <v>3635</v>
      </c>
      <c r="Z792" s="34">
        <f t="shared" si="679"/>
        <v>0</v>
      </c>
      <c r="AB792" s="34">
        <f t="shared" si="680"/>
        <v>0</v>
      </c>
      <c r="AC792" s="34">
        <f t="shared" si="681"/>
        <v>0</v>
      </c>
      <c r="AD792" s="34">
        <f t="shared" si="682"/>
        <v>0</v>
      </c>
      <c r="AE792" s="34">
        <f t="shared" si="683"/>
        <v>0</v>
      </c>
      <c r="AF792" s="34">
        <f t="shared" si="684"/>
        <v>0</v>
      </c>
      <c r="AG792" s="34">
        <f t="shared" si="685"/>
        <v>0</v>
      </c>
      <c r="AH792" s="34">
        <f t="shared" si="686"/>
        <v>0</v>
      </c>
      <c r="AI792" s="27" t="s">
        <v>3645</v>
      </c>
      <c r="AJ792" s="19">
        <f t="shared" si="687"/>
        <v>0</v>
      </c>
      <c r="AK792" s="19">
        <f t="shared" si="688"/>
        <v>0</v>
      </c>
      <c r="AL792" s="19">
        <f t="shared" si="689"/>
        <v>0</v>
      </c>
      <c r="AN792" s="34">
        <v>21</v>
      </c>
      <c r="AO792" s="34">
        <f>J792*1</f>
        <v>0</v>
      </c>
      <c r="AP792" s="34">
        <f>J792*(1-1)</f>
        <v>0</v>
      </c>
      <c r="AQ792" s="29" t="s">
        <v>13</v>
      </c>
      <c r="AV792" s="34">
        <f t="shared" si="690"/>
        <v>0</v>
      </c>
      <c r="AW792" s="34">
        <f t="shared" si="691"/>
        <v>0</v>
      </c>
      <c r="AX792" s="34">
        <f t="shared" si="692"/>
        <v>0</v>
      </c>
      <c r="AY792" s="35" t="s">
        <v>3687</v>
      </c>
      <c r="AZ792" s="35" t="s">
        <v>3717</v>
      </c>
      <c r="BA792" s="27" t="s">
        <v>3729</v>
      </c>
      <c r="BC792" s="34">
        <f t="shared" si="693"/>
        <v>0</v>
      </c>
      <c r="BD792" s="34">
        <f t="shared" si="694"/>
        <v>0</v>
      </c>
      <c r="BE792" s="34">
        <v>0</v>
      </c>
      <c r="BF792" s="34">
        <f>792</f>
        <v>792</v>
      </c>
      <c r="BH792" s="19">
        <f t="shared" si="695"/>
        <v>0</v>
      </c>
      <c r="BI792" s="19">
        <f t="shared" si="696"/>
        <v>0</v>
      </c>
      <c r="BJ792" s="19">
        <f t="shared" si="697"/>
        <v>0</v>
      </c>
    </row>
    <row r="793" spans="1:62" x14ac:dyDescent="0.2">
      <c r="A793" s="5" t="s">
        <v>746</v>
      </c>
      <c r="B793" s="5" t="s">
        <v>1931</v>
      </c>
      <c r="C793" s="135" t="s">
        <v>3136</v>
      </c>
      <c r="D793" s="136"/>
      <c r="E793" s="136"/>
      <c r="F793" s="136"/>
      <c r="G793" s="136"/>
      <c r="H793" s="5" t="s">
        <v>3615</v>
      </c>
      <c r="I793" s="18">
        <v>45.14</v>
      </c>
      <c r="J793" s="18">
        <v>0</v>
      </c>
      <c r="K793" s="18">
        <f t="shared" si="678"/>
        <v>0</v>
      </c>
      <c r="L793" s="28" t="s">
        <v>3635</v>
      </c>
      <c r="Z793" s="34">
        <f t="shared" si="679"/>
        <v>0</v>
      </c>
      <c r="AB793" s="34">
        <f t="shared" si="680"/>
        <v>0</v>
      </c>
      <c r="AC793" s="34">
        <f t="shared" si="681"/>
        <v>0</v>
      </c>
      <c r="AD793" s="34">
        <f t="shared" si="682"/>
        <v>0</v>
      </c>
      <c r="AE793" s="34">
        <f t="shared" si="683"/>
        <v>0</v>
      </c>
      <c r="AF793" s="34">
        <f t="shared" si="684"/>
        <v>0</v>
      </c>
      <c r="AG793" s="34">
        <f t="shared" si="685"/>
        <v>0</v>
      </c>
      <c r="AH793" s="34">
        <f t="shared" si="686"/>
        <v>0</v>
      </c>
      <c r="AI793" s="27" t="s">
        <v>3645</v>
      </c>
      <c r="AJ793" s="18">
        <f t="shared" si="687"/>
        <v>0</v>
      </c>
      <c r="AK793" s="18">
        <f t="shared" si="688"/>
        <v>0</v>
      </c>
      <c r="AL793" s="18">
        <f t="shared" si="689"/>
        <v>0</v>
      </c>
      <c r="AN793" s="34">
        <v>21</v>
      </c>
      <c r="AO793" s="34">
        <f>J793*0.269609187670883</f>
        <v>0</v>
      </c>
      <c r="AP793" s="34">
        <f>J793*(1-0.269609187670883)</f>
        <v>0</v>
      </c>
      <c r="AQ793" s="28" t="s">
        <v>13</v>
      </c>
      <c r="AV793" s="34">
        <f t="shared" si="690"/>
        <v>0</v>
      </c>
      <c r="AW793" s="34">
        <f t="shared" si="691"/>
        <v>0</v>
      </c>
      <c r="AX793" s="34">
        <f t="shared" si="692"/>
        <v>0</v>
      </c>
      <c r="AY793" s="35" t="s">
        <v>3687</v>
      </c>
      <c r="AZ793" s="35" t="s">
        <v>3717</v>
      </c>
      <c r="BA793" s="27" t="s">
        <v>3729</v>
      </c>
      <c r="BC793" s="34">
        <f t="shared" si="693"/>
        <v>0</v>
      </c>
      <c r="BD793" s="34">
        <f t="shared" si="694"/>
        <v>0</v>
      </c>
      <c r="BE793" s="34">
        <v>0</v>
      </c>
      <c r="BF793" s="34">
        <f>793</f>
        <v>793</v>
      </c>
      <c r="BH793" s="18">
        <f t="shared" si="695"/>
        <v>0</v>
      </c>
      <c r="BI793" s="18">
        <f t="shared" si="696"/>
        <v>0</v>
      </c>
      <c r="BJ793" s="18">
        <f t="shared" si="697"/>
        <v>0</v>
      </c>
    </row>
    <row r="794" spans="1:62" x14ac:dyDescent="0.2">
      <c r="A794" s="6" t="s">
        <v>747</v>
      </c>
      <c r="B794" s="6" t="s">
        <v>1933</v>
      </c>
      <c r="C794" s="137" t="s">
        <v>3137</v>
      </c>
      <c r="D794" s="138"/>
      <c r="E794" s="138"/>
      <c r="F794" s="138"/>
      <c r="G794" s="138"/>
      <c r="H794" s="6" t="s">
        <v>3615</v>
      </c>
      <c r="I794" s="19">
        <v>51.911000000000001</v>
      </c>
      <c r="J794" s="19">
        <v>0</v>
      </c>
      <c r="K794" s="19">
        <f t="shared" si="678"/>
        <v>0</v>
      </c>
      <c r="L794" s="29" t="s">
        <v>3635</v>
      </c>
      <c r="Z794" s="34">
        <f t="shared" si="679"/>
        <v>0</v>
      </c>
      <c r="AB794" s="34">
        <f t="shared" si="680"/>
        <v>0</v>
      </c>
      <c r="AC794" s="34">
        <f t="shared" si="681"/>
        <v>0</v>
      </c>
      <c r="AD794" s="34">
        <f t="shared" si="682"/>
        <v>0</v>
      </c>
      <c r="AE794" s="34">
        <f t="shared" si="683"/>
        <v>0</v>
      </c>
      <c r="AF794" s="34">
        <f t="shared" si="684"/>
        <v>0</v>
      </c>
      <c r="AG794" s="34">
        <f t="shared" si="685"/>
        <v>0</v>
      </c>
      <c r="AH794" s="34">
        <f t="shared" si="686"/>
        <v>0</v>
      </c>
      <c r="AI794" s="27" t="s">
        <v>3645</v>
      </c>
      <c r="AJ794" s="19">
        <f t="shared" si="687"/>
        <v>0</v>
      </c>
      <c r="AK794" s="19">
        <f t="shared" si="688"/>
        <v>0</v>
      </c>
      <c r="AL794" s="19">
        <f t="shared" si="689"/>
        <v>0</v>
      </c>
      <c r="AN794" s="34">
        <v>21</v>
      </c>
      <c r="AO794" s="34">
        <f>J794*1</f>
        <v>0</v>
      </c>
      <c r="AP794" s="34">
        <f>J794*(1-1)</f>
        <v>0</v>
      </c>
      <c r="AQ794" s="29" t="s">
        <v>13</v>
      </c>
      <c r="AV794" s="34">
        <f t="shared" si="690"/>
        <v>0</v>
      </c>
      <c r="AW794" s="34">
        <f t="shared" si="691"/>
        <v>0</v>
      </c>
      <c r="AX794" s="34">
        <f t="shared" si="692"/>
        <v>0</v>
      </c>
      <c r="AY794" s="35" t="s">
        <v>3687</v>
      </c>
      <c r="AZ794" s="35" t="s">
        <v>3717</v>
      </c>
      <c r="BA794" s="27" t="s">
        <v>3729</v>
      </c>
      <c r="BC794" s="34">
        <f t="shared" si="693"/>
        <v>0</v>
      </c>
      <c r="BD794" s="34">
        <f t="shared" si="694"/>
        <v>0</v>
      </c>
      <c r="BE794" s="34">
        <v>0</v>
      </c>
      <c r="BF794" s="34">
        <f>794</f>
        <v>794</v>
      </c>
      <c r="BH794" s="19">
        <f t="shared" si="695"/>
        <v>0</v>
      </c>
      <c r="BI794" s="19">
        <f t="shared" si="696"/>
        <v>0</v>
      </c>
      <c r="BJ794" s="19">
        <f t="shared" si="697"/>
        <v>0</v>
      </c>
    </row>
    <row r="795" spans="1:62" x14ac:dyDescent="0.2">
      <c r="A795" s="5" t="s">
        <v>748</v>
      </c>
      <c r="B795" s="5" t="s">
        <v>1934</v>
      </c>
      <c r="C795" s="135" t="s">
        <v>3138</v>
      </c>
      <c r="D795" s="136"/>
      <c r="E795" s="136"/>
      <c r="F795" s="136"/>
      <c r="G795" s="136"/>
      <c r="H795" s="5" t="s">
        <v>3616</v>
      </c>
      <c r="I795" s="18">
        <v>2.5777000000000001</v>
      </c>
      <c r="J795" s="18">
        <v>0</v>
      </c>
      <c r="K795" s="18">
        <f t="shared" si="678"/>
        <v>0</v>
      </c>
      <c r="L795" s="28" t="s">
        <v>3635</v>
      </c>
      <c r="Z795" s="34">
        <f t="shared" si="679"/>
        <v>0</v>
      </c>
      <c r="AB795" s="34">
        <f t="shared" si="680"/>
        <v>0</v>
      </c>
      <c r="AC795" s="34">
        <f t="shared" si="681"/>
        <v>0</v>
      </c>
      <c r="AD795" s="34">
        <f t="shared" si="682"/>
        <v>0</v>
      </c>
      <c r="AE795" s="34">
        <f t="shared" si="683"/>
        <v>0</v>
      </c>
      <c r="AF795" s="34">
        <f t="shared" si="684"/>
        <v>0</v>
      </c>
      <c r="AG795" s="34">
        <f t="shared" si="685"/>
        <v>0</v>
      </c>
      <c r="AH795" s="34">
        <f t="shared" si="686"/>
        <v>0</v>
      </c>
      <c r="AI795" s="27" t="s">
        <v>3645</v>
      </c>
      <c r="AJ795" s="18">
        <f t="shared" si="687"/>
        <v>0</v>
      </c>
      <c r="AK795" s="18">
        <f t="shared" si="688"/>
        <v>0</v>
      </c>
      <c r="AL795" s="18">
        <f t="shared" si="689"/>
        <v>0</v>
      </c>
      <c r="AN795" s="34">
        <v>21</v>
      </c>
      <c r="AO795" s="34">
        <f>J795*0</f>
        <v>0</v>
      </c>
      <c r="AP795" s="34">
        <f>J795*(1-0)</f>
        <v>0</v>
      </c>
      <c r="AQ795" s="28" t="s">
        <v>11</v>
      </c>
      <c r="AV795" s="34">
        <f t="shared" si="690"/>
        <v>0</v>
      </c>
      <c r="AW795" s="34">
        <f t="shared" si="691"/>
        <v>0</v>
      </c>
      <c r="AX795" s="34">
        <f t="shared" si="692"/>
        <v>0</v>
      </c>
      <c r="AY795" s="35" t="s">
        <v>3687</v>
      </c>
      <c r="AZ795" s="35" t="s">
        <v>3717</v>
      </c>
      <c r="BA795" s="27" t="s">
        <v>3729</v>
      </c>
      <c r="BC795" s="34">
        <f t="shared" si="693"/>
        <v>0</v>
      </c>
      <c r="BD795" s="34">
        <f t="shared" si="694"/>
        <v>0</v>
      </c>
      <c r="BE795" s="34">
        <v>0</v>
      </c>
      <c r="BF795" s="34">
        <f>795</f>
        <v>795</v>
      </c>
      <c r="BH795" s="18">
        <f t="shared" si="695"/>
        <v>0</v>
      </c>
      <c r="BI795" s="18">
        <f t="shared" si="696"/>
        <v>0</v>
      </c>
      <c r="BJ795" s="18">
        <f t="shared" si="697"/>
        <v>0</v>
      </c>
    </row>
    <row r="796" spans="1:62" x14ac:dyDescent="0.2">
      <c r="A796" s="4"/>
      <c r="B796" s="14" t="s">
        <v>783</v>
      </c>
      <c r="C796" s="133" t="s">
        <v>3139</v>
      </c>
      <c r="D796" s="134"/>
      <c r="E796" s="134"/>
      <c r="F796" s="134"/>
      <c r="G796" s="134"/>
      <c r="H796" s="4" t="s">
        <v>6</v>
      </c>
      <c r="I796" s="4" t="s">
        <v>6</v>
      </c>
      <c r="J796" s="4" t="s">
        <v>6</v>
      </c>
      <c r="K796" s="37">
        <f>SUM(K797:K801)</f>
        <v>0</v>
      </c>
      <c r="L796" s="27"/>
      <c r="AI796" s="27" t="s">
        <v>3645</v>
      </c>
      <c r="AS796" s="37">
        <f>SUM(AJ797:AJ801)</f>
        <v>0</v>
      </c>
      <c r="AT796" s="37">
        <f>SUM(AK797:AK801)</f>
        <v>0</v>
      </c>
      <c r="AU796" s="37">
        <f>SUM(AL797:AL801)</f>
        <v>0</v>
      </c>
    </row>
    <row r="797" spans="1:62" x14ac:dyDescent="0.2">
      <c r="A797" s="5" t="s">
        <v>749</v>
      </c>
      <c r="B797" s="5" t="s">
        <v>1935</v>
      </c>
      <c r="C797" s="135" t="s">
        <v>3140</v>
      </c>
      <c r="D797" s="136"/>
      <c r="E797" s="136"/>
      <c r="F797" s="136"/>
      <c r="G797" s="136"/>
      <c r="H797" s="5" t="s">
        <v>3615</v>
      </c>
      <c r="I797" s="18">
        <v>116.6</v>
      </c>
      <c r="J797" s="18">
        <v>0</v>
      </c>
      <c r="K797" s="18">
        <f>I797*J797</f>
        <v>0</v>
      </c>
      <c r="L797" s="28" t="s">
        <v>3635</v>
      </c>
      <c r="Z797" s="34">
        <f>IF(AQ797="5",BJ797,0)</f>
        <v>0</v>
      </c>
      <c r="AB797" s="34">
        <f>IF(AQ797="1",BH797,0)</f>
        <v>0</v>
      </c>
      <c r="AC797" s="34">
        <f>IF(AQ797="1",BI797,0)</f>
        <v>0</v>
      </c>
      <c r="AD797" s="34">
        <f>IF(AQ797="7",BH797,0)</f>
        <v>0</v>
      </c>
      <c r="AE797" s="34">
        <f>IF(AQ797="7",BI797,0)</f>
        <v>0</v>
      </c>
      <c r="AF797" s="34">
        <f>IF(AQ797="2",BH797,0)</f>
        <v>0</v>
      </c>
      <c r="AG797" s="34">
        <f>IF(AQ797="2",BI797,0)</f>
        <v>0</v>
      </c>
      <c r="AH797" s="34">
        <f>IF(AQ797="0",BJ797,0)</f>
        <v>0</v>
      </c>
      <c r="AI797" s="27" t="s">
        <v>3645</v>
      </c>
      <c r="AJ797" s="18">
        <f>IF(AN797=0,K797,0)</f>
        <v>0</v>
      </c>
      <c r="AK797" s="18">
        <f>IF(AN797=15,K797,0)</f>
        <v>0</v>
      </c>
      <c r="AL797" s="18">
        <f>IF(AN797=21,K797,0)</f>
        <v>0</v>
      </c>
      <c r="AN797" s="34">
        <v>21</v>
      </c>
      <c r="AO797" s="34">
        <f>J797*0.764994264828519</f>
        <v>0</v>
      </c>
      <c r="AP797" s="34">
        <f>J797*(1-0.764994264828519)</f>
        <v>0</v>
      </c>
      <c r="AQ797" s="28" t="s">
        <v>13</v>
      </c>
      <c r="AV797" s="34">
        <f>AW797+AX797</f>
        <v>0</v>
      </c>
      <c r="AW797" s="34">
        <f>I797*AO797</f>
        <v>0</v>
      </c>
      <c r="AX797" s="34">
        <f>I797*AP797</f>
        <v>0</v>
      </c>
      <c r="AY797" s="35" t="s">
        <v>3688</v>
      </c>
      <c r="AZ797" s="35" t="s">
        <v>3717</v>
      </c>
      <c r="BA797" s="27" t="s">
        <v>3729</v>
      </c>
      <c r="BC797" s="34">
        <f>AW797+AX797</f>
        <v>0</v>
      </c>
      <c r="BD797" s="34">
        <f>J797/(100-BE797)*100</f>
        <v>0</v>
      </c>
      <c r="BE797" s="34">
        <v>0</v>
      </c>
      <c r="BF797" s="34">
        <f>797</f>
        <v>797</v>
      </c>
      <c r="BH797" s="18">
        <f>I797*AO797</f>
        <v>0</v>
      </c>
      <c r="BI797" s="18">
        <f>I797*AP797</f>
        <v>0</v>
      </c>
      <c r="BJ797" s="18">
        <f>I797*J797</f>
        <v>0</v>
      </c>
    </row>
    <row r="798" spans="1:62" x14ac:dyDescent="0.2">
      <c r="A798" s="5" t="s">
        <v>750</v>
      </c>
      <c r="B798" s="5" t="s">
        <v>1936</v>
      </c>
      <c r="C798" s="135" t="s">
        <v>3141</v>
      </c>
      <c r="D798" s="136"/>
      <c r="E798" s="136"/>
      <c r="F798" s="136"/>
      <c r="G798" s="136"/>
      <c r="H798" s="5" t="s">
        <v>3614</v>
      </c>
      <c r="I798" s="18">
        <v>69.31</v>
      </c>
      <c r="J798" s="18">
        <v>0</v>
      </c>
      <c r="K798" s="18">
        <f>I798*J798</f>
        <v>0</v>
      </c>
      <c r="L798" s="28" t="s">
        <v>3635</v>
      </c>
      <c r="Z798" s="34">
        <f>IF(AQ798="5",BJ798,0)</f>
        <v>0</v>
      </c>
      <c r="AB798" s="34">
        <f>IF(AQ798="1",BH798,0)</f>
        <v>0</v>
      </c>
      <c r="AC798" s="34">
        <f>IF(AQ798="1",BI798,0)</f>
        <v>0</v>
      </c>
      <c r="AD798" s="34">
        <f>IF(AQ798="7",BH798,0)</f>
        <v>0</v>
      </c>
      <c r="AE798" s="34">
        <f>IF(AQ798="7",BI798,0)</f>
        <v>0</v>
      </c>
      <c r="AF798" s="34">
        <f>IF(AQ798="2",BH798,0)</f>
        <v>0</v>
      </c>
      <c r="AG798" s="34">
        <f>IF(AQ798="2",BI798,0)</f>
        <v>0</v>
      </c>
      <c r="AH798" s="34">
        <f>IF(AQ798="0",BJ798,0)</f>
        <v>0</v>
      </c>
      <c r="AI798" s="27" t="s">
        <v>3645</v>
      </c>
      <c r="AJ798" s="18">
        <f>IF(AN798=0,K798,0)</f>
        <v>0</v>
      </c>
      <c r="AK798" s="18">
        <f>IF(AN798=15,K798,0)</f>
        <v>0</v>
      </c>
      <c r="AL798" s="18">
        <f>IF(AN798=21,K798,0)</f>
        <v>0</v>
      </c>
      <c r="AN798" s="34">
        <v>21</v>
      </c>
      <c r="AO798" s="34">
        <f>J798*0.764974539253075</f>
        <v>0</v>
      </c>
      <c r="AP798" s="34">
        <f>J798*(1-0.764974539253075)</f>
        <v>0</v>
      </c>
      <c r="AQ798" s="28" t="s">
        <v>13</v>
      </c>
      <c r="AV798" s="34">
        <f>AW798+AX798</f>
        <v>0</v>
      </c>
      <c r="AW798" s="34">
        <f>I798*AO798</f>
        <v>0</v>
      </c>
      <c r="AX798" s="34">
        <f>I798*AP798</f>
        <v>0</v>
      </c>
      <c r="AY798" s="35" t="s">
        <v>3688</v>
      </c>
      <c r="AZ798" s="35" t="s">
        <v>3717</v>
      </c>
      <c r="BA798" s="27" t="s">
        <v>3729</v>
      </c>
      <c r="BC798" s="34">
        <f>AW798+AX798</f>
        <v>0</v>
      </c>
      <c r="BD798" s="34">
        <f>J798/(100-BE798)*100</f>
        <v>0</v>
      </c>
      <c r="BE798" s="34">
        <v>0</v>
      </c>
      <c r="BF798" s="34">
        <f>798</f>
        <v>798</v>
      </c>
      <c r="BH798" s="18">
        <f>I798*AO798</f>
        <v>0</v>
      </c>
      <c r="BI798" s="18">
        <f>I798*AP798</f>
        <v>0</v>
      </c>
      <c r="BJ798" s="18">
        <f>I798*J798</f>
        <v>0</v>
      </c>
    </row>
    <row r="799" spans="1:62" x14ac:dyDescent="0.2">
      <c r="A799" s="5" t="s">
        <v>751</v>
      </c>
      <c r="B799" s="5" t="s">
        <v>1937</v>
      </c>
      <c r="C799" s="135" t="s">
        <v>3142</v>
      </c>
      <c r="D799" s="136"/>
      <c r="E799" s="136"/>
      <c r="F799" s="136"/>
      <c r="G799" s="136"/>
      <c r="H799" s="5" t="s">
        <v>3615</v>
      </c>
      <c r="I799" s="18">
        <v>11.8</v>
      </c>
      <c r="J799" s="18">
        <v>0</v>
      </c>
      <c r="K799" s="18">
        <f>I799*J799</f>
        <v>0</v>
      </c>
      <c r="L799" s="28" t="s">
        <v>3635</v>
      </c>
      <c r="Z799" s="34">
        <f>IF(AQ799="5",BJ799,0)</f>
        <v>0</v>
      </c>
      <c r="AB799" s="34">
        <f>IF(AQ799="1",BH799,0)</f>
        <v>0</v>
      </c>
      <c r="AC799" s="34">
        <f>IF(AQ799="1",BI799,0)</f>
        <v>0</v>
      </c>
      <c r="AD799" s="34">
        <f>IF(AQ799="7",BH799,0)</f>
        <v>0</v>
      </c>
      <c r="AE799" s="34">
        <f>IF(AQ799="7",BI799,0)</f>
        <v>0</v>
      </c>
      <c r="AF799" s="34">
        <f>IF(AQ799="2",BH799,0)</f>
        <v>0</v>
      </c>
      <c r="AG799" s="34">
        <f>IF(AQ799="2",BI799,0)</f>
        <v>0</v>
      </c>
      <c r="AH799" s="34">
        <f>IF(AQ799="0",BJ799,0)</f>
        <v>0</v>
      </c>
      <c r="AI799" s="27" t="s">
        <v>3645</v>
      </c>
      <c r="AJ799" s="18">
        <f>IF(AN799=0,K799,0)</f>
        <v>0</v>
      </c>
      <c r="AK799" s="18">
        <f>IF(AN799=15,K799,0)</f>
        <v>0</v>
      </c>
      <c r="AL799" s="18">
        <f>IF(AN799=21,K799,0)</f>
        <v>0</v>
      </c>
      <c r="AN799" s="34">
        <v>21</v>
      </c>
      <c r="AO799" s="34">
        <f>J799*0.740423861852433</f>
        <v>0</v>
      </c>
      <c r="AP799" s="34">
        <f>J799*(1-0.740423861852433)</f>
        <v>0</v>
      </c>
      <c r="AQ799" s="28" t="s">
        <v>13</v>
      </c>
      <c r="AV799" s="34">
        <f>AW799+AX799</f>
        <v>0</v>
      </c>
      <c r="AW799" s="34">
        <f>I799*AO799</f>
        <v>0</v>
      </c>
      <c r="AX799" s="34">
        <f>I799*AP799</f>
        <v>0</v>
      </c>
      <c r="AY799" s="35" t="s">
        <v>3688</v>
      </c>
      <c r="AZ799" s="35" t="s">
        <v>3717</v>
      </c>
      <c r="BA799" s="27" t="s">
        <v>3729</v>
      </c>
      <c r="BC799" s="34">
        <f>AW799+AX799</f>
        <v>0</v>
      </c>
      <c r="BD799" s="34">
        <f>J799/(100-BE799)*100</f>
        <v>0</v>
      </c>
      <c r="BE799" s="34">
        <v>0</v>
      </c>
      <c r="BF799" s="34">
        <f>799</f>
        <v>799</v>
      </c>
      <c r="BH799" s="18">
        <f>I799*AO799</f>
        <v>0</v>
      </c>
      <c r="BI799" s="18">
        <f>I799*AP799</f>
        <v>0</v>
      </c>
      <c r="BJ799" s="18">
        <f>I799*J799</f>
        <v>0</v>
      </c>
    </row>
    <row r="800" spans="1:62" x14ac:dyDescent="0.2">
      <c r="A800" s="5" t="s">
        <v>752</v>
      </c>
      <c r="B800" s="5" t="s">
        <v>1938</v>
      </c>
      <c r="C800" s="135" t="s">
        <v>3143</v>
      </c>
      <c r="D800" s="136"/>
      <c r="E800" s="136"/>
      <c r="F800" s="136"/>
      <c r="G800" s="136"/>
      <c r="H800" s="5" t="s">
        <v>3615</v>
      </c>
      <c r="I800" s="18">
        <v>11.064</v>
      </c>
      <c r="J800" s="18">
        <v>0</v>
      </c>
      <c r="K800" s="18">
        <f>I800*J800</f>
        <v>0</v>
      </c>
      <c r="L800" s="28" t="s">
        <v>3635</v>
      </c>
      <c r="Z800" s="34">
        <f>IF(AQ800="5",BJ800,0)</f>
        <v>0</v>
      </c>
      <c r="AB800" s="34">
        <f>IF(AQ800="1",BH800,0)</f>
        <v>0</v>
      </c>
      <c r="AC800" s="34">
        <f>IF(AQ800="1",BI800,0)</f>
        <v>0</v>
      </c>
      <c r="AD800" s="34">
        <f>IF(AQ800="7",BH800,0)</f>
        <v>0</v>
      </c>
      <c r="AE800" s="34">
        <f>IF(AQ800="7",BI800,0)</f>
        <v>0</v>
      </c>
      <c r="AF800" s="34">
        <f>IF(AQ800="2",BH800,0)</f>
        <v>0</v>
      </c>
      <c r="AG800" s="34">
        <f>IF(AQ800="2",BI800,0)</f>
        <v>0</v>
      </c>
      <c r="AH800" s="34">
        <f>IF(AQ800="0",BJ800,0)</f>
        <v>0</v>
      </c>
      <c r="AI800" s="27" t="s">
        <v>3645</v>
      </c>
      <c r="AJ800" s="18">
        <f>IF(AN800=0,K800,0)</f>
        <v>0</v>
      </c>
      <c r="AK800" s="18">
        <f>IF(AN800=15,K800,0)</f>
        <v>0</v>
      </c>
      <c r="AL800" s="18">
        <f>IF(AN800=21,K800,0)</f>
        <v>0</v>
      </c>
      <c r="AN800" s="34">
        <v>21</v>
      </c>
      <c r="AO800" s="34">
        <f>J800*0.740475991289857</f>
        <v>0</v>
      </c>
      <c r="AP800" s="34">
        <f>J800*(1-0.740475991289857)</f>
        <v>0</v>
      </c>
      <c r="AQ800" s="28" t="s">
        <v>13</v>
      </c>
      <c r="AV800" s="34">
        <f>AW800+AX800</f>
        <v>0</v>
      </c>
      <c r="AW800" s="34">
        <f>I800*AO800</f>
        <v>0</v>
      </c>
      <c r="AX800" s="34">
        <f>I800*AP800</f>
        <v>0</v>
      </c>
      <c r="AY800" s="35" t="s">
        <v>3688</v>
      </c>
      <c r="AZ800" s="35" t="s">
        <v>3717</v>
      </c>
      <c r="BA800" s="27" t="s">
        <v>3729</v>
      </c>
      <c r="BC800" s="34">
        <f>AW800+AX800</f>
        <v>0</v>
      </c>
      <c r="BD800" s="34">
        <f>J800/(100-BE800)*100</f>
        <v>0</v>
      </c>
      <c r="BE800" s="34">
        <v>0</v>
      </c>
      <c r="BF800" s="34">
        <f>800</f>
        <v>800</v>
      </c>
      <c r="BH800" s="18">
        <f>I800*AO800</f>
        <v>0</v>
      </c>
      <c r="BI800" s="18">
        <f>I800*AP800</f>
        <v>0</v>
      </c>
      <c r="BJ800" s="18">
        <f>I800*J800</f>
        <v>0</v>
      </c>
    </row>
    <row r="801" spans="1:62" x14ac:dyDescent="0.2">
      <c r="A801" s="5" t="s">
        <v>753</v>
      </c>
      <c r="B801" s="5" t="s">
        <v>1939</v>
      </c>
      <c r="C801" s="135" t="s">
        <v>3144</v>
      </c>
      <c r="D801" s="136"/>
      <c r="E801" s="136"/>
      <c r="F801" s="136"/>
      <c r="G801" s="136"/>
      <c r="H801" s="5" t="s">
        <v>3616</v>
      </c>
      <c r="I801" s="18">
        <v>1.3569</v>
      </c>
      <c r="J801" s="18">
        <v>0</v>
      </c>
      <c r="K801" s="18">
        <f>I801*J801</f>
        <v>0</v>
      </c>
      <c r="L801" s="28" t="s">
        <v>3635</v>
      </c>
      <c r="Z801" s="34">
        <f>IF(AQ801="5",BJ801,0)</f>
        <v>0</v>
      </c>
      <c r="AB801" s="34">
        <f>IF(AQ801="1",BH801,0)</f>
        <v>0</v>
      </c>
      <c r="AC801" s="34">
        <f>IF(AQ801="1",BI801,0)</f>
        <v>0</v>
      </c>
      <c r="AD801" s="34">
        <f>IF(AQ801="7",BH801,0)</f>
        <v>0</v>
      </c>
      <c r="AE801" s="34">
        <f>IF(AQ801="7",BI801,0)</f>
        <v>0</v>
      </c>
      <c r="AF801" s="34">
        <f>IF(AQ801="2",BH801,0)</f>
        <v>0</v>
      </c>
      <c r="AG801" s="34">
        <f>IF(AQ801="2",BI801,0)</f>
        <v>0</v>
      </c>
      <c r="AH801" s="34">
        <f>IF(AQ801="0",BJ801,0)</f>
        <v>0</v>
      </c>
      <c r="AI801" s="27" t="s">
        <v>3645</v>
      </c>
      <c r="AJ801" s="18">
        <f>IF(AN801=0,K801,0)</f>
        <v>0</v>
      </c>
      <c r="AK801" s="18">
        <f>IF(AN801=15,K801,0)</f>
        <v>0</v>
      </c>
      <c r="AL801" s="18">
        <f>IF(AN801=21,K801,0)</f>
        <v>0</v>
      </c>
      <c r="AN801" s="34">
        <v>21</v>
      </c>
      <c r="AO801" s="34">
        <f>J801*0</f>
        <v>0</v>
      </c>
      <c r="AP801" s="34">
        <f>J801*(1-0)</f>
        <v>0</v>
      </c>
      <c r="AQ801" s="28" t="s">
        <v>11</v>
      </c>
      <c r="AV801" s="34">
        <f>AW801+AX801</f>
        <v>0</v>
      </c>
      <c r="AW801" s="34">
        <f>I801*AO801</f>
        <v>0</v>
      </c>
      <c r="AX801" s="34">
        <f>I801*AP801</f>
        <v>0</v>
      </c>
      <c r="AY801" s="35" t="s">
        <v>3688</v>
      </c>
      <c r="AZ801" s="35" t="s">
        <v>3717</v>
      </c>
      <c r="BA801" s="27" t="s">
        <v>3729</v>
      </c>
      <c r="BC801" s="34">
        <f>AW801+AX801</f>
        <v>0</v>
      </c>
      <c r="BD801" s="34">
        <f>J801/(100-BE801)*100</f>
        <v>0</v>
      </c>
      <c r="BE801" s="34">
        <v>0</v>
      </c>
      <c r="BF801" s="34">
        <f>801</f>
        <v>801</v>
      </c>
      <c r="BH801" s="18">
        <f>I801*AO801</f>
        <v>0</v>
      </c>
      <c r="BI801" s="18">
        <f>I801*AP801</f>
        <v>0</v>
      </c>
      <c r="BJ801" s="18">
        <f>I801*J801</f>
        <v>0</v>
      </c>
    </row>
    <row r="802" spans="1:62" x14ac:dyDescent="0.2">
      <c r="A802" s="4"/>
      <c r="B802" s="14" t="s">
        <v>787</v>
      </c>
      <c r="C802" s="133" t="s">
        <v>3145</v>
      </c>
      <c r="D802" s="134"/>
      <c r="E802" s="134"/>
      <c r="F802" s="134"/>
      <c r="G802" s="134"/>
      <c r="H802" s="4" t="s">
        <v>6</v>
      </c>
      <c r="I802" s="4" t="s">
        <v>6</v>
      </c>
      <c r="J802" s="4" t="s">
        <v>6</v>
      </c>
      <c r="K802" s="37">
        <f>SUM(K803:K812)</f>
        <v>0</v>
      </c>
      <c r="L802" s="27"/>
      <c r="AI802" s="27" t="s">
        <v>3645</v>
      </c>
      <c r="AS802" s="37">
        <f>SUM(AJ803:AJ812)</f>
        <v>0</v>
      </c>
      <c r="AT802" s="37">
        <f>SUM(AK803:AK812)</f>
        <v>0</v>
      </c>
      <c r="AU802" s="37">
        <f>SUM(AL803:AL812)</f>
        <v>0</v>
      </c>
    </row>
    <row r="803" spans="1:62" x14ac:dyDescent="0.2">
      <c r="A803" s="5" t="s">
        <v>754</v>
      </c>
      <c r="B803" s="5" t="s">
        <v>1940</v>
      </c>
      <c r="C803" s="135" t="s">
        <v>3146</v>
      </c>
      <c r="D803" s="136"/>
      <c r="E803" s="136"/>
      <c r="F803" s="136"/>
      <c r="G803" s="136"/>
      <c r="H803" s="5" t="s">
        <v>3615</v>
      </c>
      <c r="I803" s="18">
        <v>92.337000000000003</v>
      </c>
      <c r="J803" s="18">
        <v>0</v>
      </c>
      <c r="K803" s="18">
        <f t="shared" ref="K803:K812" si="698">I803*J803</f>
        <v>0</v>
      </c>
      <c r="L803" s="28" t="s">
        <v>3635</v>
      </c>
      <c r="Z803" s="34">
        <f t="shared" ref="Z803:Z812" si="699">IF(AQ803="5",BJ803,0)</f>
        <v>0</v>
      </c>
      <c r="AB803" s="34">
        <f t="shared" ref="AB803:AB812" si="700">IF(AQ803="1",BH803,0)</f>
        <v>0</v>
      </c>
      <c r="AC803" s="34">
        <f t="shared" ref="AC803:AC812" si="701">IF(AQ803="1",BI803,0)</f>
        <v>0</v>
      </c>
      <c r="AD803" s="34">
        <f t="shared" ref="AD803:AD812" si="702">IF(AQ803="7",BH803,0)</f>
        <v>0</v>
      </c>
      <c r="AE803" s="34">
        <f t="shared" ref="AE803:AE812" si="703">IF(AQ803="7",BI803,0)</f>
        <v>0</v>
      </c>
      <c r="AF803" s="34">
        <f t="shared" ref="AF803:AF812" si="704">IF(AQ803="2",BH803,0)</f>
        <v>0</v>
      </c>
      <c r="AG803" s="34">
        <f t="shared" ref="AG803:AG812" si="705">IF(AQ803="2",BI803,0)</f>
        <v>0</v>
      </c>
      <c r="AH803" s="34">
        <f t="shared" ref="AH803:AH812" si="706">IF(AQ803="0",BJ803,0)</f>
        <v>0</v>
      </c>
      <c r="AI803" s="27" t="s">
        <v>3645</v>
      </c>
      <c r="AJ803" s="18">
        <f t="shared" ref="AJ803:AJ812" si="707">IF(AN803=0,K803,0)</f>
        <v>0</v>
      </c>
      <c r="AK803" s="18">
        <f t="shared" ref="AK803:AK812" si="708">IF(AN803=15,K803,0)</f>
        <v>0</v>
      </c>
      <c r="AL803" s="18">
        <f t="shared" ref="AL803:AL812" si="709">IF(AN803=21,K803,0)</f>
        <v>0</v>
      </c>
      <c r="AN803" s="34">
        <v>21</v>
      </c>
      <c r="AO803" s="34">
        <f>J803*0</f>
        <v>0</v>
      </c>
      <c r="AP803" s="34">
        <f>J803*(1-0)</f>
        <v>0</v>
      </c>
      <c r="AQ803" s="28" t="s">
        <v>13</v>
      </c>
      <c r="AV803" s="34">
        <f t="shared" ref="AV803:AV812" si="710">AW803+AX803</f>
        <v>0</v>
      </c>
      <c r="AW803" s="34">
        <f t="shared" ref="AW803:AW812" si="711">I803*AO803</f>
        <v>0</v>
      </c>
      <c r="AX803" s="34">
        <f t="shared" ref="AX803:AX812" si="712">I803*AP803</f>
        <v>0</v>
      </c>
      <c r="AY803" s="35" t="s">
        <v>3689</v>
      </c>
      <c r="AZ803" s="35" t="s">
        <v>3718</v>
      </c>
      <c r="BA803" s="27" t="s">
        <v>3729</v>
      </c>
      <c r="BC803" s="34">
        <f t="shared" ref="BC803:BC812" si="713">AW803+AX803</f>
        <v>0</v>
      </c>
      <c r="BD803" s="34">
        <f t="shared" ref="BD803:BD812" si="714">J803/(100-BE803)*100</f>
        <v>0</v>
      </c>
      <c r="BE803" s="34">
        <v>0</v>
      </c>
      <c r="BF803" s="34">
        <f>803</f>
        <v>803</v>
      </c>
      <c r="BH803" s="18">
        <f t="shared" ref="BH803:BH812" si="715">I803*AO803</f>
        <v>0</v>
      </c>
      <c r="BI803" s="18">
        <f t="shared" ref="BI803:BI812" si="716">I803*AP803</f>
        <v>0</v>
      </c>
      <c r="BJ803" s="18">
        <f t="shared" ref="BJ803:BJ812" si="717">I803*J803</f>
        <v>0</v>
      </c>
    </row>
    <row r="804" spans="1:62" x14ac:dyDescent="0.2">
      <c r="A804" s="5" t="s">
        <v>755</v>
      </c>
      <c r="B804" s="5" t="s">
        <v>1941</v>
      </c>
      <c r="C804" s="135" t="s">
        <v>3147</v>
      </c>
      <c r="D804" s="136"/>
      <c r="E804" s="136"/>
      <c r="F804" s="136"/>
      <c r="G804" s="136"/>
      <c r="H804" s="5" t="s">
        <v>3615</v>
      </c>
      <c r="I804" s="18">
        <v>368.55099999999999</v>
      </c>
      <c r="J804" s="18">
        <v>0</v>
      </c>
      <c r="K804" s="18">
        <f t="shared" si="698"/>
        <v>0</v>
      </c>
      <c r="L804" s="28" t="s">
        <v>3635</v>
      </c>
      <c r="Z804" s="34">
        <f t="shared" si="699"/>
        <v>0</v>
      </c>
      <c r="AB804" s="34">
        <f t="shared" si="700"/>
        <v>0</v>
      </c>
      <c r="AC804" s="34">
        <f t="shared" si="701"/>
        <v>0</v>
      </c>
      <c r="AD804" s="34">
        <f t="shared" si="702"/>
        <v>0</v>
      </c>
      <c r="AE804" s="34">
        <f t="shared" si="703"/>
        <v>0</v>
      </c>
      <c r="AF804" s="34">
        <f t="shared" si="704"/>
        <v>0</v>
      </c>
      <c r="AG804" s="34">
        <f t="shared" si="705"/>
        <v>0</v>
      </c>
      <c r="AH804" s="34">
        <f t="shared" si="706"/>
        <v>0</v>
      </c>
      <c r="AI804" s="27" t="s">
        <v>3645</v>
      </c>
      <c r="AJ804" s="18">
        <f t="shared" si="707"/>
        <v>0</v>
      </c>
      <c r="AK804" s="18">
        <f t="shared" si="708"/>
        <v>0</v>
      </c>
      <c r="AL804" s="18">
        <f t="shared" si="709"/>
        <v>0</v>
      </c>
      <c r="AN804" s="34">
        <v>21</v>
      </c>
      <c r="AO804" s="34">
        <f>J804*0.466666707512478</f>
        <v>0</v>
      </c>
      <c r="AP804" s="34">
        <f>J804*(1-0.466666707512478)</f>
        <v>0</v>
      </c>
      <c r="AQ804" s="28" t="s">
        <v>13</v>
      </c>
      <c r="AV804" s="34">
        <f t="shared" si="710"/>
        <v>0</v>
      </c>
      <c r="AW804" s="34">
        <f t="shared" si="711"/>
        <v>0</v>
      </c>
      <c r="AX804" s="34">
        <f t="shared" si="712"/>
        <v>0</v>
      </c>
      <c r="AY804" s="35" t="s">
        <v>3689</v>
      </c>
      <c r="AZ804" s="35" t="s">
        <v>3718</v>
      </c>
      <c r="BA804" s="27" t="s">
        <v>3729</v>
      </c>
      <c r="BC804" s="34">
        <f t="shared" si="713"/>
        <v>0</v>
      </c>
      <c r="BD804" s="34">
        <f t="shared" si="714"/>
        <v>0</v>
      </c>
      <c r="BE804" s="34">
        <v>0</v>
      </c>
      <c r="BF804" s="34">
        <f>804</f>
        <v>804</v>
      </c>
      <c r="BH804" s="18">
        <f t="shared" si="715"/>
        <v>0</v>
      </c>
      <c r="BI804" s="18">
        <f t="shared" si="716"/>
        <v>0</v>
      </c>
      <c r="BJ804" s="18">
        <f t="shared" si="717"/>
        <v>0</v>
      </c>
    </row>
    <row r="805" spans="1:62" x14ac:dyDescent="0.2">
      <c r="A805" s="5" t="s">
        <v>756</v>
      </c>
      <c r="B805" s="5" t="s">
        <v>1942</v>
      </c>
      <c r="C805" s="135" t="s">
        <v>3148</v>
      </c>
      <c r="D805" s="136"/>
      <c r="E805" s="136"/>
      <c r="F805" s="136"/>
      <c r="G805" s="136"/>
      <c r="H805" s="5" t="s">
        <v>3614</v>
      </c>
      <c r="I805" s="18">
        <v>181.79</v>
      </c>
      <c r="J805" s="18">
        <v>0</v>
      </c>
      <c r="K805" s="18">
        <f t="shared" si="698"/>
        <v>0</v>
      </c>
      <c r="L805" s="28" t="s">
        <v>3635</v>
      </c>
      <c r="Z805" s="34">
        <f t="shared" si="699"/>
        <v>0</v>
      </c>
      <c r="AB805" s="34">
        <f t="shared" si="700"/>
        <v>0</v>
      </c>
      <c r="AC805" s="34">
        <f t="shared" si="701"/>
        <v>0</v>
      </c>
      <c r="AD805" s="34">
        <f t="shared" si="702"/>
        <v>0</v>
      </c>
      <c r="AE805" s="34">
        <f t="shared" si="703"/>
        <v>0</v>
      </c>
      <c r="AF805" s="34">
        <f t="shared" si="704"/>
        <v>0</v>
      </c>
      <c r="AG805" s="34">
        <f t="shared" si="705"/>
        <v>0</v>
      </c>
      <c r="AH805" s="34">
        <f t="shared" si="706"/>
        <v>0</v>
      </c>
      <c r="AI805" s="27" t="s">
        <v>3645</v>
      </c>
      <c r="AJ805" s="18">
        <f t="shared" si="707"/>
        <v>0</v>
      </c>
      <c r="AK805" s="18">
        <f t="shared" si="708"/>
        <v>0</v>
      </c>
      <c r="AL805" s="18">
        <f t="shared" si="709"/>
        <v>0</v>
      </c>
      <c r="AN805" s="34">
        <v>21</v>
      </c>
      <c r="AO805" s="34">
        <f>J805*0</f>
        <v>0</v>
      </c>
      <c r="AP805" s="34">
        <f>J805*(1-0)</f>
        <v>0</v>
      </c>
      <c r="AQ805" s="28" t="s">
        <v>13</v>
      </c>
      <c r="AV805" s="34">
        <f t="shared" si="710"/>
        <v>0</v>
      </c>
      <c r="AW805" s="34">
        <f t="shared" si="711"/>
        <v>0</v>
      </c>
      <c r="AX805" s="34">
        <f t="shared" si="712"/>
        <v>0</v>
      </c>
      <c r="AY805" s="35" t="s">
        <v>3689</v>
      </c>
      <c r="AZ805" s="35" t="s">
        <v>3718</v>
      </c>
      <c r="BA805" s="27" t="s">
        <v>3729</v>
      </c>
      <c r="BC805" s="34">
        <f t="shared" si="713"/>
        <v>0</v>
      </c>
      <c r="BD805" s="34">
        <f t="shared" si="714"/>
        <v>0</v>
      </c>
      <c r="BE805" s="34">
        <v>0</v>
      </c>
      <c r="BF805" s="34">
        <f>805</f>
        <v>805</v>
      </c>
      <c r="BH805" s="18">
        <f t="shared" si="715"/>
        <v>0</v>
      </c>
      <c r="BI805" s="18">
        <f t="shared" si="716"/>
        <v>0</v>
      </c>
      <c r="BJ805" s="18">
        <f t="shared" si="717"/>
        <v>0</v>
      </c>
    </row>
    <row r="806" spans="1:62" x14ac:dyDescent="0.2">
      <c r="A806" s="6" t="s">
        <v>757</v>
      </c>
      <c r="B806" s="6" t="s">
        <v>1943</v>
      </c>
      <c r="C806" s="137" t="s">
        <v>3149</v>
      </c>
      <c r="D806" s="138"/>
      <c r="E806" s="138"/>
      <c r="F806" s="138"/>
      <c r="G806" s="138"/>
      <c r="H806" s="6" t="s">
        <v>3612</v>
      </c>
      <c r="I806" s="19">
        <v>190.87950000000001</v>
      </c>
      <c r="J806" s="19">
        <v>0</v>
      </c>
      <c r="K806" s="19">
        <f t="shared" si="698"/>
        <v>0</v>
      </c>
      <c r="L806" s="29" t="s">
        <v>3635</v>
      </c>
      <c r="Z806" s="34">
        <f t="shared" si="699"/>
        <v>0</v>
      </c>
      <c r="AB806" s="34">
        <f t="shared" si="700"/>
        <v>0</v>
      </c>
      <c r="AC806" s="34">
        <f t="shared" si="701"/>
        <v>0</v>
      </c>
      <c r="AD806" s="34">
        <f t="shared" si="702"/>
        <v>0</v>
      </c>
      <c r="AE806" s="34">
        <f t="shared" si="703"/>
        <v>0</v>
      </c>
      <c r="AF806" s="34">
        <f t="shared" si="704"/>
        <v>0</v>
      </c>
      <c r="AG806" s="34">
        <f t="shared" si="705"/>
        <v>0</v>
      </c>
      <c r="AH806" s="34">
        <f t="shared" si="706"/>
        <v>0</v>
      </c>
      <c r="AI806" s="27" t="s">
        <v>3645</v>
      </c>
      <c r="AJ806" s="19">
        <f t="shared" si="707"/>
        <v>0</v>
      </c>
      <c r="AK806" s="19">
        <f t="shared" si="708"/>
        <v>0</v>
      </c>
      <c r="AL806" s="19">
        <f t="shared" si="709"/>
        <v>0</v>
      </c>
      <c r="AN806" s="34">
        <v>21</v>
      </c>
      <c r="AO806" s="34">
        <f>J806*1</f>
        <v>0</v>
      </c>
      <c r="AP806" s="34">
        <f>J806*(1-1)</f>
        <v>0</v>
      </c>
      <c r="AQ806" s="29" t="s">
        <v>13</v>
      </c>
      <c r="AV806" s="34">
        <f t="shared" si="710"/>
        <v>0</v>
      </c>
      <c r="AW806" s="34">
        <f t="shared" si="711"/>
        <v>0</v>
      </c>
      <c r="AX806" s="34">
        <f t="shared" si="712"/>
        <v>0</v>
      </c>
      <c r="AY806" s="35" t="s">
        <v>3689</v>
      </c>
      <c r="AZ806" s="35" t="s">
        <v>3718</v>
      </c>
      <c r="BA806" s="27" t="s">
        <v>3729</v>
      </c>
      <c r="BC806" s="34">
        <f t="shared" si="713"/>
        <v>0</v>
      </c>
      <c r="BD806" s="34">
        <f t="shared" si="714"/>
        <v>0</v>
      </c>
      <c r="BE806" s="34">
        <v>0</v>
      </c>
      <c r="BF806" s="34">
        <f>806</f>
        <v>806</v>
      </c>
      <c r="BH806" s="19">
        <f t="shared" si="715"/>
        <v>0</v>
      </c>
      <c r="BI806" s="19">
        <f t="shared" si="716"/>
        <v>0</v>
      </c>
      <c r="BJ806" s="19">
        <f t="shared" si="717"/>
        <v>0</v>
      </c>
    </row>
    <row r="807" spans="1:62" x14ac:dyDescent="0.2">
      <c r="A807" s="5" t="s">
        <v>758</v>
      </c>
      <c r="B807" s="5" t="s">
        <v>1944</v>
      </c>
      <c r="C807" s="135" t="s">
        <v>3150</v>
      </c>
      <c r="D807" s="136"/>
      <c r="E807" s="136"/>
      <c r="F807" s="136"/>
      <c r="G807" s="136"/>
      <c r="H807" s="5" t="s">
        <v>3615</v>
      </c>
      <c r="I807" s="18">
        <v>368.55099999999999</v>
      </c>
      <c r="J807" s="18">
        <v>0</v>
      </c>
      <c r="K807" s="18">
        <f t="shared" si="698"/>
        <v>0</v>
      </c>
      <c r="L807" s="28" t="s">
        <v>3635</v>
      </c>
      <c r="Z807" s="34">
        <f t="shared" si="699"/>
        <v>0</v>
      </c>
      <c r="AB807" s="34">
        <f t="shared" si="700"/>
        <v>0</v>
      </c>
      <c r="AC807" s="34">
        <f t="shared" si="701"/>
        <v>0</v>
      </c>
      <c r="AD807" s="34">
        <f t="shared" si="702"/>
        <v>0</v>
      </c>
      <c r="AE807" s="34">
        <f t="shared" si="703"/>
        <v>0</v>
      </c>
      <c r="AF807" s="34">
        <f t="shared" si="704"/>
        <v>0</v>
      </c>
      <c r="AG807" s="34">
        <f t="shared" si="705"/>
        <v>0</v>
      </c>
      <c r="AH807" s="34">
        <f t="shared" si="706"/>
        <v>0</v>
      </c>
      <c r="AI807" s="27" t="s">
        <v>3645</v>
      </c>
      <c r="AJ807" s="18">
        <f t="shared" si="707"/>
        <v>0</v>
      </c>
      <c r="AK807" s="18">
        <f t="shared" si="708"/>
        <v>0</v>
      </c>
      <c r="AL807" s="18">
        <f t="shared" si="709"/>
        <v>0</v>
      </c>
      <c r="AN807" s="34">
        <v>21</v>
      </c>
      <c r="AO807" s="34">
        <f>J807*0</f>
        <v>0</v>
      </c>
      <c r="AP807" s="34">
        <f>J807*(1-0)</f>
        <v>0</v>
      </c>
      <c r="AQ807" s="28" t="s">
        <v>13</v>
      </c>
      <c r="AV807" s="34">
        <f t="shared" si="710"/>
        <v>0</v>
      </c>
      <c r="AW807" s="34">
        <f t="shared" si="711"/>
        <v>0</v>
      </c>
      <c r="AX807" s="34">
        <f t="shared" si="712"/>
        <v>0</v>
      </c>
      <c r="AY807" s="35" t="s">
        <v>3689</v>
      </c>
      <c r="AZ807" s="35" t="s">
        <v>3718</v>
      </c>
      <c r="BA807" s="27" t="s">
        <v>3729</v>
      </c>
      <c r="BC807" s="34">
        <f t="shared" si="713"/>
        <v>0</v>
      </c>
      <c r="BD807" s="34">
        <f t="shared" si="714"/>
        <v>0</v>
      </c>
      <c r="BE807" s="34">
        <v>0</v>
      </c>
      <c r="BF807" s="34">
        <f>807</f>
        <v>807</v>
      </c>
      <c r="BH807" s="18">
        <f t="shared" si="715"/>
        <v>0</v>
      </c>
      <c r="BI807" s="18">
        <f t="shared" si="716"/>
        <v>0</v>
      </c>
      <c r="BJ807" s="18">
        <f t="shared" si="717"/>
        <v>0</v>
      </c>
    </row>
    <row r="808" spans="1:62" x14ac:dyDescent="0.2">
      <c r="A808" s="6" t="s">
        <v>759</v>
      </c>
      <c r="B808" s="6" t="s">
        <v>1945</v>
      </c>
      <c r="C808" s="137" t="s">
        <v>3151</v>
      </c>
      <c r="D808" s="138"/>
      <c r="E808" s="138"/>
      <c r="F808" s="138"/>
      <c r="G808" s="138"/>
      <c r="H808" s="6" t="s">
        <v>3615</v>
      </c>
      <c r="I808" s="19">
        <v>386.97854999999998</v>
      </c>
      <c r="J808" s="19">
        <v>0</v>
      </c>
      <c r="K808" s="19">
        <f t="shared" si="698"/>
        <v>0</v>
      </c>
      <c r="L808" s="29" t="s">
        <v>3635</v>
      </c>
      <c r="Z808" s="34">
        <f t="shared" si="699"/>
        <v>0</v>
      </c>
      <c r="AB808" s="34">
        <f t="shared" si="700"/>
        <v>0</v>
      </c>
      <c r="AC808" s="34">
        <f t="shared" si="701"/>
        <v>0</v>
      </c>
      <c r="AD808" s="34">
        <f t="shared" si="702"/>
        <v>0</v>
      </c>
      <c r="AE808" s="34">
        <f t="shared" si="703"/>
        <v>0</v>
      </c>
      <c r="AF808" s="34">
        <f t="shared" si="704"/>
        <v>0</v>
      </c>
      <c r="AG808" s="34">
        <f t="shared" si="705"/>
        <v>0</v>
      </c>
      <c r="AH808" s="34">
        <f t="shared" si="706"/>
        <v>0</v>
      </c>
      <c r="AI808" s="27" t="s">
        <v>3645</v>
      </c>
      <c r="AJ808" s="19">
        <f t="shared" si="707"/>
        <v>0</v>
      </c>
      <c r="AK808" s="19">
        <f t="shared" si="708"/>
        <v>0</v>
      </c>
      <c r="AL808" s="19">
        <f t="shared" si="709"/>
        <v>0</v>
      </c>
      <c r="AN808" s="34">
        <v>21</v>
      </c>
      <c r="AO808" s="34">
        <f>J808*1</f>
        <v>0</v>
      </c>
      <c r="AP808" s="34">
        <f>J808*(1-1)</f>
        <v>0</v>
      </c>
      <c r="AQ808" s="29" t="s">
        <v>13</v>
      </c>
      <c r="AV808" s="34">
        <f t="shared" si="710"/>
        <v>0</v>
      </c>
      <c r="AW808" s="34">
        <f t="shared" si="711"/>
        <v>0</v>
      </c>
      <c r="AX808" s="34">
        <f t="shared" si="712"/>
        <v>0</v>
      </c>
      <c r="AY808" s="35" t="s">
        <v>3689</v>
      </c>
      <c r="AZ808" s="35" t="s">
        <v>3718</v>
      </c>
      <c r="BA808" s="27" t="s">
        <v>3729</v>
      </c>
      <c r="BC808" s="34">
        <f t="shared" si="713"/>
        <v>0</v>
      </c>
      <c r="BD808" s="34">
        <f t="shared" si="714"/>
        <v>0</v>
      </c>
      <c r="BE808" s="34">
        <v>0</v>
      </c>
      <c r="BF808" s="34">
        <f>808</f>
        <v>808</v>
      </c>
      <c r="BH808" s="19">
        <f t="shared" si="715"/>
        <v>0</v>
      </c>
      <c r="BI808" s="19">
        <f t="shared" si="716"/>
        <v>0</v>
      </c>
      <c r="BJ808" s="19">
        <f t="shared" si="717"/>
        <v>0</v>
      </c>
    </row>
    <row r="809" spans="1:62" x14ac:dyDescent="0.2">
      <c r="A809" s="5" t="s">
        <v>760</v>
      </c>
      <c r="B809" s="5" t="s">
        <v>1946</v>
      </c>
      <c r="C809" s="135" t="s">
        <v>3152</v>
      </c>
      <c r="D809" s="136"/>
      <c r="E809" s="136"/>
      <c r="F809" s="136"/>
      <c r="G809" s="136"/>
      <c r="H809" s="5" t="s">
        <v>3615</v>
      </c>
      <c r="I809" s="18">
        <v>368.55099999999999</v>
      </c>
      <c r="J809" s="18">
        <v>0</v>
      </c>
      <c r="K809" s="18">
        <f t="shared" si="698"/>
        <v>0</v>
      </c>
      <c r="L809" s="28" t="s">
        <v>3635</v>
      </c>
      <c r="Z809" s="34">
        <f t="shared" si="699"/>
        <v>0</v>
      </c>
      <c r="AB809" s="34">
        <f t="shared" si="700"/>
        <v>0</v>
      </c>
      <c r="AC809" s="34">
        <f t="shared" si="701"/>
        <v>0</v>
      </c>
      <c r="AD809" s="34">
        <f t="shared" si="702"/>
        <v>0</v>
      </c>
      <c r="AE809" s="34">
        <f t="shared" si="703"/>
        <v>0</v>
      </c>
      <c r="AF809" s="34">
        <f t="shared" si="704"/>
        <v>0</v>
      </c>
      <c r="AG809" s="34">
        <f t="shared" si="705"/>
        <v>0</v>
      </c>
      <c r="AH809" s="34">
        <f t="shared" si="706"/>
        <v>0</v>
      </c>
      <c r="AI809" s="27" t="s">
        <v>3645</v>
      </c>
      <c r="AJ809" s="18">
        <f t="shared" si="707"/>
        <v>0</v>
      </c>
      <c r="AK809" s="18">
        <f t="shared" si="708"/>
        <v>0</v>
      </c>
      <c r="AL809" s="18">
        <f t="shared" si="709"/>
        <v>0</v>
      </c>
      <c r="AN809" s="34">
        <v>21</v>
      </c>
      <c r="AO809" s="34">
        <f>J809*0.999999960676397</f>
        <v>0</v>
      </c>
      <c r="AP809" s="34">
        <f>J809*(1-0.999999960676397)</f>
        <v>0</v>
      </c>
      <c r="AQ809" s="28" t="s">
        <v>13</v>
      </c>
      <c r="AV809" s="34">
        <f t="shared" si="710"/>
        <v>0</v>
      </c>
      <c r="AW809" s="34">
        <f t="shared" si="711"/>
        <v>0</v>
      </c>
      <c r="AX809" s="34">
        <f t="shared" si="712"/>
        <v>0</v>
      </c>
      <c r="AY809" s="35" t="s">
        <v>3689</v>
      </c>
      <c r="AZ809" s="35" t="s">
        <v>3718</v>
      </c>
      <c r="BA809" s="27" t="s">
        <v>3729</v>
      </c>
      <c r="BC809" s="34">
        <f t="shared" si="713"/>
        <v>0</v>
      </c>
      <c r="BD809" s="34">
        <f t="shared" si="714"/>
        <v>0</v>
      </c>
      <c r="BE809" s="34">
        <v>0</v>
      </c>
      <c r="BF809" s="34">
        <f>809</f>
        <v>809</v>
      </c>
      <c r="BH809" s="18">
        <f t="shared" si="715"/>
        <v>0</v>
      </c>
      <c r="BI809" s="18">
        <f t="shared" si="716"/>
        <v>0</v>
      </c>
      <c r="BJ809" s="18">
        <f t="shared" si="717"/>
        <v>0</v>
      </c>
    </row>
    <row r="810" spans="1:62" x14ac:dyDescent="0.2">
      <c r="A810" s="5" t="s">
        <v>761</v>
      </c>
      <c r="B810" s="5" t="s">
        <v>1947</v>
      </c>
      <c r="C810" s="135" t="s">
        <v>3153</v>
      </c>
      <c r="D810" s="136"/>
      <c r="E810" s="136"/>
      <c r="F810" s="136"/>
      <c r="G810" s="136"/>
      <c r="H810" s="5" t="s">
        <v>3614</v>
      </c>
      <c r="I810" s="18">
        <v>181.79</v>
      </c>
      <c r="J810" s="18">
        <v>0</v>
      </c>
      <c r="K810" s="18">
        <f t="shared" si="698"/>
        <v>0</v>
      </c>
      <c r="L810" s="28" t="s">
        <v>3635</v>
      </c>
      <c r="Z810" s="34">
        <f t="shared" si="699"/>
        <v>0</v>
      </c>
      <c r="AB810" s="34">
        <f t="shared" si="700"/>
        <v>0</v>
      </c>
      <c r="AC810" s="34">
        <f t="shared" si="701"/>
        <v>0</v>
      </c>
      <c r="AD810" s="34">
        <f t="shared" si="702"/>
        <v>0</v>
      </c>
      <c r="AE810" s="34">
        <f t="shared" si="703"/>
        <v>0</v>
      </c>
      <c r="AF810" s="34">
        <f t="shared" si="704"/>
        <v>0</v>
      </c>
      <c r="AG810" s="34">
        <f t="shared" si="705"/>
        <v>0</v>
      </c>
      <c r="AH810" s="34">
        <f t="shared" si="706"/>
        <v>0</v>
      </c>
      <c r="AI810" s="27" t="s">
        <v>3645</v>
      </c>
      <c r="AJ810" s="18">
        <f t="shared" si="707"/>
        <v>0</v>
      </c>
      <c r="AK810" s="18">
        <f t="shared" si="708"/>
        <v>0</v>
      </c>
      <c r="AL810" s="18">
        <f t="shared" si="709"/>
        <v>0</v>
      </c>
      <c r="AN810" s="34">
        <v>21</v>
      </c>
      <c r="AO810" s="34">
        <f>J810*0.790045459793366</f>
        <v>0</v>
      </c>
      <c r="AP810" s="34">
        <f>J810*(1-0.790045459793366)</f>
        <v>0</v>
      </c>
      <c r="AQ810" s="28" t="s">
        <v>13</v>
      </c>
      <c r="AV810" s="34">
        <f t="shared" si="710"/>
        <v>0</v>
      </c>
      <c r="AW810" s="34">
        <f t="shared" si="711"/>
        <v>0</v>
      </c>
      <c r="AX810" s="34">
        <f t="shared" si="712"/>
        <v>0</v>
      </c>
      <c r="AY810" s="35" t="s">
        <v>3689</v>
      </c>
      <c r="AZ810" s="35" t="s">
        <v>3718</v>
      </c>
      <c r="BA810" s="27" t="s">
        <v>3729</v>
      </c>
      <c r="BC810" s="34">
        <f t="shared" si="713"/>
        <v>0</v>
      </c>
      <c r="BD810" s="34">
        <f t="shared" si="714"/>
        <v>0</v>
      </c>
      <c r="BE810" s="34">
        <v>0</v>
      </c>
      <c r="BF810" s="34">
        <f>810</f>
        <v>810</v>
      </c>
      <c r="BH810" s="18">
        <f t="shared" si="715"/>
        <v>0</v>
      </c>
      <c r="BI810" s="18">
        <f t="shared" si="716"/>
        <v>0</v>
      </c>
      <c r="BJ810" s="18">
        <f t="shared" si="717"/>
        <v>0</v>
      </c>
    </row>
    <row r="811" spans="1:62" x14ac:dyDescent="0.2">
      <c r="A811" s="5" t="s">
        <v>762</v>
      </c>
      <c r="B811" s="5" t="s">
        <v>1948</v>
      </c>
      <c r="C811" s="135" t="s">
        <v>3154</v>
      </c>
      <c r="D811" s="136"/>
      <c r="E811" s="136"/>
      <c r="F811" s="136"/>
      <c r="G811" s="136"/>
      <c r="H811" s="5" t="s">
        <v>3614</v>
      </c>
      <c r="I811" s="18">
        <v>34.64</v>
      </c>
      <c r="J811" s="18">
        <v>0</v>
      </c>
      <c r="K811" s="18">
        <f t="shared" si="698"/>
        <v>0</v>
      </c>
      <c r="L811" s="28" t="s">
        <v>3635</v>
      </c>
      <c r="Z811" s="34">
        <f t="shared" si="699"/>
        <v>0</v>
      </c>
      <c r="AB811" s="34">
        <f t="shared" si="700"/>
        <v>0</v>
      </c>
      <c r="AC811" s="34">
        <f t="shared" si="701"/>
        <v>0</v>
      </c>
      <c r="AD811" s="34">
        <f t="shared" si="702"/>
        <v>0</v>
      </c>
      <c r="AE811" s="34">
        <f t="shared" si="703"/>
        <v>0</v>
      </c>
      <c r="AF811" s="34">
        <f t="shared" si="704"/>
        <v>0</v>
      </c>
      <c r="AG811" s="34">
        <f t="shared" si="705"/>
        <v>0</v>
      </c>
      <c r="AH811" s="34">
        <f t="shared" si="706"/>
        <v>0</v>
      </c>
      <c r="AI811" s="27" t="s">
        <v>3645</v>
      </c>
      <c r="AJ811" s="18">
        <f t="shared" si="707"/>
        <v>0</v>
      </c>
      <c r="AK811" s="18">
        <f t="shared" si="708"/>
        <v>0</v>
      </c>
      <c r="AL811" s="18">
        <f t="shared" si="709"/>
        <v>0</v>
      </c>
      <c r="AN811" s="34">
        <v>21</v>
      </c>
      <c r="AO811" s="34">
        <f>J811*0.790045793877653</f>
        <v>0</v>
      </c>
      <c r="AP811" s="34">
        <f>J811*(1-0.790045793877653)</f>
        <v>0</v>
      </c>
      <c r="AQ811" s="28" t="s">
        <v>13</v>
      </c>
      <c r="AV811" s="34">
        <f t="shared" si="710"/>
        <v>0</v>
      </c>
      <c r="AW811" s="34">
        <f t="shared" si="711"/>
        <v>0</v>
      </c>
      <c r="AX811" s="34">
        <f t="shared" si="712"/>
        <v>0</v>
      </c>
      <c r="AY811" s="35" t="s">
        <v>3689</v>
      </c>
      <c r="AZ811" s="35" t="s">
        <v>3718</v>
      </c>
      <c r="BA811" s="27" t="s">
        <v>3729</v>
      </c>
      <c r="BC811" s="34">
        <f t="shared" si="713"/>
        <v>0</v>
      </c>
      <c r="BD811" s="34">
        <f t="shared" si="714"/>
        <v>0</v>
      </c>
      <c r="BE811" s="34">
        <v>0</v>
      </c>
      <c r="BF811" s="34">
        <f>811</f>
        <v>811</v>
      </c>
      <c r="BH811" s="18">
        <f t="shared" si="715"/>
        <v>0</v>
      </c>
      <c r="BI811" s="18">
        <f t="shared" si="716"/>
        <v>0</v>
      </c>
      <c r="BJ811" s="18">
        <f t="shared" si="717"/>
        <v>0</v>
      </c>
    </row>
    <row r="812" spans="1:62" x14ac:dyDescent="0.2">
      <c r="A812" s="5" t="s">
        <v>763</v>
      </c>
      <c r="B812" s="5" t="s">
        <v>1949</v>
      </c>
      <c r="C812" s="135" t="s">
        <v>3155</v>
      </c>
      <c r="D812" s="136"/>
      <c r="E812" s="136"/>
      <c r="F812" s="136"/>
      <c r="G812" s="136"/>
      <c r="H812" s="5" t="s">
        <v>3616</v>
      </c>
      <c r="I812" s="18">
        <v>7.8410000000000002</v>
      </c>
      <c r="J812" s="18">
        <v>0</v>
      </c>
      <c r="K812" s="18">
        <f t="shared" si="698"/>
        <v>0</v>
      </c>
      <c r="L812" s="28" t="s">
        <v>3635</v>
      </c>
      <c r="Z812" s="34">
        <f t="shared" si="699"/>
        <v>0</v>
      </c>
      <c r="AB812" s="34">
        <f t="shared" si="700"/>
        <v>0</v>
      </c>
      <c r="AC812" s="34">
        <f t="shared" si="701"/>
        <v>0</v>
      </c>
      <c r="AD812" s="34">
        <f t="shared" si="702"/>
        <v>0</v>
      </c>
      <c r="AE812" s="34">
        <f t="shared" si="703"/>
        <v>0</v>
      </c>
      <c r="AF812" s="34">
        <f t="shared" si="704"/>
        <v>0</v>
      </c>
      <c r="AG812" s="34">
        <f t="shared" si="705"/>
        <v>0</v>
      </c>
      <c r="AH812" s="34">
        <f t="shared" si="706"/>
        <v>0</v>
      </c>
      <c r="AI812" s="27" t="s">
        <v>3645</v>
      </c>
      <c r="AJ812" s="18">
        <f t="shared" si="707"/>
        <v>0</v>
      </c>
      <c r="AK812" s="18">
        <f t="shared" si="708"/>
        <v>0</v>
      </c>
      <c r="AL812" s="18">
        <f t="shared" si="709"/>
        <v>0</v>
      </c>
      <c r="AN812" s="34">
        <v>21</v>
      </c>
      <c r="AO812" s="34">
        <f>J812*0</f>
        <v>0</v>
      </c>
      <c r="AP812" s="34">
        <f>J812*(1-0)</f>
        <v>0</v>
      </c>
      <c r="AQ812" s="28" t="s">
        <v>11</v>
      </c>
      <c r="AV812" s="34">
        <f t="shared" si="710"/>
        <v>0</v>
      </c>
      <c r="AW812" s="34">
        <f t="shared" si="711"/>
        <v>0</v>
      </c>
      <c r="AX812" s="34">
        <f t="shared" si="712"/>
        <v>0</v>
      </c>
      <c r="AY812" s="35" t="s">
        <v>3689</v>
      </c>
      <c r="AZ812" s="35" t="s">
        <v>3718</v>
      </c>
      <c r="BA812" s="27" t="s">
        <v>3729</v>
      </c>
      <c r="BC812" s="34">
        <f t="shared" si="713"/>
        <v>0</v>
      </c>
      <c r="BD812" s="34">
        <f t="shared" si="714"/>
        <v>0</v>
      </c>
      <c r="BE812" s="34">
        <v>0</v>
      </c>
      <c r="BF812" s="34">
        <f>812</f>
        <v>812</v>
      </c>
      <c r="BH812" s="18">
        <f t="shared" si="715"/>
        <v>0</v>
      </c>
      <c r="BI812" s="18">
        <f t="shared" si="716"/>
        <v>0</v>
      </c>
      <c r="BJ812" s="18">
        <f t="shared" si="717"/>
        <v>0</v>
      </c>
    </row>
    <row r="813" spans="1:62" x14ac:dyDescent="0.2">
      <c r="A813" s="4"/>
      <c r="B813" s="14" t="s">
        <v>790</v>
      </c>
      <c r="C813" s="133" t="s">
        <v>3156</v>
      </c>
      <c r="D813" s="134"/>
      <c r="E813" s="134"/>
      <c r="F813" s="134"/>
      <c r="G813" s="134"/>
      <c r="H813" s="4" t="s">
        <v>6</v>
      </c>
      <c r="I813" s="4" t="s">
        <v>6</v>
      </c>
      <c r="J813" s="4" t="s">
        <v>6</v>
      </c>
      <c r="K813" s="37">
        <f>SUM(K814:K818)</f>
        <v>0</v>
      </c>
      <c r="L813" s="27"/>
      <c r="AI813" s="27" t="s">
        <v>3645</v>
      </c>
      <c r="AS813" s="37">
        <f>SUM(AJ814:AJ818)</f>
        <v>0</v>
      </c>
      <c r="AT813" s="37">
        <f>SUM(AK814:AK818)</f>
        <v>0</v>
      </c>
      <c r="AU813" s="37">
        <f>SUM(AL814:AL818)</f>
        <v>0</v>
      </c>
    </row>
    <row r="814" spans="1:62" x14ac:dyDescent="0.2">
      <c r="A814" s="5" t="s">
        <v>764</v>
      </c>
      <c r="B814" s="5" t="s">
        <v>1950</v>
      </c>
      <c r="C814" s="135" t="s">
        <v>3157</v>
      </c>
      <c r="D814" s="136"/>
      <c r="E814" s="136"/>
      <c r="F814" s="136"/>
      <c r="G814" s="136"/>
      <c r="H814" s="5" t="s">
        <v>3615</v>
      </c>
      <c r="I814" s="18">
        <v>1721.402</v>
      </c>
      <c r="J814" s="18">
        <v>0</v>
      </c>
      <c r="K814" s="18">
        <f>I814*J814</f>
        <v>0</v>
      </c>
      <c r="L814" s="28" t="s">
        <v>3635</v>
      </c>
      <c r="Z814" s="34">
        <f>IF(AQ814="5",BJ814,0)</f>
        <v>0</v>
      </c>
      <c r="AB814" s="34">
        <f>IF(AQ814="1",BH814,0)</f>
        <v>0</v>
      </c>
      <c r="AC814" s="34">
        <f>IF(AQ814="1",BI814,0)</f>
        <v>0</v>
      </c>
      <c r="AD814" s="34">
        <f>IF(AQ814="7",BH814,0)</f>
        <v>0</v>
      </c>
      <c r="AE814" s="34">
        <f>IF(AQ814="7",BI814,0)</f>
        <v>0</v>
      </c>
      <c r="AF814" s="34">
        <f>IF(AQ814="2",BH814,0)</f>
        <v>0</v>
      </c>
      <c r="AG814" s="34">
        <f>IF(AQ814="2",BI814,0)</f>
        <v>0</v>
      </c>
      <c r="AH814" s="34">
        <f>IF(AQ814="0",BJ814,0)</f>
        <v>0</v>
      </c>
      <c r="AI814" s="27" t="s">
        <v>3645</v>
      </c>
      <c r="AJ814" s="18">
        <f>IF(AN814=0,K814,0)</f>
        <v>0</v>
      </c>
      <c r="AK814" s="18">
        <f>IF(AN814=15,K814,0)</f>
        <v>0</v>
      </c>
      <c r="AL814" s="18">
        <f>IF(AN814=21,K814,0)</f>
        <v>0</v>
      </c>
      <c r="AN814" s="34">
        <v>21</v>
      </c>
      <c r="AO814" s="34">
        <f>J814*0</f>
        <v>0</v>
      </c>
      <c r="AP814" s="34">
        <f>J814*(1-0)</f>
        <v>0</v>
      </c>
      <c r="AQ814" s="28" t="s">
        <v>13</v>
      </c>
      <c r="AV814" s="34">
        <f>AW814+AX814</f>
        <v>0</v>
      </c>
      <c r="AW814" s="34">
        <f>I814*AO814</f>
        <v>0</v>
      </c>
      <c r="AX814" s="34">
        <f>I814*AP814</f>
        <v>0</v>
      </c>
      <c r="AY814" s="35" t="s">
        <v>3690</v>
      </c>
      <c r="AZ814" s="35" t="s">
        <v>3718</v>
      </c>
      <c r="BA814" s="27" t="s">
        <v>3729</v>
      </c>
      <c r="BC814" s="34">
        <f>AW814+AX814</f>
        <v>0</v>
      </c>
      <c r="BD814" s="34">
        <f>J814/(100-BE814)*100</f>
        <v>0</v>
      </c>
      <c r="BE814" s="34">
        <v>0</v>
      </c>
      <c r="BF814" s="34">
        <f>814</f>
        <v>814</v>
      </c>
      <c r="BH814" s="18">
        <f>I814*AO814</f>
        <v>0</v>
      </c>
      <c r="BI814" s="18">
        <f>I814*AP814</f>
        <v>0</v>
      </c>
      <c r="BJ814" s="18">
        <f>I814*J814</f>
        <v>0</v>
      </c>
    </row>
    <row r="815" spans="1:62" x14ac:dyDescent="0.2">
      <c r="A815" s="5" t="s">
        <v>765</v>
      </c>
      <c r="B815" s="5" t="s">
        <v>1951</v>
      </c>
      <c r="C815" s="135" t="s">
        <v>3158</v>
      </c>
      <c r="D815" s="136"/>
      <c r="E815" s="136"/>
      <c r="F815" s="136"/>
      <c r="G815" s="136"/>
      <c r="H815" s="5" t="s">
        <v>3615</v>
      </c>
      <c r="I815" s="18">
        <v>1721.402</v>
      </c>
      <c r="J815" s="18">
        <v>0</v>
      </c>
      <c r="K815" s="18">
        <f>I815*J815</f>
        <v>0</v>
      </c>
      <c r="L815" s="28" t="s">
        <v>3635</v>
      </c>
      <c r="Z815" s="34">
        <f>IF(AQ815="5",BJ815,0)</f>
        <v>0</v>
      </c>
      <c r="AB815" s="34">
        <f>IF(AQ815="1",BH815,0)</f>
        <v>0</v>
      </c>
      <c r="AC815" s="34">
        <f>IF(AQ815="1",BI815,0)</f>
        <v>0</v>
      </c>
      <c r="AD815" s="34">
        <f>IF(AQ815="7",BH815,0)</f>
        <v>0</v>
      </c>
      <c r="AE815" s="34">
        <f>IF(AQ815="7",BI815,0)</f>
        <v>0</v>
      </c>
      <c r="AF815" s="34">
        <f>IF(AQ815="2",BH815,0)</f>
        <v>0</v>
      </c>
      <c r="AG815" s="34">
        <f>IF(AQ815="2",BI815,0)</f>
        <v>0</v>
      </c>
      <c r="AH815" s="34">
        <f>IF(AQ815="0",BJ815,0)</f>
        <v>0</v>
      </c>
      <c r="AI815" s="27" t="s">
        <v>3645</v>
      </c>
      <c r="AJ815" s="18">
        <f>IF(AN815=0,K815,0)</f>
        <v>0</v>
      </c>
      <c r="AK815" s="18">
        <f>IF(AN815=15,K815,0)</f>
        <v>0</v>
      </c>
      <c r="AL815" s="18">
        <f>IF(AN815=21,K815,0)</f>
        <v>0</v>
      </c>
      <c r="AN815" s="34">
        <v>21</v>
      </c>
      <c r="AO815" s="34">
        <f>J815*0.402944555394526</f>
        <v>0</v>
      </c>
      <c r="AP815" s="34">
        <f>J815*(1-0.402944555394526)</f>
        <v>0</v>
      </c>
      <c r="AQ815" s="28" t="s">
        <v>13</v>
      </c>
      <c r="AV815" s="34">
        <f>AW815+AX815</f>
        <v>0</v>
      </c>
      <c r="AW815" s="34">
        <f>I815*AO815</f>
        <v>0</v>
      </c>
      <c r="AX815" s="34">
        <f>I815*AP815</f>
        <v>0</v>
      </c>
      <c r="AY815" s="35" t="s">
        <v>3690</v>
      </c>
      <c r="AZ815" s="35" t="s">
        <v>3718</v>
      </c>
      <c r="BA815" s="27" t="s">
        <v>3729</v>
      </c>
      <c r="BC815" s="34">
        <f>AW815+AX815</f>
        <v>0</v>
      </c>
      <c r="BD815" s="34">
        <f>J815/(100-BE815)*100</f>
        <v>0</v>
      </c>
      <c r="BE815" s="34">
        <v>0</v>
      </c>
      <c r="BF815" s="34">
        <f>815</f>
        <v>815</v>
      </c>
      <c r="BH815" s="18">
        <f>I815*AO815</f>
        <v>0</v>
      </c>
      <c r="BI815" s="18">
        <f>I815*AP815</f>
        <v>0</v>
      </c>
      <c r="BJ815" s="18">
        <f>I815*J815</f>
        <v>0</v>
      </c>
    </row>
    <row r="816" spans="1:62" x14ac:dyDescent="0.2">
      <c r="A816" s="5" t="s">
        <v>766</v>
      </c>
      <c r="B816" s="5" t="s">
        <v>1952</v>
      </c>
      <c r="C816" s="135" t="s">
        <v>3159</v>
      </c>
      <c r="D816" s="136"/>
      <c r="E816" s="136"/>
      <c r="F816" s="136"/>
      <c r="G816" s="136"/>
      <c r="H816" s="5" t="s">
        <v>3615</v>
      </c>
      <c r="I816" s="18">
        <v>117.77</v>
      </c>
      <c r="J816" s="18">
        <v>0</v>
      </c>
      <c r="K816" s="18">
        <f>I816*J816</f>
        <v>0</v>
      </c>
      <c r="L816" s="28" t="s">
        <v>3635</v>
      </c>
      <c r="Z816" s="34">
        <f>IF(AQ816="5",BJ816,0)</f>
        <v>0</v>
      </c>
      <c r="AB816" s="34">
        <f>IF(AQ816="1",BH816,0)</f>
        <v>0</v>
      </c>
      <c r="AC816" s="34">
        <f>IF(AQ816="1",BI816,0)</f>
        <v>0</v>
      </c>
      <c r="AD816" s="34">
        <f>IF(AQ816="7",BH816,0)</f>
        <v>0</v>
      </c>
      <c r="AE816" s="34">
        <f>IF(AQ816="7",BI816,0)</f>
        <v>0</v>
      </c>
      <c r="AF816" s="34">
        <f>IF(AQ816="2",BH816,0)</f>
        <v>0</v>
      </c>
      <c r="AG816" s="34">
        <f>IF(AQ816="2",BI816,0)</f>
        <v>0</v>
      </c>
      <c r="AH816" s="34">
        <f>IF(AQ816="0",BJ816,0)</f>
        <v>0</v>
      </c>
      <c r="AI816" s="27" t="s">
        <v>3645</v>
      </c>
      <c r="AJ816" s="18">
        <f>IF(AN816=0,K816,0)</f>
        <v>0</v>
      </c>
      <c r="AK816" s="18">
        <f>IF(AN816=15,K816,0)</f>
        <v>0</v>
      </c>
      <c r="AL816" s="18">
        <f>IF(AN816=21,K816,0)</f>
        <v>0</v>
      </c>
      <c r="AN816" s="34">
        <v>21</v>
      </c>
      <c r="AO816" s="34">
        <f>J816*0.592436355796698</f>
        <v>0</v>
      </c>
      <c r="AP816" s="34">
        <f>J816*(1-0.592436355796698)</f>
        <v>0</v>
      </c>
      <c r="AQ816" s="28" t="s">
        <v>13</v>
      </c>
      <c r="AV816" s="34">
        <f>AW816+AX816</f>
        <v>0</v>
      </c>
      <c r="AW816" s="34">
        <f>I816*AO816</f>
        <v>0</v>
      </c>
      <c r="AX816" s="34">
        <f>I816*AP816</f>
        <v>0</v>
      </c>
      <c r="AY816" s="35" t="s">
        <v>3690</v>
      </c>
      <c r="AZ816" s="35" t="s">
        <v>3718</v>
      </c>
      <c r="BA816" s="27" t="s">
        <v>3729</v>
      </c>
      <c r="BC816" s="34">
        <f>AW816+AX816</f>
        <v>0</v>
      </c>
      <c r="BD816" s="34">
        <f>J816/(100-BE816)*100</f>
        <v>0</v>
      </c>
      <c r="BE816" s="34">
        <v>0</v>
      </c>
      <c r="BF816" s="34">
        <f>816</f>
        <v>816</v>
      </c>
      <c r="BH816" s="18">
        <f>I816*AO816</f>
        <v>0</v>
      </c>
      <c r="BI816" s="18">
        <f>I816*AP816</f>
        <v>0</v>
      </c>
      <c r="BJ816" s="18">
        <f>I816*J816</f>
        <v>0</v>
      </c>
    </row>
    <row r="817" spans="1:62" x14ac:dyDescent="0.2">
      <c r="A817" s="5" t="s">
        <v>767</v>
      </c>
      <c r="B817" s="5" t="s">
        <v>1953</v>
      </c>
      <c r="C817" s="135" t="s">
        <v>3160</v>
      </c>
      <c r="D817" s="136"/>
      <c r="E817" s="136"/>
      <c r="F817" s="136"/>
      <c r="G817" s="136"/>
      <c r="H817" s="5" t="s">
        <v>3615</v>
      </c>
      <c r="I817" s="18">
        <v>1721.402</v>
      </c>
      <c r="J817" s="18">
        <v>0</v>
      </c>
      <c r="K817" s="18">
        <f>I817*J817</f>
        <v>0</v>
      </c>
      <c r="L817" s="28" t="s">
        <v>3635</v>
      </c>
      <c r="Z817" s="34">
        <f>IF(AQ817="5",BJ817,0)</f>
        <v>0</v>
      </c>
      <c r="AB817" s="34">
        <f>IF(AQ817="1",BH817,0)</f>
        <v>0</v>
      </c>
      <c r="AC817" s="34">
        <f>IF(AQ817="1",BI817,0)</f>
        <v>0</v>
      </c>
      <c r="AD817" s="34">
        <f>IF(AQ817="7",BH817,0)</f>
        <v>0</v>
      </c>
      <c r="AE817" s="34">
        <f>IF(AQ817="7",BI817,0)</f>
        <v>0</v>
      </c>
      <c r="AF817" s="34">
        <f>IF(AQ817="2",BH817,0)</f>
        <v>0</v>
      </c>
      <c r="AG817" s="34">
        <f>IF(AQ817="2",BI817,0)</f>
        <v>0</v>
      </c>
      <c r="AH817" s="34">
        <f>IF(AQ817="0",BJ817,0)</f>
        <v>0</v>
      </c>
      <c r="AI817" s="27" t="s">
        <v>3645</v>
      </c>
      <c r="AJ817" s="18">
        <f>IF(AN817=0,K817,0)</f>
        <v>0</v>
      </c>
      <c r="AK817" s="18">
        <f>IF(AN817=15,K817,0)</f>
        <v>0</v>
      </c>
      <c r="AL817" s="18">
        <f>IF(AN817=21,K817,0)</f>
        <v>0</v>
      </c>
      <c r="AN817" s="34">
        <v>21</v>
      </c>
      <c r="AO817" s="34">
        <f>J817*0.152307422323748</f>
        <v>0</v>
      </c>
      <c r="AP817" s="34">
        <f>J817*(1-0.152307422323748)</f>
        <v>0</v>
      </c>
      <c r="AQ817" s="28" t="s">
        <v>13</v>
      </c>
      <c r="AV817" s="34">
        <f>AW817+AX817</f>
        <v>0</v>
      </c>
      <c r="AW817" s="34">
        <f>I817*AO817</f>
        <v>0</v>
      </c>
      <c r="AX817" s="34">
        <f>I817*AP817</f>
        <v>0</v>
      </c>
      <c r="AY817" s="35" t="s">
        <v>3690</v>
      </c>
      <c r="AZ817" s="35" t="s">
        <v>3718</v>
      </c>
      <c r="BA817" s="27" t="s">
        <v>3729</v>
      </c>
      <c r="BC817" s="34">
        <f>AW817+AX817</f>
        <v>0</v>
      </c>
      <c r="BD817" s="34">
        <f>J817/(100-BE817)*100</f>
        <v>0</v>
      </c>
      <c r="BE817" s="34">
        <v>0</v>
      </c>
      <c r="BF817" s="34">
        <f>817</f>
        <v>817</v>
      </c>
      <c r="BH817" s="18">
        <f>I817*AO817</f>
        <v>0</v>
      </c>
      <c r="BI817" s="18">
        <f>I817*AP817</f>
        <v>0</v>
      </c>
      <c r="BJ817" s="18">
        <f>I817*J817</f>
        <v>0</v>
      </c>
    </row>
    <row r="818" spans="1:62" x14ac:dyDescent="0.2">
      <c r="A818" s="5" t="s">
        <v>768</v>
      </c>
      <c r="B818" s="5" t="s">
        <v>1954</v>
      </c>
      <c r="C818" s="135" t="s">
        <v>3161</v>
      </c>
      <c r="D818" s="136"/>
      <c r="E818" s="136"/>
      <c r="F818" s="136"/>
      <c r="G818" s="136"/>
      <c r="H818" s="5" t="s">
        <v>3615</v>
      </c>
      <c r="I818" s="18">
        <v>117.77</v>
      </c>
      <c r="J818" s="18">
        <v>0</v>
      </c>
      <c r="K818" s="18">
        <f>I818*J818</f>
        <v>0</v>
      </c>
      <c r="L818" s="28" t="s">
        <v>3635</v>
      </c>
      <c r="Z818" s="34">
        <f>IF(AQ818="5",BJ818,0)</f>
        <v>0</v>
      </c>
      <c r="AB818" s="34">
        <f>IF(AQ818="1",BH818,0)</f>
        <v>0</v>
      </c>
      <c r="AC818" s="34">
        <f>IF(AQ818="1",BI818,0)</f>
        <v>0</v>
      </c>
      <c r="AD818" s="34">
        <f>IF(AQ818="7",BH818,0)</f>
        <v>0</v>
      </c>
      <c r="AE818" s="34">
        <f>IF(AQ818="7",BI818,0)</f>
        <v>0</v>
      </c>
      <c r="AF818" s="34">
        <f>IF(AQ818="2",BH818,0)</f>
        <v>0</v>
      </c>
      <c r="AG818" s="34">
        <f>IF(AQ818="2",BI818,0)</f>
        <v>0</v>
      </c>
      <c r="AH818" s="34">
        <f>IF(AQ818="0",BJ818,0)</f>
        <v>0</v>
      </c>
      <c r="AI818" s="27" t="s">
        <v>3645</v>
      </c>
      <c r="AJ818" s="18">
        <f>IF(AN818=0,K818,0)</f>
        <v>0</v>
      </c>
      <c r="AK818" s="18">
        <f>IF(AN818=15,K818,0)</f>
        <v>0</v>
      </c>
      <c r="AL818" s="18">
        <f>IF(AN818=21,K818,0)</f>
        <v>0</v>
      </c>
      <c r="AN818" s="34">
        <v>21</v>
      </c>
      <c r="AO818" s="34">
        <f>J818*0.26263542493219</f>
        <v>0</v>
      </c>
      <c r="AP818" s="34">
        <f>J818*(1-0.26263542493219)</f>
        <v>0</v>
      </c>
      <c r="AQ818" s="28" t="s">
        <v>13</v>
      </c>
      <c r="AV818" s="34">
        <f>AW818+AX818</f>
        <v>0</v>
      </c>
      <c r="AW818" s="34">
        <f>I818*AO818</f>
        <v>0</v>
      </c>
      <c r="AX818" s="34">
        <f>I818*AP818</f>
        <v>0</v>
      </c>
      <c r="AY818" s="35" t="s">
        <v>3690</v>
      </c>
      <c r="AZ818" s="35" t="s">
        <v>3718</v>
      </c>
      <c r="BA818" s="27" t="s">
        <v>3729</v>
      </c>
      <c r="BC818" s="34">
        <f>AW818+AX818</f>
        <v>0</v>
      </c>
      <c r="BD818" s="34">
        <f>J818/(100-BE818)*100</f>
        <v>0</v>
      </c>
      <c r="BE818" s="34">
        <v>0</v>
      </c>
      <c r="BF818" s="34">
        <f>818</f>
        <v>818</v>
      </c>
      <c r="BH818" s="18">
        <f>I818*AO818</f>
        <v>0</v>
      </c>
      <c r="BI818" s="18">
        <f>I818*AP818</f>
        <v>0</v>
      </c>
      <c r="BJ818" s="18">
        <f>I818*J818</f>
        <v>0</v>
      </c>
    </row>
    <row r="819" spans="1:62" x14ac:dyDescent="0.2">
      <c r="A819" s="4"/>
      <c r="B819" s="14" t="s">
        <v>792</v>
      </c>
      <c r="C819" s="133" t="s">
        <v>3162</v>
      </c>
      <c r="D819" s="134"/>
      <c r="E819" s="134"/>
      <c r="F819" s="134"/>
      <c r="G819" s="134"/>
      <c r="H819" s="4" t="s">
        <v>6</v>
      </c>
      <c r="I819" s="4" t="s">
        <v>6</v>
      </c>
      <c r="J819" s="4" t="s">
        <v>6</v>
      </c>
      <c r="K819" s="37">
        <f>SUM(K820:K822)</f>
        <v>0</v>
      </c>
      <c r="L819" s="27"/>
      <c r="AI819" s="27" t="s">
        <v>3645</v>
      </c>
      <c r="AS819" s="37">
        <f>SUM(AJ820:AJ822)</f>
        <v>0</v>
      </c>
      <c r="AT819" s="37">
        <f>SUM(AK820:AK822)</f>
        <v>0</v>
      </c>
      <c r="AU819" s="37">
        <f>SUM(AL820:AL822)</f>
        <v>0</v>
      </c>
    </row>
    <row r="820" spans="1:62" x14ac:dyDescent="0.2">
      <c r="A820" s="5" t="s">
        <v>769</v>
      </c>
      <c r="B820" s="5" t="s">
        <v>1955</v>
      </c>
      <c r="C820" s="135" t="s">
        <v>3163</v>
      </c>
      <c r="D820" s="136"/>
      <c r="E820" s="136"/>
      <c r="F820" s="136"/>
      <c r="G820" s="136"/>
      <c r="H820" s="5" t="s">
        <v>3615</v>
      </c>
      <c r="I820" s="18">
        <v>32.854999999999997</v>
      </c>
      <c r="J820" s="18">
        <v>0</v>
      </c>
      <c r="K820" s="18">
        <f>I820*J820</f>
        <v>0</v>
      </c>
      <c r="L820" s="28" t="s">
        <v>3635</v>
      </c>
      <c r="Z820" s="34">
        <f>IF(AQ820="5",BJ820,0)</f>
        <v>0</v>
      </c>
      <c r="AB820" s="34">
        <f>IF(AQ820="1",BH820,0)</f>
        <v>0</v>
      </c>
      <c r="AC820" s="34">
        <f>IF(AQ820="1",BI820,0)</f>
        <v>0</v>
      </c>
      <c r="AD820" s="34">
        <f>IF(AQ820="7",BH820,0)</f>
        <v>0</v>
      </c>
      <c r="AE820" s="34">
        <f>IF(AQ820="7",BI820,0)</f>
        <v>0</v>
      </c>
      <c r="AF820" s="34">
        <f>IF(AQ820="2",BH820,0)</f>
        <v>0</v>
      </c>
      <c r="AG820" s="34">
        <f>IF(AQ820="2",BI820,0)</f>
        <v>0</v>
      </c>
      <c r="AH820" s="34">
        <f>IF(AQ820="0",BJ820,0)</f>
        <v>0</v>
      </c>
      <c r="AI820" s="27" t="s">
        <v>3645</v>
      </c>
      <c r="AJ820" s="18">
        <f>IF(AN820=0,K820,0)</f>
        <v>0</v>
      </c>
      <c r="AK820" s="18">
        <f>IF(AN820=15,K820,0)</f>
        <v>0</v>
      </c>
      <c r="AL820" s="18">
        <f>IF(AN820=21,K820,0)</f>
        <v>0</v>
      </c>
      <c r="AN820" s="34">
        <v>21</v>
      </c>
      <c r="AO820" s="34">
        <f>J820*0.5725</f>
        <v>0</v>
      </c>
      <c r="AP820" s="34">
        <f>J820*(1-0.5725)</f>
        <v>0</v>
      </c>
      <c r="AQ820" s="28" t="s">
        <v>13</v>
      </c>
      <c r="AV820" s="34">
        <f>AW820+AX820</f>
        <v>0</v>
      </c>
      <c r="AW820" s="34">
        <f>I820*AO820</f>
        <v>0</v>
      </c>
      <c r="AX820" s="34">
        <f>I820*AP820</f>
        <v>0</v>
      </c>
      <c r="AY820" s="35" t="s">
        <v>3691</v>
      </c>
      <c r="AZ820" s="35" t="s">
        <v>3718</v>
      </c>
      <c r="BA820" s="27" t="s">
        <v>3729</v>
      </c>
      <c r="BC820" s="34">
        <f>AW820+AX820</f>
        <v>0</v>
      </c>
      <c r="BD820" s="34">
        <f>J820/(100-BE820)*100</f>
        <v>0</v>
      </c>
      <c r="BE820" s="34">
        <v>0</v>
      </c>
      <c r="BF820" s="34">
        <f>820</f>
        <v>820</v>
      </c>
      <c r="BH820" s="18">
        <f>I820*AO820</f>
        <v>0</v>
      </c>
      <c r="BI820" s="18">
        <f>I820*AP820</f>
        <v>0</v>
      </c>
      <c r="BJ820" s="18">
        <f>I820*J820</f>
        <v>0</v>
      </c>
    </row>
    <row r="821" spans="1:62" x14ac:dyDescent="0.2">
      <c r="A821" s="5" t="s">
        <v>770</v>
      </c>
      <c r="B821" s="5" t="s">
        <v>1956</v>
      </c>
      <c r="C821" s="135" t="s">
        <v>3164</v>
      </c>
      <c r="D821" s="136"/>
      <c r="E821" s="136"/>
      <c r="F821" s="136"/>
      <c r="G821" s="136"/>
      <c r="H821" s="5" t="s">
        <v>3615</v>
      </c>
      <c r="I821" s="18">
        <v>28.224599999999999</v>
      </c>
      <c r="J821" s="18">
        <v>0</v>
      </c>
      <c r="K821" s="18">
        <f>I821*J821</f>
        <v>0</v>
      </c>
      <c r="L821" s="28" t="s">
        <v>3635</v>
      </c>
      <c r="Z821" s="34">
        <f>IF(AQ821="5",BJ821,0)</f>
        <v>0</v>
      </c>
      <c r="AB821" s="34">
        <f>IF(AQ821="1",BH821,0)</f>
        <v>0</v>
      </c>
      <c r="AC821" s="34">
        <f>IF(AQ821="1",BI821,0)</f>
        <v>0</v>
      </c>
      <c r="AD821" s="34">
        <f>IF(AQ821="7",BH821,0)</f>
        <v>0</v>
      </c>
      <c r="AE821" s="34">
        <f>IF(AQ821="7",BI821,0)</f>
        <v>0</v>
      </c>
      <c r="AF821" s="34">
        <f>IF(AQ821="2",BH821,0)</f>
        <v>0</v>
      </c>
      <c r="AG821" s="34">
        <f>IF(AQ821="2",BI821,0)</f>
        <v>0</v>
      </c>
      <c r="AH821" s="34">
        <f>IF(AQ821="0",BJ821,0)</f>
        <v>0</v>
      </c>
      <c r="AI821" s="27" t="s">
        <v>3645</v>
      </c>
      <c r="AJ821" s="18">
        <f>IF(AN821=0,K821,0)</f>
        <v>0</v>
      </c>
      <c r="AK821" s="18">
        <f>IF(AN821=15,K821,0)</f>
        <v>0</v>
      </c>
      <c r="AL821" s="18">
        <f>IF(AN821=21,K821,0)</f>
        <v>0</v>
      </c>
      <c r="AN821" s="34">
        <v>21</v>
      </c>
      <c r="AO821" s="34">
        <f>J821*0.703900990561666</f>
        <v>0</v>
      </c>
      <c r="AP821" s="34">
        <f>J821*(1-0.703900990561666)</f>
        <v>0</v>
      </c>
      <c r="AQ821" s="28" t="s">
        <v>13</v>
      </c>
      <c r="AV821" s="34">
        <f>AW821+AX821</f>
        <v>0</v>
      </c>
      <c r="AW821" s="34">
        <f>I821*AO821</f>
        <v>0</v>
      </c>
      <c r="AX821" s="34">
        <f>I821*AP821</f>
        <v>0</v>
      </c>
      <c r="AY821" s="35" t="s">
        <v>3691</v>
      </c>
      <c r="AZ821" s="35" t="s">
        <v>3718</v>
      </c>
      <c r="BA821" s="27" t="s">
        <v>3729</v>
      </c>
      <c r="BC821" s="34">
        <f>AW821+AX821</f>
        <v>0</v>
      </c>
      <c r="BD821" s="34">
        <f>J821/(100-BE821)*100</f>
        <v>0</v>
      </c>
      <c r="BE821" s="34">
        <v>0</v>
      </c>
      <c r="BF821" s="34">
        <f>821</f>
        <v>821</v>
      </c>
      <c r="BH821" s="18">
        <f>I821*AO821</f>
        <v>0</v>
      </c>
      <c r="BI821" s="18">
        <f>I821*AP821</f>
        <v>0</v>
      </c>
      <c r="BJ821" s="18">
        <f>I821*J821</f>
        <v>0</v>
      </c>
    </row>
    <row r="822" spans="1:62" x14ac:dyDescent="0.2">
      <c r="A822" s="5" t="s">
        <v>771</v>
      </c>
      <c r="B822" s="5" t="s">
        <v>1957</v>
      </c>
      <c r="C822" s="135" t="s">
        <v>3165</v>
      </c>
      <c r="D822" s="136"/>
      <c r="E822" s="136"/>
      <c r="F822" s="136"/>
      <c r="G822" s="136"/>
      <c r="H822" s="5" t="s">
        <v>3616</v>
      </c>
      <c r="I822" s="18">
        <v>0.17349999999999999</v>
      </c>
      <c r="J822" s="18">
        <v>0</v>
      </c>
      <c r="K822" s="18">
        <f>I822*J822</f>
        <v>0</v>
      </c>
      <c r="L822" s="28" t="s">
        <v>3635</v>
      </c>
      <c r="Z822" s="34">
        <f>IF(AQ822="5",BJ822,0)</f>
        <v>0</v>
      </c>
      <c r="AB822" s="34">
        <f>IF(AQ822="1",BH822,0)</f>
        <v>0</v>
      </c>
      <c r="AC822" s="34">
        <f>IF(AQ822="1",BI822,0)</f>
        <v>0</v>
      </c>
      <c r="AD822" s="34">
        <f>IF(AQ822="7",BH822,0)</f>
        <v>0</v>
      </c>
      <c r="AE822" s="34">
        <f>IF(AQ822="7",BI822,0)</f>
        <v>0</v>
      </c>
      <c r="AF822" s="34">
        <f>IF(AQ822="2",BH822,0)</f>
        <v>0</v>
      </c>
      <c r="AG822" s="34">
        <f>IF(AQ822="2",BI822,0)</f>
        <v>0</v>
      </c>
      <c r="AH822" s="34">
        <f>IF(AQ822="0",BJ822,0)</f>
        <v>0</v>
      </c>
      <c r="AI822" s="27" t="s">
        <v>3645</v>
      </c>
      <c r="AJ822" s="18">
        <f>IF(AN822=0,K822,0)</f>
        <v>0</v>
      </c>
      <c r="AK822" s="18">
        <f>IF(AN822=15,K822,0)</f>
        <v>0</v>
      </c>
      <c r="AL822" s="18">
        <f>IF(AN822=21,K822,0)</f>
        <v>0</v>
      </c>
      <c r="AN822" s="34">
        <v>21</v>
      </c>
      <c r="AO822" s="34">
        <f>J822*0</f>
        <v>0</v>
      </c>
      <c r="AP822" s="34">
        <f>J822*(1-0)</f>
        <v>0</v>
      </c>
      <c r="AQ822" s="28" t="s">
        <v>11</v>
      </c>
      <c r="AV822" s="34">
        <f>AW822+AX822</f>
        <v>0</v>
      </c>
      <c r="AW822" s="34">
        <f>I822*AO822</f>
        <v>0</v>
      </c>
      <c r="AX822" s="34">
        <f>I822*AP822</f>
        <v>0</v>
      </c>
      <c r="AY822" s="35" t="s">
        <v>3691</v>
      </c>
      <c r="AZ822" s="35" t="s">
        <v>3718</v>
      </c>
      <c r="BA822" s="27" t="s">
        <v>3729</v>
      </c>
      <c r="BC822" s="34">
        <f>AW822+AX822</f>
        <v>0</v>
      </c>
      <c r="BD822" s="34">
        <f>J822/(100-BE822)*100</f>
        <v>0</v>
      </c>
      <c r="BE822" s="34">
        <v>0</v>
      </c>
      <c r="BF822" s="34">
        <f>822</f>
        <v>822</v>
      </c>
      <c r="BH822" s="18">
        <f>I822*AO822</f>
        <v>0</v>
      </c>
      <c r="BI822" s="18">
        <f>I822*AP822</f>
        <v>0</v>
      </c>
      <c r="BJ822" s="18">
        <f>I822*J822</f>
        <v>0</v>
      </c>
    </row>
    <row r="823" spans="1:62" x14ac:dyDescent="0.2">
      <c r="A823" s="4"/>
      <c r="B823" s="14" t="s">
        <v>797</v>
      </c>
      <c r="C823" s="133" t="s">
        <v>3166</v>
      </c>
      <c r="D823" s="134"/>
      <c r="E823" s="134"/>
      <c r="F823" s="134"/>
      <c r="G823" s="134"/>
      <c r="H823" s="4" t="s">
        <v>6</v>
      </c>
      <c r="I823" s="4" t="s">
        <v>6</v>
      </c>
      <c r="J823" s="4" t="s">
        <v>6</v>
      </c>
      <c r="K823" s="37">
        <f>SUM(K824:K848)</f>
        <v>0</v>
      </c>
      <c r="L823" s="27"/>
      <c r="AI823" s="27" t="s">
        <v>3645</v>
      </c>
      <c r="AS823" s="37">
        <f>SUM(AJ824:AJ848)</f>
        <v>0</v>
      </c>
      <c r="AT823" s="37">
        <f>SUM(AK824:AK848)</f>
        <v>0</v>
      </c>
      <c r="AU823" s="37">
        <f>SUM(AL824:AL848)</f>
        <v>0</v>
      </c>
    </row>
    <row r="824" spans="1:62" x14ac:dyDescent="0.2">
      <c r="A824" s="5" t="s">
        <v>772</v>
      </c>
      <c r="B824" s="5" t="s">
        <v>1958</v>
      </c>
      <c r="C824" s="135" t="s">
        <v>3167</v>
      </c>
      <c r="D824" s="136"/>
      <c r="E824" s="136"/>
      <c r="F824" s="136"/>
      <c r="G824" s="136"/>
      <c r="H824" s="5" t="s">
        <v>3612</v>
      </c>
      <c r="I824" s="18">
        <v>1</v>
      </c>
      <c r="J824" s="18">
        <v>0</v>
      </c>
      <c r="K824" s="18">
        <f t="shared" ref="K824:K848" si="718">I824*J824</f>
        <v>0</v>
      </c>
      <c r="L824" s="28" t="s">
        <v>3635</v>
      </c>
      <c r="Z824" s="34">
        <f t="shared" ref="Z824:Z848" si="719">IF(AQ824="5",BJ824,0)</f>
        <v>0</v>
      </c>
      <c r="AB824" s="34">
        <f t="shared" ref="AB824:AB848" si="720">IF(AQ824="1",BH824,0)</f>
        <v>0</v>
      </c>
      <c r="AC824" s="34">
        <f t="shared" ref="AC824:AC848" si="721">IF(AQ824="1",BI824,0)</f>
        <v>0</v>
      </c>
      <c r="AD824" s="34">
        <f t="shared" ref="AD824:AD848" si="722">IF(AQ824="7",BH824,0)</f>
        <v>0</v>
      </c>
      <c r="AE824" s="34">
        <f t="shared" ref="AE824:AE848" si="723">IF(AQ824="7",BI824,0)</f>
        <v>0</v>
      </c>
      <c r="AF824" s="34">
        <f t="shared" ref="AF824:AF848" si="724">IF(AQ824="2",BH824,0)</f>
        <v>0</v>
      </c>
      <c r="AG824" s="34">
        <f t="shared" ref="AG824:AG848" si="725">IF(AQ824="2",BI824,0)</f>
        <v>0</v>
      </c>
      <c r="AH824" s="34">
        <f t="shared" ref="AH824:AH848" si="726">IF(AQ824="0",BJ824,0)</f>
        <v>0</v>
      </c>
      <c r="AI824" s="27" t="s">
        <v>3645</v>
      </c>
      <c r="AJ824" s="18">
        <f t="shared" ref="AJ824:AJ848" si="727">IF(AN824=0,K824,0)</f>
        <v>0</v>
      </c>
      <c r="AK824" s="18">
        <f t="shared" ref="AK824:AK848" si="728">IF(AN824=15,K824,0)</f>
        <v>0</v>
      </c>
      <c r="AL824" s="18">
        <f t="shared" ref="AL824:AL848" si="729">IF(AN824=21,K824,0)</f>
        <v>0</v>
      </c>
      <c r="AN824" s="34">
        <v>21</v>
      </c>
      <c r="AO824" s="34">
        <f t="shared" ref="AO824:AO848" si="730">J824*0</f>
        <v>0</v>
      </c>
      <c r="AP824" s="34">
        <f t="shared" ref="AP824:AP848" si="731">J824*(1-0)</f>
        <v>0</v>
      </c>
      <c r="AQ824" s="28" t="s">
        <v>13</v>
      </c>
      <c r="AV824" s="34">
        <f t="shared" ref="AV824:AV848" si="732">AW824+AX824</f>
        <v>0</v>
      </c>
      <c r="AW824" s="34">
        <f t="shared" ref="AW824:AW848" si="733">I824*AO824</f>
        <v>0</v>
      </c>
      <c r="AX824" s="34">
        <f t="shared" ref="AX824:AX848" si="734">I824*AP824</f>
        <v>0</v>
      </c>
      <c r="AY824" s="35" t="s">
        <v>3692</v>
      </c>
      <c r="AZ824" s="35" t="s">
        <v>3719</v>
      </c>
      <c r="BA824" s="27" t="s">
        <v>3729</v>
      </c>
      <c r="BC824" s="34">
        <f t="shared" ref="BC824:BC848" si="735">AW824+AX824</f>
        <v>0</v>
      </c>
      <c r="BD824" s="34">
        <f t="shared" ref="BD824:BD848" si="736">J824/(100-BE824)*100</f>
        <v>0</v>
      </c>
      <c r="BE824" s="34">
        <v>0</v>
      </c>
      <c r="BF824" s="34">
        <f>824</f>
        <v>824</v>
      </c>
      <c r="BH824" s="18">
        <f t="shared" ref="BH824:BH848" si="737">I824*AO824</f>
        <v>0</v>
      </c>
      <c r="BI824" s="18">
        <f t="shared" ref="BI824:BI848" si="738">I824*AP824</f>
        <v>0</v>
      </c>
      <c r="BJ824" s="18">
        <f t="shared" ref="BJ824:BJ848" si="739">I824*J824</f>
        <v>0</v>
      </c>
    </row>
    <row r="825" spans="1:62" x14ac:dyDescent="0.2">
      <c r="A825" s="5" t="s">
        <v>773</v>
      </c>
      <c r="B825" s="5" t="s">
        <v>1959</v>
      </c>
      <c r="C825" s="135" t="s">
        <v>3168</v>
      </c>
      <c r="D825" s="136"/>
      <c r="E825" s="136"/>
      <c r="F825" s="136"/>
      <c r="G825" s="136"/>
      <c r="H825" s="5" t="s">
        <v>3612</v>
      </c>
      <c r="I825" s="18">
        <v>1</v>
      </c>
      <c r="J825" s="18">
        <v>0</v>
      </c>
      <c r="K825" s="18">
        <f t="shared" si="718"/>
        <v>0</v>
      </c>
      <c r="L825" s="28" t="s">
        <v>3635</v>
      </c>
      <c r="Z825" s="34">
        <f t="shared" si="719"/>
        <v>0</v>
      </c>
      <c r="AB825" s="34">
        <f t="shared" si="720"/>
        <v>0</v>
      </c>
      <c r="AC825" s="34">
        <f t="shared" si="721"/>
        <v>0</v>
      </c>
      <c r="AD825" s="34">
        <f t="shared" si="722"/>
        <v>0</v>
      </c>
      <c r="AE825" s="34">
        <f t="shared" si="723"/>
        <v>0</v>
      </c>
      <c r="AF825" s="34">
        <f t="shared" si="724"/>
        <v>0</v>
      </c>
      <c r="AG825" s="34">
        <f t="shared" si="725"/>
        <v>0</v>
      </c>
      <c r="AH825" s="34">
        <f t="shared" si="726"/>
        <v>0</v>
      </c>
      <c r="AI825" s="27" t="s">
        <v>3645</v>
      </c>
      <c r="AJ825" s="18">
        <f t="shared" si="727"/>
        <v>0</v>
      </c>
      <c r="AK825" s="18">
        <f t="shared" si="728"/>
        <v>0</v>
      </c>
      <c r="AL825" s="18">
        <f t="shared" si="729"/>
        <v>0</v>
      </c>
      <c r="AN825" s="34">
        <v>21</v>
      </c>
      <c r="AO825" s="34">
        <f t="shared" si="730"/>
        <v>0</v>
      </c>
      <c r="AP825" s="34">
        <f t="shared" si="731"/>
        <v>0</v>
      </c>
      <c r="AQ825" s="28" t="s">
        <v>13</v>
      </c>
      <c r="AV825" s="34">
        <f t="shared" si="732"/>
        <v>0</v>
      </c>
      <c r="AW825" s="34">
        <f t="shared" si="733"/>
        <v>0</v>
      </c>
      <c r="AX825" s="34">
        <f t="shared" si="734"/>
        <v>0</v>
      </c>
      <c r="AY825" s="35" t="s">
        <v>3692</v>
      </c>
      <c r="AZ825" s="35" t="s">
        <v>3719</v>
      </c>
      <c r="BA825" s="27" t="s">
        <v>3729</v>
      </c>
      <c r="BC825" s="34">
        <f t="shared" si="735"/>
        <v>0</v>
      </c>
      <c r="BD825" s="34">
        <f t="shared" si="736"/>
        <v>0</v>
      </c>
      <c r="BE825" s="34">
        <v>0</v>
      </c>
      <c r="BF825" s="34">
        <f>825</f>
        <v>825</v>
      </c>
      <c r="BH825" s="18">
        <f t="shared" si="737"/>
        <v>0</v>
      </c>
      <c r="BI825" s="18">
        <f t="shared" si="738"/>
        <v>0</v>
      </c>
      <c r="BJ825" s="18">
        <f t="shared" si="739"/>
        <v>0</v>
      </c>
    </row>
    <row r="826" spans="1:62" x14ac:dyDescent="0.2">
      <c r="A826" s="5" t="s">
        <v>774</v>
      </c>
      <c r="B826" s="5" t="s">
        <v>1960</v>
      </c>
      <c r="C826" s="135" t="s">
        <v>3169</v>
      </c>
      <c r="D826" s="136"/>
      <c r="E826" s="136"/>
      <c r="F826" s="136"/>
      <c r="G826" s="136"/>
      <c r="H826" s="5" t="s">
        <v>3612</v>
      </c>
      <c r="I826" s="18">
        <v>1</v>
      </c>
      <c r="J826" s="18">
        <v>0</v>
      </c>
      <c r="K826" s="18">
        <f t="shared" si="718"/>
        <v>0</v>
      </c>
      <c r="L826" s="28" t="s">
        <v>3635</v>
      </c>
      <c r="Z826" s="34">
        <f t="shared" si="719"/>
        <v>0</v>
      </c>
      <c r="AB826" s="34">
        <f t="shared" si="720"/>
        <v>0</v>
      </c>
      <c r="AC826" s="34">
        <f t="shared" si="721"/>
        <v>0</v>
      </c>
      <c r="AD826" s="34">
        <f t="shared" si="722"/>
        <v>0</v>
      </c>
      <c r="AE826" s="34">
        <f t="shared" si="723"/>
        <v>0</v>
      </c>
      <c r="AF826" s="34">
        <f t="shared" si="724"/>
        <v>0</v>
      </c>
      <c r="AG826" s="34">
        <f t="shared" si="725"/>
        <v>0</v>
      </c>
      <c r="AH826" s="34">
        <f t="shared" si="726"/>
        <v>0</v>
      </c>
      <c r="AI826" s="27" t="s">
        <v>3645</v>
      </c>
      <c r="AJ826" s="18">
        <f t="shared" si="727"/>
        <v>0</v>
      </c>
      <c r="AK826" s="18">
        <f t="shared" si="728"/>
        <v>0</v>
      </c>
      <c r="AL826" s="18">
        <f t="shared" si="729"/>
        <v>0</v>
      </c>
      <c r="AN826" s="34">
        <v>21</v>
      </c>
      <c r="AO826" s="34">
        <f t="shared" si="730"/>
        <v>0</v>
      </c>
      <c r="AP826" s="34">
        <f t="shared" si="731"/>
        <v>0</v>
      </c>
      <c r="AQ826" s="28" t="s">
        <v>13</v>
      </c>
      <c r="AV826" s="34">
        <f t="shared" si="732"/>
        <v>0</v>
      </c>
      <c r="AW826" s="34">
        <f t="shared" si="733"/>
        <v>0</v>
      </c>
      <c r="AX826" s="34">
        <f t="shared" si="734"/>
        <v>0</v>
      </c>
      <c r="AY826" s="35" t="s">
        <v>3692</v>
      </c>
      <c r="AZ826" s="35" t="s">
        <v>3719</v>
      </c>
      <c r="BA826" s="27" t="s">
        <v>3729</v>
      </c>
      <c r="BC826" s="34">
        <f t="shared" si="735"/>
        <v>0</v>
      </c>
      <c r="BD826" s="34">
        <f t="shared" si="736"/>
        <v>0</v>
      </c>
      <c r="BE826" s="34">
        <v>0</v>
      </c>
      <c r="BF826" s="34">
        <f>826</f>
        <v>826</v>
      </c>
      <c r="BH826" s="18">
        <f t="shared" si="737"/>
        <v>0</v>
      </c>
      <c r="BI826" s="18">
        <f t="shared" si="738"/>
        <v>0</v>
      </c>
      <c r="BJ826" s="18">
        <f t="shared" si="739"/>
        <v>0</v>
      </c>
    </row>
    <row r="827" spans="1:62" x14ac:dyDescent="0.2">
      <c r="A827" s="5" t="s">
        <v>775</v>
      </c>
      <c r="B827" s="5" t="s">
        <v>1961</v>
      </c>
      <c r="C827" s="135" t="s">
        <v>3170</v>
      </c>
      <c r="D827" s="136"/>
      <c r="E827" s="136"/>
      <c r="F827" s="136"/>
      <c r="G827" s="136"/>
      <c r="H827" s="5" t="s">
        <v>3612</v>
      </c>
      <c r="I827" s="18">
        <v>1</v>
      </c>
      <c r="J827" s="18">
        <v>0</v>
      </c>
      <c r="K827" s="18">
        <f t="shared" si="718"/>
        <v>0</v>
      </c>
      <c r="L827" s="28" t="s">
        <v>3635</v>
      </c>
      <c r="Z827" s="34">
        <f t="shared" si="719"/>
        <v>0</v>
      </c>
      <c r="AB827" s="34">
        <f t="shared" si="720"/>
        <v>0</v>
      </c>
      <c r="AC827" s="34">
        <f t="shared" si="721"/>
        <v>0</v>
      </c>
      <c r="AD827" s="34">
        <f t="shared" si="722"/>
        <v>0</v>
      </c>
      <c r="AE827" s="34">
        <f t="shared" si="723"/>
        <v>0</v>
      </c>
      <c r="AF827" s="34">
        <f t="shared" si="724"/>
        <v>0</v>
      </c>
      <c r="AG827" s="34">
        <f t="shared" si="725"/>
        <v>0</v>
      </c>
      <c r="AH827" s="34">
        <f t="shared" si="726"/>
        <v>0</v>
      </c>
      <c r="AI827" s="27" t="s">
        <v>3645</v>
      </c>
      <c r="AJ827" s="18">
        <f t="shared" si="727"/>
        <v>0</v>
      </c>
      <c r="AK827" s="18">
        <f t="shared" si="728"/>
        <v>0</v>
      </c>
      <c r="AL827" s="18">
        <f t="shared" si="729"/>
        <v>0</v>
      </c>
      <c r="AN827" s="34">
        <v>21</v>
      </c>
      <c r="AO827" s="34">
        <f t="shared" si="730"/>
        <v>0</v>
      </c>
      <c r="AP827" s="34">
        <f t="shared" si="731"/>
        <v>0</v>
      </c>
      <c r="AQ827" s="28" t="s">
        <v>13</v>
      </c>
      <c r="AV827" s="34">
        <f t="shared" si="732"/>
        <v>0</v>
      </c>
      <c r="AW827" s="34">
        <f t="shared" si="733"/>
        <v>0</v>
      </c>
      <c r="AX827" s="34">
        <f t="shared" si="734"/>
        <v>0</v>
      </c>
      <c r="AY827" s="35" t="s">
        <v>3692</v>
      </c>
      <c r="AZ827" s="35" t="s">
        <v>3719</v>
      </c>
      <c r="BA827" s="27" t="s">
        <v>3729</v>
      </c>
      <c r="BC827" s="34">
        <f t="shared" si="735"/>
        <v>0</v>
      </c>
      <c r="BD827" s="34">
        <f t="shared" si="736"/>
        <v>0</v>
      </c>
      <c r="BE827" s="34">
        <v>0</v>
      </c>
      <c r="BF827" s="34">
        <f>827</f>
        <v>827</v>
      </c>
      <c r="BH827" s="18">
        <f t="shared" si="737"/>
        <v>0</v>
      </c>
      <c r="BI827" s="18">
        <f t="shared" si="738"/>
        <v>0</v>
      </c>
      <c r="BJ827" s="18">
        <f t="shared" si="739"/>
        <v>0</v>
      </c>
    </row>
    <row r="828" spans="1:62" x14ac:dyDescent="0.2">
      <c r="A828" s="5" t="s">
        <v>776</v>
      </c>
      <c r="B828" s="5" t="s">
        <v>1962</v>
      </c>
      <c r="C828" s="135" t="s">
        <v>3171</v>
      </c>
      <c r="D828" s="136"/>
      <c r="E828" s="136"/>
      <c r="F828" s="136"/>
      <c r="G828" s="136"/>
      <c r="H828" s="5" t="s">
        <v>3612</v>
      </c>
      <c r="I828" s="18">
        <v>1</v>
      </c>
      <c r="J828" s="18">
        <v>0</v>
      </c>
      <c r="K828" s="18">
        <f t="shared" si="718"/>
        <v>0</v>
      </c>
      <c r="L828" s="28" t="s">
        <v>3635</v>
      </c>
      <c r="Z828" s="34">
        <f t="shared" si="719"/>
        <v>0</v>
      </c>
      <c r="AB828" s="34">
        <f t="shared" si="720"/>
        <v>0</v>
      </c>
      <c r="AC828" s="34">
        <f t="shared" si="721"/>
        <v>0</v>
      </c>
      <c r="AD828" s="34">
        <f t="shared" si="722"/>
        <v>0</v>
      </c>
      <c r="AE828" s="34">
        <f t="shared" si="723"/>
        <v>0</v>
      </c>
      <c r="AF828" s="34">
        <f t="shared" si="724"/>
        <v>0</v>
      </c>
      <c r="AG828" s="34">
        <f t="shared" si="725"/>
        <v>0</v>
      </c>
      <c r="AH828" s="34">
        <f t="shared" si="726"/>
        <v>0</v>
      </c>
      <c r="AI828" s="27" t="s">
        <v>3645</v>
      </c>
      <c r="AJ828" s="18">
        <f t="shared" si="727"/>
        <v>0</v>
      </c>
      <c r="AK828" s="18">
        <f t="shared" si="728"/>
        <v>0</v>
      </c>
      <c r="AL828" s="18">
        <f t="shared" si="729"/>
        <v>0</v>
      </c>
      <c r="AN828" s="34">
        <v>21</v>
      </c>
      <c r="AO828" s="34">
        <f t="shared" si="730"/>
        <v>0</v>
      </c>
      <c r="AP828" s="34">
        <f t="shared" si="731"/>
        <v>0</v>
      </c>
      <c r="AQ828" s="28" t="s">
        <v>13</v>
      </c>
      <c r="AV828" s="34">
        <f t="shared" si="732"/>
        <v>0</v>
      </c>
      <c r="AW828" s="34">
        <f t="shared" si="733"/>
        <v>0</v>
      </c>
      <c r="AX828" s="34">
        <f t="shared" si="734"/>
        <v>0</v>
      </c>
      <c r="AY828" s="35" t="s">
        <v>3692</v>
      </c>
      <c r="AZ828" s="35" t="s">
        <v>3719</v>
      </c>
      <c r="BA828" s="27" t="s">
        <v>3729</v>
      </c>
      <c r="BC828" s="34">
        <f t="shared" si="735"/>
        <v>0</v>
      </c>
      <c r="BD828" s="34">
        <f t="shared" si="736"/>
        <v>0</v>
      </c>
      <c r="BE828" s="34">
        <v>0</v>
      </c>
      <c r="BF828" s="34">
        <f>828</f>
        <v>828</v>
      </c>
      <c r="BH828" s="18">
        <f t="shared" si="737"/>
        <v>0</v>
      </c>
      <c r="BI828" s="18">
        <f t="shared" si="738"/>
        <v>0</v>
      </c>
      <c r="BJ828" s="18">
        <f t="shared" si="739"/>
        <v>0</v>
      </c>
    </row>
    <row r="829" spans="1:62" x14ac:dyDescent="0.2">
      <c r="A829" s="5" t="s">
        <v>777</v>
      </c>
      <c r="B829" s="5" t="s">
        <v>1963</v>
      </c>
      <c r="C829" s="135" t="s">
        <v>3172</v>
      </c>
      <c r="D829" s="136"/>
      <c r="E829" s="136"/>
      <c r="F829" s="136"/>
      <c r="G829" s="136"/>
      <c r="H829" s="5" t="s">
        <v>3612</v>
      </c>
      <c r="I829" s="18">
        <v>1</v>
      </c>
      <c r="J829" s="18">
        <v>0</v>
      </c>
      <c r="K829" s="18">
        <f t="shared" si="718"/>
        <v>0</v>
      </c>
      <c r="L829" s="28" t="s">
        <v>3635</v>
      </c>
      <c r="Z829" s="34">
        <f t="shared" si="719"/>
        <v>0</v>
      </c>
      <c r="AB829" s="34">
        <f t="shared" si="720"/>
        <v>0</v>
      </c>
      <c r="AC829" s="34">
        <f t="shared" si="721"/>
        <v>0</v>
      </c>
      <c r="AD829" s="34">
        <f t="shared" si="722"/>
        <v>0</v>
      </c>
      <c r="AE829" s="34">
        <f t="shared" si="723"/>
        <v>0</v>
      </c>
      <c r="AF829" s="34">
        <f t="shared" si="724"/>
        <v>0</v>
      </c>
      <c r="AG829" s="34">
        <f t="shared" si="725"/>
        <v>0</v>
      </c>
      <c r="AH829" s="34">
        <f t="shared" si="726"/>
        <v>0</v>
      </c>
      <c r="AI829" s="27" t="s">
        <v>3645</v>
      </c>
      <c r="AJ829" s="18">
        <f t="shared" si="727"/>
        <v>0</v>
      </c>
      <c r="AK829" s="18">
        <f t="shared" si="728"/>
        <v>0</v>
      </c>
      <c r="AL829" s="18">
        <f t="shared" si="729"/>
        <v>0</v>
      </c>
      <c r="AN829" s="34">
        <v>21</v>
      </c>
      <c r="AO829" s="34">
        <f t="shared" si="730"/>
        <v>0</v>
      </c>
      <c r="AP829" s="34">
        <f t="shared" si="731"/>
        <v>0</v>
      </c>
      <c r="AQ829" s="28" t="s">
        <v>13</v>
      </c>
      <c r="AV829" s="34">
        <f t="shared" si="732"/>
        <v>0</v>
      </c>
      <c r="AW829" s="34">
        <f t="shared" si="733"/>
        <v>0</v>
      </c>
      <c r="AX829" s="34">
        <f t="shared" si="734"/>
        <v>0</v>
      </c>
      <c r="AY829" s="35" t="s">
        <v>3692</v>
      </c>
      <c r="AZ829" s="35" t="s">
        <v>3719</v>
      </c>
      <c r="BA829" s="27" t="s">
        <v>3729</v>
      </c>
      <c r="BC829" s="34">
        <f t="shared" si="735"/>
        <v>0</v>
      </c>
      <c r="BD829" s="34">
        <f t="shared" si="736"/>
        <v>0</v>
      </c>
      <c r="BE829" s="34">
        <v>0</v>
      </c>
      <c r="BF829" s="34">
        <f>829</f>
        <v>829</v>
      </c>
      <c r="BH829" s="18">
        <f t="shared" si="737"/>
        <v>0</v>
      </c>
      <c r="BI829" s="18">
        <f t="shared" si="738"/>
        <v>0</v>
      </c>
      <c r="BJ829" s="18">
        <f t="shared" si="739"/>
        <v>0</v>
      </c>
    </row>
    <row r="830" spans="1:62" x14ac:dyDescent="0.2">
      <c r="A830" s="5" t="s">
        <v>778</v>
      </c>
      <c r="B830" s="5" t="s">
        <v>1964</v>
      </c>
      <c r="C830" s="135" t="s">
        <v>3173</v>
      </c>
      <c r="D830" s="136"/>
      <c r="E830" s="136"/>
      <c r="F830" s="136"/>
      <c r="G830" s="136"/>
      <c r="H830" s="5" t="s">
        <v>3612</v>
      </c>
      <c r="I830" s="18">
        <v>1</v>
      </c>
      <c r="J830" s="18">
        <v>0</v>
      </c>
      <c r="K830" s="18">
        <f t="shared" si="718"/>
        <v>0</v>
      </c>
      <c r="L830" s="28" t="s">
        <v>3635</v>
      </c>
      <c r="Z830" s="34">
        <f t="shared" si="719"/>
        <v>0</v>
      </c>
      <c r="AB830" s="34">
        <f t="shared" si="720"/>
        <v>0</v>
      </c>
      <c r="AC830" s="34">
        <f t="shared" si="721"/>
        <v>0</v>
      </c>
      <c r="AD830" s="34">
        <f t="shared" si="722"/>
        <v>0</v>
      </c>
      <c r="AE830" s="34">
        <f t="shared" si="723"/>
        <v>0</v>
      </c>
      <c r="AF830" s="34">
        <f t="shared" si="724"/>
        <v>0</v>
      </c>
      <c r="AG830" s="34">
        <f t="shared" si="725"/>
        <v>0</v>
      </c>
      <c r="AH830" s="34">
        <f t="shared" si="726"/>
        <v>0</v>
      </c>
      <c r="AI830" s="27" t="s">
        <v>3645</v>
      </c>
      <c r="AJ830" s="18">
        <f t="shared" si="727"/>
        <v>0</v>
      </c>
      <c r="AK830" s="18">
        <f t="shared" si="728"/>
        <v>0</v>
      </c>
      <c r="AL830" s="18">
        <f t="shared" si="729"/>
        <v>0</v>
      </c>
      <c r="AN830" s="34">
        <v>21</v>
      </c>
      <c r="AO830" s="34">
        <f t="shared" si="730"/>
        <v>0</v>
      </c>
      <c r="AP830" s="34">
        <f t="shared" si="731"/>
        <v>0</v>
      </c>
      <c r="AQ830" s="28" t="s">
        <v>13</v>
      </c>
      <c r="AV830" s="34">
        <f t="shared" si="732"/>
        <v>0</v>
      </c>
      <c r="AW830" s="34">
        <f t="shared" si="733"/>
        <v>0</v>
      </c>
      <c r="AX830" s="34">
        <f t="shared" si="734"/>
        <v>0</v>
      </c>
      <c r="AY830" s="35" t="s">
        <v>3692</v>
      </c>
      <c r="AZ830" s="35" t="s">
        <v>3719</v>
      </c>
      <c r="BA830" s="27" t="s">
        <v>3729</v>
      </c>
      <c r="BC830" s="34">
        <f t="shared" si="735"/>
        <v>0</v>
      </c>
      <c r="BD830" s="34">
        <f t="shared" si="736"/>
        <v>0</v>
      </c>
      <c r="BE830" s="34">
        <v>0</v>
      </c>
      <c r="BF830" s="34">
        <f>830</f>
        <v>830</v>
      </c>
      <c r="BH830" s="18">
        <f t="shared" si="737"/>
        <v>0</v>
      </c>
      <c r="BI830" s="18">
        <f t="shared" si="738"/>
        <v>0</v>
      </c>
      <c r="BJ830" s="18">
        <f t="shared" si="739"/>
        <v>0</v>
      </c>
    </row>
    <row r="831" spans="1:62" x14ac:dyDescent="0.2">
      <c r="A831" s="5" t="s">
        <v>779</v>
      </c>
      <c r="B831" s="5" t="s">
        <v>1965</v>
      </c>
      <c r="C831" s="135" t="s">
        <v>3174</v>
      </c>
      <c r="D831" s="136"/>
      <c r="E831" s="136"/>
      <c r="F831" s="136"/>
      <c r="G831" s="136"/>
      <c r="H831" s="5" t="s">
        <v>3612</v>
      </c>
      <c r="I831" s="18">
        <v>1</v>
      </c>
      <c r="J831" s="18">
        <v>0</v>
      </c>
      <c r="K831" s="18">
        <f t="shared" si="718"/>
        <v>0</v>
      </c>
      <c r="L831" s="28" t="s">
        <v>3635</v>
      </c>
      <c r="Z831" s="34">
        <f t="shared" si="719"/>
        <v>0</v>
      </c>
      <c r="AB831" s="34">
        <f t="shared" si="720"/>
        <v>0</v>
      </c>
      <c r="AC831" s="34">
        <f t="shared" si="721"/>
        <v>0</v>
      </c>
      <c r="AD831" s="34">
        <f t="shared" si="722"/>
        <v>0</v>
      </c>
      <c r="AE831" s="34">
        <f t="shared" si="723"/>
        <v>0</v>
      </c>
      <c r="AF831" s="34">
        <f t="shared" si="724"/>
        <v>0</v>
      </c>
      <c r="AG831" s="34">
        <f t="shared" si="725"/>
        <v>0</v>
      </c>
      <c r="AH831" s="34">
        <f t="shared" si="726"/>
        <v>0</v>
      </c>
      <c r="AI831" s="27" t="s">
        <v>3645</v>
      </c>
      <c r="AJ831" s="18">
        <f t="shared" si="727"/>
        <v>0</v>
      </c>
      <c r="AK831" s="18">
        <f t="shared" si="728"/>
        <v>0</v>
      </c>
      <c r="AL831" s="18">
        <f t="shared" si="729"/>
        <v>0</v>
      </c>
      <c r="AN831" s="34">
        <v>21</v>
      </c>
      <c r="AO831" s="34">
        <f t="shared" si="730"/>
        <v>0</v>
      </c>
      <c r="AP831" s="34">
        <f t="shared" si="731"/>
        <v>0</v>
      </c>
      <c r="AQ831" s="28" t="s">
        <v>13</v>
      </c>
      <c r="AV831" s="34">
        <f t="shared" si="732"/>
        <v>0</v>
      </c>
      <c r="AW831" s="34">
        <f t="shared" si="733"/>
        <v>0</v>
      </c>
      <c r="AX831" s="34">
        <f t="shared" si="734"/>
        <v>0</v>
      </c>
      <c r="AY831" s="35" t="s">
        <v>3692</v>
      </c>
      <c r="AZ831" s="35" t="s">
        <v>3719</v>
      </c>
      <c r="BA831" s="27" t="s">
        <v>3729</v>
      </c>
      <c r="BC831" s="34">
        <f t="shared" si="735"/>
        <v>0</v>
      </c>
      <c r="BD831" s="34">
        <f t="shared" si="736"/>
        <v>0</v>
      </c>
      <c r="BE831" s="34">
        <v>0</v>
      </c>
      <c r="BF831" s="34">
        <f>831</f>
        <v>831</v>
      </c>
      <c r="BH831" s="18">
        <f t="shared" si="737"/>
        <v>0</v>
      </c>
      <c r="BI831" s="18">
        <f t="shared" si="738"/>
        <v>0</v>
      </c>
      <c r="BJ831" s="18">
        <f t="shared" si="739"/>
        <v>0</v>
      </c>
    </row>
    <row r="832" spans="1:62" x14ac:dyDescent="0.2">
      <c r="A832" s="5" t="s">
        <v>780</v>
      </c>
      <c r="B832" s="5" t="s">
        <v>1966</v>
      </c>
      <c r="C832" s="135" t="s">
        <v>3175</v>
      </c>
      <c r="D832" s="136"/>
      <c r="E832" s="136"/>
      <c r="F832" s="136"/>
      <c r="G832" s="136"/>
      <c r="H832" s="5" t="s">
        <v>3612</v>
      </c>
      <c r="I832" s="18">
        <v>1</v>
      </c>
      <c r="J832" s="18">
        <v>0</v>
      </c>
      <c r="K832" s="18">
        <f t="shared" si="718"/>
        <v>0</v>
      </c>
      <c r="L832" s="28" t="s">
        <v>3635</v>
      </c>
      <c r="Z832" s="34">
        <f t="shared" si="719"/>
        <v>0</v>
      </c>
      <c r="AB832" s="34">
        <f t="shared" si="720"/>
        <v>0</v>
      </c>
      <c r="AC832" s="34">
        <f t="shared" si="721"/>
        <v>0</v>
      </c>
      <c r="AD832" s="34">
        <f t="shared" si="722"/>
        <v>0</v>
      </c>
      <c r="AE832" s="34">
        <f t="shared" si="723"/>
        <v>0</v>
      </c>
      <c r="AF832" s="34">
        <f t="shared" si="724"/>
        <v>0</v>
      </c>
      <c r="AG832" s="34">
        <f t="shared" si="725"/>
        <v>0</v>
      </c>
      <c r="AH832" s="34">
        <f t="shared" si="726"/>
        <v>0</v>
      </c>
      <c r="AI832" s="27" t="s">
        <v>3645</v>
      </c>
      <c r="AJ832" s="18">
        <f t="shared" si="727"/>
        <v>0</v>
      </c>
      <c r="AK832" s="18">
        <f t="shared" si="728"/>
        <v>0</v>
      </c>
      <c r="AL832" s="18">
        <f t="shared" si="729"/>
        <v>0</v>
      </c>
      <c r="AN832" s="34">
        <v>21</v>
      </c>
      <c r="AO832" s="34">
        <f t="shared" si="730"/>
        <v>0</v>
      </c>
      <c r="AP832" s="34">
        <f t="shared" si="731"/>
        <v>0</v>
      </c>
      <c r="AQ832" s="28" t="s">
        <v>13</v>
      </c>
      <c r="AV832" s="34">
        <f t="shared" si="732"/>
        <v>0</v>
      </c>
      <c r="AW832" s="34">
        <f t="shared" si="733"/>
        <v>0</v>
      </c>
      <c r="AX832" s="34">
        <f t="shared" si="734"/>
        <v>0</v>
      </c>
      <c r="AY832" s="35" t="s">
        <v>3692</v>
      </c>
      <c r="AZ832" s="35" t="s">
        <v>3719</v>
      </c>
      <c r="BA832" s="27" t="s">
        <v>3729</v>
      </c>
      <c r="BC832" s="34">
        <f t="shared" si="735"/>
        <v>0</v>
      </c>
      <c r="BD832" s="34">
        <f t="shared" si="736"/>
        <v>0</v>
      </c>
      <c r="BE832" s="34">
        <v>0</v>
      </c>
      <c r="BF832" s="34">
        <f>832</f>
        <v>832</v>
      </c>
      <c r="BH832" s="18">
        <f t="shared" si="737"/>
        <v>0</v>
      </c>
      <c r="BI832" s="18">
        <f t="shared" si="738"/>
        <v>0</v>
      </c>
      <c r="BJ832" s="18">
        <f t="shared" si="739"/>
        <v>0</v>
      </c>
    </row>
    <row r="833" spans="1:62" x14ac:dyDescent="0.2">
      <c r="A833" s="5" t="s">
        <v>781</v>
      </c>
      <c r="B833" s="5" t="s">
        <v>1967</v>
      </c>
      <c r="C833" s="135" t="s">
        <v>3176</v>
      </c>
      <c r="D833" s="136"/>
      <c r="E833" s="136"/>
      <c r="F833" s="136"/>
      <c r="G833" s="136"/>
      <c r="H833" s="5" t="s">
        <v>3612</v>
      </c>
      <c r="I833" s="18">
        <v>1</v>
      </c>
      <c r="J833" s="18">
        <v>0</v>
      </c>
      <c r="K833" s="18">
        <f t="shared" si="718"/>
        <v>0</v>
      </c>
      <c r="L833" s="28" t="s">
        <v>3635</v>
      </c>
      <c r="Z833" s="34">
        <f t="shared" si="719"/>
        <v>0</v>
      </c>
      <c r="AB833" s="34">
        <f t="shared" si="720"/>
        <v>0</v>
      </c>
      <c r="AC833" s="34">
        <f t="shared" si="721"/>
        <v>0</v>
      </c>
      <c r="AD833" s="34">
        <f t="shared" si="722"/>
        <v>0</v>
      </c>
      <c r="AE833" s="34">
        <f t="shared" si="723"/>
        <v>0</v>
      </c>
      <c r="AF833" s="34">
        <f t="shared" si="724"/>
        <v>0</v>
      </c>
      <c r="AG833" s="34">
        <f t="shared" si="725"/>
        <v>0</v>
      </c>
      <c r="AH833" s="34">
        <f t="shared" si="726"/>
        <v>0</v>
      </c>
      <c r="AI833" s="27" t="s">
        <v>3645</v>
      </c>
      <c r="AJ833" s="18">
        <f t="shared" si="727"/>
        <v>0</v>
      </c>
      <c r="AK833" s="18">
        <f t="shared" si="728"/>
        <v>0</v>
      </c>
      <c r="AL833" s="18">
        <f t="shared" si="729"/>
        <v>0</v>
      </c>
      <c r="AN833" s="34">
        <v>21</v>
      </c>
      <c r="AO833" s="34">
        <f t="shared" si="730"/>
        <v>0</v>
      </c>
      <c r="AP833" s="34">
        <f t="shared" si="731"/>
        <v>0</v>
      </c>
      <c r="AQ833" s="28" t="s">
        <v>13</v>
      </c>
      <c r="AV833" s="34">
        <f t="shared" si="732"/>
        <v>0</v>
      </c>
      <c r="AW833" s="34">
        <f t="shared" si="733"/>
        <v>0</v>
      </c>
      <c r="AX833" s="34">
        <f t="shared" si="734"/>
        <v>0</v>
      </c>
      <c r="AY833" s="35" t="s">
        <v>3692</v>
      </c>
      <c r="AZ833" s="35" t="s">
        <v>3719</v>
      </c>
      <c r="BA833" s="27" t="s">
        <v>3729</v>
      </c>
      <c r="BC833" s="34">
        <f t="shared" si="735"/>
        <v>0</v>
      </c>
      <c r="BD833" s="34">
        <f t="shared" si="736"/>
        <v>0</v>
      </c>
      <c r="BE833" s="34">
        <v>0</v>
      </c>
      <c r="BF833" s="34">
        <f>833</f>
        <v>833</v>
      </c>
      <c r="BH833" s="18">
        <f t="shared" si="737"/>
        <v>0</v>
      </c>
      <c r="BI833" s="18">
        <f t="shared" si="738"/>
        <v>0</v>
      </c>
      <c r="BJ833" s="18">
        <f t="shared" si="739"/>
        <v>0</v>
      </c>
    </row>
    <row r="834" spans="1:62" x14ac:dyDescent="0.2">
      <c r="A834" s="5" t="s">
        <v>782</v>
      </c>
      <c r="B834" s="5" t="s">
        <v>1968</v>
      </c>
      <c r="C834" s="135" t="s">
        <v>3177</v>
      </c>
      <c r="D834" s="136"/>
      <c r="E834" s="136"/>
      <c r="F834" s="136"/>
      <c r="G834" s="136"/>
      <c r="H834" s="5" t="s">
        <v>3612</v>
      </c>
      <c r="I834" s="18">
        <v>1</v>
      </c>
      <c r="J834" s="18">
        <v>0</v>
      </c>
      <c r="K834" s="18">
        <f t="shared" si="718"/>
        <v>0</v>
      </c>
      <c r="L834" s="28" t="s">
        <v>3635</v>
      </c>
      <c r="Z834" s="34">
        <f t="shared" si="719"/>
        <v>0</v>
      </c>
      <c r="AB834" s="34">
        <f t="shared" si="720"/>
        <v>0</v>
      </c>
      <c r="AC834" s="34">
        <f t="shared" si="721"/>
        <v>0</v>
      </c>
      <c r="AD834" s="34">
        <f t="shared" si="722"/>
        <v>0</v>
      </c>
      <c r="AE834" s="34">
        <f t="shared" si="723"/>
        <v>0</v>
      </c>
      <c r="AF834" s="34">
        <f t="shared" si="724"/>
        <v>0</v>
      </c>
      <c r="AG834" s="34">
        <f t="shared" si="725"/>
        <v>0</v>
      </c>
      <c r="AH834" s="34">
        <f t="shared" si="726"/>
        <v>0</v>
      </c>
      <c r="AI834" s="27" t="s">
        <v>3645</v>
      </c>
      <c r="AJ834" s="18">
        <f t="shared" si="727"/>
        <v>0</v>
      </c>
      <c r="AK834" s="18">
        <f t="shared" si="728"/>
        <v>0</v>
      </c>
      <c r="AL834" s="18">
        <f t="shared" si="729"/>
        <v>0</v>
      </c>
      <c r="AN834" s="34">
        <v>21</v>
      </c>
      <c r="AO834" s="34">
        <f t="shared" si="730"/>
        <v>0</v>
      </c>
      <c r="AP834" s="34">
        <f t="shared" si="731"/>
        <v>0</v>
      </c>
      <c r="AQ834" s="28" t="s">
        <v>13</v>
      </c>
      <c r="AV834" s="34">
        <f t="shared" si="732"/>
        <v>0</v>
      </c>
      <c r="AW834" s="34">
        <f t="shared" si="733"/>
        <v>0</v>
      </c>
      <c r="AX834" s="34">
        <f t="shared" si="734"/>
        <v>0</v>
      </c>
      <c r="AY834" s="35" t="s">
        <v>3692</v>
      </c>
      <c r="AZ834" s="35" t="s">
        <v>3719</v>
      </c>
      <c r="BA834" s="27" t="s">
        <v>3729</v>
      </c>
      <c r="BC834" s="34">
        <f t="shared" si="735"/>
        <v>0</v>
      </c>
      <c r="BD834" s="34">
        <f t="shared" si="736"/>
        <v>0</v>
      </c>
      <c r="BE834" s="34">
        <v>0</v>
      </c>
      <c r="BF834" s="34">
        <f>834</f>
        <v>834</v>
      </c>
      <c r="BH834" s="18">
        <f t="shared" si="737"/>
        <v>0</v>
      </c>
      <c r="BI834" s="18">
        <f t="shared" si="738"/>
        <v>0</v>
      </c>
      <c r="BJ834" s="18">
        <f t="shared" si="739"/>
        <v>0</v>
      </c>
    </row>
    <row r="835" spans="1:62" x14ac:dyDescent="0.2">
      <c r="A835" s="5" t="s">
        <v>783</v>
      </c>
      <c r="B835" s="5" t="s">
        <v>1969</v>
      </c>
      <c r="C835" s="135" t="s">
        <v>3178</v>
      </c>
      <c r="D835" s="136"/>
      <c r="E835" s="136"/>
      <c r="F835" s="136"/>
      <c r="G835" s="136"/>
      <c r="H835" s="5" t="s">
        <v>3612</v>
      </c>
      <c r="I835" s="18">
        <v>1</v>
      </c>
      <c r="J835" s="18">
        <v>0</v>
      </c>
      <c r="K835" s="18">
        <f t="shared" si="718"/>
        <v>0</v>
      </c>
      <c r="L835" s="28" t="s">
        <v>3635</v>
      </c>
      <c r="Z835" s="34">
        <f t="shared" si="719"/>
        <v>0</v>
      </c>
      <c r="AB835" s="34">
        <f t="shared" si="720"/>
        <v>0</v>
      </c>
      <c r="AC835" s="34">
        <f t="shared" si="721"/>
        <v>0</v>
      </c>
      <c r="AD835" s="34">
        <f t="shared" si="722"/>
        <v>0</v>
      </c>
      <c r="AE835" s="34">
        <f t="shared" si="723"/>
        <v>0</v>
      </c>
      <c r="AF835" s="34">
        <f t="shared" si="724"/>
        <v>0</v>
      </c>
      <c r="AG835" s="34">
        <f t="shared" si="725"/>
        <v>0</v>
      </c>
      <c r="AH835" s="34">
        <f t="shared" si="726"/>
        <v>0</v>
      </c>
      <c r="AI835" s="27" t="s">
        <v>3645</v>
      </c>
      <c r="AJ835" s="18">
        <f t="shared" si="727"/>
        <v>0</v>
      </c>
      <c r="AK835" s="18">
        <f t="shared" si="728"/>
        <v>0</v>
      </c>
      <c r="AL835" s="18">
        <f t="shared" si="729"/>
        <v>0</v>
      </c>
      <c r="AN835" s="34">
        <v>21</v>
      </c>
      <c r="AO835" s="34">
        <f t="shared" si="730"/>
        <v>0</v>
      </c>
      <c r="AP835" s="34">
        <f t="shared" si="731"/>
        <v>0</v>
      </c>
      <c r="AQ835" s="28" t="s">
        <v>13</v>
      </c>
      <c r="AV835" s="34">
        <f t="shared" si="732"/>
        <v>0</v>
      </c>
      <c r="AW835" s="34">
        <f t="shared" si="733"/>
        <v>0</v>
      </c>
      <c r="AX835" s="34">
        <f t="shared" si="734"/>
        <v>0</v>
      </c>
      <c r="AY835" s="35" t="s">
        <v>3692</v>
      </c>
      <c r="AZ835" s="35" t="s">
        <v>3719</v>
      </c>
      <c r="BA835" s="27" t="s">
        <v>3729</v>
      </c>
      <c r="BC835" s="34">
        <f t="shared" si="735"/>
        <v>0</v>
      </c>
      <c r="BD835" s="34">
        <f t="shared" si="736"/>
        <v>0</v>
      </c>
      <c r="BE835" s="34">
        <v>0</v>
      </c>
      <c r="BF835" s="34">
        <f>835</f>
        <v>835</v>
      </c>
      <c r="BH835" s="18">
        <f t="shared" si="737"/>
        <v>0</v>
      </c>
      <c r="BI835" s="18">
        <f t="shared" si="738"/>
        <v>0</v>
      </c>
      <c r="BJ835" s="18">
        <f t="shared" si="739"/>
        <v>0</v>
      </c>
    </row>
    <row r="836" spans="1:62" x14ac:dyDescent="0.2">
      <c r="A836" s="5" t="s">
        <v>784</v>
      </c>
      <c r="B836" s="5" t="s">
        <v>1970</v>
      </c>
      <c r="C836" s="135" t="s">
        <v>3179</v>
      </c>
      <c r="D836" s="136"/>
      <c r="E836" s="136"/>
      <c r="F836" s="136"/>
      <c r="G836" s="136"/>
      <c r="H836" s="5" t="s">
        <v>3612</v>
      </c>
      <c r="I836" s="18">
        <v>1</v>
      </c>
      <c r="J836" s="18">
        <v>0</v>
      </c>
      <c r="K836" s="18">
        <f t="shared" si="718"/>
        <v>0</v>
      </c>
      <c r="L836" s="28" t="s">
        <v>3635</v>
      </c>
      <c r="Z836" s="34">
        <f t="shared" si="719"/>
        <v>0</v>
      </c>
      <c r="AB836" s="34">
        <f t="shared" si="720"/>
        <v>0</v>
      </c>
      <c r="AC836" s="34">
        <f t="shared" si="721"/>
        <v>0</v>
      </c>
      <c r="AD836" s="34">
        <f t="shared" si="722"/>
        <v>0</v>
      </c>
      <c r="AE836" s="34">
        <f t="shared" si="723"/>
        <v>0</v>
      </c>
      <c r="AF836" s="34">
        <f t="shared" si="724"/>
        <v>0</v>
      </c>
      <c r="AG836" s="34">
        <f t="shared" si="725"/>
        <v>0</v>
      </c>
      <c r="AH836" s="34">
        <f t="shared" si="726"/>
        <v>0</v>
      </c>
      <c r="AI836" s="27" t="s">
        <v>3645</v>
      </c>
      <c r="AJ836" s="18">
        <f t="shared" si="727"/>
        <v>0</v>
      </c>
      <c r="AK836" s="18">
        <f t="shared" si="728"/>
        <v>0</v>
      </c>
      <c r="AL836" s="18">
        <f t="shared" si="729"/>
        <v>0</v>
      </c>
      <c r="AN836" s="34">
        <v>21</v>
      </c>
      <c r="AO836" s="34">
        <f t="shared" si="730"/>
        <v>0</v>
      </c>
      <c r="AP836" s="34">
        <f t="shared" si="731"/>
        <v>0</v>
      </c>
      <c r="AQ836" s="28" t="s">
        <v>13</v>
      </c>
      <c r="AV836" s="34">
        <f t="shared" si="732"/>
        <v>0</v>
      </c>
      <c r="AW836" s="34">
        <f t="shared" si="733"/>
        <v>0</v>
      </c>
      <c r="AX836" s="34">
        <f t="shared" si="734"/>
        <v>0</v>
      </c>
      <c r="AY836" s="35" t="s">
        <v>3692</v>
      </c>
      <c r="AZ836" s="35" t="s">
        <v>3719</v>
      </c>
      <c r="BA836" s="27" t="s">
        <v>3729</v>
      </c>
      <c r="BC836" s="34">
        <f t="shared" si="735"/>
        <v>0</v>
      </c>
      <c r="BD836" s="34">
        <f t="shared" si="736"/>
        <v>0</v>
      </c>
      <c r="BE836" s="34">
        <v>0</v>
      </c>
      <c r="BF836" s="34">
        <f>836</f>
        <v>836</v>
      </c>
      <c r="BH836" s="18">
        <f t="shared" si="737"/>
        <v>0</v>
      </c>
      <c r="BI836" s="18">
        <f t="shared" si="738"/>
        <v>0</v>
      </c>
      <c r="BJ836" s="18">
        <f t="shared" si="739"/>
        <v>0</v>
      </c>
    </row>
    <row r="837" spans="1:62" x14ac:dyDescent="0.2">
      <c r="A837" s="5" t="s">
        <v>785</v>
      </c>
      <c r="B837" s="5" t="s">
        <v>1971</v>
      </c>
      <c r="C837" s="135" t="s">
        <v>3180</v>
      </c>
      <c r="D837" s="136"/>
      <c r="E837" s="136"/>
      <c r="F837" s="136"/>
      <c r="G837" s="136"/>
      <c r="H837" s="5" t="s">
        <v>3612</v>
      </c>
      <c r="I837" s="18">
        <v>1</v>
      </c>
      <c r="J837" s="18">
        <v>0</v>
      </c>
      <c r="K837" s="18">
        <f t="shared" si="718"/>
        <v>0</v>
      </c>
      <c r="L837" s="28" t="s">
        <v>3635</v>
      </c>
      <c r="Z837" s="34">
        <f t="shared" si="719"/>
        <v>0</v>
      </c>
      <c r="AB837" s="34">
        <f t="shared" si="720"/>
        <v>0</v>
      </c>
      <c r="AC837" s="34">
        <f t="shared" si="721"/>
        <v>0</v>
      </c>
      <c r="AD837" s="34">
        <f t="shared" si="722"/>
        <v>0</v>
      </c>
      <c r="AE837" s="34">
        <f t="shared" si="723"/>
        <v>0</v>
      </c>
      <c r="AF837" s="34">
        <f t="shared" si="724"/>
        <v>0</v>
      </c>
      <c r="AG837" s="34">
        <f t="shared" si="725"/>
        <v>0</v>
      </c>
      <c r="AH837" s="34">
        <f t="shared" si="726"/>
        <v>0</v>
      </c>
      <c r="AI837" s="27" t="s">
        <v>3645</v>
      </c>
      <c r="AJ837" s="18">
        <f t="shared" si="727"/>
        <v>0</v>
      </c>
      <c r="AK837" s="18">
        <f t="shared" si="728"/>
        <v>0</v>
      </c>
      <c r="AL837" s="18">
        <f t="shared" si="729"/>
        <v>0</v>
      </c>
      <c r="AN837" s="34">
        <v>21</v>
      </c>
      <c r="AO837" s="34">
        <f t="shared" si="730"/>
        <v>0</v>
      </c>
      <c r="AP837" s="34">
        <f t="shared" si="731"/>
        <v>0</v>
      </c>
      <c r="AQ837" s="28" t="s">
        <v>13</v>
      </c>
      <c r="AV837" s="34">
        <f t="shared" si="732"/>
        <v>0</v>
      </c>
      <c r="AW837" s="34">
        <f t="shared" si="733"/>
        <v>0</v>
      </c>
      <c r="AX837" s="34">
        <f t="shared" si="734"/>
        <v>0</v>
      </c>
      <c r="AY837" s="35" t="s">
        <v>3692</v>
      </c>
      <c r="AZ837" s="35" t="s">
        <v>3719</v>
      </c>
      <c r="BA837" s="27" t="s">
        <v>3729</v>
      </c>
      <c r="BC837" s="34">
        <f t="shared" si="735"/>
        <v>0</v>
      </c>
      <c r="BD837" s="34">
        <f t="shared" si="736"/>
        <v>0</v>
      </c>
      <c r="BE837" s="34">
        <v>0</v>
      </c>
      <c r="BF837" s="34">
        <f>837</f>
        <v>837</v>
      </c>
      <c r="BH837" s="18">
        <f t="shared" si="737"/>
        <v>0</v>
      </c>
      <c r="BI837" s="18">
        <f t="shared" si="738"/>
        <v>0</v>
      </c>
      <c r="BJ837" s="18">
        <f t="shared" si="739"/>
        <v>0</v>
      </c>
    </row>
    <row r="838" spans="1:62" x14ac:dyDescent="0.2">
      <c r="A838" s="5" t="s">
        <v>786</v>
      </c>
      <c r="B838" s="5" t="s">
        <v>1972</v>
      </c>
      <c r="C838" s="135" t="s">
        <v>3181</v>
      </c>
      <c r="D838" s="136"/>
      <c r="E838" s="136"/>
      <c r="F838" s="136"/>
      <c r="G838" s="136"/>
      <c r="H838" s="5" t="s">
        <v>3612</v>
      </c>
      <c r="I838" s="18">
        <v>1</v>
      </c>
      <c r="J838" s="18">
        <v>0</v>
      </c>
      <c r="K838" s="18">
        <f t="shared" si="718"/>
        <v>0</v>
      </c>
      <c r="L838" s="28" t="s">
        <v>3635</v>
      </c>
      <c r="Z838" s="34">
        <f t="shared" si="719"/>
        <v>0</v>
      </c>
      <c r="AB838" s="34">
        <f t="shared" si="720"/>
        <v>0</v>
      </c>
      <c r="AC838" s="34">
        <f t="shared" si="721"/>
        <v>0</v>
      </c>
      <c r="AD838" s="34">
        <f t="shared" si="722"/>
        <v>0</v>
      </c>
      <c r="AE838" s="34">
        <f t="shared" si="723"/>
        <v>0</v>
      </c>
      <c r="AF838" s="34">
        <f t="shared" si="724"/>
        <v>0</v>
      </c>
      <c r="AG838" s="34">
        <f t="shared" si="725"/>
        <v>0</v>
      </c>
      <c r="AH838" s="34">
        <f t="shared" si="726"/>
        <v>0</v>
      </c>
      <c r="AI838" s="27" t="s">
        <v>3645</v>
      </c>
      <c r="AJ838" s="18">
        <f t="shared" si="727"/>
        <v>0</v>
      </c>
      <c r="AK838" s="18">
        <f t="shared" si="728"/>
        <v>0</v>
      </c>
      <c r="AL838" s="18">
        <f t="shared" si="729"/>
        <v>0</v>
      </c>
      <c r="AN838" s="34">
        <v>21</v>
      </c>
      <c r="AO838" s="34">
        <f t="shared" si="730"/>
        <v>0</v>
      </c>
      <c r="AP838" s="34">
        <f t="shared" si="731"/>
        <v>0</v>
      </c>
      <c r="AQ838" s="28" t="s">
        <v>13</v>
      </c>
      <c r="AV838" s="34">
        <f t="shared" si="732"/>
        <v>0</v>
      </c>
      <c r="AW838" s="34">
        <f t="shared" si="733"/>
        <v>0</v>
      </c>
      <c r="AX838" s="34">
        <f t="shared" si="734"/>
        <v>0</v>
      </c>
      <c r="AY838" s="35" t="s">
        <v>3692</v>
      </c>
      <c r="AZ838" s="35" t="s">
        <v>3719</v>
      </c>
      <c r="BA838" s="27" t="s">
        <v>3729</v>
      </c>
      <c r="BC838" s="34">
        <f t="shared" si="735"/>
        <v>0</v>
      </c>
      <c r="BD838" s="34">
        <f t="shared" si="736"/>
        <v>0</v>
      </c>
      <c r="BE838" s="34">
        <v>0</v>
      </c>
      <c r="BF838" s="34">
        <f>838</f>
        <v>838</v>
      </c>
      <c r="BH838" s="18">
        <f t="shared" si="737"/>
        <v>0</v>
      </c>
      <c r="BI838" s="18">
        <f t="shared" si="738"/>
        <v>0</v>
      </c>
      <c r="BJ838" s="18">
        <f t="shared" si="739"/>
        <v>0</v>
      </c>
    </row>
    <row r="839" spans="1:62" x14ac:dyDescent="0.2">
      <c r="A839" s="5" t="s">
        <v>787</v>
      </c>
      <c r="B839" s="5" t="s">
        <v>1973</v>
      </c>
      <c r="C839" s="135" t="s">
        <v>3182</v>
      </c>
      <c r="D839" s="136"/>
      <c r="E839" s="136"/>
      <c r="F839" s="136"/>
      <c r="G839" s="136"/>
      <c r="H839" s="5" t="s">
        <v>3612</v>
      </c>
      <c r="I839" s="18">
        <v>1</v>
      </c>
      <c r="J839" s="18">
        <v>0</v>
      </c>
      <c r="K839" s="18">
        <f t="shared" si="718"/>
        <v>0</v>
      </c>
      <c r="L839" s="28" t="s">
        <v>3635</v>
      </c>
      <c r="Z839" s="34">
        <f t="shared" si="719"/>
        <v>0</v>
      </c>
      <c r="AB839" s="34">
        <f t="shared" si="720"/>
        <v>0</v>
      </c>
      <c r="AC839" s="34">
        <f t="shared" si="721"/>
        <v>0</v>
      </c>
      <c r="AD839" s="34">
        <f t="shared" si="722"/>
        <v>0</v>
      </c>
      <c r="AE839" s="34">
        <f t="shared" si="723"/>
        <v>0</v>
      </c>
      <c r="AF839" s="34">
        <f t="shared" si="724"/>
        <v>0</v>
      </c>
      <c r="AG839" s="34">
        <f t="shared" si="725"/>
        <v>0</v>
      </c>
      <c r="AH839" s="34">
        <f t="shared" si="726"/>
        <v>0</v>
      </c>
      <c r="AI839" s="27" t="s">
        <v>3645</v>
      </c>
      <c r="AJ839" s="18">
        <f t="shared" si="727"/>
        <v>0</v>
      </c>
      <c r="AK839" s="18">
        <f t="shared" si="728"/>
        <v>0</v>
      </c>
      <c r="AL839" s="18">
        <f t="shared" si="729"/>
        <v>0</v>
      </c>
      <c r="AN839" s="34">
        <v>21</v>
      </c>
      <c r="AO839" s="34">
        <f t="shared" si="730"/>
        <v>0</v>
      </c>
      <c r="AP839" s="34">
        <f t="shared" si="731"/>
        <v>0</v>
      </c>
      <c r="AQ839" s="28" t="s">
        <v>13</v>
      </c>
      <c r="AV839" s="34">
        <f t="shared" si="732"/>
        <v>0</v>
      </c>
      <c r="AW839" s="34">
        <f t="shared" si="733"/>
        <v>0</v>
      </c>
      <c r="AX839" s="34">
        <f t="shared" si="734"/>
        <v>0</v>
      </c>
      <c r="AY839" s="35" t="s">
        <v>3692</v>
      </c>
      <c r="AZ839" s="35" t="s">
        <v>3719</v>
      </c>
      <c r="BA839" s="27" t="s">
        <v>3729</v>
      </c>
      <c r="BC839" s="34">
        <f t="shared" si="735"/>
        <v>0</v>
      </c>
      <c r="BD839" s="34">
        <f t="shared" si="736"/>
        <v>0</v>
      </c>
      <c r="BE839" s="34">
        <v>0</v>
      </c>
      <c r="BF839" s="34">
        <f>839</f>
        <v>839</v>
      </c>
      <c r="BH839" s="18">
        <f t="shared" si="737"/>
        <v>0</v>
      </c>
      <c r="BI839" s="18">
        <f t="shared" si="738"/>
        <v>0</v>
      </c>
      <c r="BJ839" s="18">
        <f t="shared" si="739"/>
        <v>0</v>
      </c>
    </row>
    <row r="840" spans="1:62" x14ac:dyDescent="0.2">
      <c r="A840" s="5" t="s">
        <v>788</v>
      </c>
      <c r="B840" s="5" t="s">
        <v>1974</v>
      </c>
      <c r="C840" s="135" t="s">
        <v>3183</v>
      </c>
      <c r="D840" s="136"/>
      <c r="E840" s="136"/>
      <c r="F840" s="136"/>
      <c r="G840" s="136"/>
      <c r="H840" s="5" t="s">
        <v>3612</v>
      </c>
      <c r="I840" s="18">
        <v>1</v>
      </c>
      <c r="J840" s="18">
        <v>0</v>
      </c>
      <c r="K840" s="18">
        <f t="shared" si="718"/>
        <v>0</v>
      </c>
      <c r="L840" s="28" t="s">
        <v>3635</v>
      </c>
      <c r="Z840" s="34">
        <f t="shared" si="719"/>
        <v>0</v>
      </c>
      <c r="AB840" s="34">
        <f t="shared" si="720"/>
        <v>0</v>
      </c>
      <c r="AC840" s="34">
        <f t="shared" si="721"/>
        <v>0</v>
      </c>
      <c r="AD840" s="34">
        <f t="shared" si="722"/>
        <v>0</v>
      </c>
      <c r="AE840" s="34">
        <f t="shared" si="723"/>
        <v>0</v>
      </c>
      <c r="AF840" s="34">
        <f t="shared" si="724"/>
        <v>0</v>
      </c>
      <c r="AG840" s="34">
        <f t="shared" si="725"/>
        <v>0</v>
      </c>
      <c r="AH840" s="34">
        <f t="shared" si="726"/>
        <v>0</v>
      </c>
      <c r="AI840" s="27" t="s">
        <v>3645</v>
      </c>
      <c r="AJ840" s="18">
        <f t="shared" si="727"/>
        <v>0</v>
      </c>
      <c r="AK840" s="18">
        <f t="shared" si="728"/>
        <v>0</v>
      </c>
      <c r="AL840" s="18">
        <f t="shared" si="729"/>
        <v>0</v>
      </c>
      <c r="AN840" s="34">
        <v>21</v>
      </c>
      <c r="AO840" s="34">
        <f t="shared" si="730"/>
        <v>0</v>
      </c>
      <c r="AP840" s="34">
        <f t="shared" si="731"/>
        <v>0</v>
      </c>
      <c r="AQ840" s="28" t="s">
        <v>13</v>
      </c>
      <c r="AV840" s="34">
        <f t="shared" si="732"/>
        <v>0</v>
      </c>
      <c r="AW840" s="34">
        <f t="shared" si="733"/>
        <v>0</v>
      </c>
      <c r="AX840" s="34">
        <f t="shared" si="734"/>
        <v>0</v>
      </c>
      <c r="AY840" s="35" t="s">
        <v>3692</v>
      </c>
      <c r="AZ840" s="35" t="s">
        <v>3719</v>
      </c>
      <c r="BA840" s="27" t="s">
        <v>3729</v>
      </c>
      <c r="BC840" s="34">
        <f t="shared" si="735"/>
        <v>0</v>
      </c>
      <c r="BD840" s="34">
        <f t="shared" si="736"/>
        <v>0</v>
      </c>
      <c r="BE840" s="34">
        <v>0</v>
      </c>
      <c r="BF840" s="34">
        <f>840</f>
        <v>840</v>
      </c>
      <c r="BH840" s="18">
        <f t="shared" si="737"/>
        <v>0</v>
      </c>
      <c r="BI840" s="18">
        <f t="shared" si="738"/>
        <v>0</v>
      </c>
      <c r="BJ840" s="18">
        <f t="shared" si="739"/>
        <v>0</v>
      </c>
    </row>
    <row r="841" spans="1:62" x14ac:dyDescent="0.2">
      <c r="A841" s="5" t="s">
        <v>789</v>
      </c>
      <c r="B841" s="5" t="s">
        <v>1975</v>
      </c>
      <c r="C841" s="135" t="s">
        <v>3184</v>
      </c>
      <c r="D841" s="136"/>
      <c r="E841" s="136"/>
      <c r="F841" s="136"/>
      <c r="G841" s="136"/>
      <c r="H841" s="5" t="s">
        <v>3612</v>
      </c>
      <c r="I841" s="18">
        <v>1</v>
      </c>
      <c r="J841" s="18">
        <v>0</v>
      </c>
      <c r="K841" s="18">
        <f t="shared" si="718"/>
        <v>0</v>
      </c>
      <c r="L841" s="28" t="s">
        <v>3635</v>
      </c>
      <c r="Z841" s="34">
        <f t="shared" si="719"/>
        <v>0</v>
      </c>
      <c r="AB841" s="34">
        <f t="shared" si="720"/>
        <v>0</v>
      </c>
      <c r="AC841" s="34">
        <f t="shared" si="721"/>
        <v>0</v>
      </c>
      <c r="AD841" s="34">
        <f t="shared" si="722"/>
        <v>0</v>
      </c>
      <c r="AE841" s="34">
        <f t="shared" si="723"/>
        <v>0</v>
      </c>
      <c r="AF841" s="34">
        <f t="shared" si="724"/>
        <v>0</v>
      </c>
      <c r="AG841" s="34">
        <f t="shared" si="725"/>
        <v>0</v>
      </c>
      <c r="AH841" s="34">
        <f t="shared" si="726"/>
        <v>0</v>
      </c>
      <c r="AI841" s="27" t="s">
        <v>3645</v>
      </c>
      <c r="AJ841" s="18">
        <f t="shared" si="727"/>
        <v>0</v>
      </c>
      <c r="AK841" s="18">
        <f t="shared" si="728"/>
        <v>0</v>
      </c>
      <c r="AL841" s="18">
        <f t="shared" si="729"/>
        <v>0</v>
      </c>
      <c r="AN841" s="34">
        <v>21</v>
      </c>
      <c r="AO841" s="34">
        <f t="shared" si="730"/>
        <v>0</v>
      </c>
      <c r="AP841" s="34">
        <f t="shared" si="731"/>
        <v>0</v>
      </c>
      <c r="AQ841" s="28" t="s">
        <v>13</v>
      </c>
      <c r="AV841" s="34">
        <f t="shared" si="732"/>
        <v>0</v>
      </c>
      <c r="AW841" s="34">
        <f t="shared" si="733"/>
        <v>0</v>
      </c>
      <c r="AX841" s="34">
        <f t="shared" si="734"/>
        <v>0</v>
      </c>
      <c r="AY841" s="35" t="s">
        <v>3692</v>
      </c>
      <c r="AZ841" s="35" t="s">
        <v>3719</v>
      </c>
      <c r="BA841" s="27" t="s">
        <v>3729</v>
      </c>
      <c r="BC841" s="34">
        <f t="shared" si="735"/>
        <v>0</v>
      </c>
      <c r="BD841" s="34">
        <f t="shared" si="736"/>
        <v>0</v>
      </c>
      <c r="BE841" s="34">
        <v>0</v>
      </c>
      <c r="BF841" s="34">
        <f>841</f>
        <v>841</v>
      </c>
      <c r="BH841" s="18">
        <f t="shared" si="737"/>
        <v>0</v>
      </c>
      <c r="BI841" s="18">
        <f t="shared" si="738"/>
        <v>0</v>
      </c>
      <c r="BJ841" s="18">
        <f t="shared" si="739"/>
        <v>0</v>
      </c>
    </row>
    <row r="842" spans="1:62" x14ac:dyDescent="0.2">
      <c r="A842" s="5" t="s">
        <v>790</v>
      </c>
      <c r="B842" s="5" t="s">
        <v>1976</v>
      </c>
      <c r="C842" s="135" t="s">
        <v>3185</v>
      </c>
      <c r="D842" s="136"/>
      <c r="E842" s="136"/>
      <c r="F842" s="136"/>
      <c r="G842" s="136"/>
      <c r="H842" s="5" t="s">
        <v>3612</v>
      </c>
      <c r="I842" s="18">
        <v>1</v>
      </c>
      <c r="J842" s="18">
        <v>0</v>
      </c>
      <c r="K842" s="18">
        <f t="shared" si="718"/>
        <v>0</v>
      </c>
      <c r="L842" s="28" t="s">
        <v>3635</v>
      </c>
      <c r="Z842" s="34">
        <f t="shared" si="719"/>
        <v>0</v>
      </c>
      <c r="AB842" s="34">
        <f t="shared" si="720"/>
        <v>0</v>
      </c>
      <c r="AC842" s="34">
        <f t="shared" si="721"/>
        <v>0</v>
      </c>
      <c r="AD842" s="34">
        <f t="shared" si="722"/>
        <v>0</v>
      </c>
      <c r="AE842" s="34">
        <f t="shared" si="723"/>
        <v>0</v>
      </c>
      <c r="AF842" s="34">
        <f t="shared" si="724"/>
        <v>0</v>
      </c>
      <c r="AG842" s="34">
        <f t="shared" si="725"/>
        <v>0</v>
      </c>
      <c r="AH842" s="34">
        <f t="shared" si="726"/>
        <v>0</v>
      </c>
      <c r="AI842" s="27" t="s">
        <v>3645</v>
      </c>
      <c r="AJ842" s="18">
        <f t="shared" si="727"/>
        <v>0</v>
      </c>
      <c r="AK842" s="18">
        <f t="shared" si="728"/>
        <v>0</v>
      </c>
      <c r="AL842" s="18">
        <f t="shared" si="729"/>
        <v>0</v>
      </c>
      <c r="AN842" s="34">
        <v>21</v>
      </c>
      <c r="AO842" s="34">
        <f t="shared" si="730"/>
        <v>0</v>
      </c>
      <c r="AP842" s="34">
        <f t="shared" si="731"/>
        <v>0</v>
      </c>
      <c r="AQ842" s="28" t="s">
        <v>13</v>
      </c>
      <c r="AV842" s="34">
        <f t="shared" si="732"/>
        <v>0</v>
      </c>
      <c r="AW842" s="34">
        <f t="shared" si="733"/>
        <v>0</v>
      </c>
      <c r="AX842" s="34">
        <f t="shared" si="734"/>
        <v>0</v>
      </c>
      <c r="AY842" s="35" t="s">
        <v>3692</v>
      </c>
      <c r="AZ842" s="35" t="s">
        <v>3719</v>
      </c>
      <c r="BA842" s="27" t="s">
        <v>3729</v>
      </c>
      <c r="BC842" s="34">
        <f t="shared" si="735"/>
        <v>0</v>
      </c>
      <c r="BD842" s="34">
        <f t="shared" si="736"/>
        <v>0</v>
      </c>
      <c r="BE842" s="34">
        <v>0</v>
      </c>
      <c r="BF842" s="34">
        <f>842</f>
        <v>842</v>
      </c>
      <c r="BH842" s="18">
        <f t="shared" si="737"/>
        <v>0</v>
      </c>
      <c r="BI842" s="18">
        <f t="shared" si="738"/>
        <v>0</v>
      </c>
      <c r="BJ842" s="18">
        <f t="shared" si="739"/>
        <v>0</v>
      </c>
    </row>
    <row r="843" spans="1:62" x14ac:dyDescent="0.2">
      <c r="A843" s="5" t="s">
        <v>791</v>
      </c>
      <c r="B843" s="5" t="s">
        <v>1977</v>
      </c>
      <c r="C843" s="135" t="s">
        <v>3186</v>
      </c>
      <c r="D843" s="136"/>
      <c r="E843" s="136"/>
      <c r="F843" s="136"/>
      <c r="G843" s="136"/>
      <c r="H843" s="5" t="s">
        <v>3612</v>
      </c>
      <c r="I843" s="18">
        <v>1</v>
      </c>
      <c r="J843" s="18">
        <v>0</v>
      </c>
      <c r="K843" s="18">
        <f t="shared" si="718"/>
        <v>0</v>
      </c>
      <c r="L843" s="28" t="s">
        <v>3635</v>
      </c>
      <c r="Z843" s="34">
        <f t="shared" si="719"/>
        <v>0</v>
      </c>
      <c r="AB843" s="34">
        <f t="shared" si="720"/>
        <v>0</v>
      </c>
      <c r="AC843" s="34">
        <f t="shared" si="721"/>
        <v>0</v>
      </c>
      <c r="AD843" s="34">
        <f t="shared" si="722"/>
        <v>0</v>
      </c>
      <c r="AE843" s="34">
        <f t="shared" si="723"/>
        <v>0</v>
      </c>
      <c r="AF843" s="34">
        <f t="shared" si="724"/>
        <v>0</v>
      </c>
      <c r="AG843" s="34">
        <f t="shared" si="725"/>
        <v>0</v>
      </c>
      <c r="AH843" s="34">
        <f t="shared" si="726"/>
        <v>0</v>
      </c>
      <c r="AI843" s="27" t="s">
        <v>3645</v>
      </c>
      <c r="AJ843" s="18">
        <f t="shared" si="727"/>
        <v>0</v>
      </c>
      <c r="AK843" s="18">
        <f t="shared" si="728"/>
        <v>0</v>
      </c>
      <c r="AL843" s="18">
        <f t="shared" si="729"/>
        <v>0</v>
      </c>
      <c r="AN843" s="34">
        <v>21</v>
      </c>
      <c r="AO843" s="34">
        <f t="shared" si="730"/>
        <v>0</v>
      </c>
      <c r="AP843" s="34">
        <f t="shared" si="731"/>
        <v>0</v>
      </c>
      <c r="AQ843" s="28" t="s">
        <v>13</v>
      </c>
      <c r="AV843" s="34">
        <f t="shared" si="732"/>
        <v>0</v>
      </c>
      <c r="AW843" s="34">
        <f t="shared" si="733"/>
        <v>0</v>
      </c>
      <c r="AX843" s="34">
        <f t="shared" si="734"/>
        <v>0</v>
      </c>
      <c r="AY843" s="35" t="s">
        <v>3692</v>
      </c>
      <c r="AZ843" s="35" t="s">
        <v>3719</v>
      </c>
      <c r="BA843" s="27" t="s">
        <v>3729</v>
      </c>
      <c r="BC843" s="34">
        <f t="shared" si="735"/>
        <v>0</v>
      </c>
      <c r="BD843" s="34">
        <f t="shared" si="736"/>
        <v>0</v>
      </c>
      <c r="BE843" s="34">
        <v>0</v>
      </c>
      <c r="BF843" s="34">
        <f>843</f>
        <v>843</v>
      </c>
      <c r="BH843" s="18">
        <f t="shared" si="737"/>
        <v>0</v>
      </c>
      <c r="BI843" s="18">
        <f t="shared" si="738"/>
        <v>0</v>
      </c>
      <c r="BJ843" s="18">
        <f t="shared" si="739"/>
        <v>0</v>
      </c>
    </row>
    <row r="844" spans="1:62" x14ac:dyDescent="0.2">
      <c r="A844" s="5" t="s">
        <v>792</v>
      </c>
      <c r="B844" s="5" t="s">
        <v>1978</v>
      </c>
      <c r="C844" s="135" t="s">
        <v>3187</v>
      </c>
      <c r="D844" s="136"/>
      <c r="E844" s="136"/>
      <c r="F844" s="136"/>
      <c r="G844" s="136"/>
      <c r="H844" s="5" t="s">
        <v>3612</v>
      </c>
      <c r="I844" s="18">
        <v>2</v>
      </c>
      <c r="J844" s="18">
        <v>0</v>
      </c>
      <c r="K844" s="18">
        <f t="shared" si="718"/>
        <v>0</v>
      </c>
      <c r="L844" s="28" t="s">
        <v>3635</v>
      </c>
      <c r="Z844" s="34">
        <f t="shared" si="719"/>
        <v>0</v>
      </c>
      <c r="AB844" s="34">
        <f t="shared" si="720"/>
        <v>0</v>
      </c>
      <c r="AC844" s="34">
        <f t="shared" si="721"/>
        <v>0</v>
      </c>
      <c r="AD844" s="34">
        <f t="shared" si="722"/>
        <v>0</v>
      </c>
      <c r="AE844" s="34">
        <f t="shared" si="723"/>
        <v>0</v>
      </c>
      <c r="AF844" s="34">
        <f t="shared" si="724"/>
        <v>0</v>
      </c>
      <c r="AG844" s="34">
        <f t="shared" si="725"/>
        <v>0</v>
      </c>
      <c r="AH844" s="34">
        <f t="shared" si="726"/>
        <v>0</v>
      </c>
      <c r="AI844" s="27" t="s">
        <v>3645</v>
      </c>
      <c r="AJ844" s="18">
        <f t="shared" si="727"/>
        <v>0</v>
      </c>
      <c r="AK844" s="18">
        <f t="shared" si="728"/>
        <v>0</v>
      </c>
      <c r="AL844" s="18">
        <f t="shared" si="729"/>
        <v>0</v>
      </c>
      <c r="AN844" s="34">
        <v>21</v>
      </c>
      <c r="AO844" s="34">
        <f t="shared" si="730"/>
        <v>0</v>
      </c>
      <c r="AP844" s="34">
        <f t="shared" si="731"/>
        <v>0</v>
      </c>
      <c r="AQ844" s="28" t="s">
        <v>13</v>
      </c>
      <c r="AV844" s="34">
        <f t="shared" si="732"/>
        <v>0</v>
      </c>
      <c r="AW844" s="34">
        <f t="shared" si="733"/>
        <v>0</v>
      </c>
      <c r="AX844" s="34">
        <f t="shared" si="734"/>
        <v>0</v>
      </c>
      <c r="AY844" s="35" t="s">
        <v>3692</v>
      </c>
      <c r="AZ844" s="35" t="s">
        <v>3719</v>
      </c>
      <c r="BA844" s="27" t="s">
        <v>3729</v>
      </c>
      <c r="BC844" s="34">
        <f t="shared" si="735"/>
        <v>0</v>
      </c>
      <c r="BD844" s="34">
        <f t="shared" si="736"/>
        <v>0</v>
      </c>
      <c r="BE844" s="34">
        <v>0</v>
      </c>
      <c r="BF844" s="34">
        <f>844</f>
        <v>844</v>
      </c>
      <c r="BH844" s="18">
        <f t="shared" si="737"/>
        <v>0</v>
      </c>
      <c r="BI844" s="18">
        <f t="shared" si="738"/>
        <v>0</v>
      </c>
      <c r="BJ844" s="18">
        <f t="shared" si="739"/>
        <v>0</v>
      </c>
    </row>
    <row r="845" spans="1:62" x14ac:dyDescent="0.2">
      <c r="A845" s="5" t="s">
        <v>793</v>
      </c>
      <c r="B845" s="5" t="s">
        <v>1979</v>
      </c>
      <c r="C845" s="135" t="s">
        <v>3188</v>
      </c>
      <c r="D845" s="136"/>
      <c r="E845" s="136"/>
      <c r="F845" s="136"/>
      <c r="G845" s="136"/>
      <c r="H845" s="5" t="s">
        <v>3612</v>
      </c>
      <c r="I845" s="18">
        <v>1</v>
      </c>
      <c r="J845" s="18">
        <v>0</v>
      </c>
      <c r="K845" s="18">
        <f t="shared" si="718"/>
        <v>0</v>
      </c>
      <c r="L845" s="28" t="s">
        <v>3635</v>
      </c>
      <c r="Z845" s="34">
        <f t="shared" si="719"/>
        <v>0</v>
      </c>
      <c r="AB845" s="34">
        <f t="shared" si="720"/>
        <v>0</v>
      </c>
      <c r="AC845" s="34">
        <f t="shared" si="721"/>
        <v>0</v>
      </c>
      <c r="AD845" s="34">
        <f t="shared" si="722"/>
        <v>0</v>
      </c>
      <c r="AE845" s="34">
        <f t="shared" si="723"/>
        <v>0</v>
      </c>
      <c r="AF845" s="34">
        <f t="shared" si="724"/>
        <v>0</v>
      </c>
      <c r="AG845" s="34">
        <f t="shared" si="725"/>
        <v>0</v>
      </c>
      <c r="AH845" s="34">
        <f t="shared" si="726"/>
        <v>0</v>
      </c>
      <c r="AI845" s="27" t="s">
        <v>3645</v>
      </c>
      <c r="AJ845" s="18">
        <f t="shared" si="727"/>
        <v>0</v>
      </c>
      <c r="AK845" s="18">
        <f t="shared" si="728"/>
        <v>0</v>
      </c>
      <c r="AL845" s="18">
        <f t="shared" si="729"/>
        <v>0</v>
      </c>
      <c r="AN845" s="34">
        <v>21</v>
      </c>
      <c r="AO845" s="34">
        <f t="shared" si="730"/>
        <v>0</v>
      </c>
      <c r="AP845" s="34">
        <f t="shared" si="731"/>
        <v>0</v>
      </c>
      <c r="AQ845" s="28" t="s">
        <v>13</v>
      </c>
      <c r="AV845" s="34">
        <f t="shared" si="732"/>
        <v>0</v>
      </c>
      <c r="AW845" s="34">
        <f t="shared" si="733"/>
        <v>0</v>
      </c>
      <c r="AX845" s="34">
        <f t="shared" si="734"/>
        <v>0</v>
      </c>
      <c r="AY845" s="35" t="s">
        <v>3692</v>
      </c>
      <c r="AZ845" s="35" t="s">
        <v>3719</v>
      </c>
      <c r="BA845" s="27" t="s">
        <v>3729</v>
      </c>
      <c r="BC845" s="34">
        <f t="shared" si="735"/>
        <v>0</v>
      </c>
      <c r="BD845" s="34">
        <f t="shared" si="736"/>
        <v>0</v>
      </c>
      <c r="BE845" s="34">
        <v>0</v>
      </c>
      <c r="BF845" s="34">
        <f>845</f>
        <v>845</v>
      </c>
      <c r="BH845" s="18">
        <f t="shared" si="737"/>
        <v>0</v>
      </c>
      <c r="BI845" s="18">
        <f t="shared" si="738"/>
        <v>0</v>
      </c>
      <c r="BJ845" s="18">
        <f t="shared" si="739"/>
        <v>0</v>
      </c>
    </row>
    <row r="846" spans="1:62" x14ac:dyDescent="0.2">
      <c r="A846" s="5" t="s">
        <v>794</v>
      </c>
      <c r="B846" s="5" t="s">
        <v>1980</v>
      </c>
      <c r="C846" s="135" t="s">
        <v>3189</v>
      </c>
      <c r="D846" s="136"/>
      <c r="E846" s="136"/>
      <c r="F846" s="136"/>
      <c r="G846" s="136"/>
      <c r="H846" s="5" t="s">
        <v>3612</v>
      </c>
      <c r="I846" s="18">
        <v>2</v>
      </c>
      <c r="J846" s="18">
        <v>0</v>
      </c>
      <c r="K846" s="18">
        <f t="shared" si="718"/>
        <v>0</v>
      </c>
      <c r="L846" s="28" t="s">
        <v>3635</v>
      </c>
      <c r="Z846" s="34">
        <f t="shared" si="719"/>
        <v>0</v>
      </c>
      <c r="AB846" s="34">
        <f t="shared" si="720"/>
        <v>0</v>
      </c>
      <c r="AC846" s="34">
        <f t="shared" si="721"/>
        <v>0</v>
      </c>
      <c r="AD846" s="34">
        <f t="shared" si="722"/>
        <v>0</v>
      </c>
      <c r="AE846" s="34">
        <f t="shared" si="723"/>
        <v>0</v>
      </c>
      <c r="AF846" s="34">
        <f t="shared" si="724"/>
        <v>0</v>
      </c>
      <c r="AG846" s="34">
        <f t="shared" si="725"/>
        <v>0</v>
      </c>
      <c r="AH846" s="34">
        <f t="shared" si="726"/>
        <v>0</v>
      </c>
      <c r="AI846" s="27" t="s">
        <v>3645</v>
      </c>
      <c r="AJ846" s="18">
        <f t="shared" si="727"/>
        <v>0</v>
      </c>
      <c r="AK846" s="18">
        <f t="shared" si="728"/>
        <v>0</v>
      </c>
      <c r="AL846" s="18">
        <f t="shared" si="729"/>
        <v>0</v>
      </c>
      <c r="AN846" s="34">
        <v>21</v>
      </c>
      <c r="AO846" s="34">
        <f t="shared" si="730"/>
        <v>0</v>
      </c>
      <c r="AP846" s="34">
        <f t="shared" si="731"/>
        <v>0</v>
      </c>
      <c r="AQ846" s="28" t="s">
        <v>13</v>
      </c>
      <c r="AV846" s="34">
        <f t="shared" si="732"/>
        <v>0</v>
      </c>
      <c r="AW846" s="34">
        <f t="shared" si="733"/>
        <v>0</v>
      </c>
      <c r="AX846" s="34">
        <f t="shared" si="734"/>
        <v>0</v>
      </c>
      <c r="AY846" s="35" t="s">
        <v>3692</v>
      </c>
      <c r="AZ846" s="35" t="s">
        <v>3719</v>
      </c>
      <c r="BA846" s="27" t="s">
        <v>3729</v>
      </c>
      <c r="BC846" s="34">
        <f t="shared" si="735"/>
        <v>0</v>
      </c>
      <c r="BD846" s="34">
        <f t="shared" si="736"/>
        <v>0</v>
      </c>
      <c r="BE846" s="34">
        <v>0</v>
      </c>
      <c r="BF846" s="34">
        <f>846</f>
        <v>846</v>
      </c>
      <c r="BH846" s="18">
        <f t="shared" si="737"/>
        <v>0</v>
      </c>
      <c r="BI846" s="18">
        <f t="shared" si="738"/>
        <v>0</v>
      </c>
      <c r="BJ846" s="18">
        <f t="shared" si="739"/>
        <v>0</v>
      </c>
    </row>
    <row r="847" spans="1:62" x14ac:dyDescent="0.2">
      <c r="A847" s="5" t="s">
        <v>795</v>
      </c>
      <c r="B847" s="5" t="s">
        <v>1981</v>
      </c>
      <c r="C847" s="135" t="s">
        <v>3190</v>
      </c>
      <c r="D847" s="136"/>
      <c r="E847" s="136"/>
      <c r="F847" s="136"/>
      <c r="G847" s="136"/>
      <c r="H847" s="5" t="s">
        <v>3612</v>
      </c>
      <c r="I847" s="18">
        <v>1</v>
      </c>
      <c r="J847" s="18">
        <v>0</v>
      </c>
      <c r="K847" s="18">
        <f t="shared" si="718"/>
        <v>0</v>
      </c>
      <c r="L847" s="28" t="s">
        <v>3635</v>
      </c>
      <c r="Z847" s="34">
        <f t="shared" si="719"/>
        <v>0</v>
      </c>
      <c r="AB847" s="34">
        <f t="shared" si="720"/>
        <v>0</v>
      </c>
      <c r="AC847" s="34">
        <f t="shared" si="721"/>
        <v>0</v>
      </c>
      <c r="AD847" s="34">
        <f t="shared" si="722"/>
        <v>0</v>
      </c>
      <c r="AE847" s="34">
        <f t="shared" si="723"/>
        <v>0</v>
      </c>
      <c r="AF847" s="34">
        <f t="shared" si="724"/>
        <v>0</v>
      </c>
      <c r="AG847" s="34">
        <f t="shared" si="725"/>
        <v>0</v>
      </c>
      <c r="AH847" s="34">
        <f t="shared" si="726"/>
        <v>0</v>
      </c>
      <c r="AI847" s="27" t="s">
        <v>3645</v>
      </c>
      <c r="AJ847" s="18">
        <f t="shared" si="727"/>
        <v>0</v>
      </c>
      <c r="AK847" s="18">
        <f t="shared" si="728"/>
        <v>0</v>
      </c>
      <c r="AL847" s="18">
        <f t="shared" si="729"/>
        <v>0</v>
      </c>
      <c r="AN847" s="34">
        <v>21</v>
      </c>
      <c r="AO847" s="34">
        <f t="shared" si="730"/>
        <v>0</v>
      </c>
      <c r="AP847" s="34">
        <f t="shared" si="731"/>
        <v>0</v>
      </c>
      <c r="AQ847" s="28" t="s">
        <v>13</v>
      </c>
      <c r="AV847" s="34">
        <f t="shared" si="732"/>
        <v>0</v>
      </c>
      <c r="AW847" s="34">
        <f t="shared" si="733"/>
        <v>0</v>
      </c>
      <c r="AX847" s="34">
        <f t="shared" si="734"/>
        <v>0</v>
      </c>
      <c r="AY847" s="35" t="s">
        <v>3692</v>
      </c>
      <c r="AZ847" s="35" t="s">
        <v>3719</v>
      </c>
      <c r="BA847" s="27" t="s">
        <v>3729</v>
      </c>
      <c r="BC847" s="34">
        <f t="shared" si="735"/>
        <v>0</v>
      </c>
      <c r="BD847" s="34">
        <f t="shared" si="736"/>
        <v>0</v>
      </c>
      <c r="BE847" s="34">
        <v>0</v>
      </c>
      <c r="BF847" s="34">
        <f>847</f>
        <v>847</v>
      </c>
      <c r="BH847" s="18">
        <f t="shared" si="737"/>
        <v>0</v>
      </c>
      <c r="BI847" s="18">
        <f t="shared" si="738"/>
        <v>0</v>
      </c>
      <c r="BJ847" s="18">
        <f t="shared" si="739"/>
        <v>0</v>
      </c>
    </row>
    <row r="848" spans="1:62" x14ac:dyDescent="0.2">
      <c r="A848" s="5" t="s">
        <v>796</v>
      </c>
      <c r="B848" s="5" t="s">
        <v>1982</v>
      </c>
      <c r="C848" s="135" t="s">
        <v>3191</v>
      </c>
      <c r="D848" s="136"/>
      <c r="E848" s="136"/>
      <c r="F848" s="136"/>
      <c r="G848" s="136"/>
      <c r="H848" s="5" t="s">
        <v>3612</v>
      </c>
      <c r="I848" s="18">
        <v>1</v>
      </c>
      <c r="J848" s="18">
        <v>0</v>
      </c>
      <c r="K848" s="18">
        <f t="shared" si="718"/>
        <v>0</v>
      </c>
      <c r="L848" s="28" t="s">
        <v>3635</v>
      </c>
      <c r="Z848" s="34">
        <f t="shared" si="719"/>
        <v>0</v>
      </c>
      <c r="AB848" s="34">
        <f t="shared" si="720"/>
        <v>0</v>
      </c>
      <c r="AC848" s="34">
        <f t="shared" si="721"/>
        <v>0</v>
      </c>
      <c r="AD848" s="34">
        <f t="shared" si="722"/>
        <v>0</v>
      </c>
      <c r="AE848" s="34">
        <f t="shared" si="723"/>
        <v>0</v>
      </c>
      <c r="AF848" s="34">
        <f t="shared" si="724"/>
        <v>0</v>
      </c>
      <c r="AG848" s="34">
        <f t="shared" si="725"/>
        <v>0</v>
      </c>
      <c r="AH848" s="34">
        <f t="shared" si="726"/>
        <v>0</v>
      </c>
      <c r="AI848" s="27" t="s">
        <v>3645</v>
      </c>
      <c r="AJ848" s="18">
        <f t="shared" si="727"/>
        <v>0</v>
      </c>
      <c r="AK848" s="18">
        <f t="shared" si="728"/>
        <v>0</v>
      </c>
      <c r="AL848" s="18">
        <f t="shared" si="729"/>
        <v>0</v>
      </c>
      <c r="AN848" s="34">
        <v>21</v>
      </c>
      <c r="AO848" s="34">
        <f t="shared" si="730"/>
        <v>0</v>
      </c>
      <c r="AP848" s="34">
        <f t="shared" si="731"/>
        <v>0</v>
      </c>
      <c r="AQ848" s="28" t="s">
        <v>13</v>
      </c>
      <c r="AV848" s="34">
        <f t="shared" si="732"/>
        <v>0</v>
      </c>
      <c r="AW848" s="34">
        <f t="shared" si="733"/>
        <v>0</v>
      </c>
      <c r="AX848" s="34">
        <f t="shared" si="734"/>
        <v>0</v>
      </c>
      <c r="AY848" s="35" t="s">
        <v>3692</v>
      </c>
      <c r="AZ848" s="35" t="s">
        <v>3719</v>
      </c>
      <c r="BA848" s="27" t="s">
        <v>3729</v>
      </c>
      <c r="BC848" s="34">
        <f t="shared" si="735"/>
        <v>0</v>
      </c>
      <c r="BD848" s="34">
        <f t="shared" si="736"/>
        <v>0</v>
      </c>
      <c r="BE848" s="34">
        <v>0</v>
      </c>
      <c r="BF848" s="34">
        <f>848</f>
        <v>848</v>
      </c>
      <c r="BH848" s="18">
        <f t="shared" si="737"/>
        <v>0</v>
      </c>
      <c r="BI848" s="18">
        <f t="shared" si="738"/>
        <v>0</v>
      </c>
      <c r="BJ848" s="18">
        <f t="shared" si="739"/>
        <v>0</v>
      </c>
    </row>
    <row r="849" spans="1:62" x14ac:dyDescent="0.2">
      <c r="A849" s="4"/>
      <c r="B849" s="14" t="s">
        <v>1983</v>
      </c>
      <c r="C849" s="133" t="s">
        <v>3192</v>
      </c>
      <c r="D849" s="134"/>
      <c r="E849" s="134"/>
      <c r="F849" s="134"/>
      <c r="G849" s="134"/>
      <c r="H849" s="4" t="s">
        <v>6</v>
      </c>
      <c r="I849" s="4" t="s">
        <v>6</v>
      </c>
      <c r="J849" s="4" t="s">
        <v>6</v>
      </c>
      <c r="K849" s="37">
        <f>SUM(K850:K891)</f>
        <v>0</v>
      </c>
      <c r="L849" s="27"/>
      <c r="AI849" s="27" t="s">
        <v>3645</v>
      </c>
      <c r="AS849" s="37">
        <f>SUM(AJ850:AJ891)</f>
        <v>0</v>
      </c>
      <c r="AT849" s="37">
        <f>SUM(AK850:AK891)</f>
        <v>0</v>
      </c>
      <c r="AU849" s="37">
        <f>SUM(AL850:AL891)</f>
        <v>0</v>
      </c>
    </row>
    <row r="850" spans="1:62" x14ac:dyDescent="0.2">
      <c r="A850" s="5" t="s">
        <v>797</v>
      </c>
      <c r="B850" s="5" t="s">
        <v>1984</v>
      </c>
      <c r="C850" s="135" t="s">
        <v>3193</v>
      </c>
      <c r="D850" s="136"/>
      <c r="E850" s="136"/>
      <c r="F850" s="136"/>
      <c r="G850" s="136"/>
      <c r="H850" s="5" t="s">
        <v>3612</v>
      </c>
      <c r="I850" s="18">
        <v>1</v>
      </c>
      <c r="J850" s="18">
        <v>0</v>
      </c>
      <c r="K850" s="18">
        <f t="shared" ref="K850:K891" si="740">I850*J850</f>
        <v>0</v>
      </c>
      <c r="L850" s="28" t="s">
        <v>3635</v>
      </c>
      <c r="Z850" s="34">
        <f t="shared" ref="Z850:Z891" si="741">IF(AQ850="5",BJ850,0)</f>
        <v>0</v>
      </c>
      <c r="AB850" s="34">
        <f t="shared" ref="AB850:AB891" si="742">IF(AQ850="1",BH850,0)</f>
        <v>0</v>
      </c>
      <c r="AC850" s="34">
        <f t="shared" ref="AC850:AC891" si="743">IF(AQ850="1",BI850,0)</f>
        <v>0</v>
      </c>
      <c r="AD850" s="34">
        <f t="shared" ref="AD850:AD891" si="744">IF(AQ850="7",BH850,0)</f>
        <v>0</v>
      </c>
      <c r="AE850" s="34">
        <f t="shared" ref="AE850:AE891" si="745">IF(AQ850="7",BI850,0)</f>
        <v>0</v>
      </c>
      <c r="AF850" s="34">
        <f t="shared" ref="AF850:AF891" si="746">IF(AQ850="2",BH850,0)</f>
        <v>0</v>
      </c>
      <c r="AG850" s="34">
        <f t="shared" ref="AG850:AG891" si="747">IF(AQ850="2",BI850,0)</f>
        <v>0</v>
      </c>
      <c r="AH850" s="34">
        <f t="shared" ref="AH850:AH891" si="748">IF(AQ850="0",BJ850,0)</f>
        <v>0</v>
      </c>
      <c r="AI850" s="27" t="s">
        <v>3645</v>
      </c>
      <c r="AJ850" s="18">
        <f t="shared" ref="AJ850:AJ891" si="749">IF(AN850=0,K850,0)</f>
        <v>0</v>
      </c>
      <c r="AK850" s="18">
        <f t="shared" ref="AK850:AK891" si="750">IF(AN850=15,K850,0)</f>
        <v>0</v>
      </c>
      <c r="AL850" s="18">
        <f t="shared" ref="AL850:AL891" si="751">IF(AN850=21,K850,0)</f>
        <v>0</v>
      </c>
      <c r="AN850" s="34">
        <v>21</v>
      </c>
      <c r="AO850" s="34">
        <f t="shared" ref="AO850:AO891" si="752">J850*0</f>
        <v>0</v>
      </c>
      <c r="AP850" s="34">
        <f t="shared" ref="AP850:AP891" si="753">J850*(1-0)</f>
        <v>0</v>
      </c>
      <c r="AQ850" s="28" t="s">
        <v>7</v>
      </c>
      <c r="AV850" s="34">
        <f t="shared" ref="AV850:AV891" si="754">AW850+AX850</f>
        <v>0</v>
      </c>
      <c r="AW850" s="34">
        <f t="shared" ref="AW850:AW891" si="755">I850*AO850</f>
        <v>0</v>
      </c>
      <c r="AX850" s="34">
        <f t="shared" ref="AX850:AX891" si="756">I850*AP850</f>
        <v>0</v>
      </c>
      <c r="AY850" s="35" t="s">
        <v>3693</v>
      </c>
      <c r="AZ850" s="35" t="s">
        <v>3712</v>
      </c>
      <c r="BA850" s="27" t="s">
        <v>3729</v>
      </c>
      <c r="BC850" s="34">
        <f t="shared" ref="BC850:BC891" si="757">AW850+AX850</f>
        <v>0</v>
      </c>
      <c r="BD850" s="34">
        <f t="shared" ref="BD850:BD891" si="758">J850/(100-BE850)*100</f>
        <v>0</v>
      </c>
      <c r="BE850" s="34">
        <v>0</v>
      </c>
      <c r="BF850" s="34">
        <f>850</f>
        <v>850</v>
      </c>
      <c r="BH850" s="18">
        <f t="shared" ref="BH850:BH891" si="759">I850*AO850</f>
        <v>0</v>
      </c>
      <c r="BI850" s="18">
        <f t="shared" ref="BI850:BI891" si="760">I850*AP850</f>
        <v>0</v>
      </c>
      <c r="BJ850" s="18">
        <f t="shared" ref="BJ850:BJ891" si="761">I850*J850</f>
        <v>0</v>
      </c>
    </row>
    <row r="851" spans="1:62" x14ac:dyDescent="0.2">
      <c r="A851" s="5" t="s">
        <v>798</v>
      </c>
      <c r="B851" s="5" t="s">
        <v>1985</v>
      </c>
      <c r="C851" s="135" t="s">
        <v>3194</v>
      </c>
      <c r="D851" s="136"/>
      <c r="E851" s="136"/>
      <c r="F851" s="136"/>
      <c r="G851" s="136"/>
      <c r="H851" s="5" t="s">
        <v>3614</v>
      </c>
      <c r="I851" s="18">
        <v>10</v>
      </c>
      <c r="J851" s="18">
        <v>0</v>
      </c>
      <c r="K851" s="18">
        <f t="shared" si="740"/>
        <v>0</v>
      </c>
      <c r="L851" s="28" t="s">
        <v>3635</v>
      </c>
      <c r="Z851" s="34">
        <f t="shared" si="741"/>
        <v>0</v>
      </c>
      <c r="AB851" s="34">
        <f t="shared" si="742"/>
        <v>0</v>
      </c>
      <c r="AC851" s="34">
        <f t="shared" si="743"/>
        <v>0</v>
      </c>
      <c r="AD851" s="34">
        <f t="shared" si="744"/>
        <v>0</v>
      </c>
      <c r="AE851" s="34">
        <f t="shared" si="745"/>
        <v>0</v>
      </c>
      <c r="AF851" s="34">
        <f t="shared" si="746"/>
        <v>0</v>
      </c>
      <c r="AG851" s="34">
        <f t="shared" si="747"/>
        <v>0</v>
      </c>
      <c r="AH851" s="34">
        <f t="shared" si="748"/>
        <v>0</v>
      </c>
      <c r="AI851" s="27" t="s">
        <v>3645</v>
      </c>
      <c r="AJ851" s="18">
        <f t="shared" si="749"/>
        <v>0</v>
      </c>
      <c r="AK851" s="18">
        <f t="shared" si="750"/>
        <v>0</v>
      </c>
      <c r="AL851" s="18">
        <f t="shared" si="751"/>
        <v>0</v>
      </c>
      <c r="AN851" s="34">
        <v>21</v>
      </c>
      <c r="AO851" s="34">
        <f t="shared" si="752"/>
        <v>0</v>
      </c>
      <c r="AP851" s="34">
        <f t="shared" si="753"/>
        <v>0</v>
      </c>
      <c r="AQ851" s="28" t="s">
        <v>7</v>
      </c>
      <c r="AV851" s="34">
        <f t="shared" si="754"/>
        <v>0</v>
      </c>
      <c r="AW851" s="34">
        <f t="shared" si="755"/>
        <v>0</v>
      </c>
      <c r="AX851" s="34">
        <f t="shared" si="756"/>
        <v>0</v>
      </c>
      <c r="AY851" s="35" t="s">
        <v>3693</v>
      </c>
      <c r="AZ851" s="35" t="s">
        <v>3712</v>
      </c>
      <c r="BA851" s="27" t="s">
        <v>3729</v>
      </c>
      <c r="BC851" s="34">
        <f t="shared" si="757"/>
        <v>0</v>
      </c>
      <c r="BD851" s="34">
        <f t="shared" si="758"/>
        <v>0</v>
      </c>
      <c r="BE851" s="34">
        <v>0</v>
      </c>
      <c r="BF851" s="34">
        <f>851</f>
        <v>851</v>
      </c>
      <c r="BH851" s="18">
        <f t="shared" si="759"/>
        <v>0</v>
      </c>
      <c r="BI851" s="18">
        <f t="shared" si="760"/>
        <v>0</v>
      </c>
      <c r="BJ851" s="18">
        <f t="shared" si="761"/>
        <v>0</v>
      </c>
    </row>
    <row r="852" spans="1:62" x14ac:dyDescent="0.2">
      <c r="A852" s="5" t="s">
        <v>799</v>
      </c>
      <c r="B852" s="5" t="s">
        <v>1986</v>
      </c>
      <c r="C852" s="135" t="s">
        <v>3195</v>
      </c>
      <c r="D852" s="136"/>
      <c r="E852" s="136"/>
      <c r="F852" s="136"/>
      <c r="G852" s="136"/>
      <c r="H852" s="5" t="s">
        <v>3612</v>
      </c>
      <c r="I852" s="18">
        <v>1</v>
      </c>
      <c r="J852" s="18">
        <v>0</v>
      </c>
      <c r="K852" s="18">
        <f t="shared" si="740"/>
        <v>0</v>
      </c>
      <c r="L852" s="28" t="s">
        <v>3635</v>
      </c>
      <c r="Z852" s="34">
        <f t="shared" si="741"/>
        <v>0</v>
      </c>
      <c r="AB852" s="34">
        <f t="shared" si="742"/>
        <v>0</v>
      </c>
      <c r="AC852" s="34">
        <f t="shared" si="743"/>
        <v>0</v>
      </c>
      <c r="AD852" s="34">
        <f t="shared" si="744"/>
        <v>0</v>
      </c>
      <c r="AE852" s="34">
        <f t="shared" si="745"/>
        <v>0</v>
      </c>
      <c r="AF852" s="34">
        <f t="shared" si="746"/>
        <v>0</v>
      </c>
      <c r="AG852" s="34">
        <f t="shared" si="747"/>
        <v>0</v>
      </c>
      <c r="AH852" s="34">
        <f t="shared" si="748"/>
        <v>0</v>
      </c>
      <c r="AI852" s="27" t="s">
        <v>3645</v>
      </c>
      <c r="AJ852" s="18">
        <f t="shared" si="749"/>
        <v>0</v>
      </c>
      <c r="AK852" s="18">
        <f t="shared" si="750"/>
        <v>0</v>
      </c>
      <c r="AL852" s="18">
        <f t="shared" si="751"/>
        <v>0</v>
      </c>
      <c r="AN852" s="34">
        <v>21</v>
      </c>
      <c r="AO852" s="34">
        <f t="shared" si="752"/>
        <v>0</v>
      </c>
      <c r="AP852" s="34">
        <f t="shared" si="753"/>
        <v>0</v>
      </c>
      <c r="AQ852" s="28" t="s">
        <v>7</v>
      </c>
      <c r="AV852" s="34">
        <f t="shared" si="754"/>
        <v>0</v>
      </c>
      <c r="AW852" s="34">
        <f t="shared" si="755"/>
        <v>0</v>
      </c>
      <c r="AX852" s="34">
        <f t="shared" si="756"/>
        <v>0</v>
      </c>
      <c r="AY852" s="35" t="s">
        <v>3693</v>
      </c>
      <c r="AZ852" s="35" t="s">
        <v>3712</v>
      </c>
      <c r="BA852" s="27" t="s">
        <v>3729</v>
      </c>
      <c r="BC852" s="34">
        <f t="shared" si="757"/>
        <v>0</v>
      </c>
      <c r="BD852" s="34">
        <f t="shared" si="758"/>
        <v>0</v>
      </c>
      <c r="BE852" s="34">
        <v>0</v>
      </c>
      <c r="BF852" s="34">
        <f>852</f>
        <v>852</v>
      </c>
      <c r="BH852" s="18">
        <f t="shared" si="759"/>
        <v>0</v>
      </c>
      <c r="BI852" s="18">
        <f t="shared" si="760"/>
        <v>0</v>
      </c>
      <c r="BJ852" s="18">
        <f t="shared" si="761"/>
        <v>0</v>
      </c>
    </row>
    <row r="853" spans="1:62" x14ac:dyDescent="0.2">
      <c r="A853" s="5" t="s">
        <v>800</v>
      </c>
      <c r="B853" s="5" t="s">
        <v>1987</v>
      </c>
      <c r="C853" s="135" t="s">
        <v>3196</v>
      </c>
      <c r="D853" s="136"/>
      <c r="E853" s="136"/>
      <c r="F853" s="136"/>
      <c r="G853" s="136"/>
      <c r="H853" s="5" t="s">
        <v>3614</v>
      </c>
      <c r="I853" s="18">
        <v>4</v>
      </c>
      <c r="J853" s="18">
        <v>0</v>
      </c>
      <c r="K853" s="18">
        <f t="shared" si="740"/>
        <v>0</v>
      </c>
      <c r="L853" s="28" t="s">
        <v>3635</v>
      </c>
      <c r="Z853" s="34">
        <f t="shared" si="741"/>
        <v>0</v>
      </c>
      <c r="AB853" s="34">
        <f t="shared" si="742"/>
        <v>0</v>
      </c>
      <c r="AC853" s="34">
        <f t="shared" si="743"/>
        <v>0</v>
      </c>
      <c r="AD853" s="34">
        <f t="shared" si="744"/>
        <v>0</v>
      </c>
      <c r="AE853" s="34">
        <f t="shared" si="745"/>
        <v>0</v>
      </c>
      <c r="AF853" s="34">
        <f t="shared" si="746"/>
        <v>0</v>
      </c>
      <c r="AG853" s="34">
        <f t="shared" si="747"/>
        <v>0</v>
      </c>
      <c r="AH853" s="34">
        <f t="shared" si="748"/>
        <v>0</v>
      </c>
      <c r="AI853" s="27" t="s">
        <v>3645</v>
      </c>
      <c r="AJ853" s="18">
        <f t="shared" si="749"/>
        <v>0</v>
      </c>
      <c r="AK853" s="18">
        <f t="shared" si="750"/>
        <v>0</v>
      </c>
      <c r="AL853" s="18">
        <f t="shared" si="751"/>
        <v>0</v>
      </c>
      <c r="AN853" s="34">
        <v>21</v>
      </c>
      <c r="AO853" s="34">
        <f t="shared" si="752"/>
        <v>0</v>
      </c>
      <c r="AP853" s="34">
        <f t="shared" si="753"/>
        <v>0</v>
      </c>
      <c r="AQ853" s="28" t="s">
        <v>7</v>
      </c>
      <c r="AV853" s="34">
        <f t="shared" si="754"/>
        <v>0</v>
      </c>
      <c r="AW853" s="34">
        <f t="shared" si="755"/>
        <v>0</v>
      </c>
      <c r="AX853" s="34">
        <f t="shared" si="756"/>
        <v>0</v>
      </c>
      <c r="AY853" s="35" t="s">
        <v>3693</v>
      </c>
      <c r="AZ853" s="35" t="s">
        <v>3712</v>
      </c>
      <c r="BA853" s="27" t="s">
        <v>3729</v>
      </c>
      <c r="BC853" s="34">
        <f t="shared" si="757"/>
        <v>0</v>
      </c>
      <c r="BD853" s="34">
        <f t="shared" si="758"/>
        <v>0</v>
      </c>
      <c r="BE853" s="34">
        <v>0</v>
      </c>
      <c r="BF853" s="34">
        <f>853</f>
        <v>853</v>
      </c>
      <c r="BH853" s="18">
        <f t="shared" si="759"/>
        <v>0</v>
      </c>
      <c r="BI853" s="18">
        <f t="shared" si="760"/>
        <v>0</v>
      </c>
      <c r="BJ853" s="18">
        <f t="shared" si="761"/>
        <v>0</v>
      </c>
    </row>
    <row r="854" spans="1:62" x14ac:dyDescent="0.2">
      <c r="A854" s="71" t="s">
        <v>801</v>
      </c>
      <c r="B854" s="71" t="s">
        <v>1988</v>
      </c>
      <c r="C854" s="139" t="s">
        <v>3197</v>
      </c>
      <c r="D854" s="136"/>
      <c r="E854" s="136"/>
      <c r="F854" s="136"/>
      <c r="G854" s="136"/>
      <c r="H854" s="71" t="s">
        <v>3614</v>
      </c>
      <c r="I854" s="72">
        <v>4</v>
      </c>
      <c r="J854" s="72">
        <v>0</v>
      </c>
      <c r="K854" s="72">
        <f t="shared" si="740"/>
        <v>0</v>
      </c>
      <c r="L854" s="73" t="s">
        <v>3635</v>
      </c>
      <c r="Z854" s="34">
        <f t="shared" si="741"/>
        <v>0</v>
      </c>
      <c r="AB854" s="34">
        <f t="shared" si="742"/>
        <v>0</v>
      </c>
      <c r="AC854" s="34">
        <f t="shared" si="743"/>
        <v>0</v>
      </c>
      <c r="AD854" s="34">
        <f t="shared" si="744"/>
        <v>0</v>
      </c>
      <c r="AE854" s="34">
        <f t="shared" si="745"/>
        <v>0</v>
      </c>
      <c r="AF854" s="34">
        <f t="shared" si="746"/>
        <v>0</v>
      </c>
      <c r="AG854" s="34">
        <f t="shared" si="747"/>
        <v>0</v>
      </c>
      <c r="AH854" s="34">
        <f t="shared" si="748"/>
        <v>0</v>
      </c>
      <c r="AI854" s="27" t="s">
        <v>3645</v>
      </c>
      <c r="AJ854" s="18">
        <f t="shared" si="749"/>
        <v>0</v>
      </c>
      <c r="AK854" s="18">
        <f t="shared" si="750"/>
        <v>0</v>
      </c>
      <c r="AL854" s="18">
        <f t="shared" si="751"/>
        <v>0</v>
      </c>
      <c r="AN854" s="34">
        <v>21</v>
      </c>
      <c r="AO854" s="34">
        <f t="shared" si="752"/>
        <v>0</v>
      </c>
      <c r="AP854" s="34">
        <f t="shared" si="753"/>
        <v>0</v>
      </c>
      <c r="AQ854" s="28" t="s">
        <v>7</v>
      </c>
      <c r="AV854" s="34">
        <f t="shared" si="754"/>
        <v>0</v>
      </c>
      <c r="AW854" s="34">
        <f t="shared" si="755"/>
        <v>0</v>
      </c>
      <c r="AX854" s="34">
        <f t="shared" si="756"/>
        <v>0</v>
      </c>
      <c r="AY854" s="35" t="s">
        <v>3693</v>
      </c>
      <c r="AZ854" s="35" t="s">
        <v>3712</v>
      </c>
      <c r="BA854" s="27" t="s">
        <v>3729</v>
      </c>
      <c r="BC854" s="34">
        <f t="shared" si="757"/>
        <v>0</v>
      </c>
      <c r="BD854" s="34">
        <f t="shared" si="758"/>
        <v>0</v>
      </c>
      <c r="BE854" s="34">
        <v>0</v>
      </c>
      <c r="BF854" s="34">
        <f>854</f>
        <v>854</v>
      </c>
      <c r="BH854" s="18">
        <f t="shared" si="759"/>
        <v>0</v>
      </c>
      <c r="BI854" s="18">
        <f t="shared" si="760"/>
        <v>0</v>
      </c>
      <c r="BJ854" s="18">
        <f t="shared" si="761"/>
        <v>0</v>
      </c>
    </row>
    <row r="855" spans="1:62" x14ac:dyDescent="0.2">
      <c r="A855" s="5" t="s">
        <v>802</v>
      </c>
      <c r="B855" s="5" t="s">
        <v>1989</v>
      </c>
      <c r="C855" s="135" t="s">
        <v>3198</v>
      </c>
      <c r="D855" s="136"/>
      <c r="E855" s="136"/>
      <c r="F855" s="136"/>
      <c r="G855" s="136"/>
      <c r="H855" s="5" t="s">
        <v>3614</v>
      </c>
      <c r="I855" s="18">
        <v>10</v>
      </c>
      <c r="J855" s="18">
        <v>0</v>
      </c>
      <c r="K855" s="18">
        <f t="shared" si="740"/>
        <v>0</v>
      </c>
      <c r="L855" s="28" t="s">
        <v>3635</v>
      </c>
      <c r="Z855" s="34">
        <f t="shared" si="741"/>
        <v>0</v>
      </c>
      <c r="AB855" s="34">
        <f t="shared" si="742"/>
        <v>0</v>
      </c>
      <c r="AC855" s="34">
        <f t="shared" si="743"/>
        <v>0</v>
      </c>
      <c r="AD855" s="34">
        <f t="shared" si="744"/>
        <v>0</v>
      </c>
      <c r="AE855" s="34">
        <f t="shared" si="745"/>
        <v>0</v>
      </c>
      <c r="AF855" s="34">
        <f t="shared" si="746"/>
        <v>0</v>
      </c>
      <c r="AG855" s="34">
        <f t="shared" si="747"/>
        <v>0</v>
      </c>
      <c r="AH855" s="34">
        <f t="shared" si="748"/>
        <v>0</v>
      </c>
      <c r="AI855" s="27" t="s">
        <v>3645</v>
      </c>
      <c r="AJ855" s="18">
        <f t="shared" si="749"/>
        <v>0</v>
      </c>
      <c r="AK855" s="18">
        <f t="shared" si="750"/>
        <v>0</v>
      </c>
      <c r="AL855" s="18">
        <f t="shared" si="751"/>
        <v>0</v>
      </c>
      <c r="AN855" s="34">
        <v>21</v>
      </c>
      <c r="AO855" s="34">
        <f t="shared" si="752"/>
        <v>0</v>
      </c>
      <c r="AP855" s="34">
        <f t="shared" si="753"/>
        <v>0</v>
      </c>
      <c r="AQ855" s="28" t="s">
        <v>7</v>
      </c>
      <c r="AV855" s="34">
        <f t="shared" si="754"/>
        <v>0</v>
      </c>
      <c r="AW855" s="34">
        <f t="shared" si="755"/>
        <v>0</v>
      </c>
      <c r="AX855" s="34">
        <f t="shared" si="756"/>
        <v>0</v>
      </c>
      <c r="AY855" s="35" t="s">
        <v>3693</v>
      </c>
      <c r="AZ855" s="35" t="s">
        <v>3712</v>
      </c>
      <c r="BA855" s="27" t="s">
        <v>3729</v>
      </c>
      <c r="BC855" s="34">
        <f t="shared" si="757"/>
        <v>0</v>
      </c>
      <c r="BD855" s="34">
        <f t="shared" si="758"/>
        <v>0</v>
      </c>
      <c r="BE855" s="34">
        <v>0</v>
      </c>
      <c r="BF855" s="34">
        <f>855</f>
        <v>855</v>
      </c>
      <c r="BH855" s="18">
        <f t="shared" si="759"/>
        <v>0</v>
      </c>
      <c r="BI855" s="18">
        <f t="shared" si="760"/>
        <v>0</v>
      </c>
      <c r="BJ855" s="18">
        <f t="shared" si="761"/>
        <v>0</v>
      </c>
    </row>
    <row r="856" spans="1:62" x14ac:dyDescent="0.2">
      <c r="A856" s="71" t="s">
        <v>803</v>
      </c>
      <c r="B856" s="71" t="s">
        <v>1990</v>
      </c>
      <c r="C856" s="139" t="s">
        <v>3198</v>
      </c>
      <c r="D856" s="136"/>
      <c r="E856" s="136"/>
      <c r="F856" s="136"/>
      <c r="G856" s="136"/>
      <c r="H856" s="71" t="s">
        <v>3614</v>
      </c>
      <c r="I856" s="72">
        <v>10</v>
      </c>
      <c r="J856" s="72">
        <v>0</v>
      </c>
      <c r="K856" s="72">
        <f t="shared" si="740"/>
        <v>0</v>
      </c>
      <c r="L856" s="73" t="s">
        <v>3635</v>
      </c>
      <c r="Z856" s="34">
        <f t="shared" si="741"/>
        <v>0</v>
      </c>
      <c r="AB856" s="34">
        <f t="shared" si="742"/>
        <v>0</v>
      </c>
      <c r="AC856" s="34">
        <f t="shared" si="743"/>
        <v>0</v>
      </c>
      <c r="AD856" s="34">
        <f t="shared" si="744"/>
        <v>0</v>
      </c>
      <c r="AE856" s="34">
        <f t="shared" si="745"/>
        <v>0</v>
      </c>
      <c r="AF856" s="34">
        <f t="shared" si="746"/>
        <v>0</v>
      </c>
      <c r="AG856" s="34">
        <f t="shared" si="747"/>
        <v>0</v>
      </c>
      <c r="AH856" s="34">
        <f t="shared" si="748"/>
        <v>0</v>
      </c>
      <c r="AI856" s="27" t="s">
        <v>3645</v>
      </c>
      <c r="AJ856" s="18">
        <f t="shared" si="749"/>
        <v>0</v>
      </c>
      <c r="AK856" s="18">
        <f t="shared" si="750"/>
        <v>0</v>
      </c>
      <c r="AL856" s="18">
        <f t="shared" si="751"/>
        <v>0</v>
      </c>
      <c r="AN856" s="34">
        <v>21</v>
      </c>
      <c r="AO856" s="34">
        <f t="shared" si="752"/>
        <v>0</v>
      </c>
      <c r="AP856" s="34">
        <f t="shared" si="753"/>
        <v>0</v>
      </c>
      <c r="AQ856" s="28" t="s">
        <v>7</v>
      </c>
      <c r="AV856" s="34">
        <f t="shared" si="754"/>
        <v>0</v>
      </c>
      <c r="AW856" s="34">
        <f t="shared" si="755"/>
        <v>0</v>
      </c>
      <c r="AX856" s="34">
        <f t="shared" si="756"/>
        <v>0</v>
      </c>
      <c r="AY856" s="35" t="s">
        <v>3693</v>
      </c>
      <c r="AZ856" s="35" t="s">
        <v>3712</v>
      </c>
      <c r="BA856" s="27" t="s">
        <v>3729</v>
      </c>
      <c r="BC856" s="34">
        <f t="shared" si="757"/>
        <v>0</v>
      </c>
      <c r="BD856" s="34">
        <f t="shared" si="758"/>
        <v>0</v>
      </c>
      <c r="BE856" s="34">
        <v>0</v>
      </c>
      <c r="BF856" s="34">
        <f>856</f>
        <v>856</v>
      </c>
      <c r="BH856" s="18">
        <f t="shared" si="759"/>
        <v>0</v>
      </c>
      <c r="BI856" s="18">
        <f t="shared" si="760"/>
        <v>0</v>
      </c>
      <c r="BJ856" s="18">
        <f t="shared" si="761"/>
        <v>0</v>
      </c>
    </row>
    <row r="857" spans="1:62" x14ac:dyDescent="0.2">
      <c r="A857" s="5" t="s">
        <v>804</v>
      </c>
      <c r="B857" s="5" t="s">
        <v>1991</v>
      </c>
      <c r="C857" s="135" t="s">
        <v>3199</v>
      </c>
      <c r="D857" s="136"/>
      <c r="E857" s="136"/>
      <c r="F857" s="136"/>
      <c r="G857" s="136"/>
      <c r="H857" s="5" t="s">
        <v>3612</v>
      </c>
      <c r="I857" s="18">
        <v>1</v>
      </c>
      <c r="J857" s="18">
        <v>0</v>
      </c>
      <c r="K857" s="18">
        <f t="shared" si="740"/>
        <v>0</v>
      </c>
      <c r="L857" s="28" t="s">
        <v>3635</v>
      </c>
      <c r="Z857" s="34">
        <f t="shared" si="741"/>
        <v>0</v>
      </c>
      <c r="AB857" s="34">
        <f t="shared" si="742"/>
        <v>0</v>
      </c>
      <c r="AC857" s="34">
        <f t="shared" si="743"/>
        <v>0</v>
      </c>
      <c r="AD857" s="34">
        <f t="shared" si="744"/>
        <v>0</v>
      </c>
      <c r="AE857" s="34">
        <f t="shared" si="745"/>
        <v>0</v>
      </c>
      <c r="AF857" s="34">
        <f t="shared" si="746"/>
        <v>0</v>
      </c>
      <c r="AG857" s="34">
        <f t="shared" si="747"/>
        <v>0</v>
      </c>
      <c r="AH857" s="34">
        <f t="shared" si="748"/>
        <v>0</v>
      </c>
      <c r="AI857" s="27" t="s">
        <v>3645</v>
      </c>
      <c r="AJ857" s="18">
        <f t="shared" si="749"/>
        <v>0</v>
      </c>
      <c r="AK857" s="18">
        <f t="shared" si="750"/>
        <v>0</v>
      </c>
      <c r="AL857" s="18">
        <f t="shared" si="751"/>
        <v>0</v>
      </c>
      <c r="AN857" s="34">
        <v>21</v>
      </c>
      <c r="AO857" s="34">
        <f t="shared" si="752"/>
        <v>0</v>
      </c>
      <c r="AP857" s="34">
        <f t="shared" si="753"/>
        <v>0</v>
      </c>
      <c r="AQ857" s="28" t="s">
        <v>7</v>
      </c>
      <c r="AV857" s="34">
        <f t="shared" si="754"/>
        <v>0</v>
      </c>
      <c r="AW857" s="34">
        <f t="shared" si="755"/>
        <v>0</v>
      </c>
      <c r="AX857" s="34">
        <f t="shared" si="756"/>
        <v>0</v>
      </c>
      <c r="AY857" s="35" t="s">
        <v>3693</v>
      </c>
      <c r="AZ857" s="35" t="s">
        <v>3712</v>
      </c>
      <c r="BA857" s="27" t="s">
        <v>3729</v>
      </c>
      <c r="BC857" s="34">
        <f t="shared" si="757"/>
        <v>0</v>
      </c>
      <c r="BD857" s="34">
        <f t="shared" si="758"/>
        <v>0</v>
      </c>
      <c r="BE857" s="34">
        <v>0</v>
      </c>
      <c r="BF857" s="34">
        <f>857</f>
        <v>857</v>
      </c>
      <c r="BH857" s="18">
        <f t="shared" si="759"/>
        <v>0</v>
      </c>
      <c r="BI857" s="18">
        <f t="shared" si="760"/>
        <v>0</v>
      </c>
      <c r="BJ857" s="18">
        <f t="shared" si="761"/>
        <v>0</v>
      </c>
    </row>
    <row r="858" spans="1:62" x14ac:dyDescent="0.2">
      <c r="A858" s="71" t="s">
        <v>805</v>
      </c>
      <c r="B858" s="71" t="s">
        <v>1992</v>
      </c>
      <c r="C858" s="139" t="s">
        <v>3200</v>
      </c>
      <c r="D858" s="136"/>
      <c r="E858" s="136"/>
      <c r="F858" s="136"/>
      <c r="G858" s="136"/>
      <c r="H858" s="71" t="s">
        <v>3612</v>
      </c>
      <c r="I858" s="72">
        <v>1</v>
      </c>
      <c r="J858" s="72">
        <v>0</v>
      </c>
      <c r="K858" s="72">
        <f t="shared" si="740"/>
        <v>0</v>
      </c>
      <c r="L858" s="73" t="s">
        <v>3635</v>
      </c>
      <c r="Z858" s="34">
        <f t="shared" si="741"/>
        <v>0</v>
      </c>
      <c r="AB858" s="34">
        <f t="shared" si="742"/>
        <v>0</v>
      </c>
      <c r="AC858" s="34">
        <f t="shared" si="743"/>
        <v>0</v>
      </c>
      <c r="AD858" s="34">
        <f t="shared" si="744"/>
        <v>0</v>
      </c>
      <c r="AE858" s="34">
        <f t="shared" si="745"/>
        <v>0</v>
      </c>
      <c r="AF858" s="34">
        <f t="shared" si="746"/>
        <v>0</v>
      </c>
      <c r="AG858" s="34">
        <f t="shared" si="747"/>
        <v>0</v>
      </c>
      <c r="AH858" s="34">
        <f t="shared" si="748"/>
        <v>0</v>
      </c>
      <c r="AI858" s="27" t="s">
        <v>3645</v>
      </c>
      <c r="AJ858" s="18">
        <f t="shared" si="749"/>
        <v>0</v>
      </c>
      <c r="AK858" s="18">
        <f t="shared" si="750"/>
        <v>0</v>
      </c>
      <c r="AL858" s="18">
        <f t="shared" si="751"/>
        <v>0</v>
      </c>
      <c r="AN858" s="34">
        <v>21</v>
      </c>
      <c r="AO858" s="34">
        <f t="shared" si="752"/>
        <v>0</v>
      </c>
      <c r="AP858" s="34">
        <f t="shared" si="753"/>
        <v>0</v>
      </c>
      <c r="AQ858" s="28" t="s">
        <v>7</v>
      </c>
      <c r="AV858" s="34">
        <f t="shared" si="754"/>
        <v>0</v>
      </c>
      <c r="AW858" s="34">
        <f t="shared" si="755"/>
        <v>0</v>
      </c>
      <c r="AX858" s="34">
        <f t="shared" si="756"/>
        <v>0</v>
      </c>
      <c r="AY858" s="35" t="s">
        <v>3693</v>
      </c>
      <c r="AZ858" s="35" t="s">
        <v>3712</v>
      </c>
      <c r="BA858" s="27" t="s">
        <v>3729</v>
      </c>
      <c r="BC858" s="34">
        <f t="shared" si="757"/>
        <v>0</v>
      </c>
      <c r="BD858" s="34">
        <f t="shared" si="758"/>
        <v>0</v>
      </c>
      <c r="BE858" s="34">
        <v>0</v>
      </c>
      <c r="BF858" s="34">
        <f>858</f>
        <v>858</v>
      </c>
      <c r="BH858" s="18">
        <f t="shared" si="759"/>
        <v>0</v>
      </c>
      <c r="BI858" s="18">
        <f t="shared" si="760"/>
        <v>0</v>
      </c>
      <c r="BJ858" s="18">
        <f t="shared" si="761"/>
        <v>0</v>
      </c>
    </row>
    <row r="859" spans="1:62" x14ac:dyDescent="0.2">
      <c r="A859" s="5" t="s">
        <v>806</v>
      </c>
      <c r="B859" s="5" t="s">
        <v>1993</v>
      </c>
      <c r="C859" s="135" t="s">
        <v>3201</v>
      </c>
      <c r="D859" s="136"/>
      <c r="E859" s="136"/>
      <c r="F859" s="136"/>
      <c r="G859" s="136"/>
      <c r="H859" s="5" t="s">
        <v>3614</v>
      </c>
      <c r="I859" s="18">
        <v>290</v>
      </c>
      <c r="J859" s="18">
        <v>0</v>
      </c>
      <c r="K859" s="18">
        <f t="shared" si="740"/>
        <v>0</v>
      </c>
      <c r="L859" s="28" t="s">
        <v>3635</v>
      </c>
      <c r="Z859" s="34">
        <f t="shared" si="741"/>
        <v>0</v>
      </c>
      <c r="AB859" s="34">
        <f t="shared" si="742"/>
        <v>0</v>
      </c>
      <c r="AC859" s="34">
        <f t="shared" si="743"/>
        <v>0</v>
      </c>
      <c r="AD859" s="34">
        <f t="shared" si="744"/>
        <v>0</v>
      </c>
      <c r="AE859" s="34">
        <f t="shared" si="745"/>
        <v>0</v>
      </c>
      <c r="AF859" s="34">
        <f t="shared" si="746"/>
        <v>0</v>
      </c>
      <c r="AG859" s="34">
        <f t="shared" si="747"/>
        <v>0</v>
      </c>
      <c r="AH859" s="34">
        <f t="shared" si="748"/>
        <v>0</v>
      </c>
      <c r="AI859" s="27" t="s">
        <v>3645</v>
      </c>
      <c r="AJ859" s="18">
        <f t="shared" si="749"/>
        <v>0</v>
      </c>
      <c r="AK859" s="18">
        <f t="shared" si="750"/>
        <v>0</v>
      </c>
      <c r="AL859" s="18">
        <f t="shared" si="751"/>
        <v>0</v>
      </c>
      <c r="AN859" s="34">
        <v>21</v>
      </c>
      <c r="AO859" s="34">
        <f t="shared" si="752"/>
        <v>0</v>
      </c>
      <c r="AP859" s="34">
        <f t="shared" si="753"/>
        <v>0</v>
      </c>
      <c r="AQ859" s="28" t="s">
        <v>7</v>
      </c>
      <c r="AV859" s="34">
        <f t="shared" si="754"/>
        <v>0</v>
      </c>
      <c r="AW859" s="34">
        <f t="shared" si="755"/>
        <v>0</v>
      </c>
      <c r="AX859" s="34">
        <f t="shared" si="756"/>
        <v>0</v>
      </c>
      <c r="AY859" s="35" t="s">
        <v>3693</v>
      </c>
      <c r="AZ859" s="35" t="s">
        <v>3712</v>
      </c>
      <c r="BA859" s="27" t="s">
        <v>3729</v>
      </c>
      <c r="BC859" s="34">
        <f t="shared" si="757"/>
        <v>0</v>
      </c>
      <c r="BD859" s="34">
        <f t="shared" si="758"/>
        <v>0</v>
      </c>
      <c r="BE859" s="34">
        <v>0</v>
      </c>
      <c r="BF859" s="34">
        <f>859</f>
        <v>859</v>
      </c>
      <c r="BH859" s="18">
        <f t="shared" si="759"/>
        <v>0</v>
      </c>
      <c r="BI859" s="18">
        <f t="shared" si="760"/>
        <v>0</v>
      </c>
      <c r="BJ859" s="18">
        <f t="shared" si="761"/>
        <v>0</v>
      </c>
    </row>
    <row r="860" spans="1:62" x14ac:dyDescent="0.2">
      <c r="A860" s="71" t="s">
        <v>807</v>
      </c>
      <c r="B860" s="71" t="s">
        <v>1994</v>
      </c>
      <c r="C860" s="139" t="s">
        <v>3201</v>
      </c>
      <c r="D860" s="136"/>
      <c r="E860" s="136"/>
      <c r="F860" s="136"/>
      <c r="G860" s="136"/>
      <c r="H860" s="71" t="s">
        <v>3614</v>
      </c>
      <c r="I860" s="72">
        <v>290</v>
      </c>
      <c r="J860" s="72">
        <v>0</v>
      </c>
      <c r="K860" s="72">
        <f t="shared" si="740"/>
        <v>0</v>
      </c>
      <c r="L860" s="73" t="s">
        <v>3635</v>
      </c>
      <c r="Z860" s="34">
        <f t="shared" si="741"/>
        <v>0</v>
      </c>
      <c r="AB860" s="34">
        <f t="shared" si="742"/>
        <v>0</v>
      </c>
      <c r="AC860" s="34">
        <f t="shared" si="743"/>
        <v>0</v>
      </c>
      <c r="AD860" s="34">
        <f t="shared" si="744"/>
        <v>0</v>
      </c>
      <c r="AE860" s="34">
        <f t="shared" si="745"/>
        <v>0</v>
      </c>
      <c r="AF860" s="34">
        <f t="shared" si="746"/>
        <v>0</v>
      </c>
      <c r="AG860" s="34">
        <f t="shared" si="747"/>
        <v>0</v>
      </c>
      <c r="AH860" s="34">
        <f t="shared" si="748"/>
        <v>0</v>
      </c>
      <c r="AI860" s="27" t="s">
        <v>3645</v>
      </c>
      <c r="AJ860" s="18">
        <f t="shared" si="749"/>
        <v>0</v>
      </c>
      <c r="AK860" s="18">
        <f t="shared" si="750"/>
        <v>0</v>
      </c>
      <c r="AL860" s="18">
        <f t="shared" si="751"/>
        <v>0</v>
      </c>
      <c r="AN860" s="34">
        <v>21</v>
      </c>
      <c r="AO860" s="34">
        <f t="shared" si="752"/>
        <v>0</v>
      </c>
      <c r="AP860" s="34">
        <f t="shared" si="753"/>
        <v>0</v>
      </c>
      <c r="AQ860" s="28" t="s">
        <v>7</v>
      </c>
      <c r="AV860" s="34">
        <f t="shared" si="754"/>
        <v>0</v>
      </c>
      <c r="AW860" s="34">
        <f t="shared" si="755"/>
        <v>0</v>
      </c>
      <c r="AX860" s="34">
        <f t="shared" si="756"/>
        <v>0</v>
      </c>
      <c r="AY860" s="35" t="s">
        <v>3693</v>
      </c>
      <c r="AZ860" s="35" t="s">
        <v>3712</v>
      </c>
      <c r="BA860" s="27" t="s">
        <v>3729</v>
      </c>
      <c r="BC860" s="34">
        <f t="shared" si="757"/>
        <v>0</v>
      </c>
      <c r="BD860" s="34">
        <f t="shared" si="758"/>
        <v>0</v>
      </c>
      <c r="BE860" s="34">
        <v>0</v>
      </c>
      <c r="BF860" s="34">
        <f>860</f>
        <v>860</v>
      </c>
      <c r="BH860" s="18">
        <f t="shared" si="759"/>
        <v>0</v>
      </c>
      <c r="BI860" s="18">
        <f t="shared" si="760"/>
        <v>0</v>
      </c>
      <c r="BJ860" s="18">
        <f t="shared" si="761"/>
        <v>0</v>
      </c>
    </row>
    <row r="861" spans="1:62" x14ac:dyDescent="0.2">
      <c r="A861" s="5" t="s">
        <v>808</v>
      </c>
      <c r="B861" s="5" t="s">
        <v>1995</v>
      </c>
      <c r="C861" s="135" t="s">
        <v>3202</v>
      </c>
      <c r="D861" s="136"/>
      <c r="E861" s="136"/>
      <c r="F861" s="136"/>
      <c r="G861" s="136"/>
      <c r="H861" s="5" t="s">
        <v>3614</v>
      </c>
      <c r="I861" s="18">
        <v>150</v>
      </c>
      <c r="J861" s="18">
        <v>0</v>
      </c>
      <c r="K861" s="18">
        <f t="shared" si="740"/>
        <v>0</v>
      </c>
      <c r="L861" s="28" t="s">
        <v>3635</v>
      </c>
      <c r="Z861" s="34">
        <f t="shared" si="741"/>
        <v>0</v>
      </c>
      <c r="AB861" s="34">
        <f t="shared" si="742"/>
        <v>0</v>
      </c>
      <c r="AC861" s="34">
        <f t="shared" si="743"/>
        <v>0</v>
      </c>
      <c r="AD861" s="34">
        <f t="shared" si="744"/>
        <v>0</v>
      </c>
      <c r="AE861" s="34">
        <f t="shared" si="745"/>
        <v>0</v>
      </c>
      <c r="AF861" s="34">
        <f t="shared" si="746"/>
        <v>0</v>
      </c>
      <c r="AG861" s="34">
        <f t="shared" si="747"/>
        <v>0</v>
      </c>
      <c r="AH861" s="34">
        <f t="shared" si="748"/>
        <v>0</v>
      </c>
      <c r="AI861" s="27" t="s">
        <v>3645</v>
      </c>
      <c r="AJ861" s="18">
        <f t="shared" si="749"/>
        <v>0</v>
      </c>
      <c r="AK861" s="18">
        <f t="shared" si="750"/>
        <v>0</v>
      </c>
      <c r="AL861" s="18">
        <f t="shared" si="751"/>
        <v>0</v>
      </c>
      <c r="AN861" s="34">
        <v>21</v>
      </c>
      <c r="AO861" s="34">
        <f t="shared" si="752"/>
        <v>0</v>
      </c>
      <c r="AP861" s="34">
        <f t="shared" si="753"/>
        <v>0</v>
      </c>
      <c r="AQ861" s="28" t="s">
        <v>7</v>
      </c>
      <c r="AV861" s="34">
        <f t="shared" si="754"/>
        <v>0</v>
      </c>
      <c r="AW861" s="34">
        <f t="shared" si="755"/>
        <v>0</v>
      </c>
      <c r="AX861" s="34">
        <f t="shared" si="756"/>
        <v>0</v>
      </c>
      <c r="AY861" s="35" t="s">
        <v>3693</v>
      </c>
      <c r="AZ861" s="35" t="s">
        <v>3712</v>
      </c>
      <c r="BA861" s="27" t="s">
        <v>3729</v>
      </c>
      <c r="BC861" s="34">
        <f t="shared" si="757"/>
        <v>0</v>
      </c>
      <c r="BD861" s="34">
        <f t="shared" si="758"/>
        <v>0</v>
      </c>
      <c r="BE861" s="34">
        <v>0</v>
      </c>
      <c r="BF861" s="34">
        <f>861</f>
        <v>861</v>
      </c>
      <c r="BH861" s="18">
        <f t="shared" si="759"/>
        <v>0</v>
      </c>
      <c r="BI861" s="18">
        <f t="shared" si="760"/>
        <v>0</v>
      </c>
      <c r="BJ861" s="18">
        <f t="shared" si="761"/>
        <v>0</v>
      </c>
    </row>
    <row r="862" spans="1:62" x14ac:dyDescent="0.2">
      <c r="A862" s="71" t="s">
        <v>809</v>
      </c>
      <c r="B862" s="71" t="s">
        <v>1996</v>
      </c>
      <c r="C862" s="139" t="s">
        <v>3203</v>
      </c>
      <c r="D862" s="136"/>
      <c r="E862" s="136"/>
      <c r="F862" s="136"/>
      <c r="G862" s="136"/>
      <c r="H862" s="71" t="s">
        <v>3614</v>
      </c>
      <c r="I862" s="72">
        <v>150</v>
      </c>
      <c r="J862" s="72">
        <v>0</v>
      </c>
      <c r="K862" s="72">
        <f t="shared" si="740"/>
        <v>0</v>
      </c>
      <c r="L862" s="73" t="s">
        <v>3635</v>
      </c>
      <c r="Z862" s="34">
        <f t="shared" si="741"/>
        <v>0</v>
      </c>
      <c r="AB862" s="34">
        <f t="shared" si="742"/>
        <v>0</v>
      </c>
      <c r="AC862" s="34">
        <f t="shared" si="743"/>
        <v>0</v>
      </c>
      <c r="AD862" s="34">
        <f t="shared" si="744"/>
        <v>0</v>
      </c>
      <c r="AE862" s="34">
        <f t="shared" si="745"/>
        <v>0</v>
      </c>
      <c r="AF862" s="34">
        <f t="shared" si="746"/>
        <v>0</v>
      </c>
      <c r="AG862" s="34">
        <f t="shared" si="747"/>
        <v>0</v>
      </c>
      <c r="AH862" s="34">
        <f t="shared" si="748"/>
        <v>0</v>
      </c>
      <c r="AI862" s="27" t="s">
        <v>3645</v>
      </c>
      <c r="AJ862" s="18">
        <f t="shared" si="749"/>
        <v>0</v>
      </c>
      <c r="AK862" s="18">
        <f t="shared" si="750"/>
        <v>0</v>
      </c>
      <c r="AL862" s="18">
        <f t="shared" si="751"/>
        <v>0</v>
      </c>
      <c r="AN862" s="34">
        <v>21</v>
      </c>
      <c r="AO862" s="34">
        <f t="shared" si="752"/>
        <v>0</v>
      </c>
      <c r="AP862" s="34">
        <f t="shared" si="753"/>
        <v>0</v>
      </c>
      <c r="AQ862" s="28" t="s">
        <v>7</v>
      </c>
      <c r="AV862" s="34">
        <f t="shared" si="754"/>
        <v>0</v>
      </c>
      <c r="AW862" s="34">
        <f t="shared" si="755"/>
        <v>0</v>
      </c>
      <c r="AX862" s="34">
        <f t="shared" si="756"/>
        <v>0</v>
      </c>
      <c r="AY862" s="35" t="s">
        <v>3693</v>
      </c>
      <c r="AZ862" s="35" t="s">
        <v>3712</v>
      </c>
      <c r="BA862" s="27" t="s">
        <v>3729</v>
      </c>
      <c r="BC862" s="34">
        <f t="shared" si="757"/>
        <v>0</v>
      </c>
      <c r="BD862" s="34">
        <f t="shared" si="758"/>
        <v>0</v>
      </c>
      <c r="BE862" s="34">
        <v>0</v>
      </c>
      <c r="BF862" s="34">
        <f>862</f>
        <v>862</v>
      </c>
      <c r="BH862" s="18">
        <f t="shared" si="759"/>
        <v>0</v>
      </c>
      <c r="BI862" s="18">
        <f t="shared" si="760"/>
        <v>0</v>
      </c>
      <c r="BJ862" s="18">
        <f t="shared" si="761"/>
        <v>0</v>
      </c>
    </row>
    <row r="863" spans="1:62" x14ac:dyDescent="0.2">
      <c r="A863" s="5" t="s">
        <v>810</v>
      </c>
      <c r="B863" s="5" t="s">
        <v>1997</v>
      </c>
      <c r="C863" s="135" t="s">
        <v>3204</v>
      </c>
      <c r="D863" s="136"/>
      <c r="E863" s="136"/>
      <c r="F863" s="136"/>
      <c r="G863" s="136"/>
      <c r="H863" s="5" t="s">
        <v>3622</v>
      </c>
      <c r="I863" s="18">
        <v>9</v>
      </c>
      <c r="J863" s="18">
        <v>0</v>
      </c>
      <c r="K863" s="18">
        <f t="shared" si="740"/>
        <v>0</v>
      </c>
      <c r="L863" s="28" t="s">
        <v>3635</v>
      </c>
      <c r="Z863" s="34">
        <f t="shared" si="741"/>
        <v>0</v>
      </c>
      <c r="AB863" s="34">
        <f t="shared" si="742"/>
        <v>0</v>
      </c>
      <c r="AC863" s="34">
        <f t="shared" si="743"/>
        <v>0</v>
      </c>
      <c r="AD863" s="34">
        <f t="shared" si="744"/>
        <v>0</v>
      </c>
      <c r="AE863" s="34">
        <f t="shared" si="745"/>
        <v>0</v>
      </c>
      <c r="AF863" s="34">
        <f t="shared" si="746"/>
        <v>0</v>
      </c>
      <c r="AG863" s="34">
        <f t="shared" si="747"/>
        <v>0</v>
      </c>
      <c r="AH863" s="34">
        <f t="shared" si="748"/>
        <v>0</v>
      </c>
      <c r="AI863" s="27" t="s">
        <v>3645</v>
      </c>
      <c r="AJ863" s="18">
        <f t="shared" si="749"/>
        <v>0</v>
      </c>
      <c r="AK863" s="18">
        <f t="shared" si="750"/>
        <v>0</v>
      </c>
      <c r="AL863" s="18">
        <f t="shared" si="751"/>
        <v>0</v>
      </c>
      <c r="AN863" s="34">
        <v>21</v>
      </c>
      <c r="AO863" s="34">
        <f t="shared" si="752"/>
        <v>0</v>
      </c>
      <c r="AP863" s="34">
        <f t="shared" si="753"/>
        <v>0</v>
      </c>
      <c r="AQ863" s="28" t="s">
        <v>7</v>
      </c>
      <c r="AV863" s="34">
        <f t="shared" si="754"/>
        <v>0</v>
      </c>
      <c r="AW863" s="34">
        <f t="shared" si="755"/>
        <v>0</v>
      </c>
      <c r="AX863" s="34">
        <f t="shared" si="756"/>
        <v>0</v>
      </c>
      <c r="AY863" s="35" t="s">
        <v>3693</v>
      </c>
      <c r="AZ863" s="35" t="s">
        <v>3712</v>
      </c>
      <c r="BA863" s="27" t="s">
        <v>3729</v>
      </c>
      <c r="BC863" s="34">
        <f t="shared" si="757"/>
        <v>0</v>
      </c>
      <c r="BD863" s="34">
        <f t="shared" si="758"/>
        <v>0</v>
      </c>
      <c r="BE863" s="34">
        <v>0</v>
      </c>
      <c r="BF863" s="34">
        <f>863</f>
        <v>863</v>
      </c>
      <c r="BH863" s="18">
        <f t="shared" si="759"/>
        <v>0</v>
      </c>
      <c r="BI863" s="18">
        <f t="shared" si="760"/>
        <v>0</v>
      </c>
      <c r="BJ863" s="18">
        <f t="shared" si="761"/>
        <v>0</v>
      </c>
    </row>
    <row r="864" spans="1:62" x14ac:dyDescent="0.2">
      <c r="A864" s="71" t="s">
        <v>811</v>
      </c>
      <c r="B864" s="71" t="s">
        <v>1998</v>
      </c>
      <c r="C864" s="139" t="s">
        <v>3205</v>
      </c>
      <c r="D864" s="136"/>
      <c r="E864" s="136"/>
      <c r="F864" s="136"/>
      <c r="G864" s="136"/>
      <c r="H864" s="71" t="s">
        <v>3622</v>
      </c>
      <c r="I864" s="72">
        <v>9</v>
      </c>
      <c r="J864" s="72">
        <v>0</v>
      </c>
      <c r="K864" s="72">
        <f t="shared" si="740"/>
        <v>0</v>
      </c>
      <c r="L864" s="73" t="s">
        <v>3635</v>
      </c>
      <c r="Z864" s="34">
        <f t="shared" si="741"/>
        <v>0</v>
      </c>
      <c r="AB864" s="34">
        <f t="shared" si="742"/>
        <v>0</v>
      </c>
      <c r="AC864" s="34">
        <f t="shared" si="743"/>
        <v>0</v>
      </c>
      <c r="AD864" s="34">
        <f t="shared" si="744"/>
        <v>0</v>
      </c>
      <c r="AE864" s="34">
        <f t="shared" si="745"/>
        <v>0</v>
      </c>
      <c r="AF864" s="34">
        <f t="shared" si="746"/>
        <v>0</v>
      </c>
      <c r="AG864" s="34">
        <f t="shared" si="747"/>
        <v>0</v>
      </c>
      <c r="AH864" s="34">
        <f t="shared" si="748"/>
        <v>0</v>
      </c>
      <c r="AI864" s="27" t="s">
        <v>3645</v>
      </c>
      <c r="AJ864" s="18">
        <f t="shared" si="749"/>
        <v>0</v>
      </c>
      <c r="AK864" s="18">
        <f t="shared" si="750"/>
        <v>0</v>
      </c>
      <c r="AL864" s="18">
        <f t="shared" si="751"/>
        <v>0</v>
      </c>
      <c r="AN864" s="34">
        <v>21</v>
      </c>
      <c r="AO864" s="34">
        <f t="shared" si="752"/>
        <v>0</v>
      </c>
      <c r="AP864" s="34">
        <f t="shared" si="753"/>
        <v>0</v>
      </c>
      <c r="AQ864" s="28" t="s">
        <v>7</v>
      </c>
      <c r="AV864" s="34">
        <f t="shared" si="754"/>
        <v>0</v>
      </c>
      <c r="AW864" s="34">
        <f t="shared" si="755"/>
        <v>0</v>
      </c>
      <c r="AX864" s="34">
        <f t="shared" si="756"/>
        <v>0</v>
      </c>
      <c r="AY864" s="35" t="s">
        <v>3693</v>
      </c>
      <c r="AZ864" s="35" t="s">
        <v>3712</v>
      </c>
      <c r="BA864" s="27" t="s">
        <v>3729</v>
      </c>
      <c r="BC864" s="34">
        <f t="shared" si="757"/>
        <v>0</v>
      </c>
      <c r="BD864" s="34">
        <f t="shared" si="758"/>
        <v>0</v>
      </c>
      <c r="BE864" s="34">
        <v>0</v>
      </c>
      <c r="BF864" s="34">
        <f>864</f>
        <v>864</v>
      </c>
      <c r="BH864" s="18">
        <f t="shared" si="759"/>
        <v>0</v>
      </c>
      <c r="BI864" s="18">
        <f t="shared" si="760"/>
        <v>0</v>
      </c>
      <c r="BJ864" s="18">
        <f t="shared" si="761"/>
        <v>0</v>
      </c>
    </row>
    <row r="865" spans="1:62" x14ac:dyDescent="0.2">
      <c r="A865" s="5" t="s">
        <v>812</v>
      </c>
      <c r="B865" s="5" t="s">
        <v>1999</v>
      </c>
      <c r="C865" s="135" t="s">
        <v>3206</v>
      </c>
      <c r="D865" s="136"/>
      <c r="E865" s="136"/>
      <c r="F865" s="136"/>
      <c r="G865" s="136"/>
      <c r="H865" s="5" t="s">
        <v>3622</v>
      </c>
      <c r="I865" s="18">
        <v>149</v>
      </c>
      <c r="J865" s="18">
        <v>0</v>
      </c>
      <c r="K865" s="18">
        <f t="shared" si="740"/>
        <v>0</v>
      </c>
      <c r="L865" s="28" t="s">
        <v>3635</v>
      </c>
      <c r="Z865" s="34">
        <f t="shared" si="741"/>
        <v>0</v>
      </c>
      <c r="AB865" s="34">
        <f t="shared" si="742"/>
        <v>0</v>
      </c>
      <c r="AC865" s="34">
        <f t="shared" si="743"/>
        <v>0</v>
      </c>
      <c r="AD865" s="34">
        <f t="shared" si="744"/>
        <v>0</v>
      </c>
      <c r="AE865" s="34">
        <f t="shared" si="745"/>
        <v>0</v>
      </c>
      <c r="AF865" s="34">
        <f t="shared" si="746"/>
        <v>0</v>
      </c>
      <c r="AG865" s="34">
        <f t="shared" si="747"/>
        <v>0</v>
      </c>
      <c r="AH865" s="34">
        <f t="shared" si="748"/>
        <v>0</v>
      </c>
      <c r="AI865" s="27" t="s">
        <v>3645</v>
      </c>
      <c r="AJ865" s="18">
        <f t="shared" si="749"/>
        <v>0</v>
      </c>
      <c r="AK865" s="18">
        <f t="shared" si="750"/>
        <v>0</v>
      </c>
      <c r="AL865" s="18">
        <f t="shared" si="751"/>
        <v>0</v>
      </c>
      <c r="AN865" s="34">
        <v>21</v>
      </c>
      <c r="AO865" s="34">
        <f t="shared" si="752"/>
        <v>0</v>
      </c>
      <c r="AP865" s="34">
        <f t="shared" si="753"/>
        <v>0</v>
      </c>
      <c r="AQ865" s="28" t="s">
        <v>7</v>
      </c>
      <c r="AV865" s="34">
        <f t="shared" si="754"/>
        <v>0</v>
      </c>
      <c r="AW865" s="34">
        <f t="shared" si="755"/>
        <v>0</v>
      </c>
      <c r="AX865" s="34">
        <f t="shared" si="756"/>
        <v>0</v>
      </c>
      <c r="AY865" s="35" t="s">
        <v>3693</v>
      </c>
      <c r="AZ865" s="35" t="s">
        <v>3712</v>
      </c>
      <c r="BA865" s="27" t="s">
        <v>3729</v>
      </c>
      <c r="BC865" s="34">
        <f t="shared" si="757"/>
        <v>0</v>
      </c>
      <c r="BD865" s="34">
        <f t="shared" si="758"/>
        <v>0</v>
      </c>
      <c r="BE865" s="34">
        <v>0</v>
      </c>
      <c r="BF865" s="34">
        <f>865</f>
        <v>865</v>
      </c>
      <c r="BH865" s="18">
        <f t="shared" si="759"/>
        <v>0</v>
      </c>
      <c r="BI865" s="18">
        <f t="shared" si="760"/>
        <v>0</v>
      </c>
      <c r="BJ865" s="18">
        <f t="shared" si="761"/>
        <v>0</v>
      </c>
    </row>
    <row r="866" spans="1:62" x14ac:dyDescent="0.2">
      <c r="A866" s="71" t="s">
        <v>813</v>
      </c>
      <c r="B866" s="71" t="s">
        <v>2000</v>
      </c>
      <c r="C866" s="139" t="s">
        <v>3206</v>
      </c>
      <c r="D866" s="136"/>
      <c r="E866" s="136"/>
      <c r="F866" s="136"/>
      <c r="G866" s="136"/>
      <c r="H866" s="71" t="s">
        <v>3622</v>
      </c>
      <c r="I866" s="72">
        <v>149</v>
      </c>
      <c r="J866" s="72">
        <v>0</v>
      </c>
      <c r="K866" s="72">
        <f t="shared" si="740"/>
        <v>0</v>
      </c>
      <c r="L866" s="73" t="s">
        <v>3635</v>
      </c>
      <c r="Z866" s="34">
        <f t="shared" si="741"/>
        <v>0</v>
      </c>
      <c r="AB866" s="34">
        <f t="shared" si="742"/>
        <v>0</v>
      </c>
      <c r="AC866" s="34">
        <f t="shared" si="743"/>
        <v>0</v>
      </c>
      <c r="AD866" s="34">
        <f t="shared" si="744"/>
        <v>0</v>
      </c>
      <c r="AE866" s="34">
        <f t="shared" si="745"/>
        <v>0</v>
      </c>
      <c r="AF866" s="34">
        <f t="shared" si="746"/>
        <v>0</v>
      </c>
      <c r="AG866" s="34">
        <f t="shared" si="747"/>
        <v>0</v>
      </c>
      <c r="AH866" s="34">
        <f t="shared" si="748"/>
        <v>0</v>
      </c>
      <c r="AI866" s="27" t="s">
        <v>3645</v>
      </c>
      <c r="AJ866" s="18">
        <f t="shared" si="749"/>
        <v>0</v>
      </c>
      <c r="AK866" s="18">
        <f t="shared" si="750"/>
        <v>0</v>
      </c>
      <c r="AL866" s="18">
        <f t="shared" si="751"/>
        <v>0</v>
      </c>
      <c r="AN866" s="34">
        <v>21</v>
      </c>
      <c r="AO866" s="34">
        <f t="shared" si="752"/>
        <v>0</v>
      </c>
      <c r="AP866" s="34">
        <f t="shared" si="753"/>
        <v>0</v>
      </c>
      <c r="AQ866" s="28" t="s">
        <v>7</v>
      </c>
      <c r="AV866" s="34">
        <f t="shared" si="754"/>
        <v>0</v>
      </c>
      <c r="AW866" s="34">
        <f t="shared" si="755"/>
        <v>0</v>
      </c>
      <c r="AX866" s="34">
        <f t="shared" si="756"/>
        <v>0</v>
      </c>
      <c r="AY866" s="35" t="s">
        <v>3693</v>
      </c>
      <c r="AZ866" s="35" t="s">
        <v>3712</v>
      </c>
      <c r="BA866" s="27" t="s">
        <v>3729</v>
      </c>
      <c r="BC866" s="34">
        <f t="shared" si="757"/>
        <v>0</v>
      </c>
      <c r="BD866" s="34">
        <f t="shared" si="758"/>
        <v>0</v>
      </c>
      <c r="BE866" s="34">
        <v>0</v>
      </c>
      <c r="BF866" s="34">
        <f>866</f>
        <v>866</v>
      </c>
      <c r="BH866" s="18">
        <f t="shared" si="759"/>
        <v>0</v>
      </c>
      <c r="BI866" s="18">
        <f t="shared" si="760"/>
        <v>0</v>
      </c>
      <c r="BJ866" s="18">
        <f t="shared" si="761"/>
        <v>0</v>
      </c>
    </row>
    <row r="867" spans="1:62" x14ac:dyDescent="0.2">
      <c r="A867" s="5" t="s">
        <v>814</v>
      </c>
      <c r="B867" s="5" t="s">
        <v>2001</v>
      </c>
      <c r="C867" s="135" t="s">
        <v>3207</v>
      </c>
      <c r="D867" s="136"/>
      <c r="E867" s="136"/>
      <c r="F867" s="136"/>
      <c r="G867" s="136"/>
      <c r="H867" s="5" t="s">
        <v>3622</v>
      </c>
      <c r="I867" s="18">
        <v>22</v>
      </c>
      <c r="J867" s="18">
        <v>0</v>
      </c>
      <c r="K867" s="18">
        <f t="shared" si="740"/>
        <v>0</v>
      </c>
      <c r="L867" s="28" t="s">
        <v>3635</v>
      </c>
      <c r="Z867" s="34">
        <f t="shared" si="741"/>
        <v>0</v>
      </c>
      <c r="AB867" s="34">
        <f t="shared" si="742"/>
        <v>0</v>
      </c>
      <c r="AC867" s="34">
        <f t="shared" si="743"/>
        <v>0</v>
      </c>
      <c r="AD867" s="34">
        <f t="shared" si="744"/>
        <v>0</v>
      </c>
      <c r="AE867" s="34">
        <f t="shared" si="745"/>
        <v>0</v>
      </c>
      <c r="AF867" s="34">
        <f t="shared" si="746"/>
        <v>0</v>
      </c>
      <c r="AG867" s="34">
        <f t="shared" si="747"/>
        <v>0</v>
      </c>
      <c r="AH867" s="34">
        <f t="shared" si="748"/>
        <v>0</v>
      </c>
      <c r="AI867" s="27" t="s">
        <v>3645</v>
      </c>
      <c r="AJ867" s="18">
        <f t="shared" si="749"/>
        <v>0</v>
      </c>
      <c r="AK867" s="18">
        <f t="shared" si="750"/>
        <v>0</v>
      </c>
      <c r="AL867" s="18">
        <f t="shared" si="751"/>
        <v>0</v>
      </c>
      <c r="AN867" s="34">
        <v>21</v>
      </c>
      <c r="AO867" s="34">
        <f t="shared" si="752"/>
        <v>0</v>
      </c>
      <c r="AP867" s="34">
        <f t="shared" si="753"/>
        <v>0</v>
      </c>
      <c r="AQ867" s="28" t="s">
        <v>7</v>
      </c>
      <c r="AV867" s="34">
        <f t="shared" si="754"/>
        <v>0</v>
      </c>
      <c r="AW867" s="34">
        <f t="shared" si="755"/>
        <v>0</v>
      </c>
      <c r="AX867" s="34">
        <f t="shared" si="756"/>
        <v>0</v>
      </c>
      <c r="AY867" s="35" t="s">
        <v>3693</v>
      </c>
      <c r="AZ867" s="35" t="s">
        <v>3712</v>
      </c>
      <c r="BA867" s="27" t="s">
        <v>3729</v>
      </c>
      <c r="BC867" s="34">
        <f t="shared" si="757"/>
        <v>0</v>
      </c>
      <c r="BD867" s="34">
        <f t="shared" si="758"/>
        <v>0</v>
      </c>
      <c r="BE867" s="34">
        <v>0</v>
      </c>
      <c r="BF867" s="34">
        <f>867</f>
        <v>867</v>
      </c>
      <c r="BH867" s="18">
        <f t="shared" si="759"/>
        <v>0</v>
      </c>
      <c r="BI867" s="18">
        <f t="shared" si="760"/>
        <v>0</v>
      </c>
      <c r="BJ867" s="18">
        <f t="shared" si="761"/>
        <v>0</v>
      </c>
    </row>
    <row r="868" spans="1:62" x14ac:dyDescent="0.2">
      <c r="A868" s="71" t="s">
        <v>815</v>
      </c>
      <c r="B868" s="71" t="s">
        <v>2002</v>
      </c>
      <c r="C868" s="139" t="s">
        <v>3207</v>
      </c>
      <c r="D868" s="136"/>
      <c r="E868" s="136"/>
      <c r="F868" s="136"/>
      <c r="G868" s="136"/>
      <c r="H868" s="71" t="s">
        <v>3622</v>
      </c>
      <c r="I868" s="72">
        <v>22</v>
      </c>
      <c r="J868" s="72">
        <v>0</v>
      </c>
      <c r="K868" s="72">
        <f t="shared" si="740"/>
        <v>0</v>
      </c>
      <c r="L868" s="73" t="s">
        <v>3635</v>
      </c>
      <c r="Z868" s="34">
        <f t="shared" si="741"/>
        <v>0</v>
      </c>
      <c r="AB868" s="34">
        <f t="shared" si="742"/>
        <v>0</v>
      </c>
      <c r="AC868" s="34">
        <f t="shared" si="743"/>
        <v>0</v>
      </c>
      <c r="AD868" s="34">
        <f t="shared" si="744"/>
        <v>0</v>
      </c>
      <c r="AE868" s="34">
        <f t="shared" si="745"/>
        <v>0</v>
      </c>
      <c r="AF868" s="34">
        <f t="shared" si="746"/>
        <v>0</v>
      </c>
      <c r="AG868" s="34">
        <f t="shared" si="747"/>
        <v>0</v>
      </c>
      <c r="AH868" s="34">
        <f t="shared" si="748"/>
        <v>0</v>
      </c>
      <c r="AI868" s="27" t="s">
        <v>3645</v>
      </c>
      <c r="AJ868" s="18">
        <f t="shared" si="749"/>
        <v>0</v>
      </c>
      <c r="AK868" s="18">
        <f t="shared" si="750"/>
        <v>0</v>
      </c>
      <c r="AL868" s="18">
        <f t="shared" si="751"/>
        <v>0</v>
      </c>
      <c r="AN868" s="34">
        <v>21</v>
      </c>
      <c r="AO868" s="34">
        <f t="shared" si="752"/>
        <v>0</v>
      </c>
      <c r="AP868" s="34">
        <f t="shared" si="753"/>
        <v>0</v>
      </c>
      <c r="AQ868" s="28" t="s">
        <v>7</v>
      </c>
      <c r="AV868" s="34">
        <f t="shared" si="754"/>
        <v>0</v>
      </c>
      <c r="AW868" s="34">
        <f t="shared" si="755"/>
        <v>0</v>
      </c>
      <c r="AX868" s="34">
        <f t="shared" si="756"/>
        <v>0</v>
      </c>
      <c r="AY868" s="35" t="s">
        <v>3693</v>
      </c>
      <c r="AZ868" s="35" t="s">
        <v>3712</v>
      </c>
      <c r="BA868" s="27" t="s">
        <v>3729</v>
      </c>
      <c r="BC868" s="34">
        <f t="shared" si="757"/>
        <v>0</v>
      </c>
      <c r="BD868" s="34">
        <f t="shared" si="758"/>
        <v>0</v>
      </c>
      <c r="BE868" s="34">
        <v>0</v>
      </c>
      <c r="BF868" s="34">
        <f>868</f>
        <v>868</v>
      </c>
      <c r="BH868" s="18">
        <f t="shared" si="759"/>
        <v>0</v>
      </c>
      <c r="BI868" s="18">
        <f t="shared" si="760"/>
        <v>0</v>
      </c>
      <c r="BJ868" s="18">
        <f t="shared" si="761"/>
        <v>0</v>
      </c>
    </row>
    <row r="869" spans="1:62" x14ac:dyDescent="0.2">
      <c r="A869" s="5" t="s">
        <v>816</v>
      </c>
      <c r="B869" s="5" t="s">
        <v>2003</v>
      </c>
      <c r="C869" s="135" t="s">
        <v>3208</v>
      </c>
      <c r="D869" s="136"/>
      <c r="E869" s="136"/>
      <c r="F869" s="136"/>
      <c r="G869" s="136"/>
      <c r="H869" s="5" t="s">
        <v>3622</v>
      </c>
      <c r="I869" s="18">
        <v>9</v>
      </c>
      <c r="J869" s="18">
        <v>0</v>
      </c>
      <c r="K869" s="18">
        <f t="shared" si="740"/>
        <v>0</v>
      </c>
      <c r="L869" s="28" t="s">
        <v>3635</v>
      </c>
      <c r="Z869" s="34">
        <f t="shared" si="741"/>
        <v>0</v>
      </c>
      <c r="AB869" s="34">
        <f t="shared" si="742"/>
        <v>0</v>
      </c>
      <c r="AC869" s="34">
        <f t="shared" si="743"/>
        <v>0</v>
      </c>
      <c r="AD869" s="34">
        <f t="shared" si="744"/>
        <v>0</v>
      </c>
      <c r="AE869" s="34">
        <f t="shared" si="745"/>
        <v>0</v>
      </c>
      <c r="AF869" s="34">
        <f t="shared" si="746"/>
        <v>0</v>
      </c>
      <c r="AG869" s="34">
        <f t="shared" si="747"/>
        <v>0</v>
      </c>
      <c r="AH869" s="34">
        <f t="shared" si="748"/>
        <v>0</v>
      </c>
      <c r="AI869" s="27" t="s">
        <v>3645</v>
      </c>
      <c r="AJ869" s="18">
        <f t="shared" si="749"/>
        <v>0</v>
      </c>
      <c r="AK869" s="18">
        <f t="shared" si="750"/>
        <v>0</v>
      </c>
      <c r="AL869" s="18">
        <f t="shared" si="751"/>
        <v>0</v>
      </c>
      <c r="AN869" s="34">
        <v>21</v>
      </c>
      <c r="AO869" s="34">
        <f t="shared" si="752"/>
        <v>0</v>
      </c>
      <c r="AP869" s="34">
        <f t="shared" si="753"/>
        <v>0</v>
      </c>
      <c r="AQ869" s="28" t="s">
        <v>7</v>
      </c>
      <c r="AV869" s="34">
        <f t="shared" si="754"/>
        <v>0</v>
      </c>
      <c r="AW869" s="34">
        <f t="shared" si="755"/>
        <v>0</v>
      </c>
      <c r="AX869" s="34">
        <f t="shared" si="756"/>
        <v>0</v>
      </c>
      <c r="AY869" s="35" t="s">
        <v>3693</v>
      </c>
      <c r="AZ869" s="35" t="s">
        <v>3712</v>
      </c>
      <c r="BA869" s="27" t="s">
        <v>3729</v>
      </c>
      <c r="BC869" s="34">
        <f t="shared" si="757"/>
        <v>0</v>
      </c>
      <c r="BD869" s="34">
        <f t="shared" si="758"/>
        <v>0</v>
      </c>
      <c r="BE869" s="34">
        <v>0</v>
      </c>
      <c r="BF869" s="34">
        <f>869</f>
        <v>869</v>
      </c>
      <c r="BH869" s="18">
        <f t="shared" si="759"/>
        <v>0</v>
      </c>
      <c r="BI869" s="18">
        <f t="shared" si="760"/>
        <v>0</v>
      </c>
      <c r="BJ869" s="18">
        <f t="shared" si="761"/>
        <v>0</v>
      </c>
    </row>
    <row r="870" spans="1:62" x14ac:dyDescent="0.2">
      <c r="A870" s="71" t="s">
        <v>817</v>
      </c>
      <c r="B870" s="71" t="s">
        <v>2004</v>
      </c>
      <c r="C870" s="139" t="s">
        <v>3209</v>
      </c>
      <c r="D870" s="136"/>
      <c r="E870" s="136"/>
      <c r="F870" s="136"/>
      <c r="G870" s="136"/>
      <c r="H870" s="71" t="s">
        <v>3622</v>
      </c>
      <c r="I870" s="72">
        <v>9</v>
      </c>
      <c r="J870" s="72">
        <v>0</v>
      </c>
      <c r="K870" s="72">
        <f t="shared" si="740"/>
        <v>0</v>
      </c>
      <c r="L870" s="73" t="s">
        <v>3635</v>
      </c>
      <c r="Z870" s="34">
        <f t="shared" si="741"/>
        <v>0</v>
      </c>
      <c r="AB870" s="34">
        <f t="shared" si="742"/>
        <v>0</v>
      </c>
      <c r="AC870" s="34">
        <f t="shared" si="743"/>
        <v>0</v>
      </c>
      <c r="AD870" s="34">
        <f t="shared" si="744"/>
        <v>0</v>
      </c>
      <c r="AE870" s="34">
        <f t="shared" si="745"/>
        <v>0</v>
      </c>
      <c r="AF870" s="34">
        <f t="shared" si="746"/>
        <v>0</v>
      </c>
      <c r="AG870" s="34">
        <f t="shared" si="747"/>
        <v>0</v>
      </c>
      <c r="AH870" s="34">
        <f t="shared" si="748"/>
        <v>0</v>
      </c>
      <c r="AI870" s="27" t="s">
        <v>3645</v>
      </c>
      <c r="AJ870" s="18">
        <f t="shared" si="749"/>
        <v>0</v>
      </c>
      <c r="AK870" s="18">
        <f t="shared" si="750"/>
        <v>0</v>
      </c>
      <c r="AL870" s="18">
        <f t="shared" si="751"/>
        <v>0</v>
      </c>
      <c r="AN870" s="34">
        <v>21</v>
      </c>
      <c r="AO870" s="34">
        <f t="shared" si="752"/>
        <v>0</v>
      </c>
      <c r="AP870" s="34">
        <f t="shared" si="753"/>
        <v>0</v>
      </c>
      <c r="AQ870" s="28" t="s">
        <v>7</v>
      </c>
      <c r="AV870" s="34">
        <f t="shared" si="754"/>
        <v>0</v>
      </c>
      <c r="AW870" s="34">
        <f t="shared" si="755"/>
        <v>0</v>
      </c>
      <c r="AX870" s="34">
        <f t="shared" si="756"/>
        <v>0</v>
      </c>
      <c r="AY870" s="35" t="s">
        <v>3693</v>
      </c>
      <c r="AZ870" s="35" t="s">
        <v>3712</v>
      </c>
      <c r="BA870" s="27" t="s">
        <v>3729</v>
      </c>
      <c r="BC870" s="34">
        <f t="shared" si="757"/>
        <v>0</v>
      </c>
      <c r="BD870" s="34">
        <f t="shared" si="758"/>
        <v>0</v>
      </c>
      <c r="BE870" s="34">
        <v>0</v>
      </c>
      <c r="BF870" s="34">
        <f>870</f>
        <v>870</v>
      </c>
      <c r="BH870" s="18">
        <f t="shared" si="759"/>
        <v>0</v>
      </c>
      <c r="BI870" s="18">
        <f t="shared" si="760"/>
        <v>0</v>
      </c>
      <c r="BJ870" s="18">
        <f t="shared" si="761"/>
        <v>0</v>
      </c>
    </row>
    <row r="871" spans="1:62" x14ac:dyDescent="0.2">
      <c r="A871" s="5" t="s">
        <v>818</v>
      </c>
      <c r="B871" s="5" t="s">
        <v>2005</v>
      </c>
      <c r="C871" s="135" t="s">
        <v>3210</v>
      </c>
      <c r="D871" s="136"/>
      <c r="E871" s="136"/>
      <c r="F871" s="136"/>
      <c r="G871" s="136"/>
      <c r="H871" s="5" t="s">
        <v>3622</v>
      </c>
      <c r="I871" s="18">
        <v>32</v>
      </c>
      <c r="J871" s="18">
        <v>0</v>
      </c>
      <c r="K871" s="18">
        <f t="shared" si="740"/>
        <v>0</v>
      </c>
      <c r="L871" s="28" t="s">
        <v>3635</v>
      </c>
      <c r="Z871" s="34">
        <f t="shared" si="741"/>
        <v>0</v>
      </c>
      <c r="AB871" s="34">
        <f t="shared" si="742"/>
        <v>0</v>
      </c>
      <c r="AC871" s="34">
        <f t="shared" si="743"/>
        <v>0</v>
      </c>
      <c r="AD871" s="34">
        <f t="shared" si="744"/>
        <v>0</v>
      </c>
      <c r="AE871" s="34">
        <f t="shared" si="745"/>
        <v>0</v>
      </c>
      <c r="AF871" s="34">
        <f t="shared" si="746"/>
        <v>0</v>
      </c>
      <c r="AG871" s="34">
        <f t="shared" si="747"/>
        <v>0</v>
      </c>
      <c r="AH871" s="34">
        <f t="shared" si="748"/>
        <v>0</v>
      </c>
      <c r="AI871" s="27" t="s">
        <v>3645</v>
      </c>
      <c r="AJ871" s="18">
        <f t="shared" si="749"/>
        <v>0</v>
      </c>
      <c r="AK871" s="18">
        <f t="shared" si="750"/>
        <v>0</v>
      </c>
      <c r="AL871" s="18">
        <f t="shared" si="751"/>
        <v>0</v>
      </c>
      <c r="AN871" s="34">
        <v>21</v>
      </c>
      <c r="AO871" s="34">
        <f t="shared" si="752"/>
        <v>0</v>
      </c>
      <c r="AP871" s="34">
        <f t="shared" si="753"/>
        <v>0</v>
      </c>
      <c r="AQ871" s="28" t="s">
        <v>7</v>
      </c>
      <c r="AV871" s="34">
        <f t="shared" si="754"/>
        <v>0</v>
      </c>
      <c r="AW871" s="34">
        <f t="shared" si="755"/>
        <v>0</v>
      </c>
      <c r="AX871" s="34">
        <f t="shared" si="756"/>
        <v>0</v>
      </c>
      <c r="AY871" s="35" t="s">
        <v>3693</v>
      </c>
      <c r="AZ871" s="35" t="s">
        <v>3712</v>
      </c>
      <c r="BA871" s="27" t="s">
        <v>3729</v>
      </c>
      <c r="BC871" s="34">
        <f t="shared" si="757"/>
        <v>0</v>
      </c>
      <c r="BD871" s="34">
        <f t="shared" si="758"/>
        <v>0</v>
      </c>
      <c r="BE871" s="34">
        <v>0</v>
      </c>
      <c r="BF871" s="34">
        <f>871</f>
        <v>871</v>
      </c>
      <c r="BH871" s="18">
        <f t="shared" si="759"/>
        <v>0</v>
      </c>
      <c r="BI871" s="18">
        <f t="shared" si="760"/>
        <v>0</v>
      </c>
      <c r="BJ871" s="18">
        <f t="shared" si="761"/>
        <v>0</v>
      </c>
    </row>
    <row r="872" spans="1:62" x14ac:dyDescent="0.2">
      <c r="A872" s="71" t="s">
        <v>819</v>
      </c>
      <c r="B872" s="71" t="s">
        <v>2006</v>
      </c>
      <c r="C872" s="139" t="s">
        <v>3210</v>
      </c>
      <c r="D872" s="136"/>
      <c r="E872" s="136"/>
      <c r="F872" s="136"/>
      <c r="G872" s="136"/>
      <c r="H872" s="71" t="s">
        <v>3622</v>
      </c>
      <c r="I872" s="72">
        <v>32</v>
      </c>
      <c r="J872" s="72">
        <v>0</v>
      </c>
      <c r="K872" s="72">
        <f t="shared" si="740"/>
        <v>0</v>
      </c>
      <c r="L872" s="73" t="s">
        <v>3635</v>
      </c>
      <c r="Z872" s="34">
        <f t="shared" si="741"/>
        <v>0</v>
      </c>
      <c r="AB872" s="34">
        <f t="shared" si="742"/>
        <v>0</v>
      </c>
      <c r="AC872" s="34">
        <f t="shared" si="743"/>
        <v>0</v>
      </c>
      <c r="AD872" s="34">
        <f t="shared" si="744"/>
        <v>0</v>
      </c>
      <c r="AE872" s="34">
        <f t="shared" si="745"/>
        <v>0</v>
      </c>
      <c r="AF872" s="34">
        <f t="shared" si="746"/>
        <v>0</v>
      </c>
      <c r="AG872" s="34">
        <f t="shared" si="747"/>
        <v>0</v>
      </c>
      <c r="AH872" s="34">
        <f t="shared" si="748"/>
        <v>0</v>
      </c>
      <c r="AI872" s="27" t="s">
        <v>3645</v>
      </c>
      <c r="AJ872" s="18">
        <f t="shared" si="749"/>
        <v>0</v>
      </c>
      <c r="AK872" s="18">
        <f t="shared" si="750"/>
        <v>0</v>
      </c>
      <c r="AL872" s="18">
        <f t="shared" si="751"/>
        <v>0</v>
      </c>
      <c r="AN872" s="34">
        <v>21</v>
      </c>
      <c r="AO872" s="34">
        <f t="shared" si="752"/>
        <v>0</v>
      </c>
      <c r="AP872" s="34">
        <f t="shared" si="753"/>
        <v>0</v>
      </c>
      <c r="AQ872" s="28" t="s">
        <v>7</v>
      </c>
      <c r="AV872" s="34">
        <f t="shared" si="754"/>
        <v>0</v>
      </c>
      <c r="AW872" s="34">
        <f t="shared" si="755"/>
        <v>0</v>
      </c>
      <c r="AX872" s="34">
        <f t="shared" si="756"/>
        <v>0</v>
      </c>
      <c r="AY872" s="35" t="s">
        <v>3693</v>
      </c>
      <c r="AZ872" s="35" t="s">
        <v>3712</v>
      </c>
      <c r="BA872" s="27" t="s">
        <v>3729</v>
      </c>
      <c r="BC872" s="34">
        <f t="shared" si="757"/>
        <v>0</v>
      </c>
      <c r="BD872" s="34">
        <f t="shared" si="758"/>
        <v>0</v>
      </c>
      <c r="BE872" s="34">
        <v>0</v>
      </c>
      <c r="BF872" s="34">
        <f>872</f>
        <v>872</v>
      </c>
      <c r="BH872" s="18">
        <f t="shared" si="759"/>
        <v>0</v>
      </c>
      <c r="BI872" s="18">
        <f t="shared" si="760"/>
        <v>0</v>
      </c>
      <c r="BJ872" s="18">
        <f t="shared" si="761"/>
        <v>0</v>
      </c>
    </row>
    <row r="873" spans="1:62" x14ac:dyDescent="0.2">
      <c r="A873" s="5" t="s">
        <v>820</v>
      </c>
      <c r="B873" s="5" t="s">
        <v>2007</v>
      </c>
      <c r="C873" s="135" t="s">
        <v>3211</v>
      </c>
      <c r="D873" s="136"/>
      <c r="E873" s="136"/>
      <c r="F873" s="136"/>
      <c r="G873" s="136"/>
      <c r="H873" s="5" t="s">
        <v>3622</v>
      </c>
      <c r="I873" s="18">
        <v>9</v>
      </c>
      <c r="J873" s="18">
        <v>0</v>
      </c>
      <c r="K873" s="18">
        <f t="shared" si="740"/>
        <v>0</v>
      </c>
      <c r="L873" s="28" t="s">
        <v>3635</v>
      </c>
      <c r="Z873" s="34">
        <f t="shared" si="741"/>
        <v>0</v>
      </c>
      <c r="AB873" s="34">
        <f t="shared" si="742"/>
        <v>0</v>
      </c>
      <c r="AC873" s="34">
        <f t="shared" si="743"/>
        <v>0</v>
      </c>
      <c r="AD873" s="34">
        <f t="shared" si="744"/>
        <v>0</v>
      </c>
      <c r="AE873" s="34">
        <f t="shared" si="745"/>
        <v>0</v>
      </c>
      <c r="AF873" s="34">
        <f t="shared" si="746"/>
        <v>0</v>
      </c>
      <c r="AG873" s="34">
        <f t="shared" si="747"/>
        <v>0</v>
      </c>
      <c r="AH873" s="34">
        <f t="shared" si="748"/>
        <v>0</v>
      </c>
      <c r="AI873" s="27" t="s">
        <v>3645</v>
      </c>
      <c r="AJ873" s="18">
        <f t="shared" si="749"/>
        <v>0</v>
      </c>
      <c r="AK873" s="18">
        <f t="shared" si="750"/>
        <v>0</v>
      </c>
      <c r="AL873" s="18">
        <f t="shared" si="751"/>
        <v>0</v>
      </c>
      <c r="AN873" s="34">
        <v>21</v>
      </c>
      <c r="AO873" s="34">
        <f t="shared" si="752"/>
        <v>0</v>
      </c>
      <c r="AP873" s="34">
        <f t="shared" si="753"/>
        <v>0</v>
      </c>
      <c r="AQ873" s="28" t="s">
        <v>7</v>
      </c>
      <c r="AV873" s="34">
        <f t="shared" si="754"/>
        <v>0</v>
      </c>
      <c r="AW873" s="34">
        <f t="shared" si="755"/>
        <v>0</v>
      </c>
      <c r="AX873" s="34">
        <f t="shared" si="756"/>
        <v>0</v>
      </c>
      <c r="AY873" s="35" t="s">
        <v>3693</v>
      </c>
      <c r="AZ873" s="35" t="s">
        <v>3712</v>
      </c>
      <c r="BA873" s="27" t="s">
        <v>3729</v>
      </c>
      <c r="BC873" s="34">
        <f t="shared" si="757"/>
        <v>0</v>
      </c>
      <c r="BD873" s="34">
        <f t="shared" si="758"/>
        <v>0</v>
      </c>
      <c r="BE873" s="34">
        <v>0</v>
      </c>
      <c r="BF873" s="34">
        <f>873</f>
        <v>873</v>
      </c>
      <c r="BH873" s="18">
        <f t="shared" si="759"/>
        <v>0</v>
      </c>
      <c r="BI873" s="18">
        <f t="shared" si="760"/>
        <v>0</v>
      </c>
      <c r="BJ873" s="18">
        <f t="shared" si="761"/>
        <v>0</v>
      </c>
    </row>
    <row r="874" spans="1:62" x14ac:dyDescent="0.2">
      <c r="A874" s="71" t="s">
        <v>821</v>
      </c>
      <c r="B874" s="71" t="s">
        <v>2008</v>
      </c>
      <c r="C874" s="139" t="s">
        <v>3211</v>
      </c>
      <c r="D874" s="136"/>
      <c r="E874" s="136"/>
      <c r="F874" s="136"/>
      <c r="G874" s="136"/>
      <c r="H874" s="71" t="s">
        <v>3622</v>
      </c>
      <c r="I874" s="72">
        <v>9</v>
      </c>
      <c r="J874" s="72">
        <v>0</v>
      </c>
      <c r="K874" s="72">
        <f t="shared" si="740"/>
        <v>0</v>
      </c>
      <c r="L874" s="73" t="s">
        <v>3635</v>
      </c>
      <c r="Z874" s="34">
        <f t="shared" si="741"/>
        <v>0</v>
      </c>
      <c r="AB874" s="34">
        <f t="shared" si="742"/>
        <v>0</v>
      </c>
      <c r="AC874" s="34">
        <f t="shared" si="743"/>
        <v>0</v>
      </c>
      <c r="AD874" s="34">
        <f t="shared" si="744"/>
        <v>0</v>
      </c>
      <c r="AE874" s="34">
        <f t="shared" si="745"/>
        <v>0</v>
      </c>
      <c r="AF874" s="34">
        <f t="shared" si="746"/>
        <v>0</v>
      </c>
      <c r="AG874" s="34">
        <f t="shared" si="747"/>
        <v>0</v>
      </c>
      <c r="AH874" s="34">
        <f t="shared" si="748"/>
        <v>0</v>
      </c>
      <c r="AI874" s="27" t="s">
        <v>3645</v>
      </c>
      <c r="AJ874" s="18">
        <f t="shared" si="749"/>
        <v>0</v>
      </c>
      <c r="AK874" s="18">
        <f t="shared" si="750"/>
        <v>0</v>
      </c>
      <c r="AL874" s="18">
        <f t="shared" si="751"/>
        <v>0</v>
      </c>
      <c r="AN874" s="34">
        <v>21</v>
      </c>
      <c r="AO874" s="34">
        <f t="shared" si="752"/>
        <v>0</v>
      </c>
      <c r="AP874" s="34">
        <f t="shared" si="753"/>
        <v>0</v>
      </c>
      <c r="AQ874" s="28" t="s">
        <v>7</v>
      </c>
      <c r="AV874" s="34">
        <f t="shared" si="754"/>
        <v>0</v>
      </c>
      <c r="AW874" s="34">
        <f t="shared" si="755"/>
        <v>0</v>
      </c>
      <c r="AX874" s="34">
        <f t="shared" si="756"/>
        <v>0</v>
      </c>
      <c r="AY874" s="35" t="s">
        <v>3693</v>
      </c>
      <c r="AZ874" s="35" t="s">
        <v>3712</v>
      </c>
      <c r="BA874" s="27" t="s">
        <v>3729</v>
      </c>
      <c r="BC874" s="34">
        <f t="shared" si="757"/>
        <v>0</v>
      </c>
      <c r="BD874" s="34">
        <f t="shared" si="758"/>
        <v>0</v>
      </c>
      <c r="BE874" s="34">
        <v>0</v>
      </c>
      <c r="BF874" s="34">
        <f>874</f>
        <v>874</v>
      </c>
      <c r="BH874" s="18">
        <f t="shared" si="759"/>
        <v>0</v>
      </c>
      <c r="BI874" s="18">
        <f t="shared" si="760"/>
        <v>0</v>
      </c>
      <c r="BJ874" s="18">
        <f t="shared" si="761"/>
        <v>0</v>
      </c>
    </row>
    <row r="875" spans="1:62" x14ac:dyDescent="0.2">
      <c r="A875" s="5" t="s">
        <v>822</v>
      </c>
      <c r="B875" s="5" t="s">
        <v>2009</v>
      </c>
      <c r="C875" s="135" t="s">
        <v>3212</v>
      </c>
      <c r="D875" s="136"/>
      <c r="E875" s="136"/>
      <c r="F875" s="136"/>
      <c r="G875" s="136"/>
      <c r="H875" s="5" t="s">
        <v>3622</v>
      </c>
      <c r="I875" s="18">
        <v>26</v>
      </c>
      <c r="J875" s="18">
        <v>0</v>
      </c>
      <c r="K875" s="18">
        <f t="shared" si="740"/>
        <v>0</v>
      </c>
      <c r="L875" s="28" t="s">
        <v>3635</v>
      </c>
      <c r="Z875" s="34">
        <f t="shared" si="741"/>
        <v>0</v>
      </c>
      <c r="AB875" s="34">
        <f t="shared" si="742"/>
        <v>0</v>
      </c>
      <c r="AC875" s="34">
        <f t="shared" si="743"/>
        <v>0</v>
      </c>
      <c r="AD875" s="34">
        <f t="shared" si="744"/>
        <v>0</v>
      </c>
      <c r="AE875" s="34">
        <f t="shared" si="745"/>
        <v>0</v>
      </c>
      <c r="AF875" s="34">
        <f t="shared" si="746"/>
        <v>0</v>
      </c>
      <c r="AG875" s="34">
        <f t="shared" si="747"/>
        <v>0</v>
      </c>
      <c r="AH875" s="34">
        <f t="shared" si="748"/>
        <v>0</v>
      </c>
      <c r="AI875" s="27" t="s">
        <v>3645</v>
      </c>
      <c r="AJ875" s="18">
        <f t="shared" si="749"/>
        <v>0</v>
      </c>
      <c r="AK875" s="18">
        <f t="shared" si="750"/>
        <v>0</v>
      </c>
      <c r="AL875" s="18">
        <f t="shared" si="751"/>
        <v>0</v>
      </c>
      <c r="AN875" s="34">
        <v>21</v>
      </c>
      <c r="AO875" s="34">
        <f t="shared" si="752"/>
        <v>0</v>
      </c>
      <c r="AP875" s="34">
        <f t="shared" si="753"/>
        <v>0</v>
      </c>
      <c r="AQ875" s="28" t="s">
        <v>7</v>
      </c>
      <c r="AV875" s="34">
        <f t="shared" si="754"/>
        <v>0</v>
      </c>
      <c r="AW875" s="34">
        <f t="shared" si="755"/>
        <v>0</v>
      </c>
      <c r="AX875" s="34">
        <f t="shared" si="756"/>
        <v>0</v>
      </c>
      <c r="AY875" s="35" t="s">
        <v>3693</v>
      </c>
      <c r="AZ875" s="35" t="s">
        <v>3712</v>
      </c>
      <c r="BA875" s="27" t="s">
        <v>3729</v>
      </c>
      <c r="BC875" s="34">
        <f t="shared" si="757"/>
        <v>0</v>
      </c>
      <c r="BD875" s="34">
        <f t="shared" si="758"/>
        <v>0</v>
      </c>
      <c r="BE875" s="34">
        <v>0</v>
      </c>
      <c r="BF875" s="34">
        <f>875</f>
        <v>875</v>
      </c>
      <c r="BH875" s="18">
        <f t="shared" si="759"/>
        <v>0</v>
      </c>
      <c r="BI875" s="18">
        <f t="shared" si="760"/>
        <v>0</v>
      </c>
      <c r="BJ875" s="18">
        <f t="shared" si="761"/>
        <v>0</v>
      </c>
    </row>
    <row r="876" spans="1:62" x14ac:dyDescent="0.2">
      <c r="A876" s="71" t="s">
        <v>823</v>
      </c>
      <c r="B876" s="71" t="s">
        <v>2006</v>
      </c>
      <c r="C876" s="139" t="s">
        <v>3213</v>
      </c>
      <c r="D876" s="136"/>
      <c r="E876" s="136"/>
      <c r="F876" s="136"/>
      <c r="G876" s="136"/>
      <c r="H876" s="71" t="s">
        <v>3622</v>
      </c>
      <c r="I876" s="72">
        <v>26</v>
      </c>
      <c r="J876" s="72">
        <v>0</v>
      </c>
      <c r="K876" s="72">
        <f t="shared" si="740"/>
        <v>0</v>
      </c>
      <c r="L876" s="73" t="s">
        <v>3635</v>
      </c>
      <c r="Z876" s="34">
        <f t="shared" si="741"/>
        <v>0</v>
      </c>
      <c r="AB876" s="34">
        <f t="shared" si="742"/>
        <v>0</v>
      </c>
      <c r="AC876" s="34">
        <f t="shared" si="743"/>
        <v>0</v>
      </c>
      <c r="AD876" s="34">
        <f t="shared" si="744"/>
        <v>0</v>
      </c>
      <c r="AE876" s="34">
        <f t="shared" si="745"/>
        <v>0</v>
      </c>
      <c r="AF876" s="34">
        <f t="shared" si="746"/>
        <v>0</v>
      </c>
      <c r="AG876" s="34">
        <f t="shared" si="747"/>
        <v>0</v>
      </c>
      <c r="AH876" s="34">
        <f t="shared" si="748"/>
        <v>0</v>
      </c>
      <c r="AI876" s="27" t="s">
        <v>3645</v>
      </c>
      <c r="AJ876" s="18">
        <f t="shared" si="749"/>
        <v>0</v>
      </c>
      <c r="AK876" s="18">
        <f t="shared" si="750"/>
        <v>0</v>
      </c>
      <c r="AL876" s="18">
        <f t="shared" si="751"/>
        <v>0</v>
      </c>
      <c r="AN876" s="34">
        <v>21</v>
      </c>
      <c r="AO876" s="34">
        <f t="shared" si="752"/>
        <v>0</v>
      </c>
      <c r="AP876" s="34">
        <f t="shared" si="753"/>
        <v>0</v>
      </c>
      <c r="AQ876" s="28" t="s">
        <v>7</v>
      </c>
      <c r="AV876" s="34">
        <f t="shared" si="754"/>
        <v>0</v>
      </c>
      <c r="AW876" s="34">
        <f t="shared" si="755"/>
        <v>0</v>
      </c>
      <c r="AX876" s="34">
        <f t="shared" si="756"/>
        <v>0</v>
      </c>
      <c r="AY876" s="35" t="s">
        <v>3693</v>
      </c>
      <c r="AZ876" s="35" t="s">
        <v>3712</v>
      </c>
      <c r="BA876" s="27" t="s">
        <v>3729</v>
      </c>
      <c r="BC876" s="34">
        <f t="shared" si="757"/>
        <v>0</v>
      </c>
      <c r="BD876" s="34">
        <f t="shared" si="758"/>
        <v>0</v>
      </c>
      <c r="BE876" s="34">
        <v>0</v>
      </c>
      <c r="BF876" s="34">
        <f>876</f>
        <v>876</v>
      </c>
      <c r="BH876" s="18">
        <f t="shared" si="759"/>
        <v>0</v>
      </c>
      <c r="BI876" s="18">
        <f t="shared" si="760"/>
        <v>0</v>
      </c>
      <c r="BJ876" s="18">
        <f t="shared" si="761"/>
        <v>0</v>
      </c>
    </row>
    <row r="877" spans="1:62" x14ac:dyDescent="0.2">
      <c r="A877" s="5" t="s">
        <v>824</v>
      </c>
      <c r="B877" s="5" t="s">
        <v>2007</v>
      </c>
      <c r="C877" s="135" t="s">
        <v>3214</v>
      </c>
      <c r="D877" s="136"/>
      <c r="E877" s="136"/>
      <c r="F877" s="136"/>
      <c r="G877" s="136"/>
      <c r="H877" s="5" t="s">
        <v>3622</v>
      </c>
      <c r="I877" s="18">
        <v>18</v>
      </c>
      <c r="J877" s="18">
        <v>0</v>
      </c>
      <c r="K877" s="18">
        <f t="shared" si="740"/>
        <v>0</v>
      </c>
      <c r="L877" s="28" t="s">
        <v>3635</v>
      </c>
      <c r="Z877" s="34">
        <f t="shared" si="741"/>
        <v>0</v>
      </c>
      <c r="AB877" s="34">
        <f t="shared" si="742"/>
        <v>0</v>
      </c>
      <c r="AC877" s="34">
        <f t="shared" si="743"/>
        <v>0</v>
      </c>
      <c r="AD877" s="34">
        <f t="shared" si="744"/>
        <v>0</v>
      </c>
      <c r="AE877" s="34">
        <f t="shared" si="745"/>
        <v>0</v>
      </c>
      <c r="AF877" s="34">
        <f t="shared" si="746"/>
        <v>0</v>
      </c>
      <c r="AG877" s="34">
        <f t="shared" si="747"/>
        <v>0</v>
      </c>
      <c r="AH877" s="34">
        <f t="shared" si="748"/>
        <v>0</v>
      </c>
      <c r="AI877" s="27" t="s">
        <v>3645</v>
      </c>
      <c r="AJ877" s="18">
        <f t="shared" si="749"/>
        <v>0</v>
      </c>
      <c r="AK877" s="18">
        <f t="shared" si="750"/>
        <v>0</v>
      </c>
      <c r="AL877" s="18">
        <f t="shared" si="751"/>
        <v>0</v>
      </c>
      <c r="AN877" s="34">
        <v>21</v>
      </c>
      <c r="AO877" s="34">
        <f t="shared" si="752"/>
        <v>0</v>
      </c>
      <c r="AP877" s="34">
        <f t="shared" si="753"/>
        <v>0</v>
      </c>
      <c r="AQ877" s="28" t="s">
        <v>7</v>
      </c>
      <c r="AV877" s="34">
        <f t="shared" si="754"/>
        <v>0</v>
      </c>
      <c r="AW877" s="34">
        <f t="shared" si="755"/>
        <v>0</v>
      </c>
      <c r="AX877" s="34">
        <f t="shared" si="756"/>
        <v>0</v>
      </c>
      <c r="AY877" s="35" t="s">
        <v>3693</v>
      </c>
      <c r="AZ877" s="35" t="s">
        <v>3712</v>
      </c>
      <c r="BA877" s="27" t="s">
        <v>3729</v>
      </c>
      <c r="BC877" s="34">
        <f t="shared" si="757"/>
        <v>0</v>
      </c>
      <c r="BD877" s="34">
        <f t="shared" si="758"/>
        <v>0</v>
      </c>
      <c r="BE877" s="34">
        <v>0</v>
      </c>
      <c r="BF877" s="34">
        <f>877</f>
        <v>877</v>
      </c>
      <c r="BH877" s="18">
        <f t="shared" si="759"/>
        <v>0</v>
      </c>
      <c r="BI877" s="18">
        <f t="shared" si="760"/>
        <v>0</v>
      </c>
      <c r="BJ877" s="18">
        <f t="shared" si="761"/>
        <v>0</v>
      </c>
    </row>
    <row r="878" spans="1:62" x14ac:dyDescent="0.2">
      <c r="A878" s="71" t="s">
        <v>825</v>
      </c>
      <c r="B878" s="71" t="s">
        <v>2008</v>
      </c>
      <c r="C878" s="139" t="s">
        <v>3214</v>
      </c>
      <c r="D878" s="136"/>
      <c r="E878" s="136"/>
      <c r="F878" s="136"/>
      <c r="G878" s="136"/>
      <c r="H878" s="71" t="s">
        <v>3622</v>
      </c>
      <c r="I878" s="72">
        <v>18</v>
      </c>
      <c r="J878" s="72">
        <v>0</v>
      </c>
      <c r="K878" s="72">
        <f t="shared" si="740"/>
        <v>0</v>
      </c>
      <c r="L878" s="73" t="s">
        <v>3635</v>
      </c>
      <c r="Z878" s="34">
        <f t="shared" si="741"/>
        <v>0</v>
      </c>
      <c r="AB878" s="34">
        <f t="shared" si="742"/>
        <v>0</v>
      </c>
      <c r="AC878" s="34">
        <f t="shared" si="743"/>
        <v>0</v>
      </c>
      <c r="AD878" s="34">
        <f t="shared" si="744"/>
        <v>0</v>
      </c>
      <c r="AE878" s="34">
        <f t="shared" si="745"/>
        <v>0</v>
      </c>
      <c r="AF878" s="34">
        <f t="shared" si="746"/>
        <v>0</v>
      </c>
      <c r="AG878" s="34">
        <f t="shared" si="747"/>
        <v>0</v>
      </c>
      <c r="AH878" s="34">
        <f t="shared" si="748"/>
        <v>0</v>
      </c>
      <c r="AI878" s="27" t="s">
        <v>3645</v>
      </c>
      <c r="AJ878" s="18">
        <f t="shared" si="749"/>
        <v>0</v>
      </c>
      <c r="AK878" s="18">
        <f t="shared" si="750"/>
        <v>0</v>
      </c>
      <c r="AL878" s="18">
        <f t="shared" si="751"/>
        <v>0</v>
      </c>
      <c r="AN878" s="34">
        <v>21</v>
      </c>
      <c r="AO878" s="34">
        <f t="shared" si="752"/>
        <v>0</v>
      </c>
      <c r="AP878" s="34">
        <f t="shared" si="753"/>
        <v>0</v>
      </c>
      <c r="AQ878" s="28" t="s">
        <v>7</v>
      </c>
      <c r="AV878" s="34">
        <f t="shared" si="754"/>
        <v>0</v>
      </c>
      <c r="AW878" s="34">
        <f t="shared" si="755"/>
        <v>0</v>
      </c>
      <c r="AX878" s="34">
        <f t="shared" si="756"/>
        <v>0</v>
      </c>
      <c r="AY878" s="35" t="s">
        <v>3693</v>
      </c>
      <c r="AZ878" s="35" t="s">
        <v>3712</v>
      </c>
      <c r="BA878" s="27" t="s">
        <v>3729</v>
      </c>
      <c r="BC878" s="34">
        <f t="shared" si="757"/>
        <v>0</v>
      </c>
      <c r="BD878" s="34">
        <f t="shared" si="758"/>
        <v>0</v>
      </c>
      <c r="BE878" s="34">
        <v>0</v>
      </c>
      <c r="BF878" s="34">
        <f>878</f>
        <v>878</v>
      </c>
      <c r="BH878" s="18">
        <f t="shared" si="759"/>
        <v>0</v>
      </c>
      <c r="BI878" s="18">
        <f t="shared" si="760"/>
        <v>0</v>
      </c>
      <c r="BJ878" s="18">
        <f t="shared" si="761"/>
        <v>0</v>
      </c>
    </row>
    <row r="879" spans="1:62" x14ac:dyDescent="0.2">
      <c r="A879" s="5" t="s">
        <v>826</v>
      </c>
      <c r="B879" s="5" t="s">
        <v>2010</v>
      </c>
      <c r="C879" s="135" t="s">
        <v>3215</v>
      </c>
      <c r="D879" s="136"/>
      <c r="E879" s="136"/>
      <c r="F879" s="136"/>
      <c r="G879" s="136"/>
      <c r="H879" s="5" t="s">
        <v>3622</v>
      </c>
      <c r="I879" s="18">
        <v>18</v>
      </c>
      <c r="J879" s="18">
        <v>0</v>
      </c>
      <c r="K879" s="18">
        <f t="shared" si="740"/>
        <v>0</v>
      </c>
      <c r="L879" s="28" t="s">
        <v>3635</v>
      </c>
      <c r="Z879" s="34">
        <f t="shared" si="741"/>
        <v>0</v>
      </c>
      <c r="AB879" s="34">
        <f t="shared" si="742"/>
        <v>0</v>
      </c>
      <c r="AC879" s="34">
        <f t="shared" si="743"/>
        <v>0</v>
      </c>
      <c r="AD879" s="34">
        <f t="shared" si="744"/>
        <v>0</v>
      </c>
      <c r="AE879" s="34">
        <f t="shared" si="745"/>
        <v>0</v>
      </c>
      <c r="AF879" s="34">
        <f t="shared" si="746"/>
        <v>0</v>
      </c>
      <c r="AG879" s="34">
        <f t="shared" si="747"/>
        <v>0</v>
      </c>
      <c r="AH879" s="34">
        <f t="shared" si="748"/>
        <v>0</v>
      </c>
      <c r="AI879" s="27" t="s">
        <v>3645</v>
      </c>
      <c r="AJ879" s="18">
        <f t="shared" si="749"/>
        <v>0</v>
      </c>
      <c r="AK879" s="18">
        <f t="shared" si="750"/>
        <v>0</v>
      </c>
      <c r="AL879" s="18">
        <f t="shared" si="751"/>
        <v>0</v>
      </c>
      <c r="AN879" s="34">
        <v>21</v>
      </c>
      <c r="AO879" s="34">
        <f t="shared" si="752"/>
        <v>0</v>
      </c>
      <c r="AP879" s="34">
        <f t="shared" si="753"/>
        <v>0</v>
      </c>
      <c r="AQ879" s="28" t="s">
        <v>7</v>
      </c>
      <c r="AV879" s="34">
        <f t="shared" si="754"/>
        <v>0</v>
      </c>
      <c r="AW879" s="34">
        <f t="shared" si="755"/>
        <v>0</v>
      </c>
      <c r="AX879" s="34">
        <f t="shared" si="756"/>
        <v>0</v>
      </c>
      <c r="AY879" s="35" t="s">
        <v>3693</v>
      </c>
      <c r="AZ879" s="35" t="s">
        <v>3712</v>
      </c>
      <c r="BA879" s="27" t="s">
        <v>3729</v>
      </c>
      <c r="BC879" s="34">
        <f t="shared" si="757"/>
        <v>0</v>
      </c>
      <c r="BD879" s="34">
        <f t="shared" si="758"/>
        <v>0</v>
      </c>
      <c r="BE879" s="34">
        <v>0</v>
      </c>
      <c r="BF879" s="34">
        <f>879</f>
        <v>879</v>
      </c>
      <c r="BH879" s="18">
        <f t="shared" si="759"/>
        <v>0</v>
      </c>
      <c r="BI879" s="18">
        <f t="shared" si="760"/>
        <v>0</v>
      </c>
      <c r="BJ879" s="18">
        <f t="shared" si="761"/>
        <v>0</v>
      </c>
    </row>
    <row r="880" spans="1:62" x14ac:dyDescent="0.2">
      <c r="A880" s="71" t="s">
        <v>827</v>
      </c>
      <c r="B880" s="71" t="s">
        <v>2011</v>
      </c>
      <c r="C880" s="139" t="s">
        <v>3216</v>
      </c>
      <c r="D880" s="136"/>
      <c r="E880" s="136"/>
      <c r="F880" s="136"/>
      <c r="G880" s="136"/>
      <c r="H880" s="71" t="s">
        <v>3622</v>
      </c>
      <c r="I880" s="72">
        <v>18</v>
      </c>
      <c r="J880" s="72">
        <v>0</v>
      </c>
      <c r="K880" s="72">
        <f t="shared" si="740"/>
        <v>0</v>
      </c>
      <c r="L880" s="73" t="s">
        <v>3635</v>
      </c>
      <c r="Z880" s="34">
        <f t="shared" si="741"/>
        <v>0</v>
      </c>
      <c r="AB880" s="34">
        <f t="shared" si="742"/>
        <v>0</v>
      </c>
      <c r="AC880" s="34">
        <f t="shared" si="743"/>
        <v>0</v>
      </c>
      <c r="AD880" s="34">
        <f t="shared" si="744"/>
        <v>0</v>
      </c>
      <c r="AE880" s="34">
        <f t="shared" si="745"/>
        <v>0</v>
      </c>
      <c r="AF880" s="34">
        <f t="shared" si="746"/>
        <v>0</v>
      </c>
      <c r="AG880" s="34">
        <f t="shared" si="747"/>
        <v>0</v>
      </c>
      <c r="AH880" s="34">
        <f t="shared" si="748"/>
        <v>0</v>
      </c>
      <c r="AI880" s="27" t="s">
        <v>3645</v>
      </c>
      <c r="AJ880" s="18">
        <f t="shared" si="749"/>
        <v>0</v>
      </c>
      <c r="AK880" s="18">
        <f t="shared" si="750"/>
        <v>0</v>
      </c>
      <c r="AL880" s="18">
        <f t="shared" si="751"/>
        <v>0</v>
      </c>
      <c r="AN880" s="34">
        <v>21</v>
      </c>
      <c r="AO880" s="34">
        <f t="shared" si="752"/>
        <v>0</v>
      </c>
      <c r="AP880" s="34">
        <f t="shared" si="753"/>
        <v>0</v>
      </c>
      <c r="AQ880" s="28" t="s">
        <v>7</v>
      </c>
      <c r="AV880" s="34">
        <f t="shared" si="754"/>
        <v>0</v>
      </c>
      <c r="AW880" s="34">
        <f t="shared" si="755"/>
        <v>0</v>
      </c>
      <c r="AX880" s="34">
        <f t="shared" si="756"/>
        <v>0</v>
      </c>
      <c r="AY880" s="35" t="s">
        <v>3693</v>
      </c>
      <c r="AZ880" s="35" t="s">
        <v>3712</v>
      </c>
      <c r="BA880" s="27" t="s">
        <v>3729</v>
      </c>
      <c r="BC880" s="34">
        <f t="shared" si="757"/>
        <v>0</v>
      </c>
      <c r="BD880" s="34">
        <f t="shared" si="758"/>
        <v>0</v>
      </c>
      <c r="BE880" s="34">
        <v>0</v>
      </c>
      <c r="BF880" s="34">
        <f>880</f>
        <v>880</v>
      </c>
      <c r="BH880" s="18">
        <f t="shared" si="759"/>
        <v>0</v>
      </c>
      <c r="BI880" s="18">
        <f t="shared" si="760"/>
        <v>0</v>
      </c>
      <c r="BJ880" s="18">
        <f t="shared" si="761"/>
        <v>0</v>
      </c>
    </row>
    <row r="881" spans="1:62" x14ac:dyDescent="0.2">
      <c r="A881" s="5" t="s">
        <v>828</v>
      </c>
      <c r="B881" s="5" t="s">
        <v>2012</v>
      </c>
      <c r="C881" s="135" t="s">
        <v>3217</v>
      </c>
      <c r="D881" s="136"/>
      <c r="E881" s="136"/>
      <c r="F881" s="136"/>
      <c r="G881" s="136"/>
      <c r="H881" s="5" t="s">
        <v>3622</v>
      </c>
      <c r="I881" s="18">
        <v>4</v>
      </c>
      <c r="J881" s="18">
        <v>0</v>
      </c>
      <c r="K881" s="18">
        <f t="shared" si="740"/>
        <v>0</v>
      </c>
      <c r="L881" s="28" t="s">
        <v>3635</v>
      </c>
      <c r="Z881" s="34">
        <f t="shared" si="741"/>
        <v>0</v>
      </c>
      <c r="AB881" s="34">
        <f t="shared" si="742"/>
        <v>0</v>
      </c>
      <c r="AC881" s="34">
        <f t="shared" si="743"/>
        <v>0</v>
      </c>
      <c r="AD881" s="34">
        <f t="shared" si="744"/>
        <v>0</v>
      </c>
      <c r="AE881" s="34">
        <f t="shared" si="745"/>
        <v>0</v>
      </c>
      <c r="AF881" s="34">
        <f t="shared" si="746"/>
        <v>0</v>
      </c>
      <c r="AG881" s="34">
        <f t="shared" si="747"/>
        <v>0</v>
      </c>
      <c r="AH881" s="34">
        <f t="shared" si="748"/>
        <v>0</v>
      </c>
      <c r="AI881" s="27" t="s">
        <v>3645</v>
      </c>
      <c r="AJ881" s="18">
        <f t="shared" si="749"/>
        <v>0</v>
      </c>
      <c r="AK881" s="18">
        <f t="shared" si="750"/>
        <v>0</v>
      </c>
      <c r="AL881" s="18">
        <f t="shared" si="751"/>
        <v>0</v>
      </c>
      <c r="AN881" s="34">
        <v>21</v>
      </c>
      <c r="AO881" s="34">
        <f t="shared" si="752"/>
        <v>0</v>
      </c>
      <c r="AP881" s="34">
        <f t="shared" si="753"/>
        <v>0</v>
      </c>
      <c r="AQ881" s="28" t="s">
        <v>7</v>
      </c>
      <c r="AV881" s="34">
        <f t="shared" si="754"/>
        <v>0</v>
      </c>
      <c r="AW881" s="34">
        <f t="shared" si="755"/>
        <v>0</v>
      </c>
      <c r="AX881" s="34">
        <f t="shared" si="756"/>
        <v>0</v>
      </c>
      <c r="AY881" s="35" t="s">
        <v>3693</v>
      </c>
      <c r="AZ881" s="35" t="s">
        <v>3712</v>
      </c>
      <c r="BA881" s="27" t="s">
        <v>3729</v>
      </c>
      <c r="BC881" s="34">
        <f t="shared" si="757"/>
        <v>0</v>
      </c>
      <c r="BD881" s="34">
        <f t="shared" si="758"/>
        <v>0</v>
      </c>
      <c r="BE881" s="34">
        <v>0</v>
      </c>
      <c r="BF881" s="34">
        <f>881</f>
        <v>881</v>
      </c>
      <c r="BH881" s="18">
        <f t="shared" si="759"/>
        <v>0</v>
      </c>
      <c r="BI881" s="18">
        <f t="shared" si="760"/>
        <v>0</v>
      </c>
      <c r="BJ881" s="18">
        <f t="shared" si="761"/>
        <v>0</v>
      </c>
    </row>
    <row r="882" spans="1:62" x14ac:dyDescent="0.2">
      <c r="A882" s="71" t="s">
        <v>829</v>
      </c>
      <c r="B882" s="71" t="s">
        <v>2013</v>
      </c>
      <c r="C882" s="139" t="s">
        <v>3217</v>
      </c>
      <c r="D882" s="136"/>
      <c r="E882" s="136"/>
      <c r="F882" s="136"/>
      <c r="G882" s="136"/>
      <c r="H882" s="71" t="s">
        <v>3622</v>
      </c>
      <c r="I882" s="72">
        <v>4</v>
      </c>
      <c r="J882" s="72">
        <v>0</v>
      </c>
      <c r="K882" s="72">
        <f t="shared" si="740"/>
        <v>0</v>
      </c>
      <c r="L882" s="73" t="s">
        <v>3635</v>
      </c>
      <c r="Z882" s="34">
        <f t="shared" si="741"/>
        <v>0</v>
      </c>
      <c r="AB882" s="34">
        <f t="shared" si="742"/>
        <v>0</v>
      </c>
      <c r="AC882" s="34">
        <f t="shared" si="743"/>
        <v>0</v>
      </c>
      <c r="AD882" s="34">
        <f t="shared" si="744"/>
        <v>0</v>
      </c>
      <c r="AE882" s="34">
        <f t="shared" si="745"/>
        <v>0</v>
      </c>
      <c r="AF882" s="34">
        <f t="shared" si="746"/>
        <v>0</v>
      </c>
      <c r="AG882" s="34">
        <f t="shared" si="747"/>
        <v>0</v>
      </c>
      <c r="AH882" s="34">
        <f t="shared" si="748"/>
        <v>0</v>
      </c>
      <c r="AI882" s="27" t="s">
        <v>3645</v>
      </c>
      <c r="AJ882" s="18">
        <f t="shared" si="749"/>
        <v>0</v>
      </c>
      <c r="AK882" s="18">
        <f t="shared" si="750"/>
        <v>0</v>
      </c>
      <c r="AL882" s="18">
        <f t="shared" si="751"/>
        <v>0</v>
      </c>
      <c r="AN882" s="34">
        <v>21</v>
      </c>
      <c r="AO882" s="34">
        <f t="shared" si="752"/>
        <v>0</v>
      </c>
      <c r="AP882" s="34">
        <f t="shared" si="753"/>
        <v>0</v>
      </c>
      <c r="AQ882" s="28" t="s">
        <v>7</v>
      </c>
      <c r="AV882" s="34">
        <f t="shared" si="754"/>
        <v>0</v>
      </c>
      <c r="AW882" s="34">
        <f t="shared" si="755"/>
        <v>0</v>
      </c>
      <c r="AX882" s="34">
        <f t="shared" si="756"/>
        <v>0</v>
      </c>
      <c r="AY882" s="35" t="s">
        <v>3693</v>
      </c>
      <c r="AZ882" s="35" t="s">
        <v>3712</v>
      </c>
      <c r="BA882" s="27" t="s">
        <v>3729</v>
      </c>
      <c r="BC882" s="34">
        <f t="shared" si="757"/>
        <v>0</v>
      </c>
      <c r="BD882" s="34">
        <f t="shared" si="758"/>
        <v>0</v>
      </c>
      <c r="BE882" s="34">
        <v>0</v>
      </c>
      <c r="BF882" s="34">
        <f>882</f>
        <v>882</v>
      </c>
      <c r="BH882" s="18">
        <f t="shared" si="759"/>
        <v>0</v>
      </c>
      <c r="BI882" s="18">
        <f t="shared" si="760"/>
        <v>0</v>
      </c>
      <c r="BJ882" s="18">
        <f t="shared" si="761"/>
        <v>0</v>
      </c>
    </row>
    <row r="883" spans="1:62" x14ac:dyDescent="0.2">
      <c r="A883" s="5" t="s">
        <v>830</v>
      </c>
      <c r="B883" s="5" t="s">
        <v>2012</v>
      </c>
      <c r="C883" s="135" t="s">
        <v>3218</v>
      </c>
      <c r="D883" s="136"/>
      <c r="E883" s="136"/>
      <c r="F883" s="136"/>
      <c r="G883" s="136"/>
      <c r="H883" s="5" t="s">
        <v>3622</v>
      </c>
      <c r="I883" s="18">
        <v>5</v>
      </c>
      <c r="J883" s="18">
        <v>0</v>
      </c>
      <c r="K883" s="18">
        <f t="shared" si="740"/>
        <v>0</v>
      </c>
      <c r="L883" s="28" t="s">
        <v>3635</v>
      </c>
      <c r="Z883" s="34">
        <f t="shared" si="741"/>
        <v>0</v>
      </c>
      <c r="AB883" s="34">
        <f t="shared" si="742"/>
        <v>0</v>
      </c>
      <c r="AC883" s="34">
        <f t="shared" si="743"/>
        <v>0</v>
      </c>
      <c r="AD883" s="34">
        <f t="shared" si="744"/>
        <v>0</v>
      </c>
      <c r="AE883" s="34">
        <f t="shared" si="745"/>
        <v>0</v>
      </c>
      <c r="AF883" s="34">
        <f t="shared" si="746"/>
        <v>0</v>
      </c>
      <c r="AG883" s="34">
        <f t="shared" si="747"/>
        <v>0</v>
      </c>
      <c r="AH883" s="34">
        <f t="shared" si="748"/>
        <v>0</v>
      </c>
      <c r="AI883" s="27" t="s">
        <v>3645</v>
      </c>
      <c r="AJ883" s="18">
        <f t="shared" si="749"/>
        <v>0</v>
      </c>
      <c r="AK883" s="18">
        <f t="shared" si="750"/>
        <v>0</v>
      </c>
      <c r="AL883" s="18">
        <f t="shared" si="751"/>
        <v>0</v>
      </c>
      <c r="AN883" s="34">
        <v>21</v>
      </c>
      <c r="AO883" s="34">
        <f t="shared" si="752"/>
        <v>0</v>
      </c>
      <c r="AP883" s="34">
        <f t="shared" si="753"/>
        <v>0</v>
      </c>
      <c r="AQ883" s="28" t="s">
        <v>7</v>
      </c>
      <c r="AV883" s="34">
        <f t="shared" si="754"/>
        <v>0</v>
      </c>
      <c r="AW883" s="34">
        <f t="shared" si="755"/>
        <v>0</v>
      </c>
      <c r="AX883" s="34">
        <f t="shared" si="756"/>
        <v>0</v>
      </c>
      <c r="AY883" s="35" t="s">
        <v>3693</v>
      </c>
      <c r="AZ883" s="35" t="s">
        <v>3712</v>
      </c>
      <c r="BA883" s="27" t="s">
        <v>3729</v>
      </c>
      <c r="BC883" s="34">
        <f t="shared" si="757"/>
        <v>0</v>
      </c>
      <c r="BD883" s="34">
        <f t="shared" si="758"/>
        <v>0</v>
      </c>
      <c r="BE883" s="34">
        <v>0</v>
      </c>
      <c r="BF883" s="34">
        <f>883</f>
        <v>883</v>
      </c>
      <c r="BH883" s="18">
        <f t="shared" si="759"/>
        <v>0</v>
      </c>
      <c r="BI883" s="18">
        <f t="shared" si="760"/>
        <v>0</v>
      </c>
      <c r="BJ883" s="18">
        <f t="shared" si="761"/>
        <v>0</v>
      </c>
    </row>
    <row r="884" spans="1:62" x14ac:dyDescent="0.2">
      <c r="A884" s="71" t="s">
        <v>831</v>
      </c>
      <c r="B884" s="71" t="s">
        <v>2013</v>
      </c>
      <c r="C884" s="139" t="s">
        <v>3218</v>
      </c>
      <c r="D884" s="136"/>
      <c r="E884" s="136"/>
      <c r="F884" s="136"/>
      <c r="G884" s="136"/>
      <c r="H884" s="71" t="s">
        <v>3622</v>
      </c>
      <c r="I884" s="72">
        <v>5</v>
      </c>
      <c r="J884" s="72">
        <v>0</v>
      </c>
      <c r="K884" s="72">
        <f t="shared" si="740"/>
        <v>0</v>
      </c>
      <c r="L884" s="73" t="s">
        <v>3635</v>
      </c>
      <c r="Z884" s="34">
        <f t="shared" si="741"/>
        <v>0</v>
      </c>
      <c r="AB884" s="34">
        <f t="shared" si="742"/>
        <v>0</v>
      </c>
      <c r="AC884" s="34">
        <f t="shared" si="743"/>
        <v>0</v>
      </c>
      <c r="AD884" s="34">
        <f t="shared" si="744"/>
        <v>0</v>
      </c>
      <c r="AE884" s="34">
        <f t="shared" si="745"/>
        <v>0</v>
      </c>
      <c r="AF884" s="34">
        <f t="shared" si="746"/>
        <v>0</v>
      </c>
      <c r="AG884" s="34">
        <f t="shared" si="747"/>
        <v>0</v>
      </c>
      <c r="AH884" s="34">
        <f t="shared" si="748"/>
        <v>0</v>
      </c>
      <c r="AI884" s="27" t="s">
        <v>3645</v>
      </c>
      <c r="AJ884" s="18">
        <f t="shared" si="749"/>
        <v>0</v>
      </c>
      <c r="AK884" s="18">
        <f t="shared" si="750"/>
        <v>0</v>
      </c>
      <c r="AL884" s="18">
        <f t="shared" si="751"/>
        <v>0</v>
      </c>
      <c r="AN884" s="34">
        <v>21</v>
      </c>
      <c r="AO884" s="34">
        <f t="shared" si="752"/>
        <v>0</v>
      </c>
      <c r="AP884" s="34">
        <f t="shared" si="753"/>
        <v>0</v>
      </c>
      <c r="AQ884" s="28" t="s">
        <v>7</v>
      </c>
      <c r="AV884" s="34">
        <f t="shared" si="754"/>
        <v>0</v>
      </c>
      <c r="AW884" s="34">
        <f t="shared" si="755"/>
        <v>0</v>
      </c>
      <c r="AX884" s="34">
        <f t="shared" si="756"/>
        <v>0</v>
      </c>
      <c r="AY884" s="35" t="s">
        <v>3693</v>
      </c>
      <c r="AZ884" s="35" t="s">
        <v>3712</v>
      </c>
      <c r="BA884" s="27" t="s">
        <v>3729</v>
      </c>
      <c r="BC884" s="34">
        <f t="shared" si="757"/>
        <v>0</v>
      </c>
      <c r="BD884" s="34">
        <f t="shared" si="758"/>
        <v>0</v>
      </c>
      <c r="BE884" s="34">
        <v>0</v>
      </c>
      <c r="BF884" s="34">
        <f>884</f>
        <v>884</v>
      </c>
      <c r="BH884" s="18">
        <f t="shared" si="759"/>
        <v>0</v>
      </c>
      <c r="BI884" s="18">
        <f t="shared" si="760"/>
        <v>0</v>
      </c>
      <c r="BJ884" s="18">
        <f t="shared" si="761"/>
        <v>0</v>
      </c>
    </row>
    <row r="885" spans="1:62" x14ac:dyDescent="0.2">
      <c r="A885" s="5" t="s">
        <v>832</v>
      </c>
      <c r="B885" s="5" t="s">
        <v>2014</v>
      </c>
      <c r="C885" s="135" t="s">
        <v>3219</v>
      </c>
      <c r="D885" s="136"/>
      <c r="E885" s="136"/>
      <c r="F885" s="136"/>
      <c r="G885" s="136"/>
      <c r="H885" s="5" t="s">
        <v>3612</v>
      </c>
      <c r="I885" s="18">
        <v>1</v>
      </c>
      <c r="J885" s="18">
        <v>0</v>
      </c>
      <c r="K885" s="18">
        <f t="shared" si="740"/>
        <v>0</v>
      </c>
      <c r="L885" s="28" t="s">
        <v>3635</v>
      </c>
      <c r="Z885" s="34">
        <f t="shared" si="741"/>
        <v>0</v>
      </c>
      <c r="AB885" s="34">
        <f t="shared" si="742"/>
        <v>0</v>
      </c>
      <c r="AC885" s="34">
        <f t="shared" si="743"/>
        <v>0</v>
      </c>
      <c r="AD885" s="34">
        <f t="shared" si="744"/>
        <v>0</v>
      </c>
      <c r="AE885" s="34">
        <f t="shared" si="745"/>
        <v>0</v>
      </c>
      <c r="AF885" s="34">
        <f t="shared" si="746"/>
        <v>0</v>
      </c>
      <c r="AG885" s="34">
        <f t="shared" si="747"/>
        <v>0</v>
      </c>
      <c r="AH885" s="34">
        <f t="shared" si="748"/>
        <v>0</v>
      </c>
      <c r="AI885" s="27" t="s">
        <v>3645</v>
      </c>
      <c r="AJ885" s="18">
        <f t="shared" si="749"/>
        <v>0</v>
      </c>
      <c r="AK885" s="18">
        <f t="shared" si="750"/>
        <v>0</v>
      </c>
      <c r="AL885" s="18">
        <f t="shared" si="751"/>
        <v>0</v>
      </c>
      <c r="AN885" s="34">
        <v>21</v>
      </c>
      <c r="AO885" s="34">
        <f t="shared" si="752"/>
        <v>0</v>
      </c>
      <c r="AP885" s="34">
        <f t="shared" si="753"/>
        <v>0</v>
      </c>
      <c r="AQ885" s="28" t="s">
        <v>7</v>
      </c>
      <c r="AV885" s="34">
        <f t="shared" si="754"/>
        <v>0</v>
      </c>
      <c r="AW885" s="34">
        <f t="shared" si="755"/>
        <v>0</v>
      </c>
      <c r="AX885" s="34">
        <f t="shared" si="756"/>
        <v>0</v>
      </c>
      <c r="AY885" s="35" t="s">
        <v>3693</v>
      </c>
      <c r="AZ885" s="35" t="s">
        <v>3712</v>
      </c>
      <c r="BA885" s="27" t="s">
        <v>3729</v>
      </c>
      <c r="BC885" s="34">
        <f t="shared" si="757"/>
        <v>0</v>
      </c>
      <c r="BD885" s="34">
        <f t="shared" si="758"/>
        <v>0</v>
      </c>
      <c r="BE885" s="34">
        <v>0</v>
      </c>
      <c r="BF885" s="34">
        <f>885</f>
        <v>885</v>
      </c>
      <c r="BH885" s="18">
        <f t="shared" si="759"/>
        <v>0</v>
      </c>
      <c r="BI885" s="18">
        <f t="shared" si="760"/>
        <v>0</v>
      </c>
      <c r="BJ885" s="18">
        <f t="shared" si="761"/>
        <v>0</v>
      </c>
    </row>
    <row r="886" spans="1:62" x14ac:dyDescent="0.2">
      <c r="A886" s="71" t="s">
        <v>833</v>
      </c>
      <c r="B886" s="71" t="s">
        <v>2015</v>
      </c>
      <c r="C886" s="139" t="s">
        <v>3219</v>
      </c>
      <c r="D886" s="136"/>
      <c r="E886" s="136"/>
      <c r="F886" s="136"/>
      <c r="G886" s="136"/>
      <c r="H886" s="71" t="s">
        <v>3622</v>
      </c>
      <c r="I886" s="72">
        <v>1</v>
      </c>
      <c r="J886" s="72">
        <v>0</v>
      </c>
      <c r="K886" s="72">
        <f t="shared" si="740"/>
        <v>0</v>
      </c>
      <c r="L886" s="73" t="s">
        <v>3635</v>
      </c>
      <c r="Z886" s="34">
        <f t="shared" si="741"/>
        <v>0</v>
      </c>
      <c r="AB886" s="34">
        <f t="shared" si="742"/>
        <v>0</v>
      </c>
      <c r="AC886" s="34">
        <f t="shared" si="743"/>
        <v>0</v>
      </c>
      <c r="AD886" s="34">
        <f t="shared" si="744"/>
        <v>0</v>
      </c>
      <c r="AE886" s="34">
        <f t="shared" si="745"/>
        <v>0</v>
      </c>
      <c r="AF886" s="34">
        <f t="shared" si="746"/>
        <v>0</v>
      </c>
      <c r="AG886" s="34">
        <f t="shared" si="747"/>
        <v>0</v>
      </c>
      <c r="AH886" s="34">
        <f t="shared" si="748"/>
        <v>0</v>
      </c>
      <c r="AI886" s="27" t="s">
        <v>3645</v>
      </c>
      <c r="AJ886" s="18">
        <f t="shared" si="749"/>
        <v>0</v>
      </c>
      <c r="AK886" s="18">
        <f t="shared" si="750"/>
        <v>0</v>
      </c>
      <c r="AL886" s="18">
        <f t="shared" si="751"/>
        <v>0</v>
      </c>
      <c r="AN886" s="34">
        <v>21</v>
      </c>
      <c r="AO886" s="34">
        <f t="shared" si="752"/>
        <v>0</v>
      </c>
      <c r="AP886" s="34">
        <f t="shared" si="753"/>
        <v>0</v>
      </c>
      <c r="AQ886" s="28" t="s">
        <v>7</v>
      </c>
      <c r="AV886" s="34">
        <f t="shared" si="754"/>
        <v>0</v>
      </c>
      <c r="AW886" s="34">
        <f t="shared" si="755"/>
        <v>0</v>
      </c>
      <c r="AX886" s="34">
        <f t="shared" si="756"/>
        <v>0</v>
      </c>
      <c r="AY886" s="35" t="s">
        <v>3693</v>
      </c>
      <c r="AZ886" s="35" t="s">
        <v>3712</v>
      </c>
      <c r="BA886" s="27" t="s">
        <v>3729</v>
      </c>
      <c r="BC886" s="34">
        <f t="shared" si="757"/>
        <v>0</v>
      </c>
      <c r="BD886" s="34">
        <f t="shared" si="758"/>
        <v>0</v>
      </c>
      <c r="BE886" s="34">
        <v>0</v>
      </c>
      <c r="BF886" s="34">
        <f>886</f>
        <v>886</v>
      </c>
      <c r="BH886" s="18">
        <f t="shared" si="759"/>
        <v>0</v>
      </c>
      <c r="BI886" s="18">
        <f t="shared" si="760"/>
        <v>0</v>
      </c>
      <c r="BJ886" s="18">
        <f t="shared" si="761"/>
        <v>0</v>
      </c>
    </row>
    <row r="887" spans="1:62" x14ac:dyDescent="0.2">
      <c r="A887" s="5" t="s">
        <v>834</v>
      </c>
      <c r="B887" s="5" t="s">
        <v>2016</v>
      </c>
      <c r="C887" s="135" t="s">
        <v>3220</v>
      </c>
      <c r="D887" s="136"/>
      <c r="E887" s="136"/>
      <c r="F887" s="136"/>
      <c r="G887" s="136"/>
      <c r="H887" s="5" t="s">
        <v>3612</v>
      </c>
      <c r="I887" s="18">
        <v>1</v>
      </c>
      <c r="J887" s="18">
        <v>0</v>
      </c>
      <c r="K887" s="18">
        <f t="shared" si="740"/>
        <v>0</v>
      </c>
      <c r="L887" s="28" t="s">
        <v>3635</v>
      </c>
      <c r="Z887" s="34">
        <f t="shared" si="741"/>
        <v>0</v>
      </c>
      <c r="AB887" s="34">
        <f t="shared" si="742"/>
        <v>0</v>
      </c>
      <c r="AC887" s="34">
        <f t="shared" si="743"/>
        <v>0</v>
      </c>
      <c r="AD887" s="34">
        <f t="shared" si="744"/>
        <v>0</v>
      </c>
      <c r="AE887" s="34">
        <f t="shared" si="745"/>
        <v>0</v>
      </c>
      <c r="AF887" s="34">
        <f t="shared" si="746"/>
        <v>0</v>
      </c>
      <c r="AG887" s="34">
        <f t="shared" si="747"/>
        <v>0</v>
      </c>
      <c r="AH887" s="34">
        <f t="shared" si="748"/>
        <v>0</v>
      </c>
      <c r="AI887" s="27" t="s">
        <v>3645</v>
      </c>
      <c r="AJ887" s="18">
        <f t="shared" si="749"/>
        <v>0</v>
      </c>
      <c r="AK887" s="18">
        <f t="shared" si="750"/>
        <v>0</v>
      </c>
      <c r="AL887" s="18">
        <f t="shared" si="751"/>
        <v>0</v>
      </c>
      <c r="AN887" s="34">
        <v>21</v>
      </c>
      <c r="AO887" s="34">
        <f t="shared" si="752"/>
        <v>0</v>
      </c>
      <c r="AP887" s="34">
        <f t="shared" si="753"/>
        <v>0</v>
      </c>
      <c r="AQ887" s="28" t="s">
        <v>7</v>
      </c>
      <c r="AV887" s="34">
        <f t="shared" si="754"/>
        <v>0</v>
      </c>
      <c r="AW887" s="34">
        <f t="shared" si="755"/>
        <v>0</v>
      </c>
      <c r="AX887" s="34">
        <f t="shared" si="756"/>
        <v>0</v>
      </c>
      <c r="AY887" s="35" t="s">
        <v>3693</v>
      </c>
      <c r="AZ887" s="35" t="s">
        <v>3712</v>
      </c>
      <c r="BA887" s="27" t="s">
        <v>3729</v>
      </c>
      <c r="BC887" s="34">
        <f t="shared" si="757"/>
        <v>0</v>
      </c>
      <c r="BD887" s="34">
        <f t="shared" si="758"/>
        <v>0</v>
      </c>
      <c r="BE887" s="34">
        <v>0</v>
      </c>
      <c r="BF887" s="34">
        <f>887</f>
        <v>887</v>
      </c>
      <c r="BH887" s="18">
        <f t="shared" si="759"/>
        <v>0</v>
      </c>
      <c r="BI887" s="18">
        <f t="shared" si="760"/>
        <v>0</v>
      </c>
      <c r="BJ887" s="18">
        <f t="shared" si="761"/>
        <v>0</v>
      </c>
    </row>
    <row r="888" spans="1:62" x14ac:dyDescent="0.2">
      <c r="A888" s="5" t="s">
        <v>835</v>
      </c>
      <c r="B888" s="5" t="s">
        <v>2016</v>
      </c>
      <c r="C888" s="135" t="s">
        <v>3221</v>
      </c>
      <c r="D888" s="136"/>
      <c r="E888" s="136"/>
      <c r="F888" s="136"/>
      <c r="G888" s="136"/>
      <c r="H888" s="5" t="s">
        <v>3619</v>
      </c>
      <c r="I888" s="18">
        <v>2</v>
      </c>
      <c r="J888" s="18">
        <v>0</v>
      </c>
      <c r="K888" s="18">
        <f t="shared" si="740"/>
        <v>0</v>
      </c>
      <c r="L888" s="28" t="s">
        <v>3635</v>
      </c>
      <c r="Z888" s="34">
        <f t="shared" si="741"/>
        <v>0</v>
      </c>
      <c r="AB888" s="34">
        <f t="shared" si="742"/>
        <v>0</v>
      </c>
      <c r="AC888" s="34">
        <f t="shared" si="743"/>
        <v>0</v>
      </c>
      <c r="AD888" s="34">
        <f t="shared" si="744"/>
        <v>0</v>
      </c>
      <c r="AE888" s="34">
        <f t="shared" si="745"/>
        <v>0</v>
      </c>
      <c r="AF888" s="34">
        <f t="shared" si="746"/>
        <v>0</v>
      </c>
      <c r="AG888" s="34">
        <f t="shared" si="747"/>
        <v>0</v>
      </c>
      <c r="AH888" s="34">
        <f t="shared" si="748"/>
        <v>0</v>
      </c>
      <c r="AI888" s="27" t="s">
        <v>3645</v>
      </c>
      <c r="AJ888" s="18">
        <f t="shared" si="749"/>
        <v>0</v>
      </c>
      <c r="AK888" s="18">
        <f t="shared" si="750"/>
        <v>0</v>
      </c>
      <c r="AL888" s="18">
        <f t="shared" si="751"/>
        <v>0</v>
      </c>
      <c r="AN888" s="34">
        <v>21</v>
      </c>
      <c r="AO888" s="34">
        <f t="shared" si="752"/>
        <v>0</v>
      </c>
      <c r="AP888" s="34">
        <f t="shared" si="753"/>
        <v>0</v>
      </c>
      <c r="AQ888" s="28" t="s">
        <v>7</v>
      </c>
      <c r="AV888" s="34">
        <f t="shared" si="754"/>
        <v>0</v>
      </c>
      <c r="AW888" s="34">
        <f t="shared" si="755"/>
        <v>0</v>
      </c>
      <c r="AX888" s="34">
        <f t="shared" si="756"/>
        <v>0</v>
      </c>
      <c r="AY888" s="35" t="s">
        <v>3693</v>
      </c>
      <c r="AZ888" s="35" t="s">
        <v>3712</v>
      </c>
      <c r="BA888" s="27" t="s">
        <v>3729</v>
      </c>
      <c r="BC888" s="34">
        <f t="shared" si="757"/>
        <v>0</v>
      </c>
      <c r="BD888" s="34">
        <f t="shared" si="758"/>
        <v>0</v>
      </c>
      <c r="BE888" s="34">
        <v>0</v>
      </c>
      <c r="BF888" s="34">
        <f>888</f>
        <v>888</v>
      </c>
      <c r="BH888" s="18">
        <f t="shared" si="759"/>
        <v>0</v>
      </c>
      <c r="BI888" s="18">
        <f t="shared" si="760"/>
        <v>0</v>
      </c>
      <c r="BJ888" s="18">
        <f t="shared" si="761"/>
        <v>0</v>
      </c>
    </row>
    <row r="889" spans="1:62" x14ac:dyDescent="0.2">
      <c r="A889" s="5" t="s">
        <v>836</v>
      </c>
      <c r="B889" s="5" t="s">
        <v>2017</v>
      </c>
      <c r="C889" s="135" t="s">
        <v>3222</v>
      </c>
      <c r="D889" s="136"/>
      <c r="E889" s="136"/>
      <c r="F889" s="136"/>
      <c r="G889" s="136"/>
      <c r="H889" s="5" t="s">
        <v>3612</v>
      </c>
      <c r="I889" s="18">
        <v>10</v>
      </c>
      <c r="J889" s="18">
        <v>0</v>
      </c>
      <c r="K889" s="18">
        <f t="shared" si="740"/>
        <v>0</v>
      </c>
      <c r="L889" s="28" t="s">
        <v>3635</v>
      </c>
      <c r="Z889" s="34">
        <f t="shared" si="741"/>
        <v>0</v>
      </c>
      <c r="AB889" s="34">
        <f t="shared" si="742"/>
        <v>0</v>
      </c>
      <c r="AC889" s="34">
        <f t="shared" si="743"/>
        <v>0</v>
      </c>
      <c r="AD889" s="34">
        <f t="shared" si="744"/>
        <v>0</v>
      </c>
      <c r="AE889" s="34">
        <f t="shared" si="745"/>
        <v>0</v>
      </c>
      <c r="AF889" s="34">
        <f t="shared" si="746"/>
        <v>0</v>
      </c>
      <c r="AG889" s="34">
        <f t="shared" si="747"/>
        <v>0</v>
      </c>
      <c r="AH889" s="34">
        <f t="shared" si="748"/>
        <v>0</v>
      </c>
      <c r="AI889" s="27" t="s">
        <v>3645</v>
      </c>
      <c r="AJ889" s="18">
        <f t="shared" si="749"/>
        <v>0</v>
      </c>
      <c r="AK889" s="18">
        <f t="shared" si="750"/>
        <v>0</v>
      </c>
      <c r="AL889" s="18">
        <f t="shared" si="751"/>
        <v>0</v>
      </c>
      <c r="AN889" s="34">
        <v>21</v>
      </c>
      <c r="AO889" s="34">
        <f t="shared" si="752"/>
        <v>0</v>
      </c>
      <c r="AP889" s="34">
        <f t="shared" si="753"/>
        <v>0</v>
      </c>
      <c r="AQ889" s="28" t="s">
        <v>7</v>
      </c>
      <c r="AV889" s="34">
        <f t="shared" si="754"/>
        <v>0</v>
      </c>
      <c r="AW889" s="34">
        <f t="shared" si="755"/>
        <v>0</v>
      </c>
      <c r="AX889" s="34">
        <f t="shared" si="756"/>
        <v>0</v>
      </c>
      <c r="AY889" s="35" t="s">
        <v>3693</v>
      </c>
      <c r="AZ889" s="35" t="s">
        <v>3712</v>
      </c>
      <c r="BA889" s="27" t="s">
        <v>3729</v>
      </c>
      <c r="BC889" s="34">
        <f t="shared" si="757"/>
        <v>0</v>
      </c>
      <c r="BD889" s="34">
        <f t="shared" si="758"/>
        <v>0</v>
      </c>
      <c r="BE889" s="34">
        <v>0</v>
      </c>
      <c r="BF889" s="34">
        <f>889</f>
        <v>889</v>
      </c>
      <c r="BH889" s="18">
        <f t="shared" si="759"/>
        <v>0</v>
      </c>
      <c r="BI889" s="18">
        <f t="shared" si="760"/>
        <v>0</v>
      </c>
      <c r="BJ889" s="18">
        <f t="shared" si="761"/>
        <v>0</v>
      </c>
    </row>
    <row r="890" spans="1:62" x14ac:dyDescent="0.2">
      <c r="A890" s="5" t="s">
        <v>837</v>
      </c>
      <c r="B890" s="5" t="s">
        <v>2018</v>
      </c>
      <c r="C890" s="135" t="s">
        <v>3223</v>
      </c>
      <c r="D890" s="136"/>
      <c r="E890" s="136"/>
      <c r="F890" s="136"/>
      <c r="G890" s="136"/>
      <c r="H890" s="5" t="s">
        <v>3619</v>
      </c>
      <c r="I890" s="18">
        <v>4</v>
      </c>
      <c r="J890" s="18">
        <v>0</v>
      </c>
      <c r="K890" s="18">
        <f t="shared" si="740"/>
        <v>0</v>
      </c>
      <c r="L890" s="28" t="s">
        <v>3635</v>
      </c>
      <c r="Z890" s="34">
        <f t="shared" si="741"/>
        <v>0</v>
      </c>
      <c r="AB890" s="34">
        <f t="shared" si="742"/>
        <v>0</v>
      </c>
      <c r="AC890" s="34">
        <f t="shared" si="743"/>
        <v>0</v>
      </c>
      <c r="AD890" s="34">
        <f t="shared" si="744"/>
        <v>0</v>
      </c>
      <c r="AE890" s="34">
        <f t="shared" si="745"/>
        <v>0</v>
      </c>
      <c r="AF890" s="34">
        <f t="shared" si="746"/>
        <v>0</v>
      </c>
      <c r="AG890" s="34">
        <f t="shared" si="747"/>
        <v>0</v>
      </c>
      <c r="AH890" s="34">
        <f t="shared" si="748"/>
        <v>0</v>
      </c>
      <c r="AI890" s="27" t="s">
        <v>3645</v>
      </c>
      <c r="AJ890" s="18">
        <f t="shared" si="749"/>
        <v>0</v>
      </c>
      <c r="AK890" s="18">
        <f t="shared" si="750"/>
        <v>0</v>
      </c>
      <c r="AL890" s="18">
        <f t="shared" si="751"/>
        <v>0</v>
      </c>
      <c r="AN890" s="34">
        <v>21</v>
      </c>
      <c r="AO890" s="34">
        <f t="shared" si="752"/>
        <v>0</v>
      </c>
      <c r="AP890" s="34">
        <f t="shared" si="753"/>
        <v>0</v>
      </c>
      <c r="AQ890" s="28" t="s">
        <v>7</v>
      </c>
      <c r="AV890" s="34">
        <f t="shared" si="754"/>
        <v>0</v>
      </c>
      <c r="AW890" s="34">
        <f t="shared" si="755"/>
        <v>0</v>
      </c>
      <c r="AX890" s="34">
        <f t="shared" si="756"/>
        <v>0</v>
      </c>
      <c r="AY890" s="35" t="s">
        <v>3693</v>
      </c>
      <c r="AZ890" s="35" t="s">
        <v>3712</v>
      </c>
      <c r="BA890" s="27" t="s">
        <v>3729</v>
      </c>
      <c r="BC890" s="34">
        <f t="shared" si="757"/>
        <v>0</v>
      </c>
      <c r="BD890" s="34">
        <f t="shared" si="758"/>
        <v>0</v>
      </c>
      <c r="BE890" s="34">
        <v>0</v>
      </c>
      <c r="BF890" s="34">
        <f>890</f>
        <v>890</v>
      </c>
      <c r="BH890" s="18">
        <f t="shared" si="759"/>
        <v>0</v>
      </c>
      <c r="BI890" s="18">
        <f t="shared" si="760"/>
        <v>0</v>
      </c>
      <c r="BJ890" s="18">
        <f t="shared" si="761"/>
        <v>0</v>
      </c>
    </row>
    <row r="891" spans="1:62" x14ac:dyDescent="0.2">
      <c r="A891" s="5" t="s">
        <v>838</v>
      </c>
      <c r="B891" s="5" t="s">
        <v>2019</v>
      </c>
      <c r="C891" s="135" t="s">
        <v>3224</v>
      </c>
      <c r="D891" s="136"/>
      <c r="E891" s="136"/>
      <c r="F891" s="136"/>
      <c r="G891" s="136"/>
      <c r="H891" s="5" t="s">
        <v>3622</v>
      </c>
      <c r="I891" s="18">
        <v>7</v>
      </c>
      <c r="J891" s="18">
        <v>0</v>
      </c>
      <c r="K891" s="18">
        <f t="shared" si="740"/>
        <v>0</v>
      </c>
      <c r="L891" s="28" t="s">
        <v>3635</v>
      </c>
      <c r="Z891" s="34">
        <f t="shared" si="741"/>
        <v>0</v>
      </c>
      <c r="AB891" s="34">
        <f t="shared" si="742"/>
        <v>0</v>
      </c>
      <c r="AC891" s="34">
        <f t="shared" si="743"/>
        <v>0</v>
      </c>
      <c r="AD891" s="34">
        <f t="shared" si="744"/>
        <v>0</v>
      </c>
      <c r="AE891" s="34">
        <f t="shared" si="745"/>
        <v>0</v>
      </c>
      <c r="AF891" s="34">
        <f t="shared" si="746"/>
        <v>0</v>
      </c>
      <c r="AG891" s="34">
        <f t="shared" si="747"/>
        <v>0</v>
      </c>
      <c r="AH891" s="34">
        <f t="shared" si="748"/>
        <v>0</v>
      </c>
      <c r="AI891" s="27" t="s">
        <v>3645</v>
      </c>
      <c r="AJ891" s="18">
        <f t="shared" si="749"/>
        <v>0</v>
      </c>
      <c r="AK891" s="18">
        <f t="shared" si="750"/>
        <v>0</v>
      </c>
      <c r="AL891" s="18">
        <f t="shared" si="751"/>
        <v>0</v>
      </c>
      <c r="AN891" s="34">
        <v>21</v>
      </c>
      <c r="AO891" s="34">
        <f t="shared" si="752"/>
        <v>0</v>
      </c>
      <c r="AP891" s="34">
        <f t="shared" si="753"/>
        <v>0</v>
      </c>
      <c r="AQ891" s="28" t="s">
        <v>7</v>
      </c>
      <c r="AV891" s="34">
        <f t="shared" si="754"/>
        <v>0</v>
      </c>
      <c r="AW891" s="34">
        <f t="shared" si="755"/>
        <v>0</v>
      </c>
      <c r="AX891" s="34">
        <f t="shared" si="756"/>
        <v>0</v>
      </c>
      <c r="AY891" s="35" t="s">
        <v>3693</v>
      </c>
      <c r="AZ891" s="35" t="s">
        <v>3712</v>
      </c>
      <c r="BA891" s="27" t="s">
        <v>3729</v>
      </c>
      <c r="BC891" s="34">
        <f t="shared" si="757"/>
        <v>0</v>
      </c>
      <c r="BD891" s="34">
        <f t="shared" si="758"/>
        <v>0</v>
      </c>
      <c r="BE891" s="34">
        <v>0</v>
      </c>
      <c r="BF891" s="34">
        <f>891</f>
        <v>891</v>
      </c>
      <c r="BH891" s="18">
        <f t="shared" si="759"/>
        <v>0</v>
      </c>
      <c r="BI891" s="18">
        <f t="shared" si="760"/>
        <v>0</v>
      </c>
      <c r="BJ891" s="18">
        <f t="shared" si="761"/>
        <v>0</v>
      </c>
    </row>
    <row r="892" spans="1:62" x14ac:dyDescent="0.2">
      <c r="A892" s="4"/>
      <c r="B892" s="14" t="s">
        <v>2020</v>
      </c>
      <c r="C892" s="133" t="s">
        <v>3225</v>
      </c>
      <c r="D892" s="134"/>
      <c r="E892" s="134"/>
      <c r="F892" s="134"/>
      <c r="G892" s="134"/>
      <c r="H892" s="4" t="s">
        <v>6</v>
      </c>
      <c r="I892" s="4" t="s">
        <v>6</v>
      </c>
      <c r="J892" s="4" t="s">
        <v>6</v>
      </c>
      <c r="K892" s="37">
        <f>SUM(K893:K1045)</f>
        <v>0</v>
      </c>
      <c r="L892" s="27"/>
      <c r="AI892" s="27" t="s">
        <v>3645</v>
      </c>
      <c r="AS892" s="37">
        <f>SUM(AJ893:AJ1045)</f>
        <v>0</v>
      </c>
      <c r="AT892" s="37">
        <f>SUM(AK893:AK1045)</f>
        <v>0</v>
      </c>
      <c r="AU892" s="37">
        <f>SUM(AL893:AL1045)</f>
        <v>0</v>
      </c>
    </row>
    <row r="893" spans="1:62" x14ac:dyDescent="0.2">
      <c r="A893" s="5" t="s">
        <v>839</v>
      </c>
      <c r="B893" s="5" t="s">
        <v>2021</v>
      </c>
      <c r="C893" s="135" t="s">
        <v>3226</v>
      </c>
      <c r="D893" s="136"/>
      <c r="E893" s="136"/>
      <c r="F893" s="136"/>
      <c r="G893" s="136"/>
      <c r="H893" s="5" t="s">
        <v>3612</v>
      </c>
      <c r="I893" s="18">
        <v>136</v>
      </c>
      <c r="J893" s="18">
        <v>0</v>
      </c>
      <c r="K893" s="18">
        <f t="shared" ref="K893:K925" si="762">I893*J893</f>
        <v>0</v>
      </c>
      <c r="L893" s="28" t="s">
        <v>3635</v>
      </c>
      <c r="Z893" s="34">
        <f t="shared" ref="Z893:Z925" si="763">IF(AQ893="5",BJ893,0)</f>
        <v>0</v>
      </c>
      <c r="AB893" s="34">
        <f t="shared" ref="AB893:AB925" si="764">IF(AQ893="1",BH893,0)</f>
        <v>0</v>
      </c>
      <c r="AC893" s="34">
        <f t="shared" ref="AC893:AC925" si="765">IF(AQ893="1",BI893,0)</f>
        <v>0</v>
      </c>
      <c r="AD893" s="34">
        <f t="shared" ref="AD893:AD925" si="766">IF(AQ893="7",BH893,0)</f>
        <v>0</v>
      </c>
      <c r="AE893" s="34">
        <f t="shared" ref="AE893:AE925" si="767">IF(AQ893="7",BI893,0)</f>
        <v>0</v>
      </c>
      <c r="AF893" s="34">
        <f t="shared" ref="AF893:AF925" si="768">IF(AQ893="2",BH893,0)</f>
        <v>0</v>
      </c>
      <c r="AG893" s="34">
        <f t="shared" ref="AG893:AG925" si="769">IF(AQ893="2",BI893,0)</f>
        <v>0</v>
      </c>
      <c r="AH893" s="34">
        <f t="shared" ref="AH893:AH925" si="770">IF(AQ893="0",BJ893,0)</f>
        <v>0</v>
      </c>
      <c r="AI893" s="27" t="s">
        <v>3645</v>
      </c>
      <c r="AJ893" s="18">
        <f t="shared" ref="AJ893:AJ925" si="771">IF(AN893=0,K893,0)</f>
        <v>0</v>
      </c>
      <c r="AK893" s="18">
        <f t="shared" ref="AK893:AK925" si="772">IF(AN893=15,K893,0)</f>
        <v>0</v>
      </c>
      <c r="AL893" s="18">
        <f t="shared" ref="AL893:AL925" si="773">IF(AN893=21,K893,0)</f>
        <v>0</v>
      </c>
      <c r="AN893" s="34">
        <v>21</v>
      </c>
      <c r="AO893" s="34">
        <f t="shared" ref="AO893:AO925" si="774">J893*0</f>
        <v>0</v>
      </c>
      <c r="AP893" s="34">
        <f t="shared" ref="AP893:AP925" si="775">J893*(1-0)</f>
        <v>0</v>
      </c>
      <c r="AQ893" s="28" t="s">
        <v>7</v>
      </c>
      <c r="AV893" s="34">
        <f t="shared" ref="AV893:AV925" si="776">AW893+AX893</f>
        <v>0</v>
      </c>
      <c r="AW893" s="34">
        <f t="shared" ref="AW893:AW925" si="777">I893*AO893</f>
        <v>0</v>
      </c>
      <c r="AX893" s="34">
        <f t="shared" ref="AX893:AX925" si="778">I893*AP893</f>
        <v>0</v>
      </c>
      <c r="AY893" s="35" t="s">
        <v>3694</v>
      </c>
      <c r="AZ893" s="35" t="s">
        <v>3712</v>
      </c>
      <c r="BA893" s="27" t="s">
        <v>3729</v>
      </c>
      <c r="BC893" s="34">
        <f t="shared" ref="BC893:BC925" si="779">AW893+AX893</f>
        <v>0</v>
      </c>
      <c r="BD893" s="34">
        <f t="shared" ref="BD893:BD925" si="780">J893/(100-BE893)*100</f>
        <v>0</v>
      </c>
      <c r="BE893" s="34">
        <v>0</v>
      </c>
      <c r="BF893" s="34">
        <f>893</f>
        <v>893</v>
      </c>
      <c r="BH893" s="18">
        <f t="shared" ref="BH893:BH925" si="781">I893*AO893</f>
        <v>0</v>
      </c>
      <c r="BI893" s="18">
        <f t="shared" ref="BI893:BI925" si="782">I893*AP893</f>
        <v>0</v>
      </c>
      <c r="BJ893" s="18">
        <f t="shared" ref="BJ893:BJ925" si="783">I893*J893</f>
        <v>0</v>
      </c>
    </row>
    <row r="894" spans="1:62" x14ac:dyDescent="0.2">
      <c r="A894" s="5" t="s">
        <v>840</v>
      </c>
      <c r="B894" s="5" t="s">
        <v>2022</v>
      </c>
      <c r="C894" s="135" t="s">
        <v>3227</v>
      </c>
      <c r="D894" s="136"/>
      <c r="E894" s="136"/>
      <c r="F894" s="136"/>
      <c r="G894" s="136"/>
      <c r="H894" s="5" t="s">
        <v>3612</v>
      </c>
      <c r="I894" s="18">
        <v>214</v>
      </c>
      <c r="J894" s="18">
        <v>0</v>
      </c>
      <c r="K894" s="18">
        <f t="shared" si="762"/>
        <v>0</v>
      </c>
      <c r="L894" s="28" t="s">
        <v>3635</v>
      </c>
      <c r="Z894" s="34">
        <f t="shared" si="763"/>
        <v>0</v>
      </c>
      <c r="AB894" s="34">
        <f t="shared" si="764"/>
        <v>0</v>
      </c>
      <c r="AC894" s="34">
        <f t="shared" si="765"/>
        <v>0</v>
      </c>
      <c r="AD894" s="34">
        <f t="shared" si="766"/>
        <v>0</v>
      </c>
      <c r="AE894" s="34">
        <f t="shared" si="767"/>
        <v>0</v>
      </c>
      <c r="AF894" s="34">
        <f t="shared" si="768"/>
        <v>0</v>
      </c>
      <c r="AG894" s="34">
        <f t="shared" si="769"/>
        <v>0</v>
      </c>
      <c r="AH894" s="34">
        <f t="shared" si="770"/>
        <v>0</v>
      </c>
      <c r="AI894" s="27" t="s">
        <v>3645</v>
      </c>
      <c r="AJ894" s="18">
        <f t="shared" si="771"/>
        <v>0</v>
      </c>
      <c r="AK894" s="18">
        <f t="shared" si="772"/>
        <v>0</v>
      </c>
      <c r="AL894" s="18">
        <f t="shared" si="773"/>
        <v>0</v>
      </c>
      <c r="AN894" s="34">
        <v>21</v>
      </c>
      <c r="AO894" s="34">
        <f t="shared" si="774"/>
        <v>0</v>
      </c>
      <c r="AP894" s="34">
        <f t="shared" si="775"/>
        <v>0</v>
      </c>
      <c r="AQ894" s="28" t="s">
        <v>7</v>
      </c>
      <c r="AV894" s="34">
        <f t="shared" si="776"/>
        <v>0</v>
      </c>
      <c r="AW894" s="34">
        <f t="shared" si="777"/>
        <v>0</v>
      </c>
      <c r="AX894" s="34">
        <f t="shared" si="778"/>
        <v>0</v>
      </c>
      <c r="AY894" s="35" t="s">
        <v>3694</v>
      </c>
      <c r="AZ894" s="35" t="s">
        <v>3712</v>
      </c>
      <c r="BA894" s="27" t="s">
        <v>3729</v>
      </c>
      <c r="BC894" s="34">
        <f t="shared" si="779"/>
        <v>0</v>
      </c>
      <c r="BD894" s="34">
        <f t="shared" si="780"/>
        <v>0</v>
      </c>
      <c r="BE894" s="34">
        <v>0</v>
      </c>
      <c r="BF894" s="34">
        <f>894</f>
        <v>894</v>
      </c>
      <c r="BH894" s="18">
        <f t="shared" si="781"/>
        <v>0</v>
      </c>
      <c r="BI894" s="18">
        <f t="shared" si="782"/>
        <v>0</v>
      </c>
      <c r="BJ894" s="18">
        <f t="shared" si="783"/>
        <v>0</v>
      </c>
    </row>
    <row r="895" spans="1:62" x14ac:dyDescent="0.2">
      <c r="A895" s="5" t="s">
        <v>841</v>
      </c>
      <c r="B895" s="5" t="s">
        <v>2023</v>
      </c>
      <c r="C895" s="135" t="s">
        <v>3228</v>
      </c>
      <c r="D895" s="136"/>
      <c r="E895" s="136"/>
      <c r="F895" s="136"/>
      <c r="G895" s="136"/>
      <c r="H895" s="5" t="s">
        <v>3614</v>
      </c>
      <c r="I895" s="18">
        <v>890</v>
      </c>
      <c r="J895" s="18">
        <v>0</v>
      </c>
      <c r="K895" s="18">
        <f t="shared" si="762"/>
        <v>0</v>
      </c>
      <c r="L895" s="28" t="s">
        <v>3635</v>
      </c>
      <c r="Z895" s="34">
        <f t="shared" si="763"/>
        <v>0</v>
      </c>
      <c r="AB895" s="34">
        <f t="shared" si="764"/>
        <v>0</v>
      </c>
      <c r="AC895" s="34">
        <f t="shared" si="765"/>
        <v>0</v>
      </c>
      <c r="AD895" s="34">
        <f t="shared" si="766"/>
        <v>0</v>
      </c>
      <c r="AE895" s="34">
        <f t="shared" si="767"/>
        <v>0</v>
      </c>
      <c r="AF895" s="34">
        <f t="shared" si="768"/>
        <v>0</v>
      </c>
      <c r="AG895" s="34">
        <f t="shared" si="769"/>
        <v>0</v>
      </c>
      <c r="AH895" s="34">
        <f t="shared" si="770"/>
        <v>0</v>
      </c>
      <c r="AI895" s="27" t="s">
        <v>3645</v>
      </c>
      <c r="AJ895" s="18">
        <f t="shared" si="771"/>
        <v>0</v>
      </c>
      <c r="AK895" s="18">
        <f t="shared" si="772"/>
        <v>0</v>
      </c>
      <c r="AL895" s="18">
        <f t="shared" si="773"/>
        <v>0</v>
      </c>
      <c r="AN895" s="34">
        <v>21</v>
      </c>
      <c r="AO895" s="34">
        <f t="shared" si="774"/>
        <v>0</v>
      </c>
      <c r="AP895" s="34">
        <f t="shared" si="775"/>
        <v>0</v>
      </c>
      <c r="AQ895" s="28" t="s">
        <v>7</v>
      </c>
      <c r="AV895" s="34">
        <f t="shared" si="776"/>
        <v>0</v>
      </c>
      <c r="AW895" s="34">
        <f t="shared" si="777"/>
        <v>0</v>
      </c>
      <c r="AX895" s="34">
        <f t="shared" si="778"/>
        <v>0</v>
      </c>
      <c r="AY895" s="35" t="s">
        <v>3694</v>
      </c>
      <c r="AZ895" s="35" t="s">
        <v>3712</v>
      </c>
      <c r="BA895" s="27" t="s">
        <v>3729</v>
      </c>
      <c r="BC895" s="34">
        <f t="shared" si="779"/>
        <v>0</v>
      </c>
      <c r="BD895" s="34">
        <f t="shared" si="780"/>
        <v>0</v>
      </c>
      <c r="BE895" s="34">
        <v>0</v>
      </c>
      <c r="BF895" s="34">
        <f>895</f>
        <v>895</v>
      </c>
      <c r="BH895" s="18">
        <f t="shared" si="781"/>
        <v>0</v>
      </c>
      <c r="BI895" s="18">
        <f t="shared" si="782"/>
        <v>0</v>
      </c>
      <c r="BJ895" s="18">
        <f t="shared" si="783"/>
        <v>0</v>
      </c>
    </row>
    <row r="896" spans="1:62" x14ac:dyDescent="0.2">
      <c r="A896" s="5" t="s">
        <v>842</v>
      </c>
      <c r="B896" s="5" t="s">
        <v>2024</v>
      </c>
      <c r="C896" s="135" t="s">
        <v>3229</v>
      </c>
      <c r="D896" s="136"/>
      <c r="E896" s="136"/>
      <c r="F896" s="136"/>
      <c r="G896" s="136"/>
      <c r="H896" s="5" t="s">
        <v>3614</v>
      </c>
      <c r="I896" s="18">
        <v>164</v>
      </c>
      <c r="J896" s="18">
        <v>0</v>
      </c>
      <c r="K896" s="18">
        <f t="shared" si="762"/>
        <v>0</v>
      </c>
      <c r="L896" s="28" t="s">
        <v>3635</v>
      </c>
      <c r="Z896" s="34">
        <f t="shared" si="763"/>
        <v>0</v>
      </c>
      <c r="AB896" s="34">
        <f t="shared" si="764"/>
        <v>0</v>
      </c>
      <c r="AC896" s="34">
        <f t="shared" si="765"/>
        <v>0</v>
      </c>
      <c r="AD896" s="34">
        <f t="shared" si="766"/>
        <v>0</v>
      </c>
      <c r="AE896" s="34">
        <f t="shared" si="767"/>
        <v>0</v>
      </c>
      <c r="AF896" s="34">
        <f t="shared" si="768"/>
        <v>0</v>
      </c>
      <c r="AG896" s="34">
        <f t="shared" si="769"/>
        <v>0</v>
      </c>
      <c r="AH896" s="34">
        <f t="shared" si="770"/>
        <v>0</v>
      </c>
      <c r="AI896" s="27" t="s">
        <v>3645</v>
      </c>
      <c r="AJ896" s="18">
        <f t="shared" si="771"/>
        <v>0</v>
      </c>
      <c r="AK896" s="18">
        <f t="shared" si="772"/>
        <v>0</v>
      </c>
      <c r="AL896" s="18">
        <f t="shared" si="773"/>
        <v>0</v>
      </c>
      <c r="AN896" s="34">
        <v>21</v>
      </c>
      <c r="AO896" s="34">
        <f t="shared" si="774"/>
        <v>0</v>
      </c>
      <c r="AP896" s="34">
        <f t="shared" si="775"/>
        <v>0</v>
      </c>
      <c r="AQ896" s="28" t="s">
        <v>7</v>
      </c>
      <c r="AV896" s="34">
        <f t="shared" si="776"/>
        <v>0</v>
      </c>
      <c r="AW896" s="34">
        <f t="shared" si="777"/>
        <v>0</v>
      </c>
      <c r="AX896" s="34">
        <f t="shared" si="778"/>
        <v>0</v>
      </c>
      <c r="AY896" s="35" t="s">
        <v>3694</v>
      </c>
      <c r="AZ896" s="35" t="s">
        <v>3712</v>
      </c>
      <c r="BA896" s="27" t="s">
        <v>3729</v>
      </c>
      <c r="BC896" s="34">
        <f t="shared" si="779"/>
        <v>0</v>
      </c>
      <c r="BD896" s="34">
        <f t="shared" si="780"/>
        <v>0</v>
      </c>
      <c r="BE896" s="34">
        <v>0</v>
      </c>
      <c r="BF896" s="34">
        <f>896</f>
        <v>896</v>
      </c>
      <c r="BH896" s="18">
        <f t="shared" si="781"/>
        <v>0</v>
      </c>
      <c r="BI896" s="18">
        <f t="shared" si="782"/>
        <v>0</v>
      </c>
      <c r="BJ896" s="18">
        <f t="shared" si="783"/>
        <v>0</v>
      </c>
    </row>
    <row r="897" spans="1:62" x14ac:dyDescent="0.2">
      <c r="A897" s="5" t="s">
        <v>843</v>
      </c>
      <c r="B897" s="5" t="s">
        <v>1986</v>
      </c>
      <c r="C897" s="135" t="s">
        <v>3230</v>
      </c>
      <c r="D897" s="136"/>
      <c r="E897" s="136"/>
      <c r="F897" s="136"/>
      <c r="G897" s="136"/>
      <c r="H897" s="5" t="s">
        <v>3612</v>
      </c>
      <c r="I897" s="18">
        <v>1</v>
      </c>
      <c r="J897" s="18">
        <v>0</v>
      </c>
      <c r="K897" s="18">
        <f t="shared" si="762"/>
        <v>0</v>
      </c>
      <c r="L897" s="28" t="s">
        <v>3635</v>
      </c>
      <c r="Z897" s="34">
        <f t="shared" si="763"/>
        <v>0</v>
      </c>
      <c r="AB897" s="34">
        <f t="shared" si="764"/>
        <v>0</v>
      </c>
      <c r="AC897" s="34">
        <f t="shared" si="765"/>
        <v>0</v>
      </c>
      <c r="AD897" s="34">
        <f t="shared" si="766"/>
        <v>0</v>
      </c>
      <c r="AE897" s="34">
        <f t="shared" si="767"/>
        <v>0</v>
      </c>
      <c r="AF897" s="34">
        <f t="shared" si="768"/>
        <v>0</v>
      </c>
      <c r="AG897" s="34">
        <f t="shared" si="769"/>
        <v>0</v>
      </c>
      <c r="AH897" s="34">
        <f t="shared" si="770"/>
        <v>0</v>
      </c>
      <c r="AI897" s="27" t="s">
        <v>3645</v>
      </c>
      <c r="AJ897" s="18">
        <f t="shared" si="771"/>
        <v>0</v>
      </c>
      <c r="AK897" s="18">
        <f t="shared" si="772"/>
        <v>0</v>
      </c>
      <c r="AL897" s="18">
        <f t="shared" si="773"/>
        <v>0</v>
      </c>
      <c r="AN897" s="34">
        <v>21</v>
      </c>
      <c r="AO897" s="34">
        <f t="shared" si="774"/>
        <v>0</v>
      </c>
      <c r="AP897" s="34">
        <f t="shared" si="775"/>
        <v>0</v>
      </c>
      <c r="AQ897" s="28" t="s">
        <v>7</v>
      </c>
      <c r="AV897" s="34">
        <f t="shared" si="776"/>
        <v>0</v>
      </c>
      <c r="AW897" s="34">
        <f t="shared" si="777"/>
        <v>0</v>
      </c>
      <c r="AX897" s="34">
        <f t="shared" si="778"/>
        <v>0</v>
      </c>
      <c r="AY897" s="35" t="s">
        <v>3694</v>
      </c>
      <c r="AZ897" s="35" t="s">
        <v>3712</v>
      </c>
      <c r="BA897" s="27" t="s">
        <v>3729</v>
      </c>
      <c r="BC897" s="34">
        <f t="shared" si="779"/>
        <v>0</v>
      </c>
      <c r="BD897" s="34">
        <f t="shared" si="780"/>
        <v>0</v>
      </c>
      <c r="BE897" s="34">
        <v>0</v>
      </c>
      <c r="BF897" s="34">
        <f>897</f>
        <v>897</v>
      </c>
      <c r="BH897" s="18">
        <f t="shared" si="781"/>
        <v>0</v>
      </c>
      <c r="BI897" s="18">
        <f t="shared" si="782"/>
        <v>0</v>
      </c>
      <c r="BJ897" s="18">
        <f t="shared" si="783"/>
        <v>0</v>
      </c>
    </row>
    <row r="898" spans="1:62" x14ac:dyDescent="0.2">
      <c r="A898" s="5" t="s">
        <v>844</v>
      </c>
      <c r="B898" s="5" t="s">
        <v>2025</v>
      </c>
      <c r="C898" s="135" t="s">
        <v>3231</v>
      </c>
      <c r="D898" s="136"/>
      <c r="E898" s="136"/>
      <c r="F898" s="136"/>
      <c r="G898" s="136"/>
      <c r="H898" s="5" t="s">
        <v>3622</v>
      </c>
      <c r="I898" s="18">
        <v>5</v>
      </c>
      <c r="J898" s="18">
        <v>0</v>
      </c>
      <c r="K898" s="18">
        <f t="shared" si="762"/>
        <v>0</v>
      </c>
      <c r="L898" s="28" t="s">
        <v>3635</v>
      </c>
      <c r="Z898" s="34">
        <f t="shared" si="763"/>
        <v>0</v>
      </c>
      <c r="AB898" s="34">
        <f t="shared" si="764"/>
        <v>0</v>
      </c>
      <c r="AC898" s="34">
        <f t="shared" si="765"/>
        <v>0</v>
      </c>
      <c r="AD898" s="34">
        <f t="shared" si="766"/>
        <v>0</v>
      </c>
      <c r="AE898" s="34">
        <f t="shared" si="767"/>
        <v>0</v>
      </c>
      <c r="AF898" s="34">
        <f t="shared" si="768"/>
        <v>0</v>
      </c>
      <c r="AG898" s="34">
        <f t="shared" si="769"/>
        <v>0</v>
      </c>
      <c r="AH898" s="34">
        <f t="shared" si="770"/>
        <v>0</v>
      </c>
      <c r="AI898" s="27" t="s">
        <v>3645</v>
      </c>
      <c r="AJ898" s="18">
        <f t="shared" si="771"/>
        <v>0</v>
      </c>
      <c r="AK898" s="18">
        <f t="shared" si="772"/>
        <v>0</v>
      </c>
      <c r="AL898" s="18">
        <f t="shared" si="773"/>
        <v>0</v>
      </c>
      <c r="AN898" s="34">
        <v>21</v>
      </c>
      <c r="AO898" s="34">
        <f t="shared" si="774"/>
        <v>0</v>
      </c>
      <c r="AP898" s="34">
        <f t="shared" si="775"/>
        <v>0</v>
      </c>
      <c r="AQ898" s="28" t="s">
        <v>7</v>
      </c>
      <c r="AV898" s="34">
        <f t="shared" si="776"/>
        <v>0</v>
      </c>
      <c r="AW898" s="34">
        <f t="shared" si="777"/>
        <v>0</v>
      </c>
      <c r="AX898" s="34">
        <f t="shared" si="778"/>
        <v>0</v>
      </c>
      <c r="AY898" s="35" t="s">
        <v>3694</v>
      </c>
      <c r="AZ898" s="35" t="s">
        <v>3712</v>
      </c>
      <c r="BA898" s="27" t="s">
        <v>3729</v>
      </c>
      <c r="BC898" s="34">
        <f t="shared" si="779"/>
        <v>0</v>
      </c>
      <c r="BD898" s="34">
        <f t="shared" si="780"/>
        <v>0</v>
      </c>
      <c r="BE898" s="34">
        <v>0</v>
      </c>
      <c r="BF898" s="34">
        <f>898</f>
        <v>898</v>
      </c>
      <c r="BH898" s="18">
        <f t="shared" si="781"/>
        <v>0</v>
      </c>
      <c r="BI898" s="18">
        <f t="shared" si="782"/>
        <v>0</v>
      </c>
      <c r="BJ898" s="18">
        <f t="shared" si="783"/>
        <v>0</v>
      </c>
    </row>
    <row r="899" spans="1:62" x14ac:dyDescent="0.2">
      <c r="A899" s="5" t="s">
        <v>845</v>
      </c>
      <c r="B899" s="5" t="s">
        <v>2026</v>
      </c>
      <c r="C899" s="135" t="s">
        <v>3232</v>
      </c>
      <c r="D899" s="136"/>
      <c r="E899" s="136"/>
      <c r="F899" s="136"/>
      <c r="G899" s="136"/>
      <c r="H899" s="5" t="s">
        <v>3622</v>
      </c>
      <c r="I899" s="18">
        <v>1</v>
      </c>
      <c r="J899" s="18">
        <v>0</v>
      </c>
      <c r="K899" s="18">
        <f t="shared" si="762"/>
        <v>0</v>
      </c>
      <c r="L899" s="28" t="s">
        <v>3635</v>
      </c>
      <c r="Z899" s="34">
        <f t="shared" si="763"/>
        <v>0</v>
      </c>
      <c r="AB899" s="34">
        <f t="shared" si="764"/>
        <v>0</v>
      </c>
      <c r="AC899" s="34">
        <f t="shared" si="765"/>
        <v>0</v>
      </c>
      <c r="AD899" s="34">
        <f t="shared" si="766"/>
        <v>0</v>
      </c>
      <c r="AE899" s="34">
        <f t="shared" si="767"/>
        <v>0</v>
      </c>
      <c r="AF899" s="34">
        <f t="shared" si="768"/>
        <v>0</v>
      </c>
      <c r="AG899" s="34">
        <f t="shared" si="769"/>
        <v>0</v>
      </c>
      <c r="AH899" s="34">
        <f t="shared" si="770"/>
        <v>0</v>
      </c>
      <c r="AI899" s="27" t="s">
        <v>3645</v>
      </c>
      <c r="AJ899" s="18">
        <f t="shared" si="771"/>
        <v>0</v>
      </c>
      <c r="AK899" s="18">
        <f t="shared" si="772"/>
        <v>0</v>
      </c>
      <c r="AL899" s="18">
        <f t="shared" si="773"/>
        <v>0</v>
      </c>
      <c r="AN899" s="34">
        <v>21</v>
      </c>
      <c r="AO899" s="34">
        <f t="shared" si="774"/>
        <v>0</v>
      </c>
      <c r="AP899" s="34">
        <f t="shared" si="775"/>
        <v>0</v>
      </c>
      <c r="AQ899" s="28" t="s">
        <v>7</v>
      </c>
      <c r="AV899" s="34">
        <f t="shared" si="776"/>
        <v>0</v>
      </c>
      <c r="AW899" s="34">
        <f t="shared" si="777"/>
        <v>0</v>
      </c>
      <c r="AX899" s="34">
        <f t="shared" si="778"/>
        <v>0</v>
      </c>
      <c r="AY899" s="35" t="s">
        <v>3694</v>
      </c>
      <c r="AZ899" s="35" t="s">
        <v>3712</v>
      </c>
      <c r="BA899" s="27" t="s">
        <v>3729</v>
      </c>
      <c r="BC899" s="34">
        <f t="shared" si="779"/>
        <v>0</v>
      </c>
      <c r="BD899" s="34">
        <f t="shared" si="780"/>
        <v>0</v>
      </c>
      <c r="BE899" s="34">
        <v>0</v>
      </c>
      <c r="BF899" s="34">
        <f>899</f>
        <v>899</v>
      </c>
      <c r="BH899" s="18">
        <f t="shared" si="781"/>
        <v>0</v>
      </c>
      <c r="BI899" s="18">
        <f t="shared" si="782"/>
        <v>0</v>
      </c>
      <c r="BJ899" s="18">
        <f t="shared" si="783"/>
        <v>0</v>
      </c>
    </row>
    <row r="900" spans="1:62" x14ac:dyDescent="0.2">
      <c r="A900" s="5" t="s">
        <v>846</v>
      </c>
      <c r="B900" s="5" t="s">
        <v>2027</v>
      </c>
      <c r="C900" s="135" t="s">
        <v>3233</v>
      </c>
      <c r="D900" s="136"/>
      <c r="E900" s="136"/>
      <c r="F900" s="136"/>
      <c r="G900" s="136"/>
      <c r="H900" s="5" t="s">
        <v>3622</v>
      </c>
      <c r="I900" s="18">
        <v>1</v>
      </c>
      <c r="J900" s="18">
        <v>0</v>
      </c>
      <c r="K900" s="18">
        <f t="shared" si="762"/>
        <v>0</v>
      </c>
      <c r="L900" s="28" t="s">
        <v>3635</v>
      </c>
      <c r="Z900" s="34">
        <f t="shared" si="763"/>
        <v>0</v>
      </c>
      <c r="AB900" s="34">
        <f t="shared" si="764"/>
        <v>0</v>
      </c>
      <c r="AC900" s="34">
        <f t="shared" si="765"/>
        <v>0</v>
      </c>
      <c r="AD900" s="34">
        <f t="shared" si="766"/>
        <v>0</v>
      </c>
      <c r="AE900" s="34">
        <f t="shared" si="767"/>
        <v>0</v>
      </c>
      <c r="AF900" s="34">
        <f t="shared" si="768"/>
        <v>0</v>
      </c>
      <c r="AG900" s="34">
        <f t="shared" si="769"/>
        <v>0</v>
      </c>
      <c r="AH900" s="34">
        <f t="shared" si="770"/>
        <v>0</v>
      </c>
      <c r="AI900" s="27" t="s">
        <v>3645</v>
      </c>
      <c r="AJ900" s="18">
        <f t="shared" si="771"/>
        <v>0</v>
      </c>
      <c r="AK900" s="18">
        <f t="shared" si="772"/>
        <v>0</v>
      </c>
      <c r="AL900" s="18">
        <f t="shared" si="773"/>
        <v>0</v>
      </c>
      <c r="AN900" s="34">
        <v>21</v>
      </c>
      <c r="AO900" s="34">
        <f t="shared" si="774"/>
        <v>0</v>
      </c>
      <c r="AP900" s="34">
        <f t="shared" si="775"/>
        <v>0</v>
      </c>
      <c r="AQ900" s="28" t="s">
        <v>7</v>
      </c>
      <c r="AV900" s="34">
        <f t="shared" si="776"/>
        <v>0</v>
      </c>
      <c r="AW900" s="34">
        <f t="shared" si="777"/>
        <v>0</v>
      </c>
      <c r="AX900" s="34">
        <f t="shared" si="778"/>
        <v>0</v>
      </c>
      <c r="AY900" s="35" t="s">
        <v>3694</v>
      </c>
      <c r="AZ900" s="35" t="s">
        <v>3712</v>
      </c>
      <c r="BA900" s="27" t="s">
        <v>3729</v>
      </c>
      <c r="BC900" s="34">
        <f t="shared" si="779"/>
        <v>0</v>
      </c>
      <c r="BD900" s="34">
        <f t="shared" si="780"/>
        <v>0</v>
      </c>
      <c r="BE900" s="34">
        <v>0</v>
      </c>
      <c r="BF900" s="34">
        <f>900</f>
        <v>900</v>
      </c>
      <c r="BH900" s="18">
        <f t="shared" si="781"/>
        <v>0</v>
      </c>
      <c r="BI900" s="18">
        <f t="shared" si="782"/>
        <v>0</v>
      </c>
      <c r="BJ900" s="18">
        <f t="shared" si="783"/>
        <v>0</v>
      </c>
    </row>
    <row r="901" spans="1:62" x14ac:dyDescent="0.2">
      <c r="A901" s="5" t="s">
        <v>847</v>
      </c>
      <c r="B901" s="5" t="s">
        <v>2027</v>
      </c>
      <c r="C901" s="135" t="s">
        <v>3234</v>
      </c>
      <c r="D901" s="136"/>
      <c r="E901" s="136"/>
      <c r="F901" s="136"/>
      <c r="G901" s="136"/>
      <c r="H901" s="5" t="s">
        <v>3622</v>
      </c>
      <c r="I901" s="18">
        <v>1</v>
      </c>
      <c r="J901" s="18">
        <v>0</v>
      </c>
      <c r="K901" s="18">
        <f t="shared" si="762"/>
        <v>0</v>
      </c>
      <c r="L901" s="28" t="s">
        <v>3635</v>
      </c>
      <c r="Z901" s="34">
        <f t="shared" si="763"/>
        <v>0</v>
      </c>
      <c r="AB901" s="34">
        <f t="shared" si="764"/>
        <v>0</v>
      </c>
      <c r="AC901" s="34">
        <f t="shared" si="765"/>
        <v>0</v>
      </c>
      <c r="AD901" s="34">
        <f t="shared" si="766"/>
        <v>0</v>
      </c>
      <c r="AE901" s="34">
        <f t="shared" si="767"/>
        <v>0</v>
      </c>
      <c r="AF901" s="34">
        <f t="shared" si="768"/>
        <v>0</v>
      </c>
      <c r="AG901" s="34">
        <f t="shared" si="769"/>
        <v>0</v>
      </c>
      <c r="AH901" s="34">
        <f t="shared" si="770"/>
        <v>0</v>
      </c>
      <c r="AI901" s="27" t="s">
        <v>3645</v>
      </c>
      <c r="AJ901" s="18">
        <f t="shared" si="771"/>
        <v>0</v>
      </c>
      <c r="AK901" s="18">
        <f t="shared" si="772"/>
        <v>0</v>
      </c>
      <c r="AL901" s="18">
        <f t="shared" si="773"/>
        <v>0</v>
      </c>
      <c r="AN901" s="34">
        <v>21</v>
      </c>
      <c r="AO901" s="34">
        <f t="shared" si="774"/>
        <v>0</v>
      </c>
      <c r="AP901" s="34">
        <f t="shared" si="775"/>
        <v>0</v>
      </c>
      <c r="AQ901" s="28" t="s">
        <v>7</v>
      </c>
      <c r="AV901" s="34">
        <f t="shared" si="776"/>
        <v>0</v>
      </c>
      <c r="AW901" s="34">
        <f t="shared" si="777"/>
        <v>0</v>
      </c>
      <c r="AX901" s="34">
        <f t="shared" si="778"/>
        <v>0</v>
      </c>
      <c r="AY901" s="35" t="s">
        <v>3694</v>
      </c>
      <c r="AZ901" s="35" t="s">
        <v>3712</v>
      </c>
      <c r="BA901" s="27" t="s">
        <v>3729</v>
      </c>
      <c r="BC901" s="34">
        <f t="shared" si="779"/>
        <v>0</v>
      </c>
      <c r="BD901" s="34">
        <f t="shared" si="780"/>
        <v>0</v>
      </c>
      <c r="BE901" s="34">
        <v>0</v>
      </c>
      <c r="BF901" s="34">
        <f>901</f>
        <v>901</v>
      </c>
      <c r="BH901" s="18">
        <f t="shared" si="781"/>
        <v>0</v>
      </c>
      <c r="BI901" s="18">
        <f t="shared" si="782"/>
        <v>0</v>
      </c>
      <c r="BJ901" s="18">
        <f t="shared" si="783"/>
        <v>0</v>
      </c>
    </row>
    <row r="902" spans="1:62" x14ac:dyDescent="0.2">
      <c r="A902" s="5" t="s">
        <v>848</v>
      </c>
      <c r="B902" s="5" t="s">
        <v>2028</v>
      </c>
      <c r="C902" s="135" t="s">
        <v>3235</v>
      </c>
      <c r="D902" s="136"/>
      <c r="E902" s="136"/>
      <c r="F902" s="136"/>
      <c r="G902" s="136"/>
      <c r="H902" s="5" t="s">
        <v>3622</v>
      </c>
      <c r="I902" s="18">
        <v>1</v>
      </c>
      <c r="J902" s="18">
        <v>0</v>
      </c>
      <c r="K902" s="18">
        <f t="shared" si="762"/>
        <v>0</v>
      </c>
      <c r="L902" s="28" t="s">
        <v>3635</v>
      </c>
      <c r="Z902" s="34">
        <f t="shared" si="763"/>
        <v>0</v>
      </c>
      <c r="AB902" s="34">
        <f t="shared" si="764"/>
        <v>0</v>
      </c>
      <c r="AC902" s="34">
        <f t="shared" si="765"/>
        <v>0</v>
      </c>
      <c r="AD902" s="34">
        <f t="shared" si="766"/>
        <v>0</v>
      </c>
      <c r="AE902" s="34">
        <f t="shared" si="767"/>
        <v>0</v>
      </c>
      <c r="AF902" s="34">
        <f t="shared" si="768"/>
        <v>0</v>
      </c>
      <c r="AG902" s="34">
        <f t="shared" si="769"/>
        <v>0</v>
      </c>
      <c r="AH902" s="34">
        <f t="shared" si="770"/>
        <v>0</v>
      </c>
      <c r="AI902" s="27" t="s">
        <v>3645</v>
      </c>
      <c r="AJ902" s="18">
        <f t="shared" si="771"/>
        <v>0</v>
      </c>
      <c r="AK902" s="18">
        <f t="shared" si="772"/>
        <v>0</v>
      </c>
      <c r="AL902" s="18">
        <f t="shared" si="773"/>
        <v>0</v>
      </c>
      <c r="AN902" s="34">
        <v>21</v>
      </c>
      <c r="AO902" s="34">
        <f t="shared" si="774"/>
        <v>0</v>
      </c>
      <c r="AP902" s="34">
        <f t="shared" si="775"/>
        <v>0</v>
      </c>
      <c r="AQ902" s="28" t="s">
        <v>7</v>
      </c>
      <c r="AV902" s="34">
        <f t="shared" si="776"/>
        <v>0</v>
      </c>
      <c r="AW902" s="34">
        <f t="shared" si="777"/>
        <v>0</v>
      </c>
      <c r="AX902" s="34">
        <f t="shared" si="778"/>
        <v>0</v>
      </c>
      <c r="AY902" s="35" t="s">
        <v>3694</v>
      </c>
      <c r="AZ902" s="35" t="s">
        <v>3712</v>
      </c>
      <c r="BA902" s="27" t="s">
        <v>3729</v>
      </c>
      <c r="BC902" s="34">
        <f t="shared" si="779"/>
        <v>0</v>
      </c>
      <c r="BD902" s="34">
        <f t="shared" si="780"/>
        <v>0</v>
      </c>
      <c r="BE902" s="34">
        <v>0</v>
      </c>
      <c r="BF902" s="34">
        <f>902</f>
        <v>902</v>
      </c>
      <c r="BH902" s="18">
        <f t="shared" si="781"/>
        <v>0</v>
      </c>
      <c r="BI902" s="18">
        <f t="shared" si="782"/>
        <v>0</v>
      </c>
      <c r="BJ902" s="18">
        <f t="shared" si="783"/>
        <v>0</v>
      </c>
    </row>
    <row r="903" spans="1:62" x14ac:dyDescent="0.2">
      <c r="A903" s="5" t="s">
        <v>849</v>
      </c>
      <c r="B903" s="5" t="s">
        <v>2029</v>
      </c>
      <c r="C903" s="135" t="s">
        <v>3236</v>
      </c>
      <c r="D903" s="136"/>
      <c r="E903" s="136"/>
      <c r="F903" s="136"/>
      <c r="G903" s="136"/>
      <c r="H903" s="5" t="s">
        <v>3622</v>
      </c>
      <c r="I903" s="18">
        <v>1</v>
      </c>
      <c r="J903" s="18">
        <v>0</v>
      </c>
      <c r="K903" s="18">
        <f t="shared" si="762"/>
        <v>0</v>
      </c>
      <c r="L903" s="28" t="s">
        <v>3635</v>
      </c>
      <c r="Z903" s="34">
        <f t="shared" si="763"/>
        <v>0</v>
      </c>
      <c r="AB903" s="34">
        <f t="shared" si="764"/>
        <v>0</v>
      </c>
      <c r="AC903" s="34">
        <f t="shared" si="765"/>
        <v>0</v>
      </c>
      <c r="AD903" s="34">
        <f t="shared" si="766"/>
        <v>0</v>
      </c>
      <c r="AE903" s="34">
        <f t="shared" si="767"/>
        <v>0</v>
      </c>
      <c r="AF903" s="34">
        <f t="shared" si="768"/>
        <v>0</v>
      </c>
      <c r="AG903" s="34">
        <f t="shared" si="769"/>
        <v>0</v>
      </c>
      <c r="AH903" s="34">
        <f t="shared" si="770"/>
        <v>0</v>
      </c>
      <c r="AI903" s="27" t="s">
        <v>3645</v>
      </c>
      <c r="AJ903" s="18">
        <f t="shared" si="771"/>
        <v>0</v>
      </c>
      <c r="AK903" s="18">
        <f t="shared" si="772"/>
        <v>0</v>
      </c>
      <c r="AL903" s="18">
        <f t="shared" si="773"/>
        <v>0</v>
      </c>
      <c r="AN903" s="34">
        <v>21</v>
      </c>
      <c r="AO903" s="34">
        <f t="shared" si="774"/>
        <v>0</v>
      </c>
      <c r="AP903" s="34">
        <f t="shared" si="775"/>
        <v>0</v>
      </c>
      <c r="AQ903" s="28" t="s">
        <v>7</v>
      </c>
      <c r="AV903" s="34">
        <f t="shared" si="776"/>
        <v>0</v>
      </c>
      <c r="AW903" s="34">
        <f t="shared" si="777"/>
        <v>0</v>
      </c>
      <c r="AX903" s="34">
        <f t="shared" si="778"/>
        <v>0</v>
      </c>
      <c r="AY903" s="35" t="s">
        <v>3694</v>
      </c>
      <c r="AZ903" s="35" t="s">
        <v>3712</v>
      </c>
      <c r="BA903" s="27" t="s">
        <v>3729</v>
      </c>
      <c r="BC903" s="34">
        <f t="shared" si="779"/>
        <v>0</v>
      </c>
      <c r="BD903" s="34">
        <f t="shared" si="780"/>
        <v>0</v>
      </c>
      <c r="BE903" s="34">
        <v>0</v>
      </c>
      <c r="BF903" s="34">
        <f>903</f>
        <v>903</v>
      </c>
      <c r="BH903" s="18">
        <f t="shared" si="781"/>
        <v>0</v>
      </c>
      <c r="BI903" s="18">
        <f t="shared" si="782"/>
        <v>0</v>
      </c>
      <c r="BJ903" s="18">
        <f t="shared" si="783"/>
        <v>0</v>
      </c>
    </row>
    <row r="904" spans="1:62" s="78" customFormat="1" x14ac:dyDescent="0.2">
      <c r="A904" s="75" t="s">
        <v>850</v>
      </c>
      <c r="B904" s="75" t="s">
        <v>4193</v>
      </c>
      <c r="C904" s="142" t="s">
        <v>4195</v>
      </c>
      <c r="D904" s="143"/>
      <c r="E904" s="143"/>
      <c r="F904" s="143"/>
      <c r="G904" s="143"/>
      <c r="H904" s="75" t="s">
        <v>3622</v>
      </c>
      <c r="I904" s="76">
        <v>1</v>
      </c>
      <c r="J904" s="76">
        <v>0</v>
      </c>
      <c r="K904" s="76">
        <f t="shared" ref="K904" si="784">I904*J904</f>
        <v>0</v>
      </c>
      <c r="L904" s="77" t="s">
        <v>3635</v>
      </c>
      <c r="Z904" s="76">
        <f t="shared" ref="Z904" si="785">IF(AQ904="5",BJ904,0)</f>
        <v>0</v>
      </c>
      <c r="AB904" s="76">
        <f t="shared" ref="AB904" si="786">IF(AQ904="1",BH904,0)</f>
        <v>0</v>
      </c>
      <c r="AC904" s="76">
        <f t="shared" ref="AC904" si="787">IF(AQ904="1",BI904,0)</f>
        <v>0</v>
      </c>
      <c r="AD904" s="76">
        <f t="shared" ref="AD904" si="788">IF(AQ904="7",BH904,0)</f>
        <v>0</v>
      </c>
      <c r="AE904" s="76">
        <f t="shared" ref="AE904" si="789">IF(AQ904="7",BI904,0)</f>
        <v>0</v>
      </c>
      <c r="AF904" s="76">
        <f t="shared" ref="AF904" si="790">IF(AQ904="2",BH904,0)</f>
        <v>0</v>
      </c>
      <c r="AG904" s="76">
        <f t="shared" ref="AG904" si="791">IF(AQ904="2",BI904,0)</f>
        <v>0</v>
      </c>
      <c r="AH904" s="76">
        <f t="shared" ref="AH904" si="792">IF(AQ904="0",BJ904,0)</f>
        <v>0</v>
      </c>
      <c r="AI904" s="79" t="s">
        <v>3645</v>
      </c>
      <c r="AJ904" s="76">
        <f t="shared" ref="AJ904" si="793">IF(AN904=0,K904,0)</f>
        <v>0</v>
      </c>
      <c r="AK904" s="76">
        <f t="shared" ref="AK904" si="794">IF(AN904=15,K904,0)</f>
        <v>0</v>
      </c>
      <c r="AL904" s="76">
        <f t="shared" ref="AL904" si="795">IF(AN904=21,K904,0)</f>
        <v>0</v>
      </c>
      <c r="AN904" s="76">
        <v>21</v>
      </c>
      <c r="AO904" s="76">
        <f t="shared" ref="AO904" si="796">J904*0</f>
        <v>0</v>
      </c>
      <c r="AP904" s="76">
        <f t="shared" ref="AP904" si="797">J904*(1-0)</f>
        <v>0</v>
      </c>
      <c r="AQ904" s="77" t="s">
        <v>7</v>
      </c>
      <c r="AV904" s="76">
        <f t="shared" ref="AV904" si="798">AW904+AX904</f>
        <v>0</v>
      </c>
      <c r="AW904" s="76">
        <f t="shared" ref="AW904" si="799">I904*AO904</f>
        <v>0</v>
      </c>
      <c r="AX904" s="76">
        <f t="shared" ref="AX904" si="800">I904*AP904</f>
        <v>0</v>
      </c>
      <c r="AY904" s="77" t="s">
        <v>3694</v>
      </c>
      <c r="AZ904" s="77" t="s">
        <v>3712</v>
      </c>
      <c r="BA904" s="79" t="s">
        <v>3729</v>
      </c>
      <c r="BC904" s="76">
        <f t="shared" ref="BC904" si="801">AW904+AX904</f>
        <v>0</v>
      </c>
      <c r="BD904" s="76">
        <f t="shared" ref="BD904" si="802">J904/(100-BE904)*100</f>
        <v>0</v>
      </c>
      <c r="BE904" s="76">
        <v>0</v>
      </c>
      <c r="BF904" s="76">
        <f>904</f>
        <v>904</v>
      </c>
      <c r="BH904" s="76">
        <f t="shared" ref="BH904" si="803">I904*AO904</f>
        <v>0</v>
      </c>
      <c r="BI904" s="76">
        <f t="shared" ref="BI904" si="804">I904*AP904</f>
        <v>0</v>
      </c>
      <c r="BJ904" s="76">
        <f t="shared" ref="BJ904" si="805">I904*J904</f>
        <v>0</v>
      </c>
    </row>
    <row r="905" spans="1:62" x14ac:dyDescent="0.2">
      <c r="A905" s="74" t="s">
        <v>851</v>
      </c>
      <c r="B905" s="5" t="s">
        <v>2030</v>
      </c>
      <c r="C905" s="135" t="s">
        <v>3237</v>
      </c>
      <c r="D905" s="136"/>
      <c r="E905" s="136"/>
      <c r="F905" s="136"/>
      <c r="G905" s="136"/>
      <c r="H905" s="5" t="s">
        <v>3622</v>
      </c>
      <c r="I905" s="18">
        <v>1</v>
      </c>
      <c r="J905" s="18">
        <v>0</v>
      </c>
      <c r="K905" s="18">
        <f t="shared" si="762"/>
        <v>0</v>
      </c>
      <c r="L905" s="28" t="s">
        <v>3635</v>
      </c>
      <c r="Z905" s="34">
        <f t="shared" si="763"/>
        <v>0</v>
      </c>
      <c r="AB905" s="34">
        <f t="shared" si="764"/>
        <v>0</v>
      </c>
      <c r="AC905" s="34">
        <f t="shared" si="765"/>
        <v>0</v>
      </c>
      <c r="AD905" s="34">
        <f t="shared" si="766"/>
        <v>0</v>
      </c>
      <c r="AE905" s="34">
        <f t="shared" si="767"/>
        <v>0</v>
      </c>
      <c r="AF905" s="34">
        <f t="shared" si="768"/>
        <v>0</v>
      </c>
      <c r="AG905" s="34">
        <f t="shared" si="769"/>
        <v>0</v>
      </c>
      <c r="AH905" s="34">
        <f t="shared" si="770"/>
        <v>0</v>
      </c>
      <c r="AI905" s="27" t="s">
        <v>3645</v>
      </c>
      <c r="AJ905" s="18">
        <f t="shared" si="771"/>
        <v>0</v>
      </c>
      <c r="AK905" s="18">
        <f t="shared" si="772"/>
        <v>0</v>
      </c>
      <c r="AL905" s="18">
        <f t="shared" si="773"/>
        <v>0</v>
      </c>
      <c r="AN905" s="34">
        <v>21</v>
      </c>
      <c r="AO905" s="34">
        <f t="shared" si="774"/>
        <v>0</v>
      </c>
      <c r="AP905" s="34">
        <f t="shared" si="775"/>
        <v>0</v>
      </c>
      <c r="AQ905" s="28" t="s">
        <v>7</v>
      </c>
      <c r="AV905" s="34">
        <f t="shared" si="776"/>
        <v>0</v>
      </c>
      <c r="AW905" s="34">
        <f t="shared" si="777"/>
        <v>0</v>
      </c>
      <c r="AX905" s="34">
        <f t="shared" si="778"/>
        <v>0</v>
      </c>
      <c r="AY905" s="35" t="s">
        <v>3694</v>
      </c>
      <c r="AZ905" s="35" t="s">
        <v>3712</v>
      </c>
      <c r="BA905" s="27" t="s">
        <v>3729</v>
      </c>
      <c r="BC905" s="34">
        <f t="shared" si="779"/>
        <v>0</v>
      </c>
      <c r="BD905" s="34">
        <f t="shared" si="780"/>
        <v>0</v>
      </c>
      <c r="BE905" s="34">
        <v>0</v>
      </c>
      <c r="BF905" s="34">
        <f>904</f>
        <v>904</v>
      </c>
      <c r="BH905" s="18">
        <f t="shared" si="781"/>
        <v>0</v>
      </c>
      <c r="BI905" s="18">
        <f t="shared" si="782"/>
        <v>0</v>
      </c>
      <c r="BJ905" s="18">
        <f t="shared" si="783"/>
        <v>0</v>
      </c>
    </row>
    <row r="906" spans="1:62" x14ac:dyDescent="0.2">
      <c r="A906" s="74" t="s">
        <v>852</v>
      </c>
      <c r="B906" s="5" t="s">
        <v>2031</v>
      </c>
      <c r="C906" s="135" t="s">
        <v>3238</v>
      </c>
      <c r="D906" s="136"/>
      <c r="E906" s="136"/>
      <c r="F906" s="136"/>
      <c r="G906" s="136"/>
      <c r="H906" s="5" t="s">
        <v>3619</v>
      </c>
      <c r="I906" s="18">
        <v>8</v>
      </c>
      <c r="J906" s="18">
        <v>0</v>
      </c>
      <c r="K906" s="18">
        <f t="shared" si="762"/>
        <v>0</v>
      </c>
      <c r="L906" s="28" t="s">
        <v>3635</v>
      </c>
      <c r="Z906" s="34">
        <f t="shared" si="763"/>
        <v>0</v>
      </c>
      <c r="AB906" s="34">
        <f t="shared" si="764"/>
        <v>0</v>
      </c>
      <c r="AC906" s="34">
        <f t="shared" si="765"/>
        <v>0</v>
      </c>
      <c r="AD906" s="34">
        <f t="shared" si="766"/>
        <v>0</v>
      </c>
      <c r="AE906" s="34">
        <f t="shared" si="767"/>
        <v>0</v>
      </c>
      <c r="AF906" s="34">
        <f t="shared" si="768"/>
        <v>0</v>
      </c>
      <c r="AG906" s="34">
        <f t="shared" si="769"/>
        <v>0</v>
      </c>
      <c r="AH906" s="34">
        <f t="shared" si="770"/>
        <v>0</v>
      </c>
      <c r="AI906" s="27" t="s">
        <v>3645</v>
      </c>
      <c r="AJ906" s="18">
        <f t="shared" si="771"/>
        <v>0</v>
      </c>
      <c r="AK906" s="18">
        <f t="shared" si="772"/>
        <v>0</v>
      </c>
      <c r="AL906" s="18">
        <f t="shared" si="773"/>
        <v>0</v>
      </c>
      <c r="AN906" s="34">
        <v>21</v>
      </c>
      <c r="AO906" s="34">
        <f t="shared" si="774"/>
        <v>0</v>
      </c>
      <c r="AP906" s="34">
        <f t="shared" si="775"/>
        <v>0</v>
      </c>
      <c r="AQ906" s="28" t="s">
        <v>7</v>
      </c>
      <c r="AV906" s="34">
        <f t="shared" si="776"/>
        <v>0</v>
      </c>
      <c r="AW906" s="34">
        <f t="shared" si="777"/>
        <v>0</v>
      </c>
      <c r="AX906" s="34">
        <f t="shared" si="778"/>
        <v>0</v>
      </c>
      <c r="AY906" s="35" t="s">
        <v>3694</v>
      </c>
      <c r="AZ906" s="35" t="s">
        <v>3712</v>
      </c>
      <c r="BA906" s="27" t="s">
        <v>3729</v>
      </c>
      <c r="BC906" s="34">
        <f t="shared" si="779"/>
        <v>0</v>
      </c>
      <c r="BD906" s="34">
        <f t="shared" si="780"/>
        <v>0</v>
      </c>
      <c r="BE906" s="34">
        <v>0</v>
      </c>
      <c r="BF906" s="34">
        <f>905</f>
        <v>905</v>
      </c>
      <c r="BH906" s="18">
        <f t="shared" si="781"/>
        <v>0</v>
      </c>
      <c r="BI906" s="18">
        <f t="shared" si="782"/>
        <v>0</v>
      </c>
      <c r="BJ906" s="18">
        <f t="shared" si="783"/>
        <v>0</v>
      </c>
    </row>
    <row r="907" spans="1:62" x14ac:dyDescent="0.2">
      <c r="A907" s="74" t="s">
        <v>853</v>
      </c>
      <c r="B907" s="5" t="s">
        <v>2032</v>
      </c>
      <c r="C907" s="135" t="s">
        <v>3239</v>
      </c>
      <c r="D907" s="136"/>
      <c r="E907" s="136"/>
      <c r="F907" s="136"/>
      <c r="G907" s="136"/>
      <c r="H907" s="5" t="s">
        <v>3614</v>
      </c>
      <c r="I907" s="18">
        <v>940</v>
      </c>
      <c r="J907" s="18">
        <v>0</v>
      </c>
      <c r="K907" s="18">
        <f t="shared" si="762"/>
        <v>0</v>
      </c>
      <c r="L907" s="28" t="s">
        <v>3635</v>
      </c>
      <c r="Z907" s="34">
        <f t="shared" si="763"/>
        <v>0</v>
      </c>
      <c r="AB907" s="34">
        <f t="shared" si="764"/>
        <v>0</v>
      </c>
      <c r="AC907" s="34">
        <f t="shared" si="765"/>
        <v>0</v>
      </c>
      <c r="AD907" s="34">
        <f t="shared" si="766"/>
        <v>0</v>
      </c>
      <c r="AE907" s="34">
        <f t="shared" si="767"/>
        <v>0</v>
      </c>
      <c r="AF907" s="34">
        <f t="shared" si="768"/>
        <v>0</v>
      </c>
      <c r="AG907" s="34">
        <f t="shared" si="769"/>
        <v>0</v>
      </c>
      <c r="AH907" s="34">
        <f t="shared" si="770"/>
        <v>0</v>
      </c>
      <c r="AI907" s="27" t="s">
        <v>3645</v>
      </c>
      <c r="AJ907" s="18">
        <f t="shared" si="771"/>
        <v>0</v>
      </c>
      <c r="AK907" s="18">
        <f t="shared" si="772"/>
        <v>0</v>
      </c>
      <c r="AL907" s="18">
        <f t="shared" si="773"/>
        <v>0</v>
      </c>
      <c r="AN907" s="34">
        <v>21</v>
      </c>
      <c r="AO907" s="34">
        <f t="shared" si="774"/>
        <v>0</v>
      </c>
      <c r="AP907" s="34">
        <f t="shared" si="775"/>
        <v>0</v>
      </c>
      <c r="AQ907" s="28" t="s">
        <v>7</v>
      </c>
      <c r="AV907" s="34">
        <f t="shared" si="776"/>
        <v>0</v>
      </c>
      <c r="AW907" s="34">
        <f t="shared" si="777"/>
        <v>0</v>
      </c>
      <c r="AX907" s="34">
        <f t="shared" si="778"/>
        <v>0</v>
      </c>
      <c r="AY907" s="35" t="s">
        <v>3694</v>
      </c>
      <c r="AZ907" s="35" t="s">
        <v>3712</v>
      </c>
      <c r="BA907" s="27" t="s">
        <v>3729</v>
      </c>
      <c r="BC907" s="34">
        <f t="shared" si="779"/>
        <v>0</v>
      </c>
      <c r="BD907" s="34">
        <f t="shared" si="780"/>
        <v>0</v>
      </c>
      <c r="BE907" s="34">
        <v>0</v>
      </c>
      <c r="BF907" s="34">
        <f>906</f>
        <v>906</v>
      </c>
      <c r="BH907" s="18">
        <f t="shared" si="781"/>
        <v>0</v>
      </c>
      <c r="BI907" s="18">
        <f t="shared" si="782"/>
        <v>0</v>
      </c>
      <c r="BJ907" s="18">
        <f t="shared" si="783"/>
        <v>0</v>
      </c>
    </row>
    <row r="908" spans="1:62" x14ac:dyDescent="0.2">
      <c r="A908" s="74" t="s">
        <v>854</v>
      </c>
      <c r="B908" s="5" t="s">
        <v>2033</v>
      </c>
      <c r="C908" s="135" t="s">
        <v>3240</v>
      </c>
      <c r="D908" s="136"/>
      <c r="E908" s="136"/>
      <c r="F908" s="136"/>
      <c r="G908" s="136"/>
      <c r="H908" s="5" t="s">
        <v>3614</v>
      </c>
      <c r="I908" s="18">
        <v>940</v>
      </c>
      <c r="J908" s="18">
        <v>0</v>
      </c>
      <c r="K908" s="18">
        <f t="shared" si="762"/>
        <v>0</v>
      </c>
      <c r="L908" s="28" t="s">
        <v>3635</v>
      </c>
      <c r="Z908" s="34">
        <f t="shared" si="763"/>
        <v>0</v>
      </c>
      <c r="AB908" s="34">
        <f t="shared" si="764"/>
        <v>0</v>
      </c>
      <c r="AC908" s="34">
        <f t="shared" si="765"/>
        <v>0</v>
      </c>
      <c r="AD908" s="34">
        <f t="shared" si="766"/>
        <v>0</v>
      </c>
      <c r="AE908" s="34">
        <f t="shared" si="767"/>
        <v>0</v>
      </c>
      <c r="AF908" s="34">
        <f t="shared" si="768"/>
        <v>0</v>
      </c>
      <c r="AG908" s="34">
        <f t="shared" si="769"/>
        <v>0</v>
      </c>
      <c r="AH908" s="34">
        <f t="shared" si="770"/>
        <v>0</v>
      </c>
      <c r="AI908" s="27" t="s">
        <v>3645</v>
      </c>
      <c r="AJ908" s="18">
        <f t="shared" si="771"/>
        <v>0</v>
      </c>
      <c r="AK908" s="18">
        <f t="shared" si="772"/>
        <v>0</v>
      </c>
      <c r="AL908" s="18">
        <f t="shared" si="773"/>
        <v>0</v>
      </c>
      <c r="AN908" s="34">
        <v>21</v>
      </c>
      <c r="AO908" s="34">
        <f t="shared" si="774"/>
        <v>0</v>
      </c>
      <c r="AP908" s="34">
        <f t="shared" si="775"/>
        <v>0</v>
      </c>
      <c r="AQ908" s="28" t="s">
        <v>7</v>
      </c>
      <c r="AV908" s="34">
        <f t="shared" si="776"/>
        <v>0</v>
      </c>
      <c r="AW908" s="34">
        <f t="shared" si="777"/>
        <v>0</v>
      </c>
      <c r="AX908" s="34">
        <f t="shared" si="778"/>
        <v>0</v>
      </c>
      <c r="AY908" s="35" t="s">
        <v>3694</v>
      </c>
      <c r="AZ908" s="35" t="s">
        <v>3712</v>
      </c>
      <c r="BA908" s="27" t="s">
        <v>3729</v>
      </c>
      <c r="BC908" s="34">
        <f t="shared" si="779"/>
        <v>0</v>
      </c>
      <c r="BD908" s="34">
        <f t="shared" si="780"/>
        <v>0</v>
      </c>
      <c r="BE908" s="34">
        <v>0</v>
      </c>
      <c r="BF908" s="34">
        <f>907</f>
        <v>907</v>
      </c>
      <c r="BH908" s="18">
        <f t="shared" si="781"/>
        <v>0</v>
      </c>
      <c r="BI908" s="18">
        <f t="shared" si="782"/>
        <v>0</v>
      </c>
      <c r="BJ908" s="18">
        <f t="shared" si="783"/>
        <v>0</v>
      </c>
    </row>
    <row r="909" spans="1:62" x14ac:dyDescent="0.2">
      <c r="A909" s="74" t="s">
        <v>855</v>
      </c>
      <c r="B909" s="5" t="s">
        <v>2034</v>
      </c>
      <c r="C909" s="135" t="s">
        <v>3241</v>
      </c>
      <c r="D909" s="136"/>
      <c r="E909" s="136"/>
      <c r="F909" s="136"/>
      <c r="G909" s="136"/>
      <c r="H909" s="5" t="s">
        <v>3622</v>
      </c>
      <c r="I909" s="18">
        <v>321</v>
      </c>
      <c r="J909" s="18">
        <v>0</v>
      </c>
      <c r="K909" s="18">
        <f t="shared" si="762"/>
        <v>0</v>
      </c>
      <c r="L909" s="28" t="s">
        <v>3635</v>
      </c>
      <c r="Z909" s="34">
        <f t="shared" si="763"/>
        <v>0</v>
      </c>
      <c r="AB909" s="34">
        <f t="shared" si="764"/>
        <v>0</v>
      </c>
      <c r="AC909" s="34">
        <f t="shared" si="765"/>
        <v>0</v>
      </c>
      <c r="AD909" s="34">
        <f t="shared" si="766"/>
        <v>0</v>
      </c>
      <c r="AE909" s="34">
        <f t="shared" si="767"/>
        <v>0</v>
      </c>
      <c r="AF909" s="34">
        <f t="shared" si="768"/>
        <v>0</v>
      </c>
      <c r="AG909" s="34">
        <f t="shared" si="769"/>
        <v>0</v>
      </c>
      <c r="AH909" s="34">
        <f t="shared" si="770"/>
        <v>0</v>
      </c>
      <c r="AI909" s="27" t="s">
        <v>3645</v>
      </c>
      <c r="AJ909" s="18">
        <f t="shared" si="771"/>
        <v>0</v>
      </c>
      <c r="AK909" s="18">
        <f t="shared" si="772"/>
        <v>0</v>
      </c>
      <c r="AL909" s="18">
        <f t="shared" si="773"/>
        <v>0</v>
      </c>
      <c r="AN909" s="34">
        <v>21</v>
      </c>
      <c r="AO909" s="34">
        <f t="shared" si="774"/>
        <v>0</v>
      </c>
      <c r="AP909" s="34">
        <f t="shared" si="775"/>
        <v>0</v>
      </c>
      <c r="AQ909" s="28" t="s">
        <v>7</v>
      </c>
      <c r="AV909" s="34">
        <f t="shared" si="776"/>
        <v>0</v>
      </c>
      <c r="AW909" s="34">
        <f t="shared" si="777"/>
        <v>0</v>
      </c>
      <c r="AX909" s="34">
        <f t="shared" si="778"/>
        <v>0</v>
      </c>
      <c r="AY909" s="35" t="s">
        <v>3694</v>
      </c>
      <c r="AZ909" s="35" t="s">
        <v>3712</v>
      </c>
      <c r="BA909" s="27" t="s">
        <v>3729</v>
      </c>
      <c r="BC909" s="34">
        <f t="shared" si="779"/>
        <v>0</v>
      </c>
      <c r="BD909" s="34">
        <f t="shared" si="780"/>
        <v>0</v>
      </c>
      <c r="BE909" s="34">
        <v>0</v>
      </c>
      <c r="BF909" s="34">
        <f>908</f>
        <v>908</v>
      </c>
      <c r="BH909" s="18">
        <f t="shared" si="781"/>
        <v>0</v>
      </c>
      <c r="BI909" s="18">
        <f t="shared" si="782"/>
        <v>0</v>
      </c>
      <c r="BJ909" s="18">
        <f t="shared" si="783"/>
        <v>0</v>
      </c>
    </row>
    <row r="910" spans="1:62" x14ac:dyDescent="0.2">
      <c r="A910" s="74" t="s">
        <v>856</v>
      </c>
      <c r="B910" s="5" t="s">
        <v>2035</v>
      </c>
      <c r="C910" s="135" t="s">
        <v>3242</v>
      </c>
      <c r="D910" s="136"/>
      <c r="E910" s="136"/>
      <c r="F910" s="136"/>
      <c r="G910" s="136"/>
      <c r="H910" s="5" t="s">
        <v>3612</v>
      </c>
      <c r="I910" s="18">
        <v>49</v>
      </c>
      <c r="J910" s="18">
        <v>0</v>
      </c>
      <c r="K910" s="18">
        <f t="shared" si="762"/>
        <v>0</v>
      </c>
      <c r="L910" s="28" t="s">
        <v>3635</v>
      </c>
      <c r="Z910" s="34">
        <f t="shared" si="763"/>
        <v>0</v>
      </c>
      <c r="AB910" s="34">
        <f t="shared" si="764"/>
        <v>0</v>
      </c>
      <c r="AC910" s="34">
        <f t="shared" si="765"/>
        <v>0</v>
      </c>
      <c r="AD910" s="34">
        <f t="shared" si="766"/>
        <v>0</v>
      </c>
      <c r="AE910" s="34">
        <f t="shared" si="767"/>
        <v>0</v>
      </c>
      <c r="AF910" s="34">
        <f t="shared" si="768"/>
        <v>0</v>
      </c>
      <c r="AG910" s="34">
        <f t="shared" si="769"/>
        <v>0</v>
      </c>
      <c r="AH910" s="34">
        <f t="shared" si="770"/>
        <v>0</v>
      </c>
      <c r="AI910" s="27" t="s">
        <v>3645</v>
      </c>
      <c r="AJ910" s="18">
        <f t="shared" si="771"/>
        <v>0</v>
      </c>
      <c r="AK910" s="18">
        <f t="shared" si="772"/>
        <v>0</v>
      </c>
      <c r="AL910" s="18">
        <f t="shared" si="773"/>
        <v>0</v>
      </c>
      <c r="AN910" s="34">
        <v>21</v>
      </c>
      <c r="AO910" s="34">
        <f t="shared" si="774"/>
        <v>0</v>
      </c>
      <c r="AP910" s="34">
        <f t="shared" si="775"/>
        <v>0</v>
      </c>
      <c r="AQ910" s="28" t="s">
        <v>7</v>
      </c>
      <c r="AV910" s="34">
        <f t="shared" si="776"/>
        <v>0</v>
      </c>
      <c r="AW910" s="34">
        <f t="shared" si="777"/>
        <v>0</v>
      </c>
      <c r="AX910" s="34">
        <f t="shared" si="778"/>
        <v>0</v>
      </c>
      <c r="AY910" s="35" t="s">
        <v>3694</v>
      </c>
      <c r="AZ910" s="35" t="s">
        <v>3712</v>
      </c>
      <c r="BA910" s="27" t="s">
        <v>3729</v>
      </c>
      <c r="BC910" s="34">
        <f t="shared" si="779"/>
        <v>0</v>
      </c>
      <c r="BD910" s="34">
        <f t="shared" si="780"/>
        <v>0</v>
      </c>
      <c r="BE910" s="34">
        <v>0</v>
      </c>
      <c r="BF910" s="34">
        <f>909</f>
        <v>909</v>
      </c>
      <c r="BH910" s="18">
        <f t="shared" si="781"/>
        <v>0</v>
      </c>
      <c r="BI910" s="18">
        <f t="shared" si="782"/>
        <v>0</v>
      </c>
      <c r="BJ910" s="18">
        <f t="shared" si="783"/>
        <v>0</v>
      </c>
    </row>
    <row r="911" spans="1:62" x14ac:dyDescent="0.2">
      <c r="A911" s="74" t="s">
        <v>857</v>
      </c>
      <c r="B911" s="5" t="s">
        <v>2036</v>
      </c>
      <c r="C911" s="135" t="s">
        <v>3243</v>
      </c>
      <c r="D911" s="136"/>
      <c r="E911" s="136"/>
      <c r="F911" s="136"/>
      <c r="G911" s="136"/>
      <c r="H911" s="5" t="s">
        <v>3612</v>
      </c>
      <c r="I911" s="18">
        <v>12</v>
      </c>
      <c r="J911" s="18">
        <v>0</v>
      </c>
      <c r="K911" s="18">
        <f t="shared" si="762"/>
        <v>0</v>
      </c>
      <c r="L911" s="28" t="s">
        <v>3635</v>
      </c>
      <c r="Z911" s="34">
        <f t="shared" si="763"/>
        <v>0</v>
      </c>
      <c r="AB911" s="34">
        <f t="shared" si="764"/>
        <v>0</v>
      </c>
      <c r="AC911" s="34">
        <f t="shared" si="765"/>
        <v>0</v>
      </c>
      <c r="AD911" s="34">
        <f t="shared" si="766"/>
        <v>0</v>
      </c>
      <c r="AE911" s="34">
        <f t="shared" si="767"/>
        <v>0</v>
      </c>
      <c r="AF911" s="34">
        <f t="shared" si="768"/>
        <v>0</v>
      </c>
      <c r="AG911" s="34">
        <f t="shared" si="769"/>
        <v>0</v>
      </c>
      <c r="AH911" s="34">
        <f t="shared" si="770"/>
        <v>0</v>
      </c>
      <c r="AI911" s="27" t="s">
        <v>3645</v>
      </c>
      <c r="AJ911" s="18">
        <f t="shared" si="771"/>
        <v>0</v>
      </c>
      <c r="AK911" s="18">
        <f t="shared" si="772"/>
        <v>0</v>
      </c>
      <c r="AL911" s="18">
        <f t="shared" si="773"/>
        <v>0</v>
      </c>
      <c r="AN911" s="34">
        <v>21</v>
      </c>
      <c r="AO911" s="34">
        <f t="shared" si="774"/>
        <v>0</v>
      </c>
      <c r="AP911" s="34">
        <f t="shared" si="775"/>
        <v>0</v>
      </c>
      <c r="AQ911" s="28" t="s">
        <v>7</v>
      </c>
      <c r="AV911" s="34">
        <f t="shared" si="776"/>
        <v>0</v>
      </c>
      <c r="AW911" s="34">
        <f t="shared" si="777"/>
        <v>0</v>
      </c>
      <c r="AX911" s="34">
        <f t="shared" si="778"/>
        <v>0</v>
      </c>
      <c r="AY911" s="35" t="s">
        <v>3694</v>
      </c>
      <c r="AZ911" s="35" t="s">
        <v>3712</v>
      </c>
      <c r="BA911" s="27" t="s">
        <v>3729</v>
      </c>
      <c r="BC911" s="34">
        <f t="shared" si="779"/>
        <v>0</v>
      </c>
      <c r="BD911" s="34">
        <f t="shared" si="780"/>
        <v>0</v>
      </c>
      <c r="BE911" s="34">
        <v>0</v>
      </c>
      <c r="BF911" s="34">
        <f>910</f>
        <v>910</v>
      </c>
      <c r="BH911" s="18">
        <f t="shared" si="781"/>
        <v>0</v>
      </c>
      <c r="BI911" s="18">
        <f t="shared" si="782"/>
        <v>0</v>
      </c>
      <c r="BJ911" s="18">
        <f t="shared" si="783"/>
        <v>0</v>
      </c>
    </row>
    <row r="912" spans="1:62" x14ac:dyDescent="0.2">
      <c r="A912" s="74" t="s">
        <v>858</v>
      </c>
      <c r="B912" s="5" t="s">
        <v>2037</v>
      </c>
      <c r="C912" s="135" t="s">
        <v>3244</v>
      </c>
      <c r="D912" s="136"/>
      <c r="E912" s="136"/>
      <c r="F912" s="136"/>
      <c r="G912" s="136"/>
      <c r="H912" s="5" t="s">
        <v>3623</v>
      </c>
      <c r="I912" s="18">
        <v>12</v>
      </c>
      <c r="J912" s="18">
        <v>0</v>
      </c>
      <c r="K912" s="18">
        <f t="shared" si="762"/>
        <v>0</v>
      </c>
      <c r="L912" s="28" t="s">
        <v>3635</v>
      </c>
      <c r="Z912" s="34">
        <f t="shared" si="763"/>
        <v>0</v>
      </c>
      <c r="AB912" s="34">
        <f t="shared" si="764"/>
        <v>0</v>
      </c>
      <c r="AC912" s="34">
        <f t="shared" si="765"/>
        <v>0</v>
      </c>
      <c r="AD912" s="34">
        <f t="shared" si="766"/>
        <v>0</v>
      </c>
      <c r="AE912" s="34">
        <f t="shared" si="767"/>
        <v>0</v>
      </c>
      <c r="AF912" s="34">
        <f t="shared" si="768"/>
        <v>0</v>
      </c>
      <c r="AG912" s="34">
        <f t="shared" si="769"/>
        <v>0</v>
      </c>
      <c r="AH912" s="34">
        <f t="shared" si="770"/>
        <v>0</v>
      </c>
      <c r="AI912" s="27" t="s">
        <v>3645</v>
      </c>
      <c r="AJ912" s="18">
        <f t="shared" si="771"/>
        <v>0</v>
      </c>
      <c r="AK912" s="18">
        <f t="shared" si="772"/>
        <v>0</v>
      </c>
      <c r="AL912" s="18">
        <f t="shared" si="773"/>
        <v>0</v>
      </c>
      <c r="AN912" s="34">
        <v>21</v>
      </c>
      <c r="AO912" s="34">
        <f t="shared" si="774"/>
        <v>0</v>
      </c>
      <c r="AP912" s="34">
        <f t="shared" si="775"/>
        <v>0</v>
      </c>
      <c r="AQ912" s="28" t="s">
        <v>7</v>
      </c>
      <c r="AV912" s="34">
        <f t="shared" si="776"/>
        <v>0</v>
      </c>
      <c r="AW912" s="34">
        <f t="shared" si="777"/>
        <v>0</v>
      </c>
      <c r="AX912" s="34">
        <f t="shared" si="778"/>
        <v>0</v>
      </c>
      <c r="AY912" s="35" t="s">
        <v>3694</v>
      </c>
      <c r="AZ912" s="35" t="s">
        <v>3712</v>
      </c>
      <c r="BA912" s="27" t="s">
        <v>3729</v>
      </c>
      <c r="BC912" s="34">
        <f t="shared" si="779"/>
        <v>0</v>
      </c>
      <c r="BD912" s="34">
        <f t="shared" si="780"/>
        <v>0</v>
      </c>
      <c r="BE912" s="34">
        <v>0</v>
      </c>
      <c r="BF912" s="34">
        <f>911</f>
        <v>911</v>
      </c>
      <c r="BH912" s="18">
        <f t="shared" si="781"/>
        <v>0</v>
      </c>
      <c r="BI912" s="18">
        <f t="shared" si="782"/>
        <v>0</v>
      </c>
      <c r="BJ912" s="18">
        <f t="shared" si="783"/>
        <v>0</v>
      </c>
    </row>
    <row r="913" spans="1:62" x14ac:dyDescent="0.2">
      <c r="A913" s="74" t="s">
        <v>859</v>
      </c>
      <c r="B913" s="5" t="s">
        <v>2038</v>
      </c>
      <c r="C913" s="135" t="s">
        <v>3245</v>
      </c>
      <c r="D913" s="136"/>
      <c r="E913" s="136"/>
      <c r="F913" s="136"/>
      <c r="G913" s="136"/>
      <c r="H913" s="5" t="s">
        <v>3614</v>
      </c>
      <c r="I913" s="18">
        <v>40</v>
      </c>
      <c r="J913" s="18">
        <v>0</v>
      </c>
      <c r="K913" s="18">
        <f t="shared" si="762"/>
        <v>0</v>
      </c>
      <c r="L913" s="28" t="s">
        <v>3635</v>
      </c>
      <c r="Z913" s="34">
        <f t="shared" si="763"/>
        <v>0</v>
      </c>
      <c r="AB913" s="34">
        <f t="shared" si="764"/>
        <v>0</v>
      </c>
      <c r="AC913" s="34">
        <f t="shared" si="765"/>
        <v>0</v>
      </c>
      <c r="AD913" s="34">
        <f t="shared" si="766"/>
        <v>0</v>
      </c>
      <c r="AE913" s="34">
        <f t="shared" si="767"/>
        <v>0</v>
      </c>
      <c r="AF913" s="34">
        <f t="shared" si="768"/>
        <v>0</v>
      </c>
      <c r="AG913" s="34">
        <f t="shared" si="769"/>
        <v>0</v>
      </c>
      <c r="AH913" s="34">
        <f t="shared" si="770"/>
        <v>0</v>
      </c>
      <c r="AI913" s="27" t="s">
        <v>3645</v>
      </c>
      <c r="AJ913" s="18">
        <f t="shared" si="771"/>
        <v>0</v>
      </c>
      <c r="AK913" s="18">
        <f t="shared" si="772"/>
        <v>0</v>
      </c>
      <c r="AL913" s="18">
        <f t="shared" si="773"/>
        <v>0</v>
      </c>
      <c r="AN913" s="34">
        <v>21</v>
      </c>
      <c r="AO913" s="34">
        <f t="shared" si="774"/>
        <v>0</v>
      </c>
      <c r="AP913" s="34">
        <f t="shared" si="775"/>
        <v>0</v>
      </c>
      <c r="AQ913" s="28" t="s">
        <v>7</v>
      </c>
      <c r="AV913" s="34">
        <f t="shared" si="776"/>
        <v>0</v>
      </c>
      <c r="AW913" s="34">
        <f t="shared" si="777"/>
        <v>0</v>
      </c>
      <c r="AX913" s="34">
        <f t="shared" si="778"/>
        <v>0</v>
      </c>
      <c r="AY913" s="35" t="s">
        <v>3694</v>
      </c>
      <c r="AZ913" s="35" t="s">
        <v>3712</v>
      </c>
      <c r="BA913" s="27" t="s">
        <v>3729</v>
      </c>
      <c r="BC913" s="34">
        <f t="shared" si="779"/>
        <v>0</v>
      </c>
      <c r="BD913" s="34">
        <f t="shared" si="780"/>
        <v>0</v>
      </c>
      <c r="BE913" s="34">
        <v>0</v>
      </c>
      <c r="BF913" s="34">
        <f>912</f>
        <v>912</v>
      </c>
      <c r="BH913" s="18">
        <f t="shared" si="781"/>
        <v>0</v>
      </c>
      <c r="BI913" s="18">
        <f t="shared" si="782"/>
        <v>0</v>
      </c>
      <c r="BJ913" s="18">
        <f t="shared" si="783"/>
        <v>0</v>
      </c>
    </row>
    <row r="914" spans="1:62" x14ac:dyDescent="0.2">
      <c r="A914" s="74" t="s">
        <v>860</v>
      </c>
      <c r="B914" s="5" t="s">
        <v>2039</v>
      </c>
      <c r="C914" s="135" t="s">
        <v>3246</v>
      </c>
      <c r="D914" s="136"/>
      <c r="E914" s="136"/>
      <c r="F914" s="136"/>
      <c r="G914" s="136"/>
      <c r="H914" s="5" t="s">
        <v>3614</v>
      </c>
      <c r="I914" s="18">
        <v>40</v>
      </c>
      <c r="J914" s="18">
        <v>0</v>
      </c>
      <c r="K914" s="18">
        <f t="shared" si="762"/>
        <v>0</v>
      </c>
      <c r="L914" s="28" t="s">
        <v>3635</v>
      </c>
      <c r="Z914" s="34">
        <f t="shared" si="763"/>
        <v>0</v>
      </c>
      <c r="AB914" s="34">
        <f t="shared" si="764"/>
        <v>0</v>
      </c>
      <c r="AC914" s="34">
        <f t="shared" si="765"/>
        <v>0</v>
      </c>
      <c r="AD914" s="34">
        <f t="shared" si="766"/>
        <v>0</v>
      </c>
      <c r="AE914" s="34">
        <f t="shared" si="767"/>
        <v>0</v>
      </c>
      <c r="AF914" s="34">
        <f t="shared" si="768"/>
        <v>0</v>
      </c>
      <c r="AG914" s="34">
        <f t="shared" si="769"/>
        <v>0</v>
      </c>
      <c r="AH914" s="34">
        <f t="shared" si="770"/>
        <v>0</v>
      </c>
      <c r="AI914" s="27" t="s">
        <v>3645</v>
      </c>
      <c r="AJ914" s="18">
        <f t="shared" si="771"/>
        <v>0</v>
      </c>
      <c r="AK914" s="18">
        <f t="shared" si="772"/>
        <v>0</v>
      </c>
      <c r="AL914" s="18">
        <f t="shared" si="773"/>
        <v>0</v>
      </c>
      <c r="AN914" s="34">
        <v>21</v>
      </c>
      <c r="AO914" s="34">
        <f t="shared" si="774"/>
        <v>0</v>
      </c>
      <c r="AP914" s="34">
        <f t="shared" si="775"/>
        <v>0</v>
      </c>
      <c r="AQ914" s="28" t="s">
        <v>7</v>
      </c>
      <c r="AV914" s="34">
        <f t="shared" si="776"/>
        <v>0</v>
      </c>
      <c r="AW914" s="34">
        <f t="shared" si="777"/>
        <v>0</v>
      </c>
      <c r="AX914" s="34">
        <f t="shared" si="778"/>
        <v>0</v>
      </c>
      <c r="AY914" s="35" t="s">
        <v>3694</v>
      </c>
      <c r="AZ914" s="35" t="s">
        <v>3712</v>
      </c>
      <c r="BA914" s="27" t="s">
        <v>3729</v>
      </c>
      <c r="BC914" s="34">
        <f t="shared" si="779"/>
        <v>0</v>
      </c>
      <c r="BD914" s="34">
        <f t="shared" si="780"/>
        <v>0</v>
      </c>
      <c r="BE914" s="34">
        <v>0</v>
      </c>
      <c r="BF914" s="34">
        <f>913</f>
        <v>913</v>
      </c>
      <c r="BH914" s="18">
        <f t="shared" si="781"/>
        <v>0</v>
      </c>
      <c r="BI914" s="18">
        <f t="shared" si="782"/>
        <v>0</v>
      </c>
      <c r="BJ914" s="18">
        <f t="shared" si="783"/>
        <v>0</v>
      </c>
    </row>
    <row r="915" spans="1:62" x14ac:dyDescent="0.2">
      <c r="A915" s="74" t="s">
        <v>861</v>
      </c>
      <c r="B915" s="5" t="s">
        <v>2040</v>
      </c>
      <c r="C915" s="135" t="s">
        <v>3247</v>
      </c>
      <c r="D915" s="136"/>
      <c r="E915" s="136"/>
      <c r="F915" s="136"/>
      <c r="G915" s="136"/>
      <c r="H915" s="5" t="s">
        <v>3614</v>
      </c>
      <c r="I915" s="18">
        <v>60</v>
      </c>
      <c r="J915" s="18">
        <v>0</v>
      </c>
      <c r="K915" s="18">
        <f t="shared" si="762"/>
        <v>0</v>
      </c>
      <c r="L915" s="28" t="s">
        <v>3635</v>
      </c>
      <c r="Z915" s="34">
        <f t="shared" si="763"/>
        <v>0</v>
      </c>
      <c r="AB915" s="34">
        <f t="shared" si="764"/>
        <v>0</v>
      </c>
      <c r="AC915" s="34">
        <f t="shared" si="765"/>
        <v>0</v>
      </c>
      <c r="AD915" s="34">
        <f t="shared" si="766"/>
        <v>0</v>
      </c>
      <c r="AE915" s="34">
        <f t="shared" si="767"/>
        <v>0</v>
      </c>
      <c r="AF915" s="34">
        <f t="shared" si="768"/>
        <v>0</v>
      </c>
      <c r="AG915" s="34">
        <f t="shared" si="769"/>
        <v>0</v>
      </c>
      <c r="AH915" s="34">
        <f t="shared" si="770"/>
        <v>0</v>
      </c>
      <c r="AI915" s="27" t="s">
        <v>3645</v>
      </c>
      <c r="AJ915" s="18">
        <f t="shared" si="771"/>
        <v>0</v>
      </c>
      <c r="AK915" s="18">
        <f t="shared" si="772"/>
        <v>0</v>
      </c>
      <c r="AL915" s="18">
        <f t="shared" si="773"/>
        <v>0</v>
      </c>
      <c r="AN915" s="34">
        <v>21</v>
      </c>
      <c r="AO915" s="34">
        <f t="shared" si="774"/>
        <v>0</v>
      </c>
      <c r="AP915" s="34">
        <f t="shared" si="775"/>
        <v>0</v>
      </c>
      <c r="AQ915" s="28" t="s">
        <v>7</v>
      </c>
      <c r="AV915" s="34">
        <f t="shared" si="776"/>
        <v>0</v>
      </c>
      <c r="AW915" s="34">
        <f t="shared" si="777"/>
        <v>0</v>
      </c>
      <c r="AX915" s="34">
        <f t="shared" si="778"/>
        <v>0</v>
      </c>
      <c r="AY915" s="35" t="s">
        <v>3694</v>
      </c>
      <c r="AZ915" s="35" t="s">
        <v>3712</v>
      </c>
      <c r="BA915" s="27" t="s">
        <v>3729</v>
      </c>
      <c r="BC915" s="34">
        <f t="shared" si="779"/>
        <v>0</v>
      </c>
      <c r="BD915" s="34">
        <f t="shared" si="780"/>
        <v>0</v>
      </c>
      <c r="BE915" s="34">
        <v>0</v>
      </c>
      <c r="BF915" s="34">
        <f>914</f>
        <v>914</v>
      </c>
      <c r="BH915" s="18">
        <f t="shared" si="781"/>
        <v>0</v>
      </c>
      <c r="BI915" s="18">
        <f t="shared" si="782"/>
        <v>0</v>
      </c>
      <c r="BJ915" s="18">
        <f t="shared" si="783"/>
        <v>0</v>
      </c>
    </row>
    <row r="916" spans="1:62" x14ac:dyDescent="0.2">
      <c r="A916" s="74" t="s">
        <v>862</v>
      </c>
      <c r="B916" s="5" t="s">
        <v>2041</v>
      </c>
      <c r="C916" s="135" t="s">
        <v>3247</v>
      </c>
      <c r="D916" s="136"/>
      <c r="E916" s="136"/>
      <c r="F916" s="136"/>
      <c r="G916" s="136"/>
      <c r="H916" s="5" t="s">
        <v>3614</v>
      </c>
      <c r="I916" s="18">
        <v>60</v>
      </c>
      <c r="J916" s="18">
        <v>0</v>
      </c>
      <c r="K916" s="18">
        <f t="shared" si="762"/>
        <v>0</v>
      </c>
      <c r="L916" s="28" t="s">
        <v>3635</v>
      </c>
      <c r="Z916" s="34">
        <f t="shared" si="763"/>
        <v>0</v>
      </c>
      <c r="AB916" s="34">
        <f t="shared" si="764"/>
        <v>0</v>
      </c>
      <c r="AC916" s="34">
        <f t="shared" si="765"/>
        <v>0</v>
      </c>
      <c r="AD916" s="34">
        <f t="shared" si="766"/>
        <v>0</v>
      </c>
      <c r="AE916" s="34">
        <f t="shared" si="767"/>
        <v>0</v>
      </c>
      <c r="AF916" s="34">
        <f t="shared" si="768"/>
        <v>0</v>
      </c>
      <c r="AG916" s="34">
        <f t="shared" si="769"/>
        <v>0</v>
      </c>
      <c r="AH916" s="34">
        <f t="shared" si="770"/>
        <v>0</v>
      </c>
      <c r="AI916" s="27" t="s">
        <v>3645</v>
      </c>
      <c r="AJ916" s="18">
        <f t="shared" si="771"/>
        <v>0</v>
      </c>
      <c r="AK916" s="18">
        <f t="shared" si="772"/>
        <v>0</v>
      </c>
      <c r="AL916" s="18">
        <f t="shared" si="773"/>
        <v>0</v>
      </c>
      <c r="AN916" s="34">
        <v>21</v>
      </c>
      <c r="AO916" s="34">
        <f t="shared" si="774"/>
        <v>0</v>
      </c>
      <c r="AP916" s="34">
        <f t="shared" si="775"/>
        <v>0</v>
      </c>
      <c r="AQ916" s="28" t="s">
        <v>7</v>
      </c>
      <c r="AV916" s="34">
        <f t="shared" si="776"/>
        <v>0</v>
      </c>
      <c r="AW916" s="34">
        <f t="shared" si="777"/>
        <v>0</v>
      </c>
      <c r="AX916" s="34">
        <f t="shared" si="778"/>
        <v>0</v>
      </c>
      <c r="AY916" s="35" t="s">
        <v>3694</v>
      </c>
      <c r="AZ916" s="35" t="s">
        <v>3712</v>
      </c>
      <c r="BA916" s="27" t="s">
        <v>3729</v>
      </c>
      <c r="BC916" s="34">
        <f t="shared" si="779"/>
        <v>0</v>
      </c>
      <c r="BD916" s="34">
        <f t="shared" si="780"/>
        <v>0</v>
      </c>
      <c r="BE916" s="34">
        <v>0</v>
      </c>
      <c r="BF916" s="34">
        <f>915</f>
        <v>915</v>
      </c>
      <c r="BH916" s="18">
        <f t="shared" si="781"/>
        <v>0</v>
      </c>
      <c r="BI916" s="18">
        <f t="shared" si="782"/>
        <v>0</v>
      </c>
      <c r="BJ916" s="18">
        <f t="shared" si="783"/>
        <v>0</v>
      </c>
    </row>
    <row r="917" spans="1:62" x14ac:dyDescent="0.2">
      <c r="A917" s="74" t="s">
        <v>863</v>
      </c>
      <c r="B917" s="5" t="s">
        <v>1987</v>
      </c>
      <c r="C917" s="135" t="s">
        <v>3196</v>
      </c>
      <c r="D917" s="136"/>
      <c r="E917" s="136"/>
      <c r="F917" s="136"/>
      <c r="G917" s="136"/>
      <c r="H917" s="5" t="s">
        <v>3622</v>
      </c>
      <c r="I917" s="18">
        <v>4</v>
      </c>
      <c r="J917" s="18">
        <v>0</v>
      </c>
      <c r="K917" s="18">
        <f t="shared" si="762"/>
        <v>0</v>
      </c>
      <c r="L917" s="28" t="s">
        <v>3635</v>
      </c>
      <c r="Z917" s="34">
        <f t="shared" si="763"/>
        <v>0</v>
      </c>
      <c r="AB917" s="34">
        <f t="shared" si="764"/>
        <v>0</v>
      </c>
      <c r="AC917" s="34">
        <f t="shared" si="765"/>
        <v>0</v>
      </c>
      <c r="AD917" s="34">
        <f t="shared" si="766"/>
        <v>0</v>
      </c>
      <c r="AE917" s="34">
        <f t="shared" si="767"/>
        <v>0</v>
      </c>
      <c r="AF917" s="34">
        <f t="shared" si="768"/>
        <v>0</v>
      </c>
      <c r="AG917" s="34">
        <f t="shared" si="769"/>
        <v>0</v>
      </c>
      <c r="AH917" s="34">
        <f t="shared" si="770"/>
        <v>0</v>
      </c>
      <c r="AI917" s="27" t="s">
        <v>3645</v>
      </c>
      <c r="AJ917" s="18">
        <f t="shared" si="771"/>
        <v>0</v>
      </c>
      <c r="AK917" s="18">
        <f t="shared" si="772"/>
        <v>0</v>
      </c>
      <c r="AL917" s="18">
        <f t="shared" si="773"/>
        <v>0</v>
      </c>
      <c r="AN917" s="34">
        <v>21</v>
      </c>
      <c r="AO917" s="34">
        <f t="shared" si="774"/>
        <v>0</v>
      </c>
      <c r="AP917" s="34">
        <f t="shared" si="775"/>
        <v>0</v>
      </c>
      <c r="AQ917" s="28" t="s">
        <v>7</v>
      </c>
      <c r="AV917" s="34">
        <f t="shared" si="776"/>
        <v>0</v>
      </c>
      <c r="AW917" s="34">
        <f t="shared" si="777"/>
        <v>0</v>
      </c>
      <c r="AX917" s="34">
        <f t="shared" si="778"/>
        <v>0</v>
      </c>
      <c r="AY917" s="35" t="s">
        <v>3694</v>
      </c>
      <c r="AZ917" s="35" t="s">
        <v>3712</v>
      </c>
      <c r="BA917" s="27" t="s">
        <v>3729</v>
      </c>
      <c r="BC917" s="34">
        <f t="shared" si="779"/>
        <v>0</v>
      </c>
      <c r="BD917" s="34">
        <f t="shared" si="780"/>
        <v>0</v>
      </c>
      <c r="BE917" s="34">
        <v>0</v>
      </c>
      <c r="BF917" s="34">
        <f>916</f>
        <v>916</v>
      </c>
      <c r="BH917" s="18">
        <f t="shared" si="781"/>
        <v>0</v>
      </c>
      <c r="BI917" s="18">
        <f t="shared" si="782"/>
        <v>0</v>
      </c>
      <c r="BJ917" s="18">
        <f t="shared" si="783"/>
        <v>0</v>
      </c>
    </row>
    <row r="918" spans="1:62" x14ac:dyDescent="0.2">
      <c r="A918" s="74" t="s">
        <v>864</v>
      </c>
      <c r="B918" s="5" t="s">
        <v>1988</v>
      </c>
      <c r="C918" s="135" t="s">
        <v>3197</v>
      </c>
      <c r="D918" s="136"/>
      <c r="E918" s="136"/>
      <c r="F918" s="136"/>
      <c r="G918" s="136"/>
      <c r="H918" s="5" t="s">
        <v>3622</v>
      </c>
      <c r="I918" s="18">
        <v>4</v>
      </c>
      <c r="J918" s="18">
        <v>0</v>
      </c>
      <c r="K918" s="18">
        <f t="shared" si="762"/>
        <v>0</v>
      </c>
      <c r="L918" s="28" t="s">
        <v>3635</v>
      </c>
      <c r="Z918" s="34">
        <f t="shared" si="763"/>
        <v>0</v>
      </c>
      <c r="AB918" s="34">
        <f t="shared" si="764"/>
        <v>0</v>
      </c>
      <c r="AC918" s="34">
        <f t="shared" si="765"/>
        <v>0</v>
      </c>
      <c r="AD918" s="34">
        <f t="shared" si="766"/>
        <v>0</v>
      </c>
      <c r="AE918" s="34">
        <f t="shared" si="767"/>
        <v>0</v>
      </c>
      <c r="AF918" s="34">
        <f t="shared" si="768"/>
        <v>0</v>
      </c>
      <c r="AG918" s="34">
        <f t="shared" si="769"/>
        <v>0</v>
      </c>
      <c r="AH918" s="34">
        <f t="shared" si="770"/>
        <v>0</v>
      </c>
      <c r="AI918" s="27" t="s">
        <v>3645</v>
      </c>
      <c r="AJ918" s="18">
        <f t="shared" si="771"/>
        <v>0</v>
      </c>
      <c r="AK918" s="18">
        <f t="shared" si="772"/>
        <v>0</v>
      </c>
      <c r="AL918" s="18">
        <f t="shared" si="773"/>
        <v>0</v>
      </c>
      <c r="AN918" s="34">
        <v>21</v>
      </c>
      <c r="AO918" s="34">
        <f t="shared" si="774"/>
        <v>0</v>
      </c>
      <c r="AP918" s="34">
        <f t="shared" si="775"/>
        <v>0</v>
      </c>
      <c r="AQ918" s="28" t="s">
        <v>7</v>
      </c>
      <c r="AV918" s="34">
        <f t="shared" si="776"/>
        <v>0</v>
      </c>
      <c r="AW918" s="34">
        <f t="shared" si="777"/>
        <v>0</v>
      </c>
      <c r="AX918" s="34">
        <f t="shared" si="778"/>
        <v>0</v>
      </c>
      <c r="AY918" s="35" t="s">
        <v>3694</v>
      </c>
      <c r="AZ918" s="35" t="s">
        <v>3712</v>
      </c>
      <c r="BA918" s="27" t="s">
        <v>3729</v>
      </c>
      <c r="BC918" s="34">
        <f t="shared" si="779"/>
        <v>0</v>
      </c>
      <c r="BD918" s="34">
        <f t="shared" si="780"/>
        <v>0</v>
      </c>
      <c r="BE918" s="34">
        <v>0</v>
      </c>
      <c r="BF918" s="34">
        <f>917</f>
        <v>917</v>
      </c>
      <c r="BH918" s="18">
        <f t="shared" si="781"/>
        <v>0</v>
      </c>
      <c r="BI918" s="18">
        <f t="shared" si="782"/>
        <v>0</v>
      </c>
      <c r="BJ918" s="18">
        <f t="shared" si="783"/>
        <v>0</v>
      </c>
    </row>
    <row r="919" spans="1:62" x14ac:dyDescent="0.2">
      <c r="A919" s="74" t="s">
        <v>865</v>
      </c>
      <c r="B919" s="5" t="s">
        <v>2042</v>
      </c>
      <c r="C919" s="135" t="s">
        <v>3248</v>
      </c>
      <c r="D919" s="136"/>
      <c r="E919" s="136"/>
      <c r="F919" s="136"/>
      <c r="G919" s="136"/>
      <c r="H919" s="5" t="s">
        <v>3614</v>
      </c>
      <c r="I919" s="18">
        <v>530</v>
      </c>
      <c r="J919" s="18">
        <v>0</v>
      </c>
      <c r="K919" s="18">
        <f t="shared" si="762"/>
        <v>0</v>
      </c>
      <c r="L919" s="28" t="s">
        <v>3635</v>
      </c>
      <c r="Z919" s="34">
        <f t="shared" si="763"/>
        <v>0</v>
      </c>
      <c r="AB919" s="34">
        <f t="shared" si="764"/>
        <v>0</v>
      </c>
      <c r="AC919" s="34">
        <f t="shared" si="765"/>
        <v>0</v>
      </c>
      <c r="AD919" s="34">
        <f t="shared" si="766"/>
        <v>0</v>
      </c>
      <c r="AE919" s="34">
        <f t="shared" si="767"/>
        <v>0</v>
      </c>
      <c r="AF919" s="34">
        <f t="shared" si="768"/>
        <v>0</v>
      </c>
      <c r="AG919" s="34">
        <f t="shared" si="769"/>
        <v>0</v>
      </c>
      <c r="AH919" s="34">
        <f t="shared" si="770"/>
        <v>0</v>
      </c>
      <c r="AI919" s="27" t="s">
        <v>3645</v>
      </c>
      <c r="AJ919" s="18">
        <f t="shared" si="771"/>
        <v>0</v>
      </c>
      <c r="AK919" s="18">
        <f t="shared" si="772"/>
        <v>0</v>
      </c>
      <c r="AL919" s="18">
        <f t="shared" si="773"/>
        <v>0</v>
      </c>
      <c r="AN919" s="34">
        <v>21</v>
      </c>
      <c r="AO919" s="34">
        <f t="shared" si="774"/>
        <v>0</v>
      </c>
      <c r="AP919" s="34">
        <f t="shared" si="775"/>
        <v>0</v>
      </c>
      <c r="AQ919" s="28" t="s">
        <v>7</v>
      </c>
      <c r="AV919" s="34">
        <f t="shared" si="776"/>
        <v>0</v>
      </c>
      <c r="AW919" s="34">
        <f t="shared" si="777"/>
        <v>0</v>
      </c>
      <c r="AX919" s="34">
        <f t="shared" si="778"/>
        <v>0</v>
      </c>
      <c r="AY919" s="35" t="s">
        <v>3694</v>
      </c>
      <c r="AZ919" s="35" t="s">
        <v>3712</v>
      </c>
      <c r="BA919" s="27" t="s">
        <v>3729</v>
      </c>
      <c r="BC919" s="34">
        <f t="shared" si="779"/>
        <v>0</v>
      </c>
      <c r="BD919" s="34">
        <f t="shared" si="780"/>
        <v>0</v>
      </c>
      <c r="BE919" s="34">
        <v>0</v>
      </c>
      <c r="BF919" s="34">
        <f>918</f>
        <v>918</v>
      </c>
      <c r="BH919" s="18">
        <f t="shared" si="781"/>
        <v>0</v>
      </c>
      <c r="BI919" s="18">
        <f t="shared" si="782"/>
        <v>0</v>
      </c>
      <c r="BJ919" s="18">
        <f t="shared" si="783"/>
        <v>0</v>
      </c>
    </row>
    <row r="920" spans="1:62" x14ac:dyDescent="0.2">
      <c r="A920" s="74" t="s">
        <v>866</v>
      </c>
      <c r="B920" s="5" t="s">
        <v>2043</v>
      </c>
      <c r="C920" s="135" t="s">
        <v>3249</v>
      </c>
      <c r="D920" s="136"/>
      <c r="E920" s="136"/>
      <c r="F920" s="136"/>
      <c r="G920" s="136"/>
      <c r="H920" s="5" t="s">
        <v>3614</v>
      </c>
      <c r="I920" s="18">
        <v>420</v>
      </c>
      <c r="J920" s="18">
        <v>0</v>
      </c>
      <c r="K920" s="18">
        <f t="shared" si="762"/>
        <v>0</v>
      </c>
      <c r="L920" s="28" t="s">
        <v>3635</v>
      </c>
      <c r="Z920" s="34">
        <f t="shared" si="763"/>
        <v>0</v>
      </c>
      <c r="AB920" s="34">
        <f t="shared" si="764"/>
        <v>0</v>
      </c>
      <c r="AC920" s="34">
        <f t="shared" si="765"/>
        <v>0</v>
      </c>
      <c r="AD920" s="34">
        <f t="shared" si="766"/>
        <v>0</v>
      </c>
      <c r="AE920" s="34">
        <f t="shared" si="767"/>
        <v>0</v>
      </c>
      <c r="AF920" s="34">
        <f t="shared" si="768"/>
        <v>0</v>
      </c>
      <c r="AG920" s="34">
        <f t="shared" si="769"/>
        <v>0</v>
      </c>
      <c r="AH920" s="34">
        <f t="shared" si="770"/>
        <v>0</v>
      </c>
      <c r="AI920" s="27" t="s">
        <v>3645</v>
      </c>
      <c r="AJ920" s="18">
        <f t="shared" si="771"/>
        <v>0</v>
      </c>
      <c r="AK920" s="18">
        <f t="shared" si="772"/>
        <v>0</v>
      </c>
      <c r="AL920" s="18">
        <f t="shared" si="773"/>
        <v>0</v>
      </c>
      <c r="AN920" s="34">
        <v>21</v>
      </c>
      <c r="AO920" s="34">
        <f t="shared" si="774"/>
        <v>0</v>
      </c>
      <c r="AP920" s="34">
        <f t="shared" si="775"/>
        <v>0</v>
      </c>
      <c r="AQ920" s="28" t="s">
        <v>7</v>
      </c>
      <c r="AV920" s="34">
        <f t="shared" si="776"/>
        <v>0</v>
      </c>
      <c r="AW920" s="34">
        <f t="shared" si="777"/>
        <v>0</v>
      </c>
      <c r="AX920" s="34">
        <f t="shared" si="778"/>
        <v>0</v>
      </c>
      <c r="AY920" s="35" t="s">
        <v>3694</v>
      </c>
      <c r="AZ920" s="35" t="s">
        <v>3712</v>
      </c>
      <c r="BA920" s="27" t="s">
        <v>3729</v>
      </c>
      <c r="BC920" s="34">
        <f t="shared" si="779"/>
        <v>0</v>
      </c>
      <c r="BD920" s="34">
        <f t="shared" si="780"/>
        <v>0</v>
      </c>
      <c r="BE920" s="34">
        <v>0</v>
      </c>
      <c r="BF920" s="34">
        <f>919</f>
        <v>919</v>
      </c>
      <c r="BH920" s="18">
        <f t="shared" si="781"/>
        <v>0</v>
      </c>
      <c r="BI920" s="18">
        <f t="shared" si="782"/>
        <v>0</v>
      </c>
      <c r="BJ920" s="18">
        <f t="shared" si="783"/>
        <v>0</v>
      </c>
    </row>
    <row r="921" spans="1:62" x14ac:dyDescent="0.2">
      <c r="A921" s="74" t="s">
        <v>867</v>
      </c>
      <c r="B921" s="5" t="s">
        <v>2044</v>
      </c>
      <c r="C921" s="135" t="s">
        <v>3250</v>
      </c>
      <c r="D921" s="136"/>
      <c r="E921" s="136"/>
      <c r="F921" s="136"/>
      <c r="G921" s="136"/>
      <c r="H921" s="5" t="s">
        <v>3614</v>
      </c>
      <c r="I921" s="18">
        <v>110</v>
      </c>
      <c r="J921" s="18">
        <v>0</v>
      </c>
      <c r="K921" s="18">
        <f t="shared" si="762"/>
        <v>0</v>
      </c>
      <c r="L921" s="28" t="s">
        <v>3635</v>
      </c>
      <c r="Z921" s="34">
        <f t="shared" si="763"/>
        <v>0</v>
      </c>
      <c r="AB921" s="34">
        <f t="shared" si="764"/>
        <v>0</v>
      </c>
      <c r="AC921" s="34">
        <f t="shared" si="765"/>
        <v>0</v>
      </c>
      <c r="AD921" s="34">
        <f t="shared" si="766"/>
        <v>0</v>
      </c>
      <c r="AE921" s="34">
        <f t="shared" si="767"/>
        <v>0</v>
      </c>
      <c r="AF921" s="34">
        <f t="shared" si="768"/>
        <v>0</v>
      </c>
      <c r="AG921" s="34">
        <f t="shared" si="769"/>
        <v>0</v>
      </c>
      <c r="AH921" s="34">
        <f t="shared" si="770"/>
        <v>0</v>
      </c>
      <c r="AI921" s="27" t="s">
        <v>3645</v>
      </c>
      <c r="AJ921" s="18">
        <f t="shared" si="771"/>
        <v>0</v>
      </c>
      <c r="AK921" s="18">
        <f t="shared" si="772"/>
        <v>0</v>
      </c>
      <c r="AL921" s="18">
        <f t="shared" si="773"/>
        <v>0</v>
      </c>
      <c r="AN921" s="34">
        <v>21</v>
      </c>
      <c r="AO921" s="34">
        <f t="shared" si="774"/>
        <v>0</v>
      </c>
      <c r="AP921" s="34">
        <f t="shared" si="775"/>
        <v>0</v>
      </c>
      <c r="AQ921" s="28" t="s">
        <v>7</v>
      </c>
      <c r="AV921" s="34">
        <f t="shared" si="776"/>
        <v>0</v>
      </c>
      <c r="AW921" s="34">
        <f t="shared" si="777"/>
        <v>0</v>
      </c>
      <c r="AX921" s="34">
        <f t="shared" si="778"/>
        <v>0</v>
      </c>
      <c r="AY921" s="35" t="s">
        <v>3694</v>
      </c>
      <c r="AZ921" s="35" t="s">
        <v>3712</v>
      </c>
      <c r="BA921" s="27" t="s">
        <v>3729</v>
      </c>
      <c r="BC921" s="34">
        <f t="shared" si="779"/>
        <v>0</v>
      </c>
      <c r="BD921" s="34">
        <f t="shared" si="780"/>
        <v>0</v>
      </c>
      <c r="BE921" s="34">
        <v>0</v>
      </c>
      <c r="BF921" s="34">
        <f>920</f>
        <v>920</v>
      </c>
      <c r="BH921" s="18">
        <f t="shared" si="781"/>
        <v>0</v>
      </c>
      <c r="BI921" s="18">
        <f t="shared" si="782"/>
        <v>0</v>
      </c>
      <c r="BJ921" s="18">
        <f t="shared" si="783"/>
        <v>0</v>
      </c>
    </row>
    <row r="922" spans="1:62" x14ac:dyDescent="0.2">
      <c r="A922" s="74" t="s">
        <v>868</v>
      </c>
      <c r="B922" s="5" t="s">
        <v>2045</v>
      </c>
      <c r="C922" s="135" t="s">
        <v>3251</v>
      </c>
      <c r="D922" s="136"/>
      <c r="E922" s="136"/>
      <c r="F922" s="136"/>
      <c r="G922" s="136"/>
      <c r="H922" s="5" t="s">
        <v>3614</v>
      </c>
      <c r="I922" s="18">
        <v>210</v>
      </c>
      <c r="J922" s="18">
        <v>0</v>
      </c>
      <c r="K922" s="18">
        <f t="shared" si="762"/>
        <v>0</v>
      </c>
      <c r="L922" s="28" t="s">
        <v>3635</v>
      </c>
      <c r="Z922" s="34">
        <f t="shared" si="763"/>
        <v>0</v>
      </c>
      <c r="AB922" s="34">
        <f t="shared" si="764"/>
        <v>0</v>
      </c>
      <c r="AC922" s="34">
        <f t="shared" si="765"/>
        <v>0</v>
      </c>
      <c r="AD922" s="34">
        <f t="shared" si="766"/>
        <v>0</v>
      </c>
      <c r="AE922" s="34">
        <f t="shared" si="767"/>
        <v>0</v>
      </c>
      <c r="AF922" s="34">
        <f t="shared" si="768"/>
        <v>0</v>
      </c>
      <c r="AG922" s="34">
        <f t="shared" si="769"/>
        <v>0</v>
      </c>
      <c r="AH922" s="34">
        <f t="shared" si="770"/>
        <v>0</v>
      </c>
      <c r="AI922" s="27" t="s">
        <v>3645</v>
      </c>
      <c r="AJ922" s="18">
        <f t="shared" si="771"/>
        <v>0</v>
      </c>
      <c r="AK922" s="18">
        <f t="shared" si="772"/>
        <v>0</v>
      </c>
      <c r="AL922" s="18">
        <f t="shared" si="773"/>
        <v>0</v>
      </c>
      <c r="AN922" s="34">
        <v>21</v>
      </c>
      <c r="AO922" s="34">
        <f t="shared" si="774"/>
        <v>0</v>
      </c>
      <c r="AP922" s="34">
        <f t="shared" si="775"/>
        <v>0</v>
      </c>
      <c r="AQ922" s="28" t="s">
        <v>7</v>
      </c>
      <c r="AV922" s="34">
        <f t="shared" si="776"/>
        <v>0</v>
      </c>
      <c r="AW922" s="34">
        <f t="shared" si="777"/>
        <v>0</v>
      </c>
      <c r="AX922" s="34">
        <f t="shared" si="778"/>
        <v>0</v>
      </c>
      <c r="AY922" s="35" t="s">
        <v>3694</v>
      </c>
      <c r="AZ922" s="35" t="s">
        <v>3712</v>
      </c>
      <c r="BA922" s="27" t="s">
        <v>3729</v>
      </c>
      <c r="BC922" s="34">
        <f t="shared" si="779"/>
        <v>0</v>
      </c>
      <c r="BD922" s="34">
        <f t="shared" si="780"/>
        <v>0</v>
      </c>
      <c r="BE922" s="34">
        <v>0</v>
      </c>
      <c r="BF922" s="34">
        <f>921</f>
        <v>921</v>
      </c>
      <c r="BH922" s="18">
        <f t="shared" si="781"/>
        <v>0</v>
      </c>
      <c r="BI922" s="18">
        <f t="shared" si="782"/>
        <v>0</v>
      </c>
      <c r="BJ922" s="18">
        <f t="shared" si="783"/>
        <v>0</v>
      </c>
    </row>
    <row r="923" spans="1:62" x14ac:dyDescent="0.2">
      <c r="A923" s="74" t="s">
        <v>869</v>
      </c>
      <c r="B923" s="5" t="s">
        <v>2046</v>
      </c>
      <c r="C923" s="135" t="s">
        <v>3252</v>
      </c>
      <c r="D923" s="136"/>
      <c r="E923" s="136"/>
      <c r="F923" s="136"/>
      <c r="G923" s="136"/>
      <c r="H923" s="5" t="s">
        <v>3614</v>
      </c>
      <c r="I923" s="18">
        <v>210</v>
      </c>
      <c r="J923" s="18">
        <v>0</v>
      </c>
      <c r="K923" s="18">
        <f t="shared" si="762"/>
        <v>0</v>
      </c>
      <c r="L923" s="28" t="s">
        <v>3635</v>
      </c>
      <c r="Z923" s="34">
        <f t="shared" si="763"/>
        <v>0</v>
      </c>
      <c r="AB923" s="34">
        <f t="shared" si="764"/>
        <v>0</v>
      </c>
      <c r="AC923" s="34">
        <f t="shared" si="765"/>
        <v>0</v>
      </c>
      <c r="AD923" s="34">
        <f t="shared" si="766"/>
        <v>0</v>
      </c>
      <c r="AE923" s="34">
        <f t="shared" si="767"/>
        <v>0</v>
      </c>
      <c r="AF923" s="34">
        <f t="shared" si="768"/>
        <v>0</v>
      </c>
      <c r="AG923" s="34">
        <f t="shared" si="769"/>
        <v>0</v>
      </c>
      <c r="AH923" s="34">
        <f t="shared" si="770"/>
        <v>0</v>
      </c>
      <c r="AI923" s="27" t="s">
        <v>3645</v>
      </c>
      <c r="AJ923" s="18">
        <f t="shared" si="771"/>
        <v>0</v>
      </c>
      <c r="AK923" s="18">
        <f t="shared" si="772"/>
        <v>0</v>
      </c>
      <c r="AL923" s="18">
        <f t="shared" si="773"/>
        <v>0</v>
      </c>
      <c r="AN923" s="34">
        <v>21</v>
      </c>
      <c r="AO923" s="34">
        <f t="shared" si="774"/>
        <v>0</v>
      </c>
      <c r="AP923" s="34">
        <f t="shared" si="775"/>
        <v>0</v>
      </c>
      <c r="AQ923" s="28" t="s">
        <v>7</v>
      </c>
      <c r="AV923" s="34">
        <f t="shared" si="776"/>
        <v>0</v>
      </c>
      <c r="AW923" s="34">
        <f t="shared" si="777"/>
        <v>0</v>
      </c>
      <c r="AX923" s="34">
        <f t="shared" si="778"/>
        <v>0</v>
      </c>
      <c r="AY923" s="35" t="s">
        <v>3694</v>
      </c>
      <c r="AZ923" s="35" t="s">
        <v>3712</v>
      </c>
      <c r="BA923" s="27" t="s">
        <v>3729</v>
      </c>
      <c r="BC923" s="34">
        <f t="shared" si="779"/>
        <v>0</v>
      </c>
      <c r="BD923" s="34">
        <f t="shared" si="780"/>
        <v>0</v>
      </c>
      <c r="BE923" s="34">
        <v>0</v>
      </c>
      <c r="BF923" s="34">
        <f>922</f>
        <v>922</v>
      </c>
      <c r="BH923" s="18">
        <f t="shared" si="781"/>
        <v>0</v>
      </c>
      <c r="BI923" s="18">
        <f t="shared" si="782"/>
        <v>0</v>
      </c>
      <c r="BJ923" s="18">
        <f t="shared" si="783"/>
        <v>0</v>
      </c>
    </row>
    <row r="924" spans="1:62" x14ac:dyDescent="0.2">
      <c r="A924" s="74" t="s">
        <v>870</v>
      </c>
      <c r="B924" s="5" t="s">
        <v>2047</v>
      </c>
      <c r="C924" s="135" t="s">
        <v>3253</v>
      </c>
      <c r="D924" s="136"/>
      <c r="E924" s="136"/>
      <c r="F924" s="136"/>
      <c r="G924" s="136"/>
      <c r="H924" s="5" t="s">
        <v>3614</v>
      </c>
      <c r="I924" s="18">
        <v>3140</v>
      </c>
      <c r="J924" s="18">
        <v>0</v>
      </c>
      <c r="K924" s="18">
        <f t="shared" si="762"/>
        <v>0</v>
      </c>
      <c r="L924" s="28" t="s">
        <v>3635</v>
      </c>
      <c r="Z924" s="34">
        <f t="shared" si="763"/>
        <v>0</v>
      </c>
      <c r="AB924" s="34">
        <f t="shared" si="764"/>
        <v>0</v>
      </c>
      <c r="AC924" s="34">
        <f t="shared" si="765"/>
        <v>0</v>
      </c>
      <c r="AD924" s="34">
        <f t="shared" si="766"/>
        <v>0</v>
      </c>
      <c r="AE924" s="34">
        <f t="shared" si="767"/>
        <v>0</v>
      </c>
      <c r="AF924" s="34">
        <f t="shared" si="768"/>
        <v>0</v>
      </c>
      <c r="AG924" s="34">
        <f t="shared" si="769"/>
        <v>0</v>
      </c>
      <c r="AH924" s="34">
        <f t="shared" si="770"/>
        <v>0</v>
      </c>
      <c r="AI924" s="27" t="s">
        <v>3645</v>
      </c>
      <c r="AJ924" s="18">
        <f t="shared" si="771"/>
        <v>0</v>
      </c>
      <c r="AK924" s="18">
        <f t="shared" si="772"/>
        <v>0</v>
      </c>
      <c r="AL924" s="18">
        <f t="shared" si="773"/>
        <v>0</v>
      </c>
      <c r="AN924" s="34">
        <v>21</v>
      </c>
      <c r="AO924" s="34">
        <f t="shared" si="774"/>
        <v>0</v>
      </c>
      <c r="AP924" s="34">
        <f t="shared" si="775"/>
        <v>0</v>
      </c>
      <c r="AQ924" s="28" t="s">
        <v>7</v>
      </c>
      <c r="AV924" s="34">
        <f t="shared" si="776"/>
        <v>0</v>
      </c>
      <c r="AW924" s="34">
        <f t="shared" si="777"/>
        <v>0</v>
      </c>
      <c r="AX924" s="34">
        <f t="shared" si="778"/>
        <v>0</v>
      </c>
      <c r="AY924" s="35" t="s">
        <v>3694</v>
      </c>
      <c r="AZ924" s="35" t="s">
        <v>3712</v>
      </c>
      <c r="BA924" s="27" t="s">
        <v>3729</v>
      </c>
      <c r="BC924" s="34">
        <f t="shared" si="779"/>
        <v>0</v>
      </c>
      <c r="BD924" s="34">
        <f t="shared" si="780"/>
        <v>0</v>
      </c>
      <c r="BE924" s="34">
        <v>0</v>
      </c>
      <c r="BF924" s="34">
        <f>923</f>
        <v>923</v>
      </c>
      <c r="BH924" s="18">
        <f t="shared" si="781"/>
        <v>0</v>
      </c>
      <c r="BI924" s="18">
        <f t="shared" si="782"/>
        <v>0</v>
      </c>
      <c r="BJ924" s="18">
        <f t="shared" si="783"/>
        <v>0</v>
      </c>
    </row>
    <row r="925" spans="1:62" x14ac:dyDescent="0.2">
      <c r="A925" s="74" t="s">
        <v>871</v>
      </c>
      <c r="B925" s="5" t="s">
        <v>2048</v>
      </c>
      <c r="C925" s="135" t="s">
        <v>3254</v>
      </c>
      <c r="D925" s="136"/>
      <c r="E925" s="136"/>
      <c r="F925" s="136"/>
      <c r="G925" s="136"/>
      <c r="H925" s="5" t="s">
        <v>3614</v>
      </c>
      <c r="I925" s="18">
        <v>1390</v>
      </c>
      <c r="J925" s="18">
        <v>0</v>
      </c>
      <c r="K925" s="18">
        <f t="shared" si="762"/>
        <v>0</v>
      </c>
      <c r="L925" s="28" t="s">
        <v>3635</v>
      </c>
      <c r="Z925" s="34">
        <f t="shared" si="763"/>
        <v>0</v>
      </c>
      <c r="AB925" s="34">
        <f t="shared" si="764"/>
        <v>0</v>
      </c>
      <c r="AC925" s="34">
        <f t="shared" si="765"/>
        <v>0</v>
      </c>
      <c r="AD925" s="34">
        <f t="shared" si="766"/>
        <v>0</v>
      </c>
      <c r="AE925" s="34">
        <f t="shared" si="767"/>
        <v>0</v>
      </c>
      <c r="AF925" s="34">
        <f t="shared" si="768"/>
        <v>0</v>
      </c>
      <c r="AG925" s="34">
        <f t="shared" si="769"/>
        <v>0</v>
      </c>
      <c r="AH925" s="34">
        <f t="shared" si="770"/>
        <v>0</v>
      </c>
      <c r="AI925" s="27" t="s">
        <v>3645</v>
      </c>
      <c r="AJ925" s="18">
        <f t="shared" si="771"/>
        <v>0</v>
      </c>
      <c r="AK925" s="18">
        <f t="shared" si="772"/>
        <v>0</v>
      </c>
      <c r="AL925" s="18">
        <f t="shared" si="773"/>
        <v>0</v>
      </c>
      <c r="AN925" s="34">
        <v>21</v>
      </c>
      <c r="AO925" s="34">
        <f t="shared" si="774"/>
        <v>0</v>
      </c>
      <c r="AP925" s="34">
        <f t="shared" si="775"/>
        <v>0</v>
      </c>
      <c r="AQ925" s="28" t="s">
        <v>7</v>
      </c>
      <c r="AV925" s="34">
        <f t="shared" si="776"/>
        <v>0</v>
      </c>
      <c r="AW925" s="34">
        <f t="shared" si="777"/>
        <v>0</v>
      </c>
      <c r="AX925" s="34">
        <f t="shared" si="778"/>
        <v>0</v>
      </c>
      <c r="AY925" s="35" t="s">
        <v>3694</v>
      </c>
      <c r="AZ925" s="35" t="s">
        <v>3712</v>
      </c>
      <c r="BA925" s="27" t="s">
        <v>3729</v>
      </c>
      <c r="BC925" s="34">
        <f t="shared" si="779"/>
        <v>0</v>
      </c>
      <c r="BD925" s="34">
        <f t="shared" si="780"/>
        <v>0</v>
      </c>
      <c r="BE925" s="34">
        <v>0</v>
      </c>
      <c r="BF925" s="34">
        <f>924</f>
        <v>924</v>
      </c>
      <c r="BH925" s="18">
        <f t="shared" si="781"/>
        <v>0</v>
      </c>
      <c r="BI925" s="18">
        <f t="shared" si="782"/>
        <v>0</v>
      </c>
      <c r="BJ925" s="18">
        <f t="shared" si="783"/>
        <v>0</v>
      </c>
    </row>
    <row r="926" spans="1:62" x14ac:dyDescent="0.2">
      <c r="A926" s="74" t="s">
        <v>872</v>
      </c>
      <c r="B926" s="5" t="s">
        <v>2049</v>
      </c>
      <c r="C926" s="135" t="s">
        <v>3255</v>
      </c>
      <c r="D926" s="136"/>
      <c r="E926" s="136"/>
      <c r="F926" s="136"/>
      <c r="G926" s="136"/>
      <c r="H926" s="5" t="s">
        <v>3614</v>
      </c>
      <c r="I926" s="18">
        <v>110</v>
      </c>
      <c r="J926" s="18">
        <v>0</v>
      </c>
      <c r="K926" s="18">
        <f t="shared" ref="K926:K957" si="806">I926*J926</f>
        <v>0</v>
      </c>
      <c r="L926" s="28" t="s">
        <v>3635</v>
      </c>
      <c r="Z926" s="34">
        <f t="shared" ref="Z926:Z957" si="807">IF(AQ926="5",BJ926,0)</f>
        <v>0</v>
      </c>
      <c r="AB926" s="34">
        <f t="shared" ref="AB926:AB957" si="808">IF(AQ926="1",BH926,0)</f>
        <v>0</v>
      </c>
      <c r="AC926" s="34">
        <f t="shared" ref="AC926:AC957" si="809">IF(AQ926="1",BI926,0)</f>
        <v>0</v>
      </c>
      <c r="AD926" s="34">
        <f t="shared" ref="AD926:AD957" si="810">IF(AQ926="7",BH926,0)</f>
        <v>0</v>
      </c>
      <c r="AE926" s="34">
        <f t="shared" ref="AE926:AE957" si="811">IF(AQ926="7",BI926,0)</f>
        <v>0</v>
      </c>
      <c r="AF926" s="34">
        <f t="shared" ref="AF926:AF957" si="812">IF(AQ926="2",BH926,0)</f>
        <v>0</v>
      </c>
      <c r="AG926" s="34">
        <f t="shared" ref="AG926:AG957" si="813">IF(AQ926="2",BI926,0)</f>
        <v>0</v>
      </c>
      <c r="AH926" s="34">
        <f t="shared" ref="AH926:AH957" si="814">IF(AQ926="0",BJ926,0)</f>
        <v>0</v>
      </c>
      <c r="AI926" s="27" t="s">
        <v>3645</v>
      </c>
      <c r="AJ926" s="18">
        <f t="shared" ref="AJ926:AJ957" si="815">IF(AN926=0,K926,0)</f>
        <v>0</v>
      </c>
      <c r="AK926" s="18">
        <f t="shared" ref="AK926:AK957" si="816">IF(AN926=15,K926,0)</f>
        <v>0</v>
      </c>
      <c r="AL926" s="18">
        <f t="shared" ref="AL926:AL957" si="817">IF(AN926=21,K926,0)</f>
        <v>0</v>
      </c>
      <c r="AN926" s="34">
        <v>21</v>
      </c>
      <c r="AO926" s="34">
        <f t="shared" ref="AO926:AO957" si="818">J926*0</f>
        <v>0</v>
      </c>
      <c r="AP926" s="34">
        <f t="shared" ref="AP926:AP957" si="819">J926*(1-0)</f>
        <v>0</v>
      </c>
      <c r="AQ926" s="28" t="s">
        <v>7</v>
      </c>
      <c r="AV926" s="34">
        <f t="shared" ref="AV926:AV957" si="820">AW926+AX926</f>
        <v>0</v>
      </c>
      <c r="AW926" s="34">
        <f t="shared" ref="AW926:AW957" si="821">I926*AO926</f>
        <v>0</v>
      </c>
      <c r="AX926" s="34">
        <f t="shared" ref="AX926:AX957" si="822">I926*AP926</f>
        <v>0</v>
      </c>
      <c r="AY926" s="35" t="s">
        <v>3694</v>
      </c>
      <c r="AZ926" s="35" t="s">
        <v>3712</v>
      </c>
      <c r="BA926" s="27" t="s">
        <v>3729</v>
      </c>
      <c r="BC926" s="34">
        <f t="shared" ref="BC926:BC957" si="823">AW926+AX926</f>
        <v>0</v>
      </c>
      <c r="BD926" s="34">
        <f t="shared" ref="BD926:BD957" si="824">J926/(100-BE926)*100</f>
        <v>0</v>
      </c>
      <c r="BE926" s="34">
        <v>0</v>
      </c>
      <c r="BF926" s="34">
        <f>925</f>
        <v>925</v>
      </c>
      <c r="BH926" s="18">
        <f t="shared" ref="BH926:BH957" si="825">I926*AO926</f>
        <v>0</v>
      </c>
      <c r="BI926" s="18">
        <f t="shared" ref="BI926:BI957" si="826">I926*AP926</f>
        <v>0</v>
      </c>
      <c r="BJ926" s="18">
        <f t="shared" ref="BJ926:BJ957" si="827">I926*J926</f>
        <v>0</v>
      </c>
    </row>
    <row r="927" spans="1:62" x14ac:dyDescent="0.2">
      <c r="A927" s="74" t="s">
        <v>873</v>
      </c>
      <c r="B927" s="5" t="s">
        <v>2050</v>
      </c>
      <c r="C927" s="135" t="s">
        <v>3256</v>
      </c>
      <c r="D927" s="136"/>
      <c r="E927" s="136"/>
      <c r="F927" s="136"/>
      <c r="G927" s="136"/>
      <c r="H927" s="5" t="s">
        <v>3614</v>
      </c>
      <c r="I927" s="18">
        <v>540</v>
      </c>
      <c r="J927" s="18">
        <v>0</v>
      </c>
      <c r="K927" s="18">
        <f t="shared" si="806"/>
        <v>0</v>
      </c>
      <c r="L927" s="28" t="s">
        <v>3635</v>
      </c>
      <c r="Z927" s="34">
        <f t="shared" si="807"/>
        <v>0</v>
      </c>
      <c r="AB927" s="34">
        <f t="shared" si="808"/>
        <v>0</v>
      </c>
      <c r="AC927" s="34">
        <f t="shared" si="809"/>
        <v>0</v>
      </c>
      <c r="AD927" s="34">
        <f t="shared" si="810"/>
        <v>0</v>
      </c>
      <c r="AE927" s="34">
        <f t="shared" si="811"/>
        <v>0</v>
      </c>
      <c r="AF927" s="34">
        <f t="shared" si="812"/>
        <v>0</v>
      </c>
      <c r="AG927" s="34">
        <f t="shared" si="813"/>
        <v>0</v>
      </c>
      <c r="AH927" s="34">
        <f t="shared" si="814"/>
        <v>0</v>
      </c>
      <c r="AI927" s="27" t="s">
        <v>3645</v>
      </c>
      <c r="AJ927" s="18">
        <f t="shared" si="815"/>
        <v>0</v>
      </c>
      <c r="AK927" s="18">
        <f t="shared" si="816"/>
        <v>0</v>
      </c>
      <c r="AL927" s="18">
        <f t="shared" si="817"/>
        <v>0</v>
      </c>
      <c r="AN927" s="34">
        <v>21</v>
      </c>
      <c r="AO927" s="34">
        <f t="shared" si="818"/>
        <v>0</v>
      </c>
      <c r="AP927" s="34">
        <f t="shared" si="819"/>
        <v>0</v>
      </c>
      <c r="AQ927" s="28" t="s">
        <v>7</v>
      </c>
      <c r="AV927" s="34">
        <f t="shared" si="820"/>
        <v>0</v>
      </c>
      <c r="AW927" s="34">
        <f t="shared" si="821"/>
        <v>0</v>
      </c>
      <c r="AX927" s="34">
        <f t="shared" si="822"/>
        <v>0</v>
      </c>
      <c r="AY927" s="35" t="s">
        <v>3694</v>
      </c>
      <c r="AZ927" s="35" t="s">
        <v>3712</v>
      </c>
      <c r="BA927" s="27" t="s">
        <v>3729</v>
      </c>
      <c r="BC927" s="34">
        <f t="shared" si="823"/>
        <v>0</v>
      </c>
      <c r="BD927" s="34">
        <f t="shared" si="824"/>
        <v>0</v>
      </c>
      <c r="BE927" s="34">
        <v>0</v>
      </c>
      <c r="BF927" s="34">
        <f>926</f>
        <v>926</v>
      </c>
      <c r="BH927" s="18">
        <f t="shared" si="825"/>
        <v>0</v>
      </c>
      <c r="BI927" s="18">
        <f t="shared" si="826"/>
        <v>0</v>
      </c>
      <c r="BJ927" s="18">
        <f t="shared" si="827"/>
        <v>0</v>
      </c>
    </row>
    <row r="928" spans="1:62" x14ac:dyDescent="0.2">
      <c r="A928" s="74" t="s">
        <v>874</v>
      </c>
      <c r="B928" s="5" t="s">
        <v>2051</v>
      </c>
      <c r="C928" s="135" t="s">
        <v>3257</v>
      </c>
      <c r="D928" s="136"/>
      <c r="E928" s="136"/>
      <c r="F928" s="136"/>
      <c r="G928" s="136"/>
      <c r="H928" s="5" t="s">
        <v>3614</v>
      </c>
      <c r="I928" s="18">
        <v>180</v>
      </c>
      <c r="J928" s="18">
        <v>0</v>
      </c>
      <c r="K928" s="18">
        <f t="shared" si="806"/>
        <v>0</v>
      </c>
      <c r="L928" s="28" t="s">
        <v>3635</v>
      </c>
      <c r="Z928" s="34">
        <f t="shared" si="807"/>
        <v>0</v>
      </c>
      <c r="AB928" s="34">
        <f t="shared" si="808"/>
        <v>0</v>
      </c>
      <c r="AC928" s="34">
        <f t="shared" si="809"/>
        <v>0</v>
      </c>
      <c r="AD928" s="34">
        <f t="shared" si="810"/>
        <v>0</v>
      </c>
      <c r="AE928" s="34">
        <f t="shared" si="811"/>
        <v>0</v>
      </c>
      <c r="AF928" s="34">
        <f t="shared" si="812"/>
        <v>0</v>
      </c>
      <c r="AG928" s="34">
        <f t="shared" si="813"/>
        <v>0</v>
      </c>
      <c r="AH928" s="34">
        <f t="shared" si="814"/>
        <v>0</v>
      </c>
      <c r="AI928" s="27" t="s">
        <v>3645</v>
      </c>
      <c r="AJ928" s="18">
        <f t="shared" si="815"/>
        <v>0</v>
      </c>
      <c r="AK928" s="18">
        <f t="shared" si="816"/>
        <v>0</v>
      </c>
      <c r="AL928" s="18">
        <f t="shared" si="817"/>
        <v>0</v>
      </c>
      <c r="AN928" s="34">
        <v>21</v>
      </c>
      <c r="AO928" s="34">
        <f t="shared" si="818"/>
        <v>0</v>
      </c>
      <c r="AP928" s="34">
        <f t="shared" si="819"/>
        <v>0</v>
      </c>
      <c r="AQ928" s="28" t="s">
        <v>7</v>
      </c>
      <c r="AV928" s="34">
        <f t="shared" si="820"/>
        <v>0</v>
      </c>
      <c r="AW928" s="34">
        <f t="shared" si="821"/>
        <v>0</v>
      </c>
      <c r="AX928" s="34">
        <f t="shared" si="822"/>
        <v>0</v>
      </c>
      <c r="AY928" s="35" t="s">
        <v>3694</v>
      </c>
      <c r="AZ928" s="35" t="s">
        <v>3712</v>
      </c>
      <c r="BA928" s="27" t="s">
        <v>3729</v>
      </c>
      <c r="BC928" s="34">
        <f t="shared" si="823"/>
        <v>0</v>
      </c>
      <c r="BD928" s="34">
        <f t="shared" si="824"/>
        <v>0</v>
      </c>
      <c r="BE928" s="34">
        <v>0</v>
      </c>
      <c r="BF928" s="34">
        <f>927</f>
        <v>927</v>
      </c>
      <c r="BH928" s="18">
        <f t="shared" si="825"/>
        <v>0</v>
      </c>
      <c r="BI928" s="18">
        <f t="shared" si="826"/>
        <v>0</v>
      </c>
      <c r="BJ928" s="18">
        <f t="shared" si="827"/>
        <v>0</v>
      </c>
    </row>
    <row r="929" spans="1:62" x14ac:dyDescent="0.2">
      <c r="A929" s="74" t="s">
        <v>875</v>
      </c>
      <c r="B929" s="5" t="s">
        <v>2052</v>
      </c>
      <c r="C929" s="135" t="s">
        <v>3258</v>
      </c>
      <c r="D929" s="136"/>
      <c r="E929" s="136"/>
      <c r="F929" s="136"/>
      <c r="G929" s="136"/>
      <c r="H929" s="5" t="s">
        <v>3614</v>
      </c>
      <c r="I929" s="18">
        <v>340</v>
      </c>
      <c r="J929" s="18">
        <v>0</v>
      </c>
      <c r="K929" s="18">
        <f t="shared" si="806"/>
        <v>0</v>
      </c>
      <c r="L929" s="28" t="s">
        <v>3635</v>
      </c>
      <c r="Z929" s="34">
        <f t="shared" si="807"/>
        <v>0</v>
      </c>
      <c r="AB929" s="34">
        <f t="shared" si="808"/>
        <v>0</v>
      </c>
      <c r="AC929" s="34">
        <f t="shared" si="809"/>
        <v>0</v>
      </c>
      <c r="AD929" s="34">
        <f t="shared" si="810"/>
        <v>0</v>
      </c>
      <c r="AE929" s="34">
        <f t="shared" si="811"/>
        <v>0</v>
      </c>
      <c r="AF929" s="34">
        <f t="shared" si="812"/>
        <v>0</v>
      </c>
      <c r="AG929" s="34">
        <f t="shared" si="813"/>
        <v>0</v>
      </c>
      <c r="AH929" s="34">
        <f t="shared" si="814"/>
        <v>0</v>
      </c>
      <c r="AI929" s="27" t="s">
        <v>3645</v>
      </c>
      <c r="AJ929" s="18">
        <f t="shared" si="815"/>
        <v>0</v>
      </c>
      <c r="AK929" s="18">
        <f t="shared" si="816"/>
        <v>0</v>
      </c>
      <c r="AL929" s="18">
        <f t="shared" si="817"/>
        <v>0</v>
      </c>
      <c r="AN929" s="34">
        <v>21</v>
      </c>
      <c r="AO929" s="34">
        <f t="shared" si="818"/>
        <v>0</v>
      </c>
      <c r="AP929" s="34">
        <f t="shared" si="819"/>
        <v>0</v>
      </c>
      <c r="AQ929" s="28" t="s">
        <v>7</v>
      </c>
      <c r="AV929" s="34">
        <f t="shared" si="820"/>
        <v>0</v>
      </c>
      <c r="AW929" s="34">
        <f t="shared" si="821"/>
        <v>0</v>
      </c>
      <c r="AX929" s="34">
        <f t="shared" si="822"/>
        <v>0</v>
      </c>
      <c r="AY929" s="35" t="s">
        <v>3694</v>
      </c>
      <c r="AZ929" s="35" t="s">
        <v>3712</v>
      </c>
      <c r="BA929" s="27" t="s">
        <v>3729</v>
      </c>
      <c r="BC929" s="34">
        <f t="shared" si="823"/>
        <v>0</v>
      </c>
      <c r="BD929" s="34">
        <f t="shared" si="824"/>
        <v>0</v>
      </c>
      <c r="BE929" s="34">
        <v>0</v>
      </c>
      <c r="BF929" s="34">
        <f>928</f>
        <v>928</v>
      </c>
      <c r="BH929" s="18">
        <f t="shared" si="825"/>
        <v>0</v>
      </c>
      <c r="BI929" s="18">
        <f t="shared" si="826"/>
        <v>0</v>
      </c>
      <c r="BJ929" s="18">
        <f t="shared" si="827"/>
        <v>0</v>
      </c>
    </row>
    <row r="930" spans="1:62" x14ac:dyDescent="0.2">
      <c r="A930" s="74" t="s">
        <v>876</v>
      </c>
      <c r="B930" s="5" t="s">
        <v>2053</v>
      </c>
      <c r="C930" s="135" t="s">
        <v>3259</v>
      </c>
      <c r="D930" s="136"/>
      <c r="E930" s="136"/>
      <c r="F930" s="136"/>
      <c r="G930" s="136"/>
      <c r="H930" s="5" t="s">
        <v>3614</v>
      </c>
      <c r="I930" s="18">
        <v>320</v>
      </c>
      <c r="J930" s="18">
        <v>0</v>
      </c>
      <c r="K930" s="18">
        <f t="shared" si="806"/>
        <v>0</v>
      </c>
      <c r="L930" s="28" t="s">
        <v>3635</v>
      </c>
      <c r="Z930" s="34">
        <f t="shared" si="807"/>
        <v>0</v>
      </c>
      <c r="AB930" s="34">
        <f t="shared" si="808"/>
        <v>0</v>
      </c>
      <c r="AC930" s="34">
        <f t="shared" si="809"/>
        <v>0</v>
      </c>
      <c r="AD930" s="34">
        <f t="shared" si="810"/>
        <v>0</v>
      </c>
      <c r="AE930" s="34">
        <f t="shared" si="811"/>
        <v>0</v>
      </c>
      <c r="AF930" s="34">
        <f t="shared" si="812"/>
        <v>0</v>
      </c>
      <c r="AG930" s="34">
        <f t="shared" si="813"/>
        <v>0</v>
      </c>
      <c r="AH930" s="34">
        <f t="shared" si="814"/>
        <v>0</v>
      </c>
      <c r="AI930" s="27" t="s">
        <v>3645</v>
      </c>
      <c r="AJ930" s="18">
        <f t="shared" si="815"/>
        <v>0</v>
      </c>
      <c r="AK930" s="18">
        <f t="shared" si="816"/>
        <v>0</v>
      </c>
      <c r="AL930" s="18">
        <f t="shared" si="817"/>
        <v>0</v>
      </c>
      <c r="AN930" s="34">
        <v>21</v>
      </c>
      <c r="AO930" s="34">
        <f t="shared" si="818"/>
        <v>0</v>
      </c>
      <c r="AP930" s="34">
        <f t="shared" si="819"/>
        <v>0</v>
      </c>
      <c r="AQ930" s="28" t="s">
        <v>7</v>
      </c>
      <c r="AV930" s="34">
        <f t="shared" si="820"/>
        <v>0</v>
      </c>
      <c r="AW930" s="34">
        <f t="shared" si="821"/>
        <v>0</v>
      </c>
      <c r="AX930" s="34">
        <f t="shared" si="822"/>
        <v>0</v>
      </c>
      <c r="AY930" s="35" t="s">
        <v>3694</v>
      </c>
      <c r="AZ930" s="35" t="s">
        <v>3712</v>
      </c>
      <c r="BA930" s="27" t="s">
        <v>3729</v>
      </c>
      <c r="BC930" s="34">
        <f t="shared" si="823"/>
        <v>0</v>
      </c>
      <c r="BD930" s="34">
        <f t="shared" si="824"/>
        <v>0</v>
      </c>
      <c r="BE930" s="34">
        <v>0</v>
      </c>
      <c r="BF930" s="34">
        <f>929</f>
        <v>929</v>
      </c>
      <c r="BH930" s="18">
        <f t="shared" si="825"/>
        <v>0</v>
      </c>
      <c r="BI930" s="18">
        <f t="shared" si="826"/>
        <v>0</v>
      </c>
      <c r="BJ930" s="18">
        <f t="shared" si="827"/>
        <v>0</v>
      </c>
    </row>
    <row r="931" spans="1:62" x14ac:dyDescent="0.2">
      <c r="A931" s="74" t="s">
        <v>877</v>
      </c>
      <c r="B931" s="5" t="s">
        <v>2054</v>
      </c>
      <c r="C931" s="135" t="s">
        <v>3260</v>
      </c>
      <c r="D931" s="136"/>
      <c r="E931" s="136"/>
      <c r="F931" s="136"/>
      <c r="G931" s="136"/>
      <c r="H931" s="5" t="s">
        <v>3614</v>
      </c>
      <c r="I931" s="18">
        <v>260</v>
      </c>
      <c r="J931" s="18">
        <v>0</v>
      </c>
      <c r="K931" s="18">
        <f t="shared" si="806"/>
        <v>0</v>
      </c>
      <c r="L931" s="28" t="s">
        <v>3635</v>
      </c>
      <c r="Z931" s="34">
        <f t="shared" si="807"/>
        <v>0</v>
      </c>
      <c r="AB931" s="34">
        <f t="shared" si="808"/>
        <v>0</v>
      </c>
      <c r="AC931" s="34">
        <f t="shared" si="809"/>
        <v>0</v>
      </c>
      <c r="AD931" s="34">
        <f t="shared" si="810"/>
        <v>0</v>
      </c>
      <c r="AE931" s="34">
        <f t="shared" si="811"/>
        <v>0</v>
      </c>
      <c r="AF931" s="34">
        <f t="shared" si="812"/>
        <v>0</v>
      </c>
      <c r="AG931" s="34">
        <f t="shared" si="813"/>
        <v>0</v>
      </c>
      <c r="AH931" s="34">
        <f t="shared" si="814"/>
        <v>0</v>
      </c>
      <c r="AI931" s="27" t="s">
        <v>3645</v>
      </c>
      <c r="AJ931" s="18">
        <f t="shared" si="815"/>
        <v>0</v>
      </c>
      <c r="AK931" s="18">
        <f t="shared" si="816"/>
        <v>0</v>
      </c>
      <c r="AL931" s="18">
        <f t="shared" si="817"/>
        <v>0</v>
      </c>
      <c r="AN931" s="34">
        <v>21</v>
      </c>
      <c r="AO931" s="34">
        <f t="shared" si="818"/>
        <v>0</v>
      </c>
      <c r="AP931" s="34">
        <f t="shared" si="819"/>
        <v>0</v>
      </c>
      <c r="AQ931" s="28" t="s">
        <v>7</v>
      </c>
      <c r="AV931" s="34">
        <f t="shared" si="820"/>
        <v>0</v>
      </c>
      <c r="AW931" s="34">
        <f t="shared" si="821"/>
        <v>0</v>
      </c>
      <c r="AX931" s="34">
        <f t="shared" si="822"/>
        <v>0</v>
      </c>
      <c r="AY931" s="35" t="s">
        <v>3694</v>
      </c>
      <c r="AZ931" s="35" t="s">
        <v>3712</v>
      </c>
      <c r="BA931" s="27" t="s">
        <v>3729</v>
      </c>
      <c r="BC931" s="34">
        <f t="shared" si="823"/>
        <v>0</v>
      </c>
      <c r="BD931" s="34">
        <f t="shared" si="824"/>
        <v>0</v>
      </c>
      <c r="BE931" s="34">
        <v>0</v>
      </c>
      <c r="BF931" s="34">
        <f>930</f>
        <v>930</v>
      </c>
      <c r="BH931" s="18">
        <f t="shared" si="825"/>
        <v>0</v>
      </c>
      <c r="BI931" s="18">
        <f t="shared" si="826"/>
        <v>0</v>
      </c>
      <c r="BJ931" s="18">
        <f t="shared" si="827"/>
        <v>0</v>
      </c>
    </row>
    <row r="932" spans="1:62" x14ac:dyDescent="0.2">
      <c r="A932" s="74" t="s">
        <v>878</v>
      </c>
      <c r="B932" s="5" t="s">
        <v>2055</v>
      </c>
      <c r="C932" s="135" t="s">
        <v>3261</v>
      </c>
      <c r="D932" s="136"/>
      <c r="E932" s="136"/>
      <c r="F932" s="136"/>
      <c r="G932" s="136"/>
      <c r="H932" s="5" t="s">
        <v>3614</v>
      </c>
      <c r="I932" s="18">
        <v>1810</v>
      </c>
      <c r="J932" s="18">
        <v>0</v>
      </c>
      <c r="K932" s="18">
        <f t="shared" si="806"/>
        <v>0</v>
      </c>
      <c r="L932" s="28" t="s">
        <v>3635</v>
      </c>
      <c r="Z932" s="34">
        <f t="shared" si="807"/>
        <v>0</v>
      </c>
      <c r="AB932" s="34">
        <f t="shared" si="808"/>
        <v>0</v>
      </c>
      <c r="AC932" s="34">
        <f t="shared" si="809"/>
        <v>0</v>
      </c>
      <c r="AD932" s="34">
        <f t="shared" si="810"/>
        <v>0</v>
      </c>
      <c r="AE932" s="34">
        <f t="shared" si="811"/>
        <v>0</v>
      </c>
      <c r="AF932" s="34">
        <f t="shared" si="812"/>
        <v>0</v>
      </c>
      <c r="AG932" s="34">
        <f t="shared" si="813"/>
        <v>0</v>
      </c>
      <c r="AH932" s="34">
        <f t="shared" si="814"/>
        <v>0</v>
      </c>
      <c r="AI932" s="27" t="s">
        <v>3645</v>
      </c>
      <c r="AJ932" s="18">
        <f t="shared" si="815"/>
        <v>0</v>
      </c>
      <c r="AK932" s="18">
        <f t="shared" si="816"/>
        <v>0</v>
      </c>
      <c r="AL932" s="18">
        <f t="shared" si="817"/>
        <v>0</v>
      </c>
      <c r="AN932" s="34">
        <v>21</v>
      </c>
      <c r="AO932" s="34">
        <f t="shared" si="818"/>
        <v>0</v>
      </c>
      <c r="AP932" s="34">
        <f t="shared" si="819"/>
        <v>0</v>
      </c>
      <c r="AQ932" s="28" t="s">
        <v>7</v>
      </c>
      <c r="AV932" s="34">
        <f t="shared" si="820"/>
        <v>0</v>
      </c>
      <c r="AW932" s="34">
        <f t="shared" si="821"/>
        <v>0</v>
      </c>
      <c r="AX932" s="34">
        <f t="shared" si="822"/>
        <v>0</v>
      </c>
      <c r="AY932" s="35" t="s">
        <v>3694</v>
      </c>
      <c r="AZ932" s="35" t="s">
        <v>3712</v>
      </c>
      <c r="BA932" s="27" t="s">
        <v>3729</v>
      </c>
      <c r="BC932" s="34">
        <f t="shared" si="823"/>
        <v>0</v>
      </c>
      <c r="BD932" s="34">
        <f t="shared" si="824"/>
        <v>0</v>
      </c>
      <c r="BE932" s="34">
        <v>0</v>
      </c>
      <c r="BF932" s="34">
        <f>931</f>
        <v>931</v>
      </c>
      <c r="BH932" s="18">
        <f t="shared" si="825"/>
        <v>0</v>
      </c>
      <c r="BI932" s="18">
        <f t="shared" si="826"/>
        <v>0</v>
      </c>
      <c r="BJ932" s="18">
        <f t="shared" si="827"/>
        <v>0</v>
      </c>
    </row>
    <row r="933" spans="1:62" x14ac:dyDescent="0.2">
      <c r="A933" s="74" t="s">
        <v>879</v>
      </c>
      <c r="B933" s="5" t="s">
        <v>2056</v>
      </c>
      <c r="C933" s="135" t="s">
        <v>3262</v>
      </c>
      <c r="D933" s="136"/>
      <c r="E933" s="136"/>
      <c r="F933" s="136"/>
      <c r="G933" s="136"/>
      <c r="H933" s="5" t="s">
        <v>3614</v>
      </c>
      <c r="I933" s="18">
        <v>380</v>
      </c>
      <c r="J933" s="18">
        <v>0</v>
      </c>
      <c r="K933" s="18">
        <f t="shared" si="806"/>
        <v>0</v>
      </c>
      <c r="L933" s="28" t="s">
        <v>3635</v>
      </c>
      <c r="Z933" s="34">
        <f t="shared" si="807"/>
        <v>0</v>
      </c>
      <c r="AB933" s="34">
        <f t="shared" si="808"/>
        <v>0</v>
      </c>
      <c r="AC933" s="34">
        <f t="shared" si="809"/>
        <v>0</v>
      </c>
      <c r="AD933" s="34">
        <f t="shared" si="810"/>
        <v>0</v>
      </c>
      <c r="AE933" s="34">
        <f t="shared" si="811"/>
        <v>0</v>
      </c>
      <c r="AF933" s="34">
        <f t="shared" si="812"/>
        <v>0</v>
      </c>
      <c r="AG933" s="34">
        <f t="shared" si="813"/>
        <v>0</v>
      </c>
      <c r="AH933" s="34">
        <f t="shared" si="814"/>
        <v>0</v>
      </c>
      <c r="AI933" s="27" t="s">
        <v>3645</v>
      </c>
      <c r="AJ933" s="18">
        <f t="shared" si="815"/>
        <v>0</v>
      </c>
      <c r="AK933" s="18">
        <f t="shared" si="816"/>
        <v>0</v>
      </c>
      <c r="AL933" s="18">
        <f t="shared" si="817"/>
        <v>0</v>
      </c>
      <c r="AN933" s="34">
        <v>21</v>
      </c>
      <c r="AO933" s="34">
        <f t="shared" si="818"/>
        <v>0</v>
      </c>
      <c r="AP933" s="34">
        <f t="shared" si="819"/>
        <v>0</v>
      </c>
      <c r="AQ933" s="28" t="s">
        <v>7</v>
      </c>
      <c r="AV933" s="34">
        <f t="shared" si="820"/>
        <v>0</v>
      </c>
      <c r="AW933" s="34">
        <f t="shared" si="821"/>
        <v>0</v>
      </c>
      <c r="AX933" s="34">
        <f t="shared" si="822"/>
        <v>0</v>
      </c>
      <c r="AY933" s="35" t="s">
        <v>3694</v>
      </c>
      <c r="AZ933" s="35" t="s">
        <v>3712</v>
      </c>
      <c r="BA933" s="27" t="s">
        <v>3729</v>
      </c>
      <c r="BC933" s="34">
        <f t="shared" si="823"/>
        <v>0</v>
      </c>
      <c r="BD933" s="34">
        <f t="shared" si="824"/>
        <v>0</v>
      </c>
      <c r="BE933" s="34">
        <v>0</v>
      </c>
      <c r="BF933" s="34">
        <f>932</f>
        <v>932</v>
      </c>
      <c r="BH933" s="18">
        <f t="shared" si="825"/>
        <v>0</v>
      </c>
      <c r="BI933" s="18">
        <f t="shared" si="826"/>
        <v>0</v>
      </c>
      <c r="BJ933" s="18">
        <f t="shared" si="827"/>
        <v>0</v>
      </c>
    </row>
    <row r="934" spans="1:62" x14ac:dyDescent="0.2">
      <c r="A934" s="74" t="s">
        <v>880</v>
      </c>
      <c r="B934" s="5" t="s">
        <v>2057</v>
      </c>
      <c r="C934" s="135" t="s">
        <v>3263</v>
      </c>
      <c r="D934" s="136"/>
      <c r="E934" s="136"/>
      <c r="F934" s="136"/>
      <c r="G934" s="136"/>
      <c r="H934" s="5" t="s">
        <v>3614</v>
      </c>
      <c r="I934" s="18">
        <v>1430</v>
      </c>
      <c r="J934" s="18">
        <v>0</v>
      </c>
      <c r="K934" s="18">
        <f t="shared" si="806"/>
        <v>0</v>
      </c>
      <c r="L934" s="28" t="s">
        <v>3635</v>
      </c>
      <c r="Z934" s="34">
        <f t="shared" si="807"/>
        <v>0</v>
      </c>
      <c r="AB934" s="34">
        <f t="shared" si="808"/>
        <v>0</v>
      </c>
      <c r="AC934" s="34">
        <f t="shared" si="809"/>
        <v>0</v>
      </c>
      <c r="AD934" s="34">
        <f t="shared" si="810"/>
        <v>0</v>
      </c>
      <c r="AE934" s="34">
        <f t="shared" si="811"/>
        <v>0</v>
      </c>
      <c r="AF934" s="34">
        <f t="shared" si="812"/>
        <v>0</v>
      </c>
      <c r="AG934" s="34">
        <f t="shared" si="813"/>
        <v>0</v>
      </c>
      <c r="AH934" s="34">
        <f t="shared" si="814"/>
        <v>0</v>
      </c>
      <c r="AI934" s="27" t="s">
        <v>3645</v>
      </c>
      <c r="AJ934" s="18">
        <f t="shared" si="815"/>
        <v>0</v>
      </c>
      <c r="AK934" s="18">
        <f t="shared" si="816"/>
        <v>0</v>
      </c>
      <c r="AL934" s="18">
        <f t="shared" si="817"/>
        <v>0</v>
      </c>
      <c r="AN934" s="34">
        <v>21</v>
      </c>
      <c r="AO934" s="34">
        <f t="shared" si="818"/>
        <v>0</v>
      </c>
      <c r="AP934" s="34">
        <f t="shared" si="819"/>
        <v>0</v>
      </c>
      <c r="AQ934" s="28" t="s">
        <v>7</v>
      </c>
      <c r="AV934" s="34">
        <f t="shared" si="820"/>
        <v>0</v>
      </c>
      <c r="AW934" s="34">
        <f t="shared" si="821"/>
        <v>0</v>
      </c>
      <c r="AX934" s="34">
        <f t="shared" si="822"/>
        <v>0</v>
      </c>
      <c r="AY934" s="35" t="s">
        <v>3694</v>
      </c>
      <c r="AZ934" s="35" t="s">
        <v>3712</v>
      </c>
      <c r="BA934" s="27" t="s">
        <v>3729</v>
      </c>
      <c r="BC934" s="34">
        <f t="shared" si="823"/>
        <v>0</v>
      </c>
      <c r="BD934" s="34">
        <f t="shared" si="824"/>
        <v>0</v>
      </c>
      <c r="BE934" s="34">
        <v>0</v>
      </c>
      <c r="BF934" s="34">
        <f>933</f>
        <v>933</v>
      </c>
      <c r="BH934" s="18">
        <f t="shared" si="825"/>
        <v>0</v>
      </c>
      <c r="BI934" s="18">
        <f t="shared" si="826"/>
        <v>0</v>
      </c>
      <c r="BJ934" s="18">
        <f t="shared" si="827"/>
        <v>0</v>
      </c>
    </row>
    <row r="935" spans="1:62" x14ac:dyDescent="0.2">
      <c r="A935" s="74" t="s">
        <v>881</v>
      </c>
      <c r="B935" s="5" t="s">
        <v>2058</v>
      </c>
      <c r="C935" s="135" t="s">
        <v>3264</v>
      </c>
      <c r="D935" s="136"/>
      <c r="E935" s="136"/>
      <c r="F935" s="136"/>
      <c r="G935" s="136"/>
      <c r="H935" s="5" t="s">
        <v>3614</v>
      </c>
      <c r="I935" s="18">
        <v>232</v>
      </c>
      <c r="J935" s="18">
        <v>0</v>
      </c>
      <c r="K935" s="18">
        <f t="shared" si="806"/>
        <v>0</v>
      </c>
      <c r="L935" s="28" t="s">
        <v>3635</v>
      </c>
      <c r="Z935" s="34">
        <f t="shared" si="807"/>
        <v>0</v>
      </c>
      <c r="AB935" s="34">
        <f t="shared" si="808"/>
        <v>0</v>
      </c>
      <c r="AC935" s="34">
        <f t="shared" si="809"/>
        <v>0</v>
      </c>
      <c r="AD935" s="34">
        <f t="shared" si="810"/>
        <v>0</v>
      </c>
      <c r="AE935" s="34">
        <f t="shared" si="811"/>
        <v>0</v>
      </c>
      <c r="AF935" s="34">
        <f t="shared" si="812"/>
        <v>0</v>
      </c>
      <c r="AG935" s="34">
        <f t="shared" si="813"/>
        <v>0</v>
      </c>
      <c r="AH935" s="34">
        <f t="shared" si="814"/>
        <v>0</v>
      </c>
      <c r="AI935" s="27" t="s">
        <v>3645</v>
      </c>
      <c r="AJ935" s="18">
        <f t="shared" si="815"/>
        <v>0</v>
      </c>
      <c r="AK935" s="18">
        <f t="shared" si="816"/>
        <v>0</v>
      </c>
      <c r="AL935" s="18">
        <f t="shared" si="817"/>
        <v>0</v>
      </c>
      <c r="AN935" s="34">
        <v>21</v>
      </c>
      <c r="AO935" s="34">
        <f t="shared" si="818"/>
        <v>0</v>
      </c>
      <c r="AP935" s="34">
        <f t="shared" si="819"/>
        <v>0</v>
      </c>
      <c r="AQ935" s="28" t="s">
        <v>7</v>
      </c>
      <c r="AV935" s="34">
        <f t="shared" si="820"/>
        <v>0</v>
      </c>
      <c r="AW935" s="34">
        <f t="shared" si="821"/>
        <v>0</v>
      </c>
      <c r="AX935" s="34">
        <f t="shared" si="822"/>
        <v>0</v>
      </c>
      <c r="AY935" s="35" t="s">
        <v>3694</v>
      </c>
      <c r="AZ935" s="35" t="s">
        <v>3712</v>
      </c>
      <c r="BA935" s="27" t="s">
        <v>3729</v>
      </c>
      <c r="BC935" s="34">
        <f t="shared" si="823"/>
        <v>0</v>
      </c>
      <c r="BD935" s="34">
        <f t="shared" si="824"/>
        <v>0</v>
      </c>
      <c r="BE935" s="34">
        <v>0</v>
      </c>
      <c r="BF935" s="34">
        <f>934</f>
        <v>934</v>
      </c>
      <c r="BH935" s="18">
        <f t="shared" si="825"/>
        <v>0</v>
      </c>
      <c r="BI935" s="18">
        <f t="shared" si="826"/>
        <v>0</v>
      </c>
      <c r="BJ935" s="18">
        <f t="shared" si="827"/>
        <v>0</v>
      </c>
    </row>
    <row r="936" spans="1:62" x14ac:dyDescent="0.2">
      <c r="A936" s="74" t="s">
        <v>882</v>
      </c>
      <c r="B936" s="5" t="s">
        <v>2059</v>
      </c>
      <c r="C936" s="135" t="s">
        <v>3265</v>
      </c>
      <c r="D936" s="136"/>
      <c r="E936" s="136"/>
      <c r="F936" s="136"/>
      <c r="G936" s="136"/>
      <c r="H936" s="5" t="s">
        <v>3614</v>
      </c>
      <c r="I936" s="18">
        <v>120</v>
      </c>
      <c r="J936" s="18">
        <v>0</v>
      </c>
      <c r="K936" s="18">
        <f t="shared" si="806"/>
        <v>0</v>
      </c>
      <c r="L936" s="28" t="s">
        <v>3635</v>
      </c>
      <c r="Z936" s="34">
        <f t="shared" si="807"/>
        <v>0</v>
      </c>
      <c r="AB936" s="34">
        <f t="shared" si="808"/>
        <v>0</v>
      </c>
      <c r="AC936" s="34">
        <f t="shared" si="809"/>
        <v>0</v>
      </c>
      <c r="AD936" s="34">
        <f t="shared" si="810"/>
        <v>0</v>
      </c>
      <c r="AE936" s="34">
        <f t="shared" si="811"/>
        <v>0</v>
      </c>
      <c r="AF936" s="34">
        <f t="shared" si="812"/>
        <v>0</v>
      </c>
      <c r="AG936" s="34">
        <f t="shared" si="813"/>
        <v>0</v>
      </c>
      <c r="AH936" s="34">
        <f t="shared" si="814"/>
        <v>0</v>
      </c>
      <c r="AI936" s="27" t="s">
        <v>3645</v>
      </c>
      <c r="AJ936" s="18">
        <f t="shared" si="815"/>
        <v>0</v>
      </c>
      <c r="AK936" s="18">
        <f t="shared" si="816"/>
        <v>0</v>
      </c>
      <c r="AL936" s="18">
        <f t="shared" si="817"/>
        <v>0</v>
      </c>
      <c r="AN936" s="34">
        <v>21</v>
      </c>
      <c r="AO936" s="34">
        <f t="shared" si="818"/>
        <v>0</v>
      </c>
      <c r="AP936" s="34">
        <f t="shared" si="819"/>
        <v>0</v>
      </c>
      <c r="AQ936" s="28" t="s">
        <v>7</v>
      </c>
      <c r="AV936" s="34">
        <f t="shared" si="820"/>
        <v>0</v>
      </c>
      <c r="AW936" s="34">
        <f t="shared" si="821"/>
        <v>0</v>
      </c>
      <c r="AX936" s="34">
        <f t="shared" si="822"/>
        <v>0</v>
      </c>
      <c r="AY936" s="35" t="s">
        <v>3694</v>
      </c>
      <c r="AZ936" s="35" t="s">
        <v>3712</v>
      </c>
      <c r="BA936" s="27" t="s">
        <v>3729</v>
      </c>
      <c r="BC936" s="34">
        <f t="shared" si="823"/>
        <v>0</v>
      </c>
      <c r="BD936" s="34">
        <f t="shared" si="824"/>
        <v>0</v>
      </c>
      <c r="BE936" s="34">
        <v>0</v>
      </c>
      <c r="BF936" s="34">
        <f>935</f>
        <v>935</v>
      </c>
      <c r="BH936" s="18">
        <f t="shared" si="825"/>
        <v>0</v>
      </c>
      <c r="BI936" s="18">
        <f t="shared" si="826"/>
        <v>0</v>
      </c>
      <c r="BJ936" s="18">
        <f t="shared" si="827"/>
        <v>0</v>
      </c>
    </row>
    <row r="937" spans="1:62" x14ac:dyDescent="0.2">
      <c r="A937" s="74" t="s">
        <v>883</v>
      </c>
      <c r="B937" s="5" t="s">
        <v>2059</v>
      </c>
      <c r="C937" s="135" t="s">
        <v>3266</v>
      </c>
      <c r="D937" s="136"/>
      <c r="E937" s="136"/>
      <c r="F937" s="136"/>
      <c r="G937" s="136"/>
      <c r="H937" s="5" t="s">
        <v>3614</v>
      </c>
      <c r="I937" s="18">
        <v>80</v>
      </c>
      <c r="J937" s="18">
        <v>0</v>
      </c>
      <c r="K937" s="18">
        <f t="shared" si="806"/>
        <v>0</v>
      </c>
      <c r="L937" s="28" t="s">
        <v>3635</v>
      </c>
      <c r="Z937" s="34">
        <f t="shared" si="807"/>
        <v>0</v>
      </c>
      <c r="AB937" s="34">
        <f t="shared" si="808"/>
        <v>0</v>
      </c>
      <c r="AC937" s="34">
        <f t="shared" si="809"/>
        <v>0</v>
      </c>
      <c r="AD937" s="34">
        <f t="shared" si="810"/>
        <v>0</v>
      </c>
      <c r="AE937" s="34">
        <f t="shared" si="811"/>
        <v>0</v>
      </c>
      <c r="AF937" s="34">
        <f t="shared" si="812"/>
        <v>0</v>
      </c>
      <c r="AG937" s="34">
        <f t="shared" si="813"/>
        <v>0</v>
      </c>
      <c r="AH937" s="34">
        <f t="shared" si="814"/>
        <v>0</v>
      </c>
      <c r="AI937" s="27" t="s">
        <v>3645</v>
      </c>
      <c r="AJ937" s="18">
        <f t="shared" si="815"/>
        <v>0</v>
      </c>
      <c r="AK937" s="18">
        <f t="shared" si="816"/>
        <v>0</v>
      </c>
      <c r="AL937" s="18">
        <f t="shared" si="817"/>
        <v>0</v>
      </c>
      <c r="AN937" s="34">
        <v>21</v>
      </c>
      <c r="AO937" s="34">
        <f t="shared" si="818"/>
        <v>0</v>
      </c>
      <c r="AP937" s="34">
        <f t="shared" si="819"/>
        <v>0</v>
      </c>
      <c r="AQ937" s="28" t="s">
        <v>7</v>
      </c>
      <c r="AV937" s="34">
        <f t="shared" si="820"/>
        <v>0</v>
      </c>
      <c r="AW937" s="34">
        <f t="shared" si="821"/>
        <v>0</v>
      </c>
      <c r="AX937" s="34">
        <f t="shared" si="822"/>
        <v>0</v>
      </c>
      <c r="AY937" s="35" t="s">
        <v>3694</v>
      </c>
      <c r="AZ937" s="35" t="s">
        <v>3712</v>
      </c>
      <c r="BA937" s="27" t="s">
        <v>3729</v>
      </c>
      <c r="BC937" s="34">
        <f t="shared" si="823"/>
        <v>0</v>
      </c>
      <c r="BD937" s="34">
        <f t="shared" si="824"/>
        <v>0</v>
      </c>
      <c r="BE937" s="34">
        <v>0</v>
      </c>
      <c r="BF937" s="34">
        <f>936</f>
        <v>936</v>
      </c>
      <c r="BH937" s="18">
        <f t="shared" si="825"/>
        <v>0</v>
      </c>
      <c r="BI937" s="18">
        <f t="shared" si="826"/>
        <v>0</v>
      </c>
      <c r="BJ937" s="18">
        <f t="shared" si="827"/>
        <v>0</v>
      </c>
    </row>
    <row r="938" spans="1:62" x14ac:dyDescent="0.2">
      <c r="A938" s="74" t="s">
        <v>884</v>
      </c>
      <c r="B938" s="5" t="s">
        <v>2060</v>
      </c>
      <c r="C938" s="135" t="s">
        <v>3267</v>
      </c>
      <c r="D938" s="136"/>
      <c r="E938" s="136"/>
      <c r="F938" s="136"/>
      <c r="G938" s="136"/>
      <c r="H938" s="5" t="s">
        <v>3614</v>
      </c>
      <c r="I938" s="18">
        <v>20</v>
      </c>
      <c r="J938" s="18">
        <v>0</v>
      </c>
      <c r="K938" s="18">
        <f t="shared" si="806"/>
        <v>0</v>
      </c>
      <c r="L938" s="28" t="s">
        <v>3635</v>
      </c>
      <c r="Z938" s="34">
        <f t="shared" si="807"/>
        <v>0</v>
      </c>
      <c r="AB938" s="34">
        <f t="shared" si="808"/>
        <v>0</v>
      </c>
      <c r="AC938" s="34">
        <f t="shared" si="809"/>
        <v>0</v>
      </c>
      <c r="AD938" s="34">
        <f t="shared" si="810"/>
        <v>0</v>
      </c>
      <c r="AE938" s="34">
        <f t="shared" si="811"/>
        <v>0</v>
      </c>
      <c r="AF938" s="34">
        <f t="shared" si="812"/>
        <v>0</v>
      </c>
      <c r="AG938" s="34">
        <f t="shared" si="813"/>
        <v>0</v>
      </c>
      <c r="AH938" s="34">
        <f t="shared" si="814"/>
        <v>0</v>
      </c>
      <c r="AI938" s="27" t="s">
        <v>3645</v>
      </c>
      <c r="AJ938" s="18">
        <f t="shared" si="815"/>
        <v>0</v>
      </c>
      <c r="AK938" s="18">
        <f t="shared" si="816"/>
        <v>0</v>
      </c>
      <c r="AL938" s="18">
        <f t="shared" si="817"/>
        <v>0</v>
      </c>
      <c r="AN938" s="34">
        <v>21</v>
      </c>
      <c r="AO938" s="34">
        <f t="shared" si="818"/>
        <v>0</v>
      </c>
      <c r="AP938" s="34">
        <f t="shared" si="819"/>
        <v>0</v>
      </c>
      <c r="AQ938" s="28" t="s">
        <v>7</v>
      </c>
      <c r="AV938" s="34">
        <f t="shared" si="820"/>
        <v>0</v>
      </c>
      <c r="AW938" s="34">
        <f t="shared" si="821"/>
        <v>0</v>
      </c>
      <c r="AX938" s="34">
        <f t="shared" si="822"/>
        <v>0</v>
      </c>
      <c r="AY938" s="35" t="s">
        <v>3694</v>
      </c>
      <c r="AZ938" s="35" t="s">
        <v>3712</v>
      </c>
      <c r="BA938" s="27" t="s">
        <v>3729</v>
      </c>
      <c r="BC938" s="34">
        <f t="shared" si="823"/>
        <v>0</v>
      </c>
      <c r="BD938" s="34">
        <f t="shared" si="824"/>
        <v>0</v>
      </c>
      <c r="BE938" s="34">
        <v>0</v>
      </c>
      <c r="BF938" s="34">
        <f>937</f>
        <v>937</v>
      </c>
      <c r="BH938" s="18">
        <f t="shared" si="825"/>
        <v>0</v>
      </c>
      <c r="BI938" s="18">
        <f t="shared" si="826"/>
        <v>0</v>
      </c>
      <c r="BJ938" s="18">
        <f t="shared" si="827"/>
        <v>0</v>
      </c>
    </row>
    <row r="939" spans="1:62" x14ac:dyDescent="0.2">
      <c r="A939" s="74" t="s">
        <v>885</v>
      </c>
      <c r="B939" s="5" t="s">
        <v>2061</v>
      </c>
      <c r="C939" s="135" t="s">
        <v>3268</v>
      </c>
      <c r="D939" s="136"/>
      <c r="E939" s="136"/>
      <c r="F939" s="136"/>
      <c r="G939" s="136"/>
      <c r="H939" s="5" t="s">
        <v>3614</v>
      </c>
      <c r="I939" s="18">
        <v>32</v>
      </c>
      <c r="J939" s="18">
        <v>0</v>
      </c>
      <c r="K939" s="18">
        <f t="shared" si="806"/>
        <v>0</v>
      </c>
      <c r="L939" s="28" t="s">
        <v>3635</v>
      </c>
      <c r="Z939" s="34">
        <f t="shared" si="807"/>
        <v>0</v>
      </c>
      <c r="AB939" s="34">
        <f t="shared" si="808"/>
        <v>0</v>
      </c>
      <c r="AC939" s="34">
        <f t="shared" si="809"/>
        <v>0</v>
      </c>
      <c r="AD939" s="34">
        <f t="shared" si="810"/>
        <v>0</v>
      </c>
      <c r="AE939" s="34">
        <f t="shared" si="811"/>
        <v>0</v>
      </c>
      <c r="AF939" s="34">
        <f t="shared" si="812"/>
        <v>0</v>
      </c>
      <c r="AG939" s="34">
        <f t="shared" si="813"/>
        <v>0</v>
      </c>
      <c r="AH939" s="34">
        <f t="shared" si="814"/>
        <v>0</v>
      </c>
      <c r="AI939" s="27" t="s">
        <v>3645</v>
      </c>
      <c r="AJ939" s="18">
        <f t="shared" si="815"/>
        <v>0</v>
      </c>
      <c r="AK939" s="18">
        <f t="shared" si="816"/>
        <v>0</v>
      </c>
      <c r="AL939" s="18">
        <f t="shared" si="817"/>
        <v>0</v>
      </c>
      <c r="AN939" s="34">
        <v>21</v>
      </c>
      <c r="AO939" s="34">
        <f t="shared" si="818"/>
        <v>0</v>
      </c>
      <c r="AP939" s="34">
        <f t="shared" si="819"/>
        <v>0</v>
      </c>
      <c r="AQ939" s="28" t="s">
        <v>7</v>
      </c>
      <c r="AV939" s="34">
        <f t="shared" si="820"/>
        <v>0</v>
      </c>
      <c r="AW939" s="34">
        <f t="shared" si="821"/>
        <v>0</v>
      </c>
      <c r="AX939" s="34">
        <f t="shared" si="822"/>
        <v>0</v>
      </c>
      <c r="AY939" s="35" t="s">
        <v>3694</v>
      </c>
      <c r="AZ939" s="35" t="s">
        <v>3712</v>
      </c>
      <c r="BA939" s="27" t="s">
        <v>3729</v>
      </c>
      <c r="BC939" s="34">
        <f t="shared" si="823"/>
        <v>0</v>
      </c>
      <c r="BD939" s="34">
        <f t="shared" si="824"/>
        <v>0</v>
      </c>
      <c r="BE939" s="34">
        <v>0</v>
      </c>
      <c r="BF939" s="34">
        <f>938</f>
        <v>938</v>
      </c>
      <c r="BH939" s="18">
        <f t="shared" si="825"/>
        <v>0</v>
      </c>
      <c r="BI939" s="18">
        <f t="shared" si="826"/>
        <v>0</v>
      </c>
      <c r="BJ939" s="18">
        <f t="shared" si="827"/>
        <v>0</v>
      </c>
    </row>
    <row r="940" spans="1:62" x14ac:dyDescent="0.2">
      <c r="A940" s="74" t="s">
        <v>886</v>
      </c>
      <c r="B940" s="5" t="s">
        <v>2062</v>
      </c>
      <c r="C940" s="135" t="s">
        <v>3269</v>
      </c>
      <c r="D940" s="136"/>
      <c r="E940" s="136"/>
      <c r="F940" s="136"/>
      <c r="G940" s="136"/>
      <c r="H940" s="5" t="s">
        <v>3612</v>
      </c>
      <c r="I940" s="18">
        <v>596</v>
      </c>
      <c r="J940" s="18">
        <v>0</v>
      </c>
      <c r="K940" s="18">
        <f t="shared" si="806"/>
        <v>0</v>
      </c>
      <c r="L940" s="28" t="s">
        <v>3635</v>
      </c>
      <c r="Z940" s="34">
        <f t="shared" si="807"/>
        <v>0</v>
      </c>
      <c r="AB940" s="34">
        <f t="shared" si="808"/>
        <v>0</v>
      </c>
      <c r="AC940" s="34">
        <f t="shared" si="809"/>
        <v>0</v>
      </c>
      <c r="AD940" s="34">
        <f t="shared" si="810"/>
        <v>0</v>
      </c>
      <c r="AE940" s="34">
        <f t="shared" si="811"/>
        <v>0</v>
      </c>
      <c r="AF940" s="34">
        <f t="shared" si="812"/>
        <v>0</v>
      </c>
      <c r="AG940" s="34">
        <f t="shared" si="813"/>
        <v>0</v>
      </c>
      <c r="AH940" s="34">
        <f t="shared" si="814"/>
        <v>0</v>
      </c>
      <c r="AI940" s="27" t="s">
        <v>3645</v>
      </c>
      <c r="AJ940" s="18">
        <f t="shared" si="815"/>
        <v>0</v>
      </c>
      <c r="AK940" s="18">
        <f t="shared" si="816"/>
        <v>0</v>
      </c>
      <c r="AL940" s="18">
        <f t="shared" si="817"/>
        <v>0</v>
      </c>
      <c r="AN940" s="34">
        <v>21</v>
      </c>
      <c r="AO940" s="34">
        <f t="shared" si="818"/>
        <v>0</v>
      </c>
      <c r="AP940" s="34">
        <f t="shared" si="819"/>
        <v>0</v>
      </c>
      <c r="AQ940" s="28" t="s">
        <v>7</v>
      </c>
      <c r="AV940" s="34">
        <f t="shared" si="820"/>
        <v>0</v>
      </c>
      <c r="AW940" s="34">
        <f t="shared" si="821"/>
        <v>0</v>
      </c>
      <c r="AX940" s="34">
        <f t="shared" si="822"/>
        <v>0</v>
      </c>
      <c r="AY940" s="35" t="s">
        <v>3694</v>
      </c>
      <c r="AZ940" s="35" t="s">
        <v>3712</v>
      </c>
      <c r="BA940" s="27" t="s">
        <v>3729</v>
      </c>
      <c r="BC940" s="34">
        <f t="shared" si="823"/>
        <v>0</v>
      </c>
      <c r="BD940" s="34">
        <f t="shared" si="824"/>
        <v>0</v>
      </c>
      <c r="BE940" s="34">
        <v>0</v>
      </c>
      <c r="BF940" s="34">
        <f>939</f>
        <v>939</v>
      </c>
      <c r="BH940" s="18">
        <f t="shared" si="825"/>
        <v>0</v>
      </c>
      <c r="BI940" s="18">
        <f t="shared" si="826"/>
        <v>0</v>
      </c>
      <c r="BJ940" s="18">
        <f t="shared" si="827"/>
        <v>0</v>
      </c>
    </row>
    <row r="941" spans="1:62" x14ac:dyDescent="0.2">
      <c r="A941" s="74" t="s">
        <v>887</v>
      </c>
      <c r="B941" s="5" t="s">
        <v>2063</v>
      </c>
      <c r="C941" s="135" t="s">
        <v>3270</v>
      </c>
      <c r="D941" s="136"/>
      <c r="E941" s="136"/>
      <c r="F941" s="136"/>
      <c r="G941" s="136"/>
      <c r="H941" s="5" t="s">
        <v>3622</v>
      </c>
      <c r="I941" s="18">
        <v>134</v>
      </c>
      <c r="J941" s="18">
        <v>0</v>
      </c>
      <c r="K941" s="18">
        <f t="shared" si="806"/>
        <v>0</v>
      </c>
      <c r="L941" s="28" t="s">
        <v>3635</v>
      </c>
      <c r="Z941" s="34">
        <f t="shared" si="807"/>
        <v>0</v>
      </c>
      <c r="AB941" s="34">
        <f t="shared" si="808"/>
        <v>0</v>
      </c>
      <c r="AC941" s="34">
        <f t="shared" si="809"/>
        <v>0</v>
      </c>
      <c r="AD941" s="34">
        <f t="shared" si="810"/>
        <v>0</v>
      </c>
      <c r="AE941" s="34">
        <f t="shared" si="811"/>
        <v>0</v>
      </c>
      <c r="AF941" s="34">
        <f t="shared" si="812"/>
        <v>0</v>
      </c>
      <c r="AG941" s="34">
        <f t="shared" si="813"/>
        <v>0</v>
      </c>
      <c r="AH941" s="34">
        <f t="shared" si="814"/>
        <v>0</v>
      </c>
      <c r="AI941" s="27" t="s">
        <v>3645</v>
      </c>
      <c r="AJ941" s="18">
        <f t="shared" si="815"/>
        <v>0</v>
      </c>
      <c r="AK941" s="18">
        <f t="shared" si="816"/>
        <v>0</v>
      </c>
      <c r="AL941" s="18">
        <f t="shared" si="817"/>
        <v>0</v>
      </c>
      <c r="AN941" s="34">
        <v>21</v>
      </c>
      <c r="AO941" s="34">
        <f t="shared" si="818"/>
        <v>0</v>
      </c>
      <c r="AP941" s="34">
        <f t="shared" si="819"/>
        <v>0</v>
      </c>
      <c r="AQ941" s="28" t="s">
        <v>7</v>
      </c>
      <c r="AV941" s="34">
        <f t="shared" si="820"/>
        <v>0</v>
      </c>
      <c r="AW941" s="34">
        <f t="shared" si="821"/>
        <v>0</v>
      </c>
      <c r="AX941" s="34">
        <f t="shared" si="822"/>
        <v>0</v>
      </c>
      <c r="AY941" s="35" t="s">
        <v>3694</v>
      </c>
      <c r="AZ941" s="35" t="s">
        <v>3712</v>
      </c>
      <c r="BA941" s="27" t="s">
        <v>3729</v>
      </c>
      <c r="BC941" s="34">
        <f t="shared" si="823"/>
        <v>0</v>
      </c>
      <c r="BD941" s="34">
        <f t="shared" si="824"/>
        <v>0</v>
      </c>
      <c r="BE941" s="34">
        <v>0</v>
      </c>
      <c r="BF941" s="34">
        <f>940</f>
        <v>940</v>
      </c>
      <c r="BH941" s="18">
        <f t="shared" si="825"/>
        <v>0</v>
      </c>
      <c r="BI941" s="18">
        <f t="shared" si="826"/>
        <v>0</v>
      </c>
      <c r="BJ941" s="18">
        <f t="shared" si="827"/>
        <v>0</v>
      </c>
    </row>
    <row r="942" spans="1:62" x14ac:dyDescent="0.2">
      <c r="A942" s="74" t="s">
        <v>888</v>
      </c>
      <c r="B942" s="5" t="s">
        <v>2064</v>
      </c>
      <c r="C942" s="135" t="s">
        <v>3271</v>
      </c>
      <c r="D942" s="136"/>
      <c r="E942" s="136"/>
      <c r="F942" s="136"/>
      <c r="G942" s="136"/>
      <c r="H942" s="5" t="s">
        <v>3622</v>
      </c>
      <c r="I942" s="18">
        <v>6</v>
      </c>
      <c r="J942" s="18">
        <v>0</v>
      </c>
      <c r="K942" s="18">
        <f t="shared" si="806"/>
        <v>0</v>
      </c>
      <c r="L942" s="28" t="s">
        <v>3635</v>
      </c>
      <c r="Z942" s="34">
        <f t="shared" si="807"/>
        <v>0</v>
      </c>
      <c r="AB942" s="34">
        <f t="shared" si="808"/>
        <v>0</v>
      </c>
      <c r="AC942" s="34">
        <f t="shared" si="809"/>
        <v>0</v>
      </c>
      <c r="AD942" s="34">
        <f t="shared" si="810"/>
        <v>0</v>
      </c>
      <c r="AE942" s="34">
        <f t="shared" si="811"/>
        <v>0</v>
      </c>
      <c r="AF942" s="34">
        <f t="shared" si="812"/>
        <v>0</v>
      </c>
      <c r="AG942" s="34">
        <f t="shared" si="813"/>
        <v>0</v>
      </c>
      <c r="AH942" s="34">
        <f t="shared" si="814"/>
        <v>0</v>
      </c>
      <c r="AI942" s="27" t="s">
        <v>3645</v>
      </c>
      <c r="AJ942" s="18">
        <f t="shared" si="815"/>
        <v>0</v>
      </c>
      <c r="AK942" s="18">
        <f t="shared" si="816"/>
        <v>0</v>
      </c>
      <c r="AL942" s="18">
        <f t="shared" si="817"/>
        <v>0</v>
      </c>
      <c r="AN942" s="34">
        <v>21</v>
      </c>
      <c r="AO942" s="34">
        <f t="shared" si="818"/>
        <v>0</v>
      </c>
      <c r="AP942" s="34">
        <f t="shared" si="819"/>
        <v>0</v>
      </c>
      <c r="AQ942" s="28" t="s">
        <v>7</v>
      </c>
      <c r="AV942" s="34">
        <f t="shared" si="820"/>
        <v>0</v>
      </c>
      <c r="AW942" s="34">
        <f t="shared" si="821"/>
        <v>0</v>
      </c>
      <c r="AX942" s="34">
        <f t="shared" si="822"/>
        <v>0</v>
      </c>
      <c r="AY942" s="35" t="s">
        <v>3694</v>
      </c>
      <c r="AZ942" s="35" t="s">
        <v>3712</v>
      </c>
      <c r="BA942" s="27" t="s">
        <v>3729</v>
      </c>
      <c r="BC942" s="34">
        <f t="shared" si="823"/>
        <v>0</v>
      </c>
      <c r="BD942" s="34">
        <f t="shared" si="824"/>
        <v>0</v>
      </c>
      <c r="BE942" s="34">
        <v>0</v>
      </c>
      <c r="BF942" s="34">
        <f>941</f>
        <v>941</v>
      </c>
      <c r="BH942" s="18">
        <f t="shared" si="825"/>
        <v>0</v>
      </c>
      <c r="BI942" s="18">
        <f t="shared" si="826"/>
        <v>0</v>
      </c>
      <c r="BJ942" s="18">
        <f t="shared" si="827"/>
        <v>0</v>
      </c>
    </row>
    <row r="943" spans="1:62" x14ac:dyDescent="0.2">
      <c r="A943" s="74" t="s">
        <v>889</v>
      </c>
      <c r="B943" s="5" t="s">
        <v>2065</v>
      </c>
      <c r="C943" s="135" t="s">
        <v>3272</v>
      </c>
      <c r="D943" s="136"/>
      <c r="E943" s="136"/>
      <c r="F943" s="136"/>
      <c r="G943" s="136"/>
      <c r="H943" s="5" t="s">
        <v>3622</v>
      </c>
      <c r="I943" s="18">
        <v>240</v>
      </c>
      <c r="J943" s="18">
        <v>0</v>
      </c>
      <c r="K943" s="18">
        <f t="shared" si="806"/>
        <v>0</v>
      </c>
      <c r="L943" s="28" t="s">
        <v>3635</v>
      </c>
      <c r="Z943" s="34">
        <f t="shared" si="807"/>
        <v>0</v>
      </c>
      <c r="AB943" s="34">
        <f t="shared" si="808"/>
        <v>0</v>
      </c>
      <c r="AC943" s="34">
        <f t="shared" si="809"/>
        <v>0</v>
      </c>
      <c r="AD943" s="34">
        <f t="shared" si="810"/>
        <v>0</v>
      </c>
      <c r="AE943" s="34">
        <f t="shared" si="811"/>
        <v>0</v>
      </c>
      <c r="AF943" s="34">
        <f t="shared" si="812"/>
        <v>0</v>
      </c>
      <c r="AG943" s="34">
        <f t="shared" si="813"/>
        <v>0</v>
      </c>
      <c r="AH943" s="34">
        <f t="shared" si="814"/>
        <v>0</v>
      </c>
      <c r="AI943" s="27" t="s">
        <v>3645</v>
      </c>
      <c r="AJ943" s="18">
        <f t="shared" si="815"/>
        <v>0</v>
      </c>
      <c r="AK943" s="18">
        <f t="shared" si="816"/>
        <v>0</v>
      </c>
      <c r="AL943" s="18">
        <f t="shared" si="817"/>
        <v>0</v>
      </c>
      <c r="AN943" s="34">
        <v>21</v>
      </c>
      <c r="AO943" s="34">
        <f t="shared" si="818"/>
        <v>0</v>
      </c>
      <c r="AP943" s="34">
        <f t="shared" si="819"/>
        <v>0</v>
      </c>
      <c r="AQ943" s="28" t="s">
        <v>7</v>
      </c>
      <c r="AV943" s="34">
        <f t="shared" si="820"/>
        <v>0</v>
      </c>
      <c r="AW943" s="34">
        <f t="shared" si="821"/>
        <v>0</v>
      </c>
      <c r="AX943" s="34">
        <f t="shared" si="822"/>
        <v>0</v>
      </c>
      <c r="AY943" s="35" t="s">
        <v>3694</v>
      </c>
      <c r="AZ943" s="35" t="s">
        <v>3712</v>
      </c>
      <c r="BA943" s="27" t="s">
        <v>3729</v>
      </c>
      <c r="BC943" s="34">
        <f t="shared" si="823"/>
        <v>0</v>
      </c>
      <c r="BD943" s="34">
        <f t="shared" si="824"/>
        <v>0</v>
      </c>
      <c r="BE943" s="34">
        <v>0</v>
      </c>
      <c r="BF943" s="34">
        <f>942</f>
        <v>942</v>
      </c>
      <c r="BH943" s="18">
        <f t="shared" si="825"/>
        <v>0</v>
      </c>
      <c r="BI943" s="18">
        <f t="shared" si="826"/>
        <v>0</v>
      </c>
      <c r="BJ943" s="18">
        <f t="shared" si="827"/>
        <v>0</v>
      </c>
    </row>
    <row r="944" spans="1:62" x14ac:dyDescent="0.2">
      <c r="A944" s="74" t="s">
        <v>890</v>
      </c>
      <c r="B944" s="5" t="s">
        <v>2066</v>
      </c>
      <c r="C944" s="135" t="s">
        <v>3273</v>
      </c>
      <c r="D944" s="136"/>
      <c r="E944" s="136"/>
      <c r="F944" s="136"/>
      <c r="G944" s="136"/>
      <c r="H944" s="5" t="s">
        <v>3624</v>
      </c>
      <c r="I944" s="18">
        <v>20</v>
      </c>
      <c r="J944" s="18">
        <v>0</v>
      </c>
      <c r="K944" s="18">
        <f t="shared" si="806"/>
        <v>0</v>
      </c>
      <c r="L944" s="28" t="s">
        <v>3635</v>
      </c>
      <c r="Z944" s="34">
        <f t="shared" si="807"/>
        <v>0</v>
      </c>
      <c r="AB944" s="34">
        <f t="shared" si="808"/>
        <v>0</v>
      </c>
      <c r="AC944" s="34">
        <f t="shared" si="809"/>
        <v>0</v>
      </c>
      <c r="AD944" s="34">
        <f t="shared" si="810"/>
        <v>0</v>
      </c>
      <c r="AE944" s="34">
        <f t="shared" si="811"/>
        <v>0</v>
      </c>
      <c r="AF944" s="34">
        <f t="shared" si="812"/>
        <v>0</v>
      </c>
      <c r="AG944" s="34">
        <f t="shared" si="813"/>
        <v>0</v>
      </c>
      <c r="AH944" s="34">
        <f t="shared" si="814"/>
        <v>0</v>
      </c>
      <c r="AI944" s="27" t="s">
        <v>3645</v>
      </c>
      <c r="AJ944" s="18">
        <f t="shared" si="815"/>
        <v>0</v>
      </c>
      <c r="AK944" s="18">
        <f t="shared" si="816"/>
        <v>0</v>
      </c>
      <c r="AL944" s="18">
        <f t="shared" si="817"/>
        <v>0</v>
      </c>
      <c r="AN944" s="34">
        <v>21</v>
      </c>
      <c r="AO944" s="34">
        <f t="shared" si="818"/>
        <v>0</v>
      </c>
      <c r="AP944" s="34">
        <f t="shared" si="819"/>
        <v>0</v>
      </c>
      <c r="AQ944" s="28" t="s">
        <v>7</v>
      </c>
      <c r="AV944" s="34">
        <f t="shared" si="820"/>
        <v>0</v>
      </c>
      <c r="AW944" s="34">
        <f t="shared" si="821"/>
        <v>0</v>
      </c>
      <c r="AX944" s="34">
        <f t="shared" si="822"/>
        <v>0</v>
      </c>
      <c r="AY944" s="35" t="s">
        <v>3694</v>
      </c>
      <c r="AZ944" s="35" t="s">
        <v>3712</v>
      </c>
      <c r="BA944" s="27" t="s">
        <v>3729</v>
      </c>
      <c r="BC944" s="34">
        <f t="shared" si="823"/>
        <v>0</v>
      </c>
      <c r="BD944" s="34">
        <f t="shared" si="824"/>
        <v>0</v>
      </c>
      <c r="BE944" s="34">
        <v>0</v>
      </c>
      <c r="BF944" s="34">
        <f>943</f>
        <v>943</v>
      </c>
      <c r="BH944" s="18">
        <f t="shared" si="825"/>
        <v>0</v>
      </c>
      <c r="BI944" s="18">
        <f t="shared" si="826"/>
        <v>0</v>
      </c>
      <c r="BJ944" s="18">
        <f t="shared" si="827"/>
        <v>0</v>
      </c>
    </row>
    <row r="945" spans="1:62" x14ac:dyDescent="0.2">
      <c r="A945" s="74" t="s">
        <v>891</v>
      </c>
      <c r="B945" s="5" t="s">
        <v>2067</v>
      </c>
      <c r="C945" s="135" t="s">
        <v>3274</v>
      </c>
      <c r="D945" s="136"/>
      <c r="E945" s="136"/>
      <c r="F945" s="136"/>
      <c r="G945" s="136"/>
      <c r="H945" s="5" t="s">
        <v>3612</v>
      </c>
      <c r="I945" s="18">
        <v>84</v>
      </c>
      <c r="J945" s="18">
        <v>0</v>
      </c>
      <c r="K945" s="18">
        <f t="shared" si="806"/>
        <v>0</v>
      </c>
      <c r="L945" s="28" t="s">
        <v>3635</v>
      </c>
      <c r="Z945" s="34">
        <f t="shared" si="807"/>
        <v>0</v>
      </c>
      <c r="AB945" s="34">
        <f t="shared" si="808"/>
        <v>0</v>
      </c>
      <c r="AC945" s="34">
        <f t="shared" si="809"/>
        <v>0</v>
      </c>
      <c r="AD945" s="34">
        <f t="shared" si="810"/>
        <v>0</v>
      </c>
      <c r="AE945" s="34">
        <f t="shared" si="811"/>
        <v>0</v>
      </c>
      <c r="AF945" s="34">
        <f t="shared" si="812"/>
        <v>0</v>
      </c>
      <c r="AG945" s="34">
        <f t="shared" si="813"/>
        <v>0</v>
      </c>
      <c r="AH945" s="34">
        <f t="shared" si="814"/>
        <v>0</v>
      </c>
      <c r="AI945" s="27" t="s">
        <v>3645</v>
      </c>
      <c r="AJ945" s="18">
        <f t="shared" si="815"/>
        <v>0</v>
      </c>
      <c r="AK945" s="18">
        <f t="shared" si="816"/>
        <v>0</v>
      </c>
      <c r="AL945" s="18">
        <f t="shared" si="817"/>
        <v>0</v>
      </c>
      <c r="AN945" s="34">
        <v>21</v>
      </c>
      <c r="AO945" s="34">
        <f t="shared" si="818"/>
        <v>0</v>
      </c>
      <c r="AP945" s="34">
        <f t="shared" si="819"/>
        <v>0</v>
      </c>
      <c r="AQ945" s="28" t="s">
        <v>7</v>
      </c>
      <c r="AV945" s="34">
        <f t="shared" si="820"/>
        <v>0</v>
      </c>
      <c r="AW945" s="34">
        <f t="shared" si="821"/>
        <v>0</v>
      </c>
      <c r="AX945" s="34">
        <f t="shared" si="822"/>
        <v>0</v>
      </c>
      <c r="AY945" s="35" t="s">
        <v>3694</v>
      </c>
      <c r="AZ945" s="35" t="s">
        <v>3712</v>
      </c>
      <c r="BA945" s="27" t="s">
        <v>3729</v>
      </c>
      <c r="BC945" s="34">
        <f t="shared" si="823"/>
        <v>0</v>
      </c>
      <c r="BD945" s="34">
        <f t="shared" si="824"/>
        <v>0</v>
      </c>
      <c r="BE945" s="34">
        <v>0</v>
      </c>
      <c r="BF945" s="34">
        <f>944</f>
        <v>944</v>
      </c>
      <c r="BH945" s="18">
        <f t="shared" si="825"/>
        <v>0</v>
      </c>
      <c r="BI945" s="18">
        <f t="shared" si="826"/>
        <v>0</v>
      </c>
      <c r="BJ945" s="18">
        <f t="shared" si="827"/>
        <v>0</v>
      </c>
    </row>
    <row r="946" spans="1:62" x14ac:dyDescent="0.2">
      <c r="A946" s="74" t="s">
        <v>892</v>
      </c>
      <c r="B946" s="5" t="s">
        <v>1991</v>
      </c>
      <c r="C946" s="135" t="s">
        <v>3199</v>
      </c>
      <c r="D946" s="136"/>
      <c r="E946" s="136"/>
      <c r="F946" s="136"/>
      <c r="G946" s="136"/>
      <c r="H946" s="5" t="s">
        <v>3612</v>
      </c>
      <c r="I946" s="18">
        <v>1</v>
      </c>
      <c r="J946" s="18">
        <v>0</v>
      </c>
      <c r="K946" s="18">
        <f t="shared" si="806"/>
        <v>0</v>
      </c>
      <c r="L946" s="28" t="s">
        <v>3635</v>
      </c>
      <c r="Z946" s="34">
        <f t="shared" si="807"/>
        <v>0</v>
      </c>
      <c r="AB946" s="34">
        <f t="shared" si="808"/>
        <v>0</v>
      </c>
      <c r="AC946" s="34">
        <f t="shared" si="809"/>
        <v>0</v>
      </c>
      <c r="AD946" s="34">
        <f t="shared" si="810"/>
        <v>0</v>
      </c>
      <c r="AE946" s="34">
        <f t="shared" si="811"/>
        <v>0</v>
      </c>
      <c r="AF946" s="34">
        <f t="shared" si="812"/>
        <v>0</v>
      </c>
      <c r="AG946" s="34">
        <f t="shared" si="813"/>
        <v>0</v>
      </c>
      <c r="AH946" s="34">
        <f t="shared" si="814"/>
        <v>0</v>
      </c>
      <c r="AI946" s="27" t="s">
        <v>3645</v>
      </c>
      <c r="AJ946" s="18">
        <f t="shared" si="815"/>
        <v>0</v>
      </c>
      <c r="AK946" s="18">
        <f t="shared" si="816"/>
        <v>0</v>
      </c>
      <c r="AL946" s="18">
        <f t="shared" si="817"/>
        <v>0</v>
      </c>
      <c r="AN946" s="34">
        <v>21</v>
      </c>
      <c r="AO946" s="34">
        <f t="shared" si="818"/>
        <v>0</v>
      </c>
      <c r="AP946" s="34">
        <f t="shared" si="819"/>
        <v>0</v>
      </c>
      <c r="AQ946" s="28" t="s">
        <v>7</v>
      </c>
      <c r="AV946" s="34">
        <f t="shared" si="820"/>
        <v>0</v>
      </c>
      <c r="AW946" s="34">
        <f t="shared" si="821"/>
        <v>0</v>
      </c>
      <c r="AX946" s="34">
        <f t="shared" si="822"/>
        <v>0</v>
      </c>
      <c r="AY946" s="35" t="s">
        <v>3694</v>
      </c>
      <c r="AZ946" s="35" t="s">
        <v>3712</v>
      </c>
      <c r="BA946" s="27" t="s">
        <v>3729</v>
      </c>
      <c r="BC946" s="34">
        <f t="shared" si="823"/>
        <v>0</v>
      </c>
      <c r="BD946" s="34">
        <f t="shared" si="824"/>
        <v>0</v>
      </c>
      <c r="BE946" s="34">
        <v>0</v>
      </c>
      <c r="BF946" s="34">
        <f>945</f>
        <v>945</v>
      </c>
      <c r="BH946" s="18">
        <f t="shared" si="825"/>
        <v>0</v>
      </c>
      <c r="BI946" s="18">
        <f t="shared" si="826"/>
        <v>0</v>
      </c>
      <c r="BJ946" s="18">
        <f t="shared" si="827"/>
        <v>0</v>
      </c>
    </row>
    <row r="947" spans="1:62" x14ac:dyDescent="0.2">
      <c r="A947" s="74" t="s">
        <v>893</v>
      </c>
      <c r="B947" s="5" t="s">
        <v>2068</v>
      </c>
      <c r="C947" s="135" t="s">
        <v>3275</v>
      </c>
      <c r="D947" s="136"/>
      <c r="E947" s="136"/>
      <c r="F947" s="136"/>
      <c r="G947" s="136"/>
      <c r="H947" s="5" t="s">
        <v>3623</v>
      </c>
      <c r="I947" s="18">
        <v>1</v>
      </c>
      <c r="J947" s="18">
        <v>0</v>
      </c>
      <c r="K947" s="18">
        <f t="shared" si="806"/>
        <v>0</v>
      </c>
      <c r="L947" s="28" t="s">
        <v>3635</v>
      </c>
      <c r="Z947" s="34">
        <f t="shared" si="807"/>
        <v>0</v>
      </c>
      <c r="AB947" s="34">
        <f t="shared" si="808"/>
        <v>0</v>
      </c>
      <c r="AC947" s="34">
        <f t="shared" si="809"/>
        <v>0</v>
      </c>
      <c r="AD947" s="34">
        <f t="shared" si="810"/>
        <v>0</v>
      </c>
      <c r="AE947" s="34">
        <f t="shared" si="811"/>
        <v>0</v>
      </c>
      <c r="AF947" s="34">
        <f t="shared" si="812"/>
        <v>0</v>
      </c>
      <c r="AG947" s="34">
        <f t="shared" si="813"/>
        <v>0</v>
      </c>
      <c r="AH947" s="34">
        <f t="shared" si="814"/>
        <v>0</v>
      </c>
      <c r="AI947" s="27" t="s">
        <v>3645</v>
      </c>
      <c r="AJ947" s="18">
        <f t="shared" si="815"/>
        <v>0</v>
      </c>
      <c r="AK947" s="18">
        <f t="shared" si="816"/>
        <v>0</v>
      </c>
      <c r="AL947" s="18">
        <f t="shared" si="817"/>
        <v>0</v>
      </c>
      <c r="AN947" s="34">
        <v>21</v>
      </c>
      <c r="AO947" s="34">
        <f t="shared" si="818"/>
        <v>0</v>
      </c>
      <c r="AP947" s="34">
        <f t="shared" si="819"/>
        <v>0</v>
      </c>
      <c r="AQ947" s="28" t="s">
        <v>7</v>
      </c>
      <c r="AV947" s="34">
        <f t="shared" si="820"/>
        <v>0</v>
      </c>
      <c r="AW947" s="34">
        <f t="shared" si="821"/>
        <v>0</v>
      </c>
      <c r="AX947" s="34">
        <f t="shared" si="822"/>
        <v>0</v>
      </c>
      <c r="AY947" s="35" t="s">
        <v>3694</v>
      </c>
      <c r="AZ947" s="35" t="s">
        <v>3712</v>
      </c>
      <c r="BA947" s="27" t="s">
        <v>3729</v>
      </c>
      <c r="BC947" s="34">
        <f t="shared" si="823"/>
        <v>0</v>
      </c>
      <c r="BD947" s="34">
        <f t="shared" si="824"/>
        <v>0</v>
      </c>
      <c r="BE947" s="34">
        <v>0</v>
      </c>
      <c r="BF947" s="34">
        <f>946</f>
        <v>946</v>
      </c>
      <c r="BH947" s="18">
        <f t="shared" si="825"/>
        <v>0</v>
      </c>
      <c r="BI947" s="18">
        <f t="shared" si="826"/>
        <v>0</v>
      </c>
      <c r="BJ947" s="18">
        <f t="shared" si="827"/>
        <v>0</v>
      </c>
    </row>
    <row r="948" spans="1:62" x14ac:dyDescent="0.2">
      <c r="A948" s="74" t="s">
        <v>894</v>
      </c>
      <c r="B948" s="5" t="s">
        <v>2069</v>
      </c>
      <c r="C948" s="135" t="s">
        <v>3276</v>
      </c>
      <c r="D948" s="136"/>
      <c r="E948" s="136"/>
      <c r="F948" s="136"/>
      <c r="G948" s="136"/>
      <c r="H948" s="5" t="s">
        <v>3612</v>
      </c>
      <c r="I948" s="18">
        <v>40</v>
      </c>
      <c r="J948" s="18">
        <v>0</v>
      </c>
      <c r="K948" s="18">
        <f t="shared" si="806"/>
        <v>0</v>
      </c>
      <c r="L948" s="28" t="s">
        <v>3635</v>
      </c>
      <c r="Z948" s="34">
        <f t="shared" si="807"/>
        <v>0</v>
      </c>
      <c r="AB948" s="34">
        <f t="shared" si="808"/>
        <v>0</v>
      </c>
      <c r="AC948" s="34">
        <f t="shared" si="809"/>
        <v>0</v>
      </c>
      <c r="AD948" s="34">
        <f t="shared" si="810"/>
        <v>0</v>
      </c>
      <c r="AE948" s="34">
        <f t="shared" si="811"/>
        <v>0</v>
      </c>
      <c r="AF948" s="34">
        <f t="shared" si="812"/>
        <v>0</v>
      </c>
      <c r="AG948" s="34">
        <f t="shared" si="813"/>
        <v>0</v>
      </c>
      <c r="AH948" s="34">
        <f t="shared" si="814"/>
        <v>0</v>
      </c>
      <c r="AI948" s="27" t="s">
        <v>3645</v>
      </c>
      <c r="AJ948" s="18">
        <f t="shared" si="815"/>
        <v>0</v>
      </c>
      <c r="AK948" s="18">
        <f t="shared" si="816"/>
        <v>0</v>
      </c>
      <c r="AL948" s="18">
        <f t="shared" si="817"/>
        <v>0</v>
      </c>
      <c r="AN948" s="34">
        <v>21</v>
      </c>
      <c r="AO948" s="34">
        <f t="shared" si="818"/>
        <v>0</v>
      </c>
      <c r="AP948" s="34">
        <f t="shared" si="819"/>
        <v>0</v>
      </c>
      <c r="AQ948" s="28" t="s">
        <v>7</v>
      </c>
      <c r="AV948" s="34">
        <f t="shared" si="820"/>
        <v>0</v>
      </c>
      <c r="AW948" s="34">
        <f t="shared" si="821"/>
        <v>0</v>
      </c>
      <c r="AX948" s="34">
        <f t="shared" si="822"/>
        <v>0</v>
      </c>
      <c r="AY948" s="35" t="s">
        <v>3694</v>
      </c>
      <c r="AZ948" s="35" t="s">
        <v>3712</v>
      </c>
      <c r="BA948" s="27" t="s">
        <v>3729</v>
      </c>
      <c r="BC948" s="34">
        <f t="shared" si="823"/>
        <v>0</v>
      </c>
      <c r="BD948" s="34">
        <f t="shared" si="824"/>
        <v>0</v>
      </c>
      <c r="BE948" s="34">
        <v>0</v>
      </c>
      <c r="BF948" s="34">
        <f>947</f>
        <v>947</v>
      </c>
      <c r="BH948" s="18">
        <f t="shared" si="825"/>
        <v>0</v>
      </c>
      <c r="BI948" s="18">
        <f t="shared" si="826"/>
        <v>0</v>
      </c>
      <c r="BJ948" s="18">
        <f t="shared" si="827"/>
        <v>0</v>
      </c>
    </row>
    <row r="949" spans="1:62" x14ac:dyDescent="0.2">
      <c r="A949" s="74" t="s">
        <v>895</v>
      </c>
      <c r="B949" s="5" t="s">
        <v>2070</v>
      </c>
      <c r="C949" s="135" t="s">
        <v>3277</v>
      </c>
      <c r="D949" s="136"/>
      <c r="E949" s="136"/>
      <c r="F949" s="136"/>
      <c r="G949" s="136"/>
      <c r="H949" s="5" t="s">
        <v>3612</v>
      </c>
      <c r="I949" s="18">
        <v>29</v>
      </c>
      <c r="J949" s="18">
        <v>0</v>
      </c>
      <c r="K949" s="18">
        <f t="shared" si="806"/>
        <v>0</v>
      </c>
      <c r="L949" s="28" t="s">
        <v>3635</v>
      </c>
      <c r="Z949" s="34">
        <f t="shared" si="807"/>
        <v>0</v>
      </c>
      <c r="AB949" s="34">
        <f t="shared" si="808"/>
        <v>0</v>
      </c>
      <c r="AC949" s="34">
        <f t="shared" si="809"/>
        <v>0</v>
      </c>
      <c r="AD949" s="34">
        <f t="shared" si="810"/>
        <v>0</v>
      </c>
      <c r="AE949" s="34">
        <f t="shared" si="811"/>
        <v>0</v>
      </c>
      <c r="AF949" s="34">
        <f t="shared" si="812"/>
        <v>0</v>
      </c>
      <c r="AG949" s="34">
        <f t="shared" si="813"/>
        <v>0</v>
      </c>
      <c r="AH949" s="34">
        <f t="shared" si="814"/>
        <v>0</v>
      </c>
      <c r="AI949" s="27" t="s">
        <v>3645</v>
      </c>
      <c r="AJ949" s="18">
        <f t="shared" si="815"/>
        <v>0</v>
      </c>
      <c r="AK949" s="18">
        <f t="shared" si="816"/>
        <v>0</v>
      </c>
      <c r="AL949" s="18">
        <f t="shared" si="817"/>
        <v>0</v>
      </c>
      <c r="AN949" s="34">
        <v>21</v>
      </c>
      <c r="AO949" s="34">
        <f t="shared" si="818"/>
        <v>0</v>
      </c>
      <c r="AP949" s="34">
        <f t="shared" si="819"/>
        <v>0</v>
      </c>
      <c r="AQ949" s="28" t="s">
        <v>7</v>
      </c>
      <c r="AV949" s="34">
        <f t="shared" si="820"/>
        <v>0</v>
      </c>
      <c r="AW949" s="34">
        <f t="shared" si="821"/>
        <v>0</v>
      </c>
      <c r="AX949" s="34">
        <f t="shared" si="822"/>
        <v>0</v>
      </c>
      <c r="AY949" s="35" t="s">
        <v>3694</v>
      </c>
      <c r="AZ949" s="35" t="s">
        <v>3712</v>
      </c>
      <c r="BA949" s="27" t="s">
        <v>3729</v>
      </c>
      <c r="BC949" s="34">
        <f t="shared" si="823"/>
        <v>0</v>
      </c>
      <c r="BD949" s="34">
        <f t="shared" si="824"/>
        <v>0</v>
      </c>
      <c r="BE949" s="34">
        <v>0</v>
      </c>
      <c r="BF949" s="34">
        <f>948</f>
        <v>948</v>
      </c>
      <c r="BH949" s="18">
        <f t="shared" si="825"/>
        <v>0</v>
      </c>
      <c r="BI949" s="18">
        <f t="shared" si="826"/>
        <v>0</v>
      </c>
      <c r="BJ949" s="18">
        <f t="shared" si="827"/>
        <v>0</v>
      </c>
    </row>
    <row r="950" spans="1:62" x14ac:dyDescent="0.2">
      <c r="A950" s="74" t="s">
        <v>896</v>
      </c>
      <c r="B950" s="5" t="s">
        <v>2071</v>
      </c>
      <c r="C950" s="135" t="s">
        <v>3278</v>
      </c>
      <c r="D950" s="136"/>
      <c r="E950" s="136"/>
      <c r="F950" s="136"/>
      <c r="G950" s="136"/>
      <c r="H950" s="5" t="s">
        <v>3612</v>
      </c>
      <c r="I950" s="18">
        <v>11</v>
      </c>
      <c r="J950" s="18">
        <v>0</v>
      </c>
      <c r="K950" s="18">
        <f t="shared" si="806"/>
        <v>0</v>
      </c>
      <c r="L950" s="28" t="s">
        <v>3635</v>
      </c>
      <c r="Z950" s="34">
        <f t="shared" si="807"/>
        <v>0</v>
      </c>
      <c r="AB950" s="34">
        <f t="shared" si="808"/>
        <v>0</v>
      </c>
      <c r="AC950" s="34">
        <f t="shared" si="809"/>
        <v>0</v>
      </c>
      <c r="AD950" s="34">
        <f t="shared" si="810"/>
        <v>0</v>
      </c>
      <c r="AE950" s="34">
        <f t="shared" si="811"/>
        <v>0</v>
      </c>
      <c r="AF950" s="34">
        <f t="shared" si="812"/>
        <v>0</v>
      </c>
      <c r="AG950" s="34">
        <f t="shared" si="813"/>
        <v>0</v>
      </c>
      <c r="AH950" s="34">
        <f t="shared" si="814"/>
        <v>0</v>
      </c>
      <c r="AI950" s="27" t="s">
        <v>3645</v>
      </c>
      <c r="AJ950" s="18">
        <f t="shared" si="815"/>
        <v>0</v>
      </c>
      <c r="AK950" s="18">
        <f t="shared" si="816"/>
        <v>0</v>
      </c>
      <c r="AL950" s="18">
        <f t="shared" si="817"/>
        <v>0</v>
      </c>
      <c r="AN950" s="34">
        <v>21</v>
      </c>
      <c r="AO950" s="34">
        <f t="shared" si="818"/>
        <v>0</v>
      </c>
      <c r="AP950" s="34">
        <f t="shared" si="819"/>
        <v>0</v>
      </c>
      <c r="AQ950" s="28" t="s">
        <v>7</v>
      </c>
      <c r="AV950" s="34">
        <f t="shared" si="820"/>
        <v>0</v>
      </c>
      <c r="AW950" s="34">
        <f t="shared" si="821"/>
        <v>0</v>
      </c>
      <c r="AX950" s="34">
        <f t="shared" si="822"/>
        <v>0</v>
      </c>
      <c r="AY950" s="35" t="s">
        <v>3694</v>
      </c>
      <c r="AZ950" s="35" t="s">
        <v>3712</v>
      </c>
      <c r="BA950" s="27" t="s">
        <v>3729</v>
      </c>
      <c r="BC950" s="34">
        <f t="shared" si="823"/>
        <v>0</v>
      </c>
      <c r="BD950" s="34">
        <f t="shared" si="824"/>
        <v>0</v>
      </c>
      <c r="BE950" s="34">
        <v>0</v>
      </c>
      <c r="BF950" s="34">
        <f>949</f>
        <v>949</v>
      </c>
      <c r="BH950" s="18">
        <f t="shared" si="825"/>
        <v>0</v>
      </c>
      <c r="BI950" s="18">
        <f t="shared" si="826"/>
        <v>0</v>
      </c>
      <c r="BJ950" s="18">
        <f t="shared" si="827"/>
        <v>0</v>
      </c>
    </row>
    <row r="951" spans="1:62" x14ac:dyDescent="0.2">
      <c r="A951" s="74" t="s">
        <v>897</v>
      </c>
      <c r="B951" s="5" t="s">
        <v>2072</v>
      </c>
      <c r="C951" s="135" t="s">
        <v>3279</v>
      </c>
      <c r="D951" s="136"/>
      <c r="E951" s="136"/>
      <c r="F951" s="136"/>
      <c r="G951" s="136"/>
      <c r="H951" s="5" t="s">
        <v>3612</v>
      </c>
      <c r="I951" s="18">
        <v>38</v>
      </c>
      <c r="J951" s="18">
        <v>0</v>
      </c>
      <c r="K951" s="18">
        <f t="shared" si="806"/>
        <v>0</v>
      </c>
      <c r="L951" s="28" t="s">
        <v>3635</v>
      </c>
      <c r="Z951" s="34">
        <f t="shared" si="807"/>
        <v>0</v>
      </c>
      <c r="AB951" s="34">
        <f t="shared" si="808"/>
        <v>0</v>
      </c>
      <c r="AC951" s="34">
        <f t="shared" si="809"/>
        <v>0</v>
      </c>
      <c r="AD951" s="34">
        <f t="shared" si="810"/>
        <v>0</v>
      </c>
      <c r="AE951" s="34">
        <f t="shared" si="811"/>
        <v>0</v>
      </c>
      <c r="AF951" s="34">
        <f t="shared" si="812"/>
        <v>0</v>
      </c>
      <c r="AG951" s="34">
        <f t="shared" si="813"/>
        <v>0</v>
      </c>
      <c r="AH951" s="34">
        <f t="shared" si="814"/>
        <v>0</v>
      </c>
      <c r="AI951" s="27" t="s">
        <v>3645</v>
      </c>
      <c r="AJ951" s="18">
        <f t="shared" si="815"/>
        <v>0</v>
      </c>
      <c r="AK951" s="18">
        <f t="shared" si="816"/>
        <v>0</v>
      </c>
      <c r="AL951" s="18">
        <f t="shared" si="817"/>
        <v>0</v>
      </c>
      <c r="AN951" s="34">
        <v>21</v>
      </c>
      <c r="AO951" s="34">
        <f t="shared" si="818"/>
        <v>0</v>
      </c>
      <c r="AP951" s="34">
        <f t="shared" si="819"/>
        <v>0</v>
      </c>
      <c r="AQ951" s="28" t="s">
        <v>7</v>
      </c>
      <c r="AV951" s="34">
        <f t="shared" si="820"/>
        <v>0</v>
      </c>
      <c r="AW951" s="34">
        <f t="shared" si="821"/>
        <v>0</v>
      </c>
      <c r="AX951" s="34">
        <f t="shared" si="822"/>
        <v>0</v>
      </c>
      <c r="AY951" s="35" t="s">
        <v>3694</v>
      </c>
      <c r="AZ951" s="35" t="s">
        <v>3712</v>
      </c>
      <c r="BA951" s="27" t="s">
        <v>3729</v>
      </c>
      <c r="BC951" s="34">
        <f t="shared" si="823"/>
        <v>0</v>
      </c>
      <c r="BD951" s="34">
        <f t="shared" si="824"/>
        <v>0</v>
      </c>
      <c r="BE951" s="34">
        <v>0</v>
      </c>
      <c r="BF951" s="34">
        <f>950</f>
        <v>950</v>
      </c>
      <c r="BH951" s="18">
        <f t="shared" si="825"/>
        <v>0</v>
      </c>
      <c r="BI951" s="18">
        <f t="shared" si="826"/>
        <v>0</v>
      </c>
      <c r="BJ951" s="18">
        <f t="shared" si="827"/>
        <v>0</v>
      </c>
    </row>
    <row r="952" spans="1:62" x14ac:dyDescent="0.2">
      <c r="A952" s="74" t="s">
        <v>898</v>
      </c>
      <c r="B952" s="5" t="s">
        <v>2073</v>
      </c>
      <c r="C952" s="135" t="s">
        <v>3280</v>
      </c>
      <c r="D952" s="136"/>
      <c r="E952" s="136"/>
      <c r="F952" s="136"/>
      <c r="G952" s="136"/>
      <c r="H952" s="5" t="s">
        <v>3612</v>
      </c>
      <c r="I952" s="18">
        <v>38</v>
      </c>
      <c r="J952" s="18">
        <v>0</v>
      </c>
      <c r="K952" s="18">
        <f t="shared" si="806"/>
        <v>0</v>
      </c>
      <c r="L952" s="28" t="s">
        <v>3635</v>
      </c>
      <c r="Z952" s="34">
        <f t="shared" si="807"/>
        <v>0</v>
      </c>
      <c r="AB952" s="34">
        <f t="shared" si="808"/>
        <v>0</v>
      </c>
      <c r="AC952" s="34">
        <f t="shared" si="809"/>
        <v>0</v>
      </c>
      <c r="AD952" s="34">
        <f t="shared" si="810"/>
        <v>0</v>
      </c>
      <c r="AE952" s="34">
        <f t="shared" si="811"/>
        <v>0</v>
      </c>
      <c r="AF952" s="34">
        <f t="shared" si="812"/>
        <v>0</v>
      </c>
      <c r="AG952" s="34">
        <f t="shared" si="813"/>
        <v>0</v>
      </c>
      <c r="AH952" s="34">
        <f t="shared" si="814"/>
        <v>0</v>
      </c>
      <c r="AI952" s="27" t="s">
        <v>3645</v>
      </c>
      <c r="AJ952" s="18">
        <f t="shared" si="815"/>
        <v>0</v>
      </c>
      <c r="AK952" s="18">
        <f t="shared" si="816"/>
        <v>0</v>
      </c>
      <c r="AL952" s="18">
        <f t="shared" si="817"/>
        <v>0</v>
      </c>
      <c r="AN952" s="34">
        <v>21</v>
      </c>
      <c r="AO952" s="34">
        <f t="shared" si="818"/>
        <v>0</v>
      </c>
      <c r="AP952" s="34">
        <f t="shared" si="819"/>
        <v>0</v>
      </c>
      <c r="AQ952" s="28" t="s">
        <v>7</v>
      </c>
      <c r="AV952" s="34">
        <f t="shared" si="820"/>
        <v>0</v>
      </c>
      <c r="AW952" s="34">
        <f t="shared" si="821"/>
        <v>0</v>
      </c>
      <c r="AX952" s="34">
        <f t="shared" si="822"/>
        <v>0</v>
      </c>
      <c r="AY952" s="35" t="s">
        <v>3694</v>
      </c>
      <c r="AZ952" s="35" t="s">
        <v>3712</v>
      </c>
      <c r="BA952" s="27" t="s">
        <v>3729</v>
      </c>
      <c r="BC952" s="34">
        <f t="shared" si="823"/>
        <v>0</v>
      </c>
      <c r="BD952" s="34">
        <f t="shared" si="824"/>
        <v>0</v>
      </c>
      <c r="BE952" s="34">
        <v>0</v>
      </c>
      <c r="BF952" s="34">
        <f>951</f>
        <v>951</v>
      </c>
      <c r="BH952" s="18">
        <f t="shared" si="825"/>
        <v>0</v>
      </c>
      <c r="BI952" s="18">
        <f t="shared" si="826"/>
        <v>0</v>
      </c>
      <c r="BJ952" s="18">
        <f t="shared" si="827"/>
        <v>0</v>
      </c>
    </row>
    <row r="953" spans="1:62" x14ac:dyDescent="0.2">
      <c r="A953" s="74" t="s">
        <v>899</v>
      </c>
      <c r="B953" s="5" t="s">
        <v>2074</v>
      </c>
      <c r="C953" s="135" t="s">
        <v>3281</v>
      </c>
      <c r="D953" s="136"/>
      <c r="E953" s="136"/>
      <c r="F953" s="136"/>
      <c r="G953" s="136"/>
      <c r="H953" s="5" t="s">
        <v>3612</v>
      </c>
      <c r="I953" s="18">
        <v>36</v>
      </c>
      <c r="J953" s="18">
        <v>0</v>
      </c>
      <c r="K953" s="18">
        <f t="shared" si="806"/>
        <v>0</v>
      </c>
      <c r="L953" s="28" t="s">
        <v>3635</v>
      </c>
      <c r="Z953" s="34">
        <f t="shared" si="807"/>
        <v>0</v>
      </c>
      <c r="AB953" s="34">
        <f t="shared" si="808"/>
        <v>0</v>
      </c>
      <c r="AC953" s="34">
        <f t="shared" si="809"/>
        <v>0</v>
      </c>
      <c r="AD953" s="34">
        <f t="shared" si="810"/>
        <v>0</v>
      </c>
      <c r="AE953" s="34">
        <f t="shared" si="811"/>
        <v>0</v>
      </c>
      <c r="AF953" s="34">
        <f t="shared" si="812"/>
        <v>0</v>
      </c>
      <c r="AG953" s="34">
        <f t="shared" si="813"/>
        <v>0</v>
      </c>
      <c r="AH953" s="34">
        <f t="shared" si="814"/>
        <v>0</v>
      </c>
      <c r="AI953" s="27" t="s">
        <v>3645</v>
      </c>
      <c r="AJ953" s="18">
        <f t="shared" si="815"/>
        <v>0</v>
      </c>
      <c r="AK953" s="18">
        <f t="shared" si="816"/>
        <v>0</v>
      </c>
      <c r="AL953" s="18">
        <f t="shared" si="817"/>
        <v>0</v>
      </c>
      <c r="AN953" s="34">
        <v>21</v>
      </c>
      <c r="AO953" s="34">
        <f t="shared" si="818"/>
        <v>0</v>
      </c>
      <c r="AP953" s="34">
        <f t="shared" si="819"/>
        <v>0</v>
      </c>
      <c r="AQ953" s="28" t="s">
        <v>7</v>
      </c>
      <c r="AV953" s="34">
        <f t="shared" si="820"/>
        <v>0</v>
      </c>
      <c r="AW953" s="34">
        <f t="shared" si="821"/>
        <v>0</v>
      </c>
      <c r="AX953" s="34">
        <f t="shared" si="822"/>
        <v>0</v>
      </c>
      <c r="AY953" s="35" t="s">
        <v>3694</v>
      </c>
      <c r="AZ953" s="35" t="s">
        <v>3712</v>
      </c>
      <c r="BA953" s="27" t="s">
        <v>3729</v>
      </c>
      <c r="BC953" s="34">
        <f t="shared" si="823"/>
        <v>0</v>
      </c>
      <c r="BD953" s="34">
        <f t="shared" si="824"/>
        <v>0</v>
      </c>
      <c r="BE953" s="34">
        <v>0</v>
      </c>
      <c r="BF953" s="34">
        <f>952</f>
        <v>952</v>
      </c>
      <c r="BH953" s="18">
        <f t="shared" si="825"/>
        <v>0</v>
      </c>
      <c r="BI953" s="18">
        <f t="shared" si="826"/>
        <v>0</v>
      </c>
      <c r="BJ953" s="18">
        <f t="shared" si="827"/>
        <v>0</v>
      </c>
    </row>
    <row r="954" spans="1:62" x14ac:dyDescent="0.2">
      <c r="A954" s="74" t="s">
        <v>900</v>
      </c>
      <c r="B954" s="5" t="s">
        <v>2075</v>
      </c>
      <c r="C954" s="135" t="s">
        <v>3282</v>
      </c>
      <c r="D954" s="136"/>
      <c r="E954" s="136"/>
      <c r="F954" s="136"/>
      <c r="G954" s="136"/>
      <c r="H954" s="5" t="s">
        <v>3612</v>
      </c>
      <c r="I954" s="18">
        <v>20</v>
      </c>
      <c r="J954" s="18">
        <v>0</v>
      </c>
      <c r="K954" s="18">
        <f t="shared" si="806"/>
        <v>0</v>
      </c>
      <c r="L954" s="28" t="s">
        <v>3635</v>
      </c>
      <c r="Z954" s="34">
        <f t="shared" si="807"/>
        <v>0</v>
      </c>
      <c r="AB954" s="34">
        <f t="shared" si="808"/>
        <v>0</v>
      </c>
      <c r="AC954" s="34">
        <f t="shared" si="809"/>
        <v>0</v>
      </c>
      <c r="AD954" s="34">
        <f t="shared" si="810"/>
        <v>0</v>
      </c>
      <c r="AE954" s="34">
        <f t="shared" si="811"/>
        <v>0</v>
      </c>
      <c r="AF954" s="34">
        <f t="shared" si="812"/>
        <v>0</v>
      </c>
      <c r="AG954" s="34">
        <f t="shared" si="813"/>
        <v>0</v>
      </c>
      <c r="AH954" s="34">
        <f t="shared" si="814"/>
        <v>0</v>
      </c>
      <c r="AI954" s="27" t="s">
        <v>3645</v>
      </c>
      <c r="AJ954" s="18">
        <f t="shared" si="815"/>
        <v>0</v>
      </c>
      <c r="AK954" s="18">
        <f t="shared" si="816"/>
        <v>0</v>
      </c>
      <c r="AL954" s="18">
        <f t="shared" si="817"/>
        <v>0</v>
      </c>
      <c r="AN954" s="34">
        <v>21</v>
      </c>
      <c r="AO954" s="34">
        <f t="shared" si="818"/>
        <v>0</v>
      </c>
      <c r="AP954" s="34">
        <f t="shared" si="819"/>
        <v>0</v>
      </c>
      <c r="AQ954" s="28" t="s">
        <v>7</v>
      </c>
      <c r="AV954" s="34">
        <f t="shared" si="820"/>
        <v>0</v>
      </c>
      <c r="AW954" s="34">
        <f t="shared" si="821"/>
        <v>0</v>
      </c>
      <c r="AX954" s="34">
        <f t="shared" si="822"/>
        <v>0</v>
      </c>
      <c r="AY954" s="35" t="s">
        <v>3694</v>
      </c>
      <c r="AZ954" s="35" t="s">
        <v>3712</v>
      </c>
      <c r="BA954" s="27" t="s">
        <v>3729</v>
      </c>
      <c r="BC954" s="34">
        <f t="shared" si="823"/>
        <v>0</v>
      </c>
      <c r="BD954" s="34">
        <f t="shared" si="824"/>
        <v>0</v>
      </c>
      <c r="BE954" s="34">
        <v>0</v>
      </c>
      <c r="BF954" s="34">
        <f>953</f>
        <v>953</v>
      </c>
      <c r="BH954" s="18">
        <f t="shared" si="825"/>
        <v>0</v>
      </c>
      <c r="BI954" s="18">
        <f t="shared" si="826"/>
        <v>0</v>
      </c>
      <c r="BJ954" s="18">
        <f t="shared" si="827"/>
        <v>0</v>
      </c>
    </row>
    <row r="955" spans="1:62" x14ac:dyDescent="0.2">
      <c r="A955" s="74" t="s">
        <v>901</v>
      </c>
      <c r="B955" s="5" t="s">
        <v>2076</v>
      </c>
      <c r="C955" s="135" t="s">
        <v>3283</v>
      </c>
      <c r="D955" s="136"/>
      <c r="E955" s="136"/>
      <c r="F955" s="136"/>
      <c r="G955" s="136"/>
      <c r="H955" s="5" t="s">
        <v>3612</v>
      </c>
      <c r="I955" s="18">
        <v>16</v>
      </c>
      <c r="J955" s="18">
        <v>0</v>
      </c>
      <c r="K955" s="18">
        <f t="shared" si="806"/>
        <v>0</v>
      </c>
      <c r="L955" s="28" t="s">
        <v>3635</v>
      </c>
      <c r="Z955" s="34">
        <f t="shared" si="807"/>
        <v>0</v>
      </c>
      <c r="AB955" s="34">
        <f t="shared" si="808"/>
        <v>0</v>
      </c>
      <c r="AC955" s="34">
        <f t="shared" si="809"/>
        <v>0</v>
      </c>
      <c r="AD955" s="34">
        <f t="shared" si="810"/>
        <v>0</v>
      </c>
      <c r="AE955" s="34">
        <f t="shared" si="811"/>
        <v>0</v>
      </c>
      <c r="AF955" s="34">
        <f t="shared" si="812"/>
        <v>0</v>
      </c>
      <c r="AG955" s="34">
        <f t="shared" si="813"/>
        <v>0</v>
      </c>
      <c r="AH955" s="34">
        <f t="shared" si="814"/>
        <v>0</v>
      </c>
      <c r="AI955" s="27" t="s">
        <v>3645</v>
      </c>
      <c r="AJ955" s="18">
        <f t="shared" si="815"/>
        <v>0</v>
      </c>
      <c r="AK955" s="18">
        <f t="shared" si="816"/>
        <v>0</v>
      </c>
      <c r="AL955" s="18">
        <f t="shared" si="817"/>
        <v>0</v>
      </c>
      <c r="AN955" s="34">
        <v>21</v>
      </c>
      <c r="AO955" s="34">
        <f t="shared" si="818"/>
        <v>0</v>
      </c>
      <c r="AP955" s="34">
        <f t="shared" si="819"/>
        <v>0</v>
      </c>
      <c r="AQ955" s="28" t="s">
        <v>7</v>
      </c>
      <c r="AV955" s="34">
        <f t="shared" si="820"/>
        <v>0</v>
      </c>
      <c r="AW955" s="34">
        <f t="shared" si="821"/>
        <v>0</v>
      </c>
      <c r="AX955" s="34">
        <f t="shared" si="822"/>
        <v>0</v>
      </c>
      <c r="AY955" s="35" t="s">
        <v>3694</v>
      </c>
      <c r="AZ955" s="35" t="s">
        <v>3712</v>
      </c>
      <c r="BA955" s="27" t="s">
        <v>3729</v>
      </c>
      <c r="BC955" s="34">
        <f t="shared" si="823"/>
        <v>0</v>
      </c>
      <c r="BD955" s="34">
        <f t="shared" si="824"/>
        <v>0</v>
      </c>
      <c r="BE955" s="34">
        <v>0</v>
      </c>
      <c r="BF955" s="34">
        <f>954</f>
        <v>954</v>
      </c>
      <c r="BH955" s="18">
        <f t="shared" si="825"/>
        <v>0</v>
      </c>
      <c r="BI955" s="18">
        <f t="shared" si="826"/>
        <v>0</v>
      </c>
      <c r="BJ955" s="18">
        <f t="shared" si="827"/>
        <v>0</v>
      </c>
    </row>
    <row r="956" spans="1:62" x14ac:dyDescent="0.2">
      <c r="A956" s="74" t="s">
        <v>902</v>
      </c>
      <c r="B956" s="5" t="s">
        <v>2077</v>
      </c>
      <c r="C956" s="135" t="s">
        <v>3284</v>
      </c>
      <c r="D956" s="136"/>
      <c r="E956" s="136"/>
      <c r="F956" s="136"/>
      <c r="G956" s="136"/>
      <c r="H956" s="5" t="s">
        <v>3612</v>
      </c>
      <c r="I956" s="18">
        <v>4</v>
      </c>
      <c r="J956" s="18">
        <v>0</v>
      </c>
      <c r="K956" s="18">
        <f t="shared" si="806"/>
        <v>0</v>
      </c>
      <c r="L956" s="28" t="s">
        <v>3635</v>
      </c>
      <c r="Z956" s="34">
        <f t="shared" si="807"/>
        <v>0</v>
      </c>
      <c r="AB956" s="34">
        <f t="shared" si="808"/>
        <v>0</v>
      </c>
      <c r="AC956" s="34">
        <f t="shared" si="809"/>
        <v>0</v>
      </c>
      <c r="AD956" s="34">
        <f t="shared" si="810"/>
        <v>0</v>
      </c>
      <c r="AE956" s="34">
        <f t="shared" si="811"/>
        <v>0</v>
      </c>
      <c r="AF956" s="34">
        <f t="shared" si="812"/>
        <v>0</v>
      </c>
      <c r="AG956" s="34">
        <f t="shared" si="813"/>
        <v>0</v>
      </c>
      <c r="AH956" s="34">
        <f t="shared" si="814"/>
        <v>0</v>
      </c>
      <c r="AI956" s="27" t="s">
        <v>3645</v>
      </c>
      <c r="AJ956" s="18">
        <f t="shared" si="815"/>
        <v>0</v>
      </c>
      <c r="AK956" s="18">
        <f t="shared" si="816"/>
        <v>0</v>
      </c>
      <c r="AL956" s="18">
        <f t="shared" si="817"/>
        <v>0</v>
      </c>
      <c r="AN956" s="34">
        <v>21</v>
      </c>
      <c r="AO956" s="34">
        <f t="shared" si="818"/>
        <v>0</v>
      </c>
      <c r="AP956" s="34">
        <f t="shared" si="819"/>
        <v>0</v>
      </c>
      <c r="AQ956" s="28" t="s">
        <v>7</v>
      </c>
      <c r="AV956" s="34">
        <f t="shared" si="820"/>
        <v>0</v>
      </c>
      <c r="AW956" s="34">
        <f t="shared" si="821"/>
        <v>0</v>
      </c>
      <c r="AX956" s="34">
        <f t="shared" si="822"/>
        <v>0</v>
      </c>
      <c r="AY956" s="35" t="s">
        <v>3694</v>
      </c>
      <c r="AZ956" s="35" t="s">
        <v>3712</v>
      </c>
      <c r="BA956" s="27" t="s">
        <v>3729</v>
      </c>
      <c r="BC956" s="34">
        <f t="shared" si="823"/>
        <v>0</v>
      </c>
      <c r="BD956" s="34">
        <f t="shared" si="824"/>
        <v>0</v>
      </c>
      <c r="BE956" s="34">
        <v>0</v>
      </c>
      <c r="BF956" s="34">
        <f>955</f>
        <v>955</v>
      </c>
      <c r="BH956" s="18">
        <f t="shared" si="825"/>
        <v>0</v>
      </c>
      <c r="BI956" s="18">
        <f t="shared" si="826"/>
        <v>0</v>
      </c>
      <c r="BJ956" s="18">
        <f t="shared" si="827"/>
        <v>0</v>
      </c>
    </row>
    <row r="957" spans="1:62" x14ac:dyDescent="0.2">
      <c r="A957" s="74" t="s">
        <v>903</v>
      </c>
      <c r="B957" s="5" t="s">
        <v>2078</v>
      </c>
      <c r="C957" s="135" t="s">
        <v>3285</v>
      </c>
      <c r="D957" s="136"/>
      <c r="E957" s="136"/>
      <c r="F957" s="136"/>
      <c r="G957" s="136"/>
      <c r="H957" s="5" t="s">
        <v>3612</v>
      </c>
      <c r="I957" s="18">
        <v>10</v>
      </c>
      <c r="J957" s="18">
        <v>0</v>
      </c>
      <c r="K957" s="18">
        <f t="shared" si="806"/>
        <v>0</v>
      </c>
      <c r="L957" s="28" t="s">
        <v>3635</v>
      </c>
      <c r="Z957" s="34">
        <f t="shared" si="807"/>
        <v>0</v>
      </c>
      <c r="AB957" s="34">
        <f t="shared" si="808"/>
        <v>0</v>
      </c>
      <c r="AC957" s="34">
        <f t="shared" si="809"/>
        <v>0</v>
      </c>
      <c r="AD957" s="34">
        <f t="shared" si="810"/>
        <v>0</v>
      </c>
      <c r="AE957" s="34">
        <f t="shared" si="811"/>
        <v>0</v>
      </c>
      <c r="AF957" s="34">
        <f t="shared" si="812"/>
        <v>0</v>
      </c>
      <c r="AG957" s="34">
        <f t="shared" si="813"/>
        <v>0</v>
      </c>
      <c r="AH957" s="34">
        <f t="shared" si="814"/>
        <v>0</v>
      </c>
      <c r="AI957" s="27" t="s">
        <v>3645</v>
      </c>
      <c r="AJ957" s="18">
        <f t="shared" si="815"/>
        <v>0</v>
      </c>
      <c r="AK957" s="18">
        <f t="shared" si="816"/>
        <v>0</v>
      </c>
      <c r="AL957" s="18">
        <f t="shared" si="817"/>
        <v>0</v>
      </c>
      <c r="AN957" s="34">
        <v>21</v>
      </c>
      <c r="AO957" s="34">
        <f t="shared" si="818"/>
        <v>0</v>
      </c>
      <c r="AP957" s="34">
        <f t="shared" si="819"/>
        <v>0</v>
      </c>
      <c r="AQ957" s="28" t="s">
        <v>7</v>
      </c>
      <c r="AV957" s="34">
        <f t="shared" si="820"/>
        <v>0</v>
      </c>
      <c r="AW957" s="34">
        <f t="shared" si="821"/>
        <v>0</v>
      </c>
      <c r="AX957" s="34">
        <f t="shared" si="822"/>
        <v>0</v>
      </c>
      <c r="AY957" s="35" t="s">
        <v>3694</v>
      </c>
      <c r="AZ957" s="35" t="s">
        <v>3712</v>
      </c>
      <c r="BA957" s="27" t="s">
        <v>3729</v>
      </c>
      <c r="BC957" s="34">
        <f t="shared" si="823"/>
        <v>0</v>
      </c>
      <c r="BD957" s="34">
        <f t="shared" si="824"/>
        <v>0</v>
      </c>
      <c r="BE957" s="34">
        <v>0</v>
      </c>
      <c r="BF957" s="34">
        <f>956</f>
        <v>956</v>
      </c>
      <c r="BH957" s="18">
        <f t="shared" si="825"/>
        <v>0</v>
      </c>
      <c r="BI957" s="18">
        <f t="shared" si="826"/>
        <v>0</v>
      </c>
      <c r="BJ957" s="18">
        <f t="shared" si="827"/>
        <v>0</v>
      </c>
    </row>
    <row r="958" spans="1:62" x14ac:dyDescent="0.2">
      <c r="A958" s="74" t="s">
        <v>904</v>
      </c>
      <c r="B958" s="5" t="s">
        <v>2079</v>
      </c>
      <c r="C958" s="135" t="s">
        <v>3286</v>
      </c>
      <c r="D958" s="136"/>
      <c r="E958" s="136"/>
      <c r="F958" s="136"/>
      <c r="G958" s="136"/>
      <c r="H958" s="5" t="s">
        <v>3612</v>
      </c>
      <c r="I958" s="18">
        <v>8</v>
      </c>
      <c r="J958" s="18">
        <v>0</v>
      </c>
      <c r="K958" s="18">
        <f t="shared" ref="K958:K989" si="828">I958*J958</f>
        <v>0</v>
      </c>
      <c r="L958" s="28" t="s">
        <v>3635</v>
      </c>
      <c r="Z958" s="34">
        <f t="shared" ref="Z958:Z989" si="829">IF(AQ958="5",BJ958,0)</f>
        <v>0</v>
      </c>
      <c r="AB958" s="34">
        <f t="shared" ref="AB958:AB989" si="830">IF(AQ958="1",BH958,0)</f>
        <v>0</v>
      </c>
      <c r="AC958" s="34">
        <f t="shared" ref="AC958:AC989" si="831">IF(AQ958="1",BI958,0)</f>
        <v>0</v>
      </c>
      <c r="AD958" s="34">
        <f t="shared" ref="AD958:AD989" si="832">IF(AQ958="7",BH958,0)</f>
        <v>0</v>
      </c>
      <c r="AE958" s="34">
        <f t="shared" ref="AE958:AE989" si="833">IF(AQ958="7",BI958,0)</f>
        <v>0</v>
      </c>
      <c r="AF958" s="34">
        <f t="shared" ref="AF958:AF989" si="834">IF(AQ958="2",BH958,0)</f>
        <v>0</v>
      </c>
      <c r="AG958" s="34">
        <f t="shared" ref="AG958:AG989" si="835">IF(AQ958="2",BI958,0)</f>
        <v>0</v>
      </c>
      <c r="AH958" s="34">
        <f t="shared" ref="AH958:AH989" si="836">IF(AQ958="0",BJ958,0)</f>
        <v>0</v>
      </c>
      <c r="AI958" s="27" t="s">
        <v>3645</v>
      </c>
      <c r="AJ958" s="18">
        <f t="shared" ref="AJ958:AJ989" si="837">IF(AN958=0,K958,0)</f>
        <v>0</v>
      </c>
      <c r="AK958" s="18">
        <f t="shared" ref="AK958:AK989" si="838">IF(AN958=15,K958,0)</f>
        <v>0</v>
      </c>
      <c r="AL958" s="18">
        <f t="shared" ref="AL958:AL989" si="839">IF(AN958=21,K958,0)</f>
        <v>0</v>
      </c>
      <c r="AN958" s="34">
        <v>21</v>
      </c>
      <c r="AO958" s="34">
        <f t="shared" ref="AO958:AO989" si="840">J958*0</f>
        <v>0</v>
      </c>
      <c r="AP958" s="34">
        <f t="shared" ref="AP958:AP989" si="841">J958*(1-0)</f>
        <v>0</v>
      </c>
      <c r="AQ958" s="28" t="s">
        <v>7</v>
      </c>
      <c r="AV958" s="34">
        <f t="shared" ref="AV958:AV989" si="842">AW958+AX958</f>
        <v>0</v>
      </c>
      <c r="AW958" s="34">
        <f t="shared" ref="AW958:AW989" si="843">I958*AO958</f>
        <v>0</v>
      </c>
      <c r="AX958" s="34">
        <f t="shared" ref="AX958:AX989" si="844">I958*AP958</f>
        <v>0</v>
      </c>
      <c r="AY958" s="35" t="s">
        <v>3694</v>
      </c>
      <c r="AZ958" s="35" t="s">
        <v>3712</v>
      </c>
      <c r="BA958" s="27" t="s">
        <v>3729</v>
      </c>
      <c r="BC958" s="34">
        <f t="shared" ref="BC958:BC989" si="845">AW958+AX958</f>
        <v>0</v>
      </c>
      <c r="BD958" s="34">
        <f t="shared" ref="BD958:BD989" si="846">J958/(100-BE958)*100</f>
        <v>0</v>
      </c>
      <c r="BE958" s="34">
        <v>0</v>
      </c>
      <c r="BF958" s="34">
        <f>957</f>
        <v>957</v>
      </c>
      <c r="BH958" s="18">
        <f t="shared" ref="BH958:BH989" si="847">I958*AO958</f>
        <v>0</v>
      </c>
      <c r="BI958" s="18">
        <f t="shared" ref="BI958:BI989" si="848">I958*AP958</f>
        <v>0</v>
      </c>
      <c r="BJ958" s="18">
        <f t="shared" ref="BJ958:BJ989" si="849">I958*J958</f>
        <v>0</v>
      </c>
    </row>
    <row r="959" spans="1:62" x14ac:dyDescent="0.2">
      <c r="A959" s="74" t="s">
        <v>905</v>
      </c>
      <c r="B959" s="5" t="s">
        <v>2080</v>
      </c>
      <c r="C959" s="135" t="s">
        <v>3287</v>
      </c>
      <c r="D959" s="136"/>
      <c r="E959" s="136"/>
      <c r="F959" s="136"/>
      <c r="G959" s="136"/>
      <c r="H959" s="5" t="s">
        <v>3612</v>
      </c>
      <c r="I959" s="18">
        <v>5</v>
      </c>
      <c r="J959" s="18">
        <v>0</v>
      </c>
      <c r="K959" s="18">
        <f t="shared" si="828"/>
        <v>0</v>
      </c>
      <c r="L959" s="28" t="s">
        <v>3635</v>
      </c>
      <c r="Z959" s="34">
        <f t="shared" si="829"/>
        <v>0</v>
      </c>
      <c r="AB959" s="34">
        <f t="shared" si="830"/>
        <v>0</v>
      </c>
      <c r="AC959" s="34">
        <f t="shared" si="831"/>
        <v>0</v>
      </c>
      <c r="AD959" s="34">
        <f t="shared" si="832"/>
        <v>0</v>
      </c>
      <c r="AE959" s="34">
        <f t="shared" si="833"/>
        <v>0</v>
      </c>
      <c r="AF959" s="34">
        <f t="shared" si="834"/>
        <v>0</v>
      </c>
      <c r="AG959" s="34">
        <f t="shared" si="835"/>
        <v>0</v>
      </c>
      <c r="AH959" s="34">
        <f t="shared" si="836"/>
        <v>0</v>
      </c>
      <c r="AI959" s="27" t="s">
        <v>3645</v>
      </c>
      <c r="AJ959" s="18">
        <f t="shared" si="837"/>
        <v>0</v>
      </c>
      <c r="AK959" s="18">
        <f t="shared" si="838"/>
        <v>0</v>
      </c>
      <c r="AL959" s="18">
        <f t="shared" si="839"/>
        <v>0</v>
      </c>
      <c r="AN959" s="34">
        <v>21</v>
      </c>
      <c r="AO959" s="34">
        <f t="shared" si="840"/>
        <v>0</v>
      </c>
      <c r="AP959" s="34">
        <f t="shared" si="841"/>
        <v>0</v>
      </c>
      <c r="AQ959" s="28" t="s">
        <v>7</v>
      </c>
      <c r="AV959" s="34">
        <f t="shared" si="842"/>
        <v>0</v>
      </c>
      <c r="AW959" s="34">
        <f t="shared" si="843"/>
        <v>0</v>
      </c>
      <c r="AX959" s="34">
        <f t="shared" si="844"/>
        <v>0</v>
      </c>
      <c r="AY959" s="35" t="s">
        <v>3694</v>
      </c>
      <c r="AZ959" s="35" t="s">
        <v>3712</v>
      </c>
      <c r="BA959" s="27" t="s">
        <v>3729</v>
      </c>
      <c r="BC959" s="34">
        <f t="shared" si="845"/>
        <v>0</v>
      </c>
      <c r="BD959" s="34">
        <f t="shared" si="846"/>
        <v>0</v>
      </c>
      <c r="BE959" s="34">
        <v>0</v>
      </c>
      <c r="BF959" s="34">
        <f>958</f>
        <v>958</v>
      </c>
      <c r="BH959" s="18">
        <f t="shared" si="847"/>
        <v>0</v>
      </c>
      <c r="BI959" s="18">
        <f t="shared" si="848"/>
        <v>0</v>
      </c>
      <c r="BJ959" s="18">
        <f t="shared" si="849"/>
        <v>0</v>
      </c>
    </row>
    <row r="960" spans="1:62" x14ac:dyDescent="0.2">
      <c r="A960" s="74" t="s">
        <v>906</v>
      </c>
      <c r="B960" s="5" t="s">
        <v>2081</v>
      </c>
      <c r="C960" s="135" t="s">
        <v>3288</v>
      </c>
      <c r="D960" s="136"/>
      <c r="E960" s="136"/>
      <c r="F960" s="136"/>
      <c r="G960" s="136"/>
      <c r="H960" s="5" t="s">
        <v>3612</v>
      </c>
      <c r="I960" s="18">
        <v>4</v>
      </c>
      <c r="J960" s="18">
        <v>0</v>
      </c>
      <c r="K960" s="18">
        <f t="shared" si="828"/>
        <v>0</v>
      </c>
      <c r="L960" s="28" t="s">
        <v>3635</v>
      </c>
      <c r="Z960" s="34">
        <f t="shared" si="829"/>
        <v>0</v>
      </c>
      <c r="AB960" s="34">
        <f t="shared" si="830"/>
        <v>0</v>
      </c>
      <c r="AC960" s="34">
        <f t="shared" si="831"/>
        <v>0</v>
      </c>
      <c r="AD960" s="34">
        <f t="shared" si="832"/>
        <v>0</v>
      </c>
      <c r="AE960" s="34">
        <f t="shared" si="833"/>
        <v>0</v>
      </c>
      <c r="AF960" s="34">
        <f t="shared" si="834"/>
        <v>0</v>
      </c>
      <c r="AG960" s="34">
        <f t="shared" si="835"/>
        <v>0</v>
      </c>
      <c r="AH960" s="34">
        <f t="shared" si="836"/>
        <v>0</v>
      </c>
      <c r="AI960" s="27" t="s">
        <v>3645</v>
      </c>
      <c r="AJ960" s="18">
        <f t="shared" si="837"/>
        <v>0</v>
      </c>
      <c r="AK960" s="18">
        <f t="shared" si="838"/>
        <v>0</v>
      </c>
      <c r="AL960" s="18">
        <f t="shared" si="839"/>
        <v>0</v>
      </c>
      <c r="AN960" s="34">
        <v>21</v>
      </c>
      <c r="AO960" s="34">
        <f t="shared" si="840"/>
        <v>0</v>
      </c>
      <c r="AP960" s="34">
        <f t="shared" si="841"/>
        <v>0</v>
      </c>
      <c r="AQ960" s="28" t="s">
        <v>7</v>
      </c>
      <c r="AV960" s="34">
        <f t="shared" si="842"/>
        <v>0</v>
      </c>
      <c r="AW960" s="34">
        <f t="shared" si="843"/>
        <v>0</v>
      </c>
      <c r="AX960" s="34">
        <f t="shared" si="844"/>
        <v>0</v>
      </c>
      <c r="AY960" s="35" t="s">
        <v>3694</v>
      </c>
      <c r="AZ960" s="35" t="s">
        <v>3712</v>
      </c>
      <c r="BA960" s="27" t="s">
        <v>3729</v>
      </c>
      <c r="BC960" s="34">
        <f t="shared" si="845"/>
        <v>0</v>
      </c>
      <c r="BD960" s="34">
        <f t="shared" si="846"/>
        <v>0</v>
      </c>
      <c r="BE960" s="34">
        <v>0</v>
      </c>
      <c r="BF960" s="34">
        <f>959</f>
        <v>959</v>
      </c>
      <c r="BH960" s="18">
        <f t="shared" si="847"/>
        <v>0</v>
      </c>
      <c r="BI960" s="18">
        <f t="shared" si="848"/>
        <v>0</v>
      </c>
      <c r="BJ960" s="18">
        <f t="shared" si="849"/>
        <v>0</v>
      </c>
    </row>
    <row r="961" spans="1:62" x14ac:dyDescent="0.2">
      <c r="A961" s="74" t="s">
        <v>907</v>
      </c>
      <c r="B961" s="5" t="s">
        <v>2082</v>
      </c>
      <c r="C961" s="135" t="s">
        <v>3289</v>
      </c>
      <c r="D961" s="136"/>
      <c r="E961" s="136"/>
      <c r="F961" s="136"/>
      <c r="G961" s="136"/>
      <c r="H961" s="5" t="s">
        <v>3612</v>
      </c>
      <c r="I961" s="18">
        <v>1</v>
      </c>
      <c r="J961" s="18">
        <v>0</v>
      </c>
      <c r="K961" s="18">
        <f t="shared" si="828"/>
        <v>0</v>
      </c>
      <c r="L961" s="28" t="s">
        <v>3635</v>
      </c>
      <c r="Z961" s="34">
        <f t="shared" si="829"/>
        <v>0</v>
      </c>
      <c r="AB961" s="34">
        <f t="shared" si="830"/>
        <v>0</v>
      </c>
      <c r="AC961" s="34">
        <f t="shared" si="831"/>
        <v>0</v>
      </c>
      <c r="AD961" s="34">
        <f t="shared" si="832"/>
        <v>0</v>
      </c>
      <c r="AE961" s="34">
        <f t="shared" si="833"/>
        <v>0</v>
      </c>
      <c r="AF961" s="34">
        <f t="shared" si="834"/>
        <v>0</v>
      </c>
      <c r="AG961" s="34">
        <f t="shared" si="835"/>
        <v>0</v>
      </c>
      <c r="AH961" s="34">
        <f t="shared" si="836"/>
        <v>0</v>
      </c>
      <c r="AI961" s="27" t="s">
        <v>3645</v>
      </c>
      <c r="AJ961" s="18">
        <f t="shared" si="837"/>
        <v>0</v>
      </c>
      <c r="AK961" s="18">
        <f t="shared" si="838"/>
        <v>0</v>
      </c>
      <c r="AL961" s="18">
        <f t="shared" si="839"/>
        <v>0</v>
      </c>
      <c r="AN961" s="34">
        <v>21</v>
      </c>
      <c r="AO961" s="34">
        <f t="shared" si="840"/>
        <v>0</v>
      </c>
      <c r="AP961" s="34">
        <f t="shared" si="841"/>
        <v>0</v>
      </c>
      <c r="AQ961" s="28" t="s">
        <v>7</v>
      </c>
      <c r="AV961" s="34">
        <f t="shared" si="842"/>
        <v>0</v>
      </c>
      <c r="AW961" s="34">
        <f t="shared" si="843"/>
        <v>0</v>
      </c>
      <c r="AX961" s="34">
        <f t="shared" si="844"/>
        <v>0</v>
      </c>
      <c r="AY961" s="35" t="s">
        <v>3694</v>
      </c>
      <c r="AZ961" s="35" t="s">
        <v>3712</v>
      </c>
      <c r="BA961" s="27" t="s">
        <v>3729</v>
      </c>
      <c r="BC961" s="34">
        <f t="shared" si="845"/>
        <v>0</v>
      </c>
      <c r="BD961" s="34">
        <f t="shared" si="846"/>
        <v>0</v>
      </c>
      <c r="BE961" s="34">
        <v>0</v>
      </c>
      <c r="BF961" s="34">
        <f>960</f>
        <v>960</v>
      </c>
      <c r="BH961" s="18">
        <f t="shared" si="847"/>
        <v>0</v>
      </c>
      <c r="BI961" s="18">
        <f t="shared" si="848"/>
        <v>0</v>
      </c>
      <c r="BJ961" s="18">
        <f t="shared" si="849"/>
        <v>0</v>
      </c>
    </row>
    <row r="962" spans="1:62" x14ac:dyDescent="0.2">
      <c r="A962" s="74" t="s">
        <v>908</v>
      </c>
      <c r="B962" s="5" t="s">
        <v>2083</v>
      </c>
      <c r="C962" s="135" t="s">
        <v>3290</v>
      </c>
      <c r="D962" s="136"/>
      <c r="E962" s="136"/>
      <c r="F962" s="136"/>
      <c r="G962" s="136"/>
      <c r="H962" s="5" t="s">
        <v>3612</v>
      </c>
      <c r="I962" s="18">
        <v>18</v>
      </c>
      <c r="J962" s="18">
        <v>0</v>
      </c>
      <c r="K962" s="18">
        <f t="shared" si="828"/>
        <v>0</v>
      </c>
      <c r="L962" s="28" t="s">
        <v>3635</v>
      </c>
      <c r="Z962" s="34">
        <f t="shared" si="829"/>
        <v>0</v>
      </c>
      <c r="AB962" s="34">
        <f t="shared" si="830"/>
        <v>0</v>
      </c>
      <c r="AC962" s="34">
        <f t="shared" si="831"/>
        <v>0</v>
      </c>
      <c r="AD962" s="34">
        <f t="shared" si="832"/>
        <v>0</v>
      </c>
      <c r="AE962" s="34">
        <f t="shared" si="833"/>
        <v>0</v>
      </c>
      <c r="AF962" s="34">
        <f t="shared" si="834"/>
        <v>0</v>
      </c>
      <c r="AG962" s="34">
        <f t="shared" si="835"/>
        <v>0</v>
      </c>
      <c r="AH962" s="34">
        <f t="shared" si="836"/>
        <v>0</v>
      </c>
      <c r="AI962" s="27" t="s">
        <v>3645</v>
      </c>
      <c r="AJ962" s="18">
        <f t="shared" si="837"/>
        <v>0</v>
      </c>
      <c r="AK962" s="18">
        <f t="shared" si="838"/>
        <v>0</v>
      </c>
      <c r="AL962" s="18">
        <f t="shared" si="839"/>
        <v>0</v>
      </c>
      <c r="AN962" s="34">
        <v>21</v>
      </c>
      <c r="AO962" s="34">
        <f t="shared" si="840"/>
        <v>0</v>
      </c>
      <c r="AP962" s="34">
        <f t="shared" si="841"/>
        <v>0</v>
      </c>
      <c r="AQ962" s="28" t="s">
        <v>7</v>
      </c>
      <c r="AV962" s="34">
        <f t="shared" si="842"/>
        <v>0</v>
      </c>
      <c r="AW962" s="34">
        <f t="shared" si="843"/>
        <v>0</v>
      </c>
      <c r="AX962" s="34">
        <f t="shared" si="844"/>
        <v>0</v>
      </c>
      <c r="AY962" s="35" t="s">
        <v>3694</v>
      </c>
      <c r="AZ962" s="35" t="s">
        <v>3712</v>
      </c>
      <c r="BA962" s="27" t="s">
        <v>3729</v>
      </c>
      <c r="BC962" s="34">
        <f t="shared" si="845"/>
        <v>0</v>
      </c>
      <c r="BD962" s="34">
        <f t="shared" si="846"/>
        <v>0</v>
      </c>
      <c r="BE962" s="34">
        <v>0</v>
      </c>
      <c r="BF962" s="34">
        <f>961</f>
        <v>961</v>
      </c>
      <c r="BH962" s="18">
        <f t="shared" si="847"/>
        <v>0</v>
      </c>
      <c r="BI962" s="18">
        <f t="shared" si="848"/>
        <v>0</v>
      </c>
      <c r="BJ962" s="18">
        <f t="shared" si="849"/>
        <v>0</v>
      </c>
    </row>
    <row r="963" spans="1:62" x14ac:dyDescent="0.2">
      <c r="A963" s="74" t="s">
        <v>909</v>
      </c>
      <c r="B963" s="5" t="s">
        <v>2084</v>
      </c>
      <c r="C963" s="135" t="s">
        <v>3291</v>
      </c>
      <c r="D963" s="136"/>
      <c r="E963" s="136"/>
      <c r="F963" s="136"/>
      <c r="G963" s="136"/>
      <c r="H963" s="5" t="s">
        <v>3612</v>
      </c>
      <c r="I963" s="18">
        <v>18</v>
      </c>
      <c r="J963" s="18">
        <v>0</v>
      </c>
      <c r="K963" s="18">
        <f t="shared" si="828"/>
        <v>0</v>
      </c>
      <c r="L963" s="28" t="s">
        <v>3635</v>
      </c>
      <c r="Z963" s="34">
        <f t="shared" si="829"/>
        <v>0</v>
      </c>
      <c r="AB963" s="34">
        <f t="shared" si="830"/>
        <v>0</v>
      </c>
      <c r="AC963" s="34">
        <f t="shared" si="831"/>
        <v>0</v>
      </c>
      <c r="AD963" s="34">
        <f t="shared" si="832"/>
        <v>0</v>
      </c>
      <c r="AE963" s="34">
        <f t="shared" si="833"/>
        <v>0</v>
      </c>
      <c r="AF963" s="34">
        <f t="shared" si="834"/>
        <v>0</v>
      </c>
      <c r="AG963" s="34">
        <f t="shared" si="835"/>
        <v>0</v>
      </c>
      <c r="AH963" s="34">
        <f t="shared" si="836"/>
        <v>0</v>
      </c>
      <c r="AI963" s="27" t="s">
        <v>3645</v>
      </c>
      <c r="AJ963" s="18">
        <f t="shared" si="837"/>
        <v>0</v>
      </c>
      <c r="AK963" s="18">
        <f t="shared" si="838"/>
        <v>0</v>
      </c>
      <c r="AL963" s="18">
        <f t="shared" si="839"/>
        <v>0</v>
      </c>
      <c r="AN963" s="34">
        <v>21</v>
      </c>
      <c r="AO963" s="34">
        <f t="shared" si="840"/>
        <v>0</v>
      </c>
      <c r="AP963" s="34">
        <f t="shared" si="841"/>
        <v>0</v>
      </c>
      <c r="AQ963" s="28" t="s">
        <v>7</v>
      </c>
      <c r="AV963" s="34">
        <f t="shared" si="842"/>
        <v>0</v>
      </c>
      <c r="AW963" s="34">
        <f t="shared" si="843"/>
        <v>0</v>
      </c>
      <c r="AX963" s="34">
        <f t="shared" si="844"/>
        <v>0</v>
      </c>
      <c r="AY963" s="35" t="s">
        <v>3694</v>
      </c>
      <c r="AZ963" s="35" t="s">
        <v>3712</v>
      </c>
      <c r="BA963" s="27" t="s">
        <v>3729</v>
      </c>
      <c r="BC963" s="34">
        <f t="shared" si="845"/>
        <v>0</v>
      </c>
      <c r="BD963" s="34">
        <f t="shared" si="846"/>
        <v>0</v>
      </c>
      <c r="BE963" s="34">
        <v>0</v>
      </c>
      <c r="BF963" s="34">
        <f>962</f>
        <v>962</v>
      </c>
      <c r="BH963" s="18">
        <f t="shared" si="847"/>
        <v>0</v>
      </c>
      <c r="BI963" s="18">
        <f t="shared" si="848"/>
        <v>0</v>
      </c>
      <c r="BJ963" s="18">
        <f t="shared" si="849"/>
        <v>0</v>
      </c>
    </row>
    <row r="964" spans="1:62" x14ac:dyDescent="0.2">
      <c r="A964" s="74" t="s">
        <v>910</v>
      </c>
      <c r="B964" s="5" t="s">
        <v>2085</v>
      </c>
      <c r="C964" s="135" t="s">
        <v>3292</v>
      </c>
      <c r="D964" s="136"/>
      <c r="E964" s="136"/>
      <c r="F964" s="136"/>
      <c r="G964" s="136"/>
      <c r="H964" s="5" t="s">
        <v>3612</v>
      </c>
      <c r="I964" s="18">
        <v>90</v>
      </c>
      <c r="J964" s="18">
        <v>0</v>
      </c>
      <c r="K964" s="18">
        <f t="shared" si="828"/>
        <v>0</v>
      </c>
      <c r="L964" s="28" t="s">
        <v>3635</v>
      </c>
      <c r="Z964" s="34">
        <f t="shared" si="829"/>
        <v>0</v>
      </c>
      <c r="AB964" s="34">
        <f t="shared" si="830"/>
        <v>0</v>
      </c>
      <c r="AC964" s="34">
        <f t="shared" si="831"/>
        <v>0</v>
      </c>
      <c r="AD964" s="34">
        <f t="shared" si="832"/>
        <v>0</v>
      </c>
      <c r="AE964" s="34">
        <f t="shared" si="833"/>
        <v>0</v>
      </c>
      <c r="AF964" s="34">
        <f t="shared" si="834"/>
        <v>0</v>
      </c>
      <c r="AG964" s="34">
        <f t="shared" si="835"/>
        <v>0</v>
      </c>
      <c r="AH964" s="34">
        <f t="shared" si="836"/>
        <v>0</v>
      </c>
      <c r="AI964" s="27" t="s">
        <v>3645</v>
      </c>
      <c r="AJ964" s="18">
        <f t="shared" si="837"/>
        <v>0</v>
      </c>
      <c r="AK964" s="18">
        <f t="shared" si="838"/>
        <v>0</v>
      </c>
      <c r="AL964" s="18">
        <f t="shared" si="839"/>
        <v>0</v>
      </c>
      <c r="AN964" s="34">
        <v>21</v>
      </c>
      <c r="AO964" s="34">
        <f t="shared" si="840"/>
        <v>0</v>
      </c>
      <c r="AP964" s="34">
        <f t="shared" si="841"/>
        <v>0</v>
      </c>
      <c r="AQ964" s="28" t="s">
        <v>7</v>
      </c>
      <c r="AV964" s="34">
        <f t="shared" si="842"/>
        <v>0</v>
      </c>
      <c r="AW964" s="34">
        <f t="shared" si="843"/>
        <v>0</v>
      </c>
      <c r="AX964" s="34">
        <f t="shared" si="844"/>
        <v>0</v>
      </c>
      <c r="AY964" s="35" t="s">
        <v>3694</v>
      </c>
      <c r="AZ964" s="35" t="s">
        <v>3712</v>
      </c>
      <c r="BA964" s="27" t="s">
        <v>3729</v>
      </c>
      <c r="BC964" s="34">
        <f t="shared" si="845"/>
        <v>0</v>
      </c>
      <c r="BD964" s="34">
        <f t="shared" si="846"/>
        <v>0</v>
      </c>
      <c r="BE964" s="34">
        <v>0</v>
      </c>
      <c r="BF964" s="34">
        <f>963</f>
        <v>963</v>
      </c>
      <c r="BH964" s="18">
        <f t="shared" si="847"/>
        <v>0</v>
      </c>
      <c r="BI964" s="18">
        <f t="shared" si="848"/>
        <v>0</v>
      </c>
      <c r="BJ964" s="18">
        <f t="shared" si="849"/>
        <v>0</v>
      </c>
    </row>
    <row r="965" spans="1:62" x14ac:dyDescent="0.2">
      <c r="A965" s="74" t="s">
        <v>911</v>
      </c>
      <c r="B965" s="5" t="s">
        <v>2086</v>
      </c>
      <c r="C965" s="135" t="s">
        <v>3293</v>
      </c>
      <c r="D965" s="136"/>
      <c r="E965" s="136"/>
      <c r="F965" s="136"/>
      <c r="G965" s="136"/>
      <c r="H965" s="5" t="s">
        <v>3612</v>
      </c>
      <c r="I965" s="18">
        <v>29</v>
      </c>
      <c r="J965" s="18">
        <v>0</v>
      </c>
      <c r="K965" s="18">
        <f t="shared" si="828"/>
        <v>0</v>
      </c>
      <c r="L965" s="28" t="s">
        <v>3635</v>
      </c>
      <c r="Z965" s="34">
        <f t="shared" si="829"/>
        <v>0</v>
      </c>
      <c r="AB965" s="34">
        <f t="shared" si="830"/>
        <v>0</v>
      </c>
      <c r="AC965" s="34">
        <f t="shared" si="831"/>
        <v>0</v>
      </c>
      <c r="AD965" s="34">
        <f t="shared" si="832"/>
        <v>0</v>
      </c>
      <c r="AE965" s="34">
        <f t="shared" si="833"/>
        <v>0</v>
      </c>
      <c r="AF965" s="34">
        <f t="shared" si="834"/>
        <v>0</v>
      </c>
      <c r="AG965" s="34">
        <f t="shared" si="835"/>
        <v>0</v>
      </c>
      <c r="AH965" s="34">
        <f t="shared" si="836"/>
        <v>0</v>
      </c>
      <c r="AI965" s="27" t="s">
        <v>3645</v>
      </c>
      <c r="AJ965" s="18">
        <f t="shared" si="837"/>
        <v>0</v>
      </c>
      <c r="AK965" s="18">
        <f t="shared" si="838"/>
        <v>0</v>
      </c>
      <c r="AL965" s="18">
        <f t="shared" si="839"/>
        <v>0</v>
      </c>
      <c r="AN965" s="34">
        <v>21</v>
      </c>
      <c r="AO965" s="34">
        <f t="shared" si="840"/>
        <v>0</v>
      </c>
      <c r="AP965" s="34">
        <f t="shared" si="841"/>
        <v>0</v>
      </c>
      <c r="AQ965" s="28" t="s">
        <v>7</v>
      </c>
      <c r="AV965" s="34">
        <f t="shared" si="842"/>
        <v>0</v>
      </c>
      <c r="AW965" s="34">
        <f t="shared" si="843"/>
        <v>0</v>
      </c>
      <c r="AX965" s="34">
        <f t="shared" si="844"/>
        <v>0</v>
      </c>
      <c r="AY965" s="35" t="s">
        <v>3694</v>
      </c>
      <c r="AZ965" s="35" t="s">
        <v>3712</v>
      </c>
      <c r="BA965" s="27" t="s">
        <v>3729</v>
      </c>
      <c r="BC965" s="34">
        <f t="shared" si="845"/>
        <v>0</v>
      </c>
      <c r="BD965" s="34">
        <f t="shared" si="846"/>
        <v>0</v>
      </c>
      <c r="BE965" s="34">
        <v>0</v>
      </c>
      <c r="BF965" s="34">
        <f>964</f>
        <v>964</v>
      </c>
      <c r="BH965" s="18">
        <f t="shared" si="847"/>
        <v>0</v>
      </c>
      <c r="BI965" s="18">
        <f t="shared" si="848"/>
        <v>0</v>
      </c>
      <c r="BJ965" s="18">
        <f t="shared" si="849"/>
        <v>0</v>
      </c>
    </row>
    <row r="966" spans="1:62" x14ac:dyDescent="0.2">
      <c r="A966" s="74" t="s">
        <v>912</v>
      </c>
      <c r="B966" s="5" t="s">
        <v>2087</v>
      </c>
      <c r="C966" s="135" t="s">
        <v>3294</v>
      </c>
      <c r="D966" s="136"/>
      <c r="E966" s="136"/>
      <c r="F966" s="136"/>
      <c r="G966" s="136"/>
      <c r="H966" s="5" t="s">
        <v>3612</v>
      </c>
      <c r="I966" s="18">
        <v>34</v>
      </c>
      <c r="J966" s="18">
        <v>0</v>
      </c>
      <c r="K966" s="18">
        <f t="shared" si="828"/>
        <v>0</v>
      </c>
      <c r="L966" s="28" t="s">
        <v>3635</v>
      </c>
      <c r="Z966" s="34">
        <f t="shared" si="829"/>
        <v>0</v>
      </c>
      <c r="AB966" s="34">
        <f t="shared" si="830"/>
        <v>0</v>
      </c>
      <c r="AC966" s="34">
        <f t="shared" si="831"/>
        <v>0</v>
      </c>
      <c r="AD966" s="34">
        <f t="shared" si="832"/>
        <v>0</v>
      </c>
      <c r="AE966" s="34">
        <f t="shared" si="833"/>
        <v>0</v>
      </c>
      <c r="AF966" s="34">
        <f t="shared" si="834"/>
        <v>0</v>
      </c>
      <c r="AG966" s="34">
        <f t="shared" si="835"/>
        <v>0</v>
      </c>
      <c r="AH966" s="34">
        <f t="shared" si="836"/>
        <v>0</v>
      </c>
      <c r="AI966" s="27" t="s">
        <v>3645</v>
      </c>
      <c r="AJ966" s="18">
        <f t="shared" si="837"/>
        <v>0</v>
      </c>
      <c r="AK966" s="18">
        <f t="shared" si="838"/>
        <v>0</v>
      </c>
      <c r="AL966" s="18">
        <f t="shared" si="839"/>
        <v>0</v>
      </c>
      <c r="AN966" s="34">
        <v>21</v>
      </c>
      <c r="AO966" s="34">
        <f t="shared" si="840"/>
        <v>0</v>
      </c>
      <c r="AP966" s="34">
        <f t="shared" si="841"/>
        <v>0</v>
      </c>
      <c r="AQ966" s="28" t="s">
        <v>7</v>
      </c>
      <c r="AV966" s="34">
        <f t="shared" si="842"/>
        <v>0</v>
      </c>
      <c r="AW966" s="34">
        <f t="shared" si="843"/>
        <v>0</v>
      </c>
      <c r="AX966" s="34">
        <f t="shared" si="844"/>
        <v>0</v>
      </c>
      <c r="AY966" s="35" t="s">
        <v>3694</v>
      </c>
      <c r="AZ966" s="35" t="s">
        <v>3712</v>
      </c>
      <c r="BA966" s="27" t="s">
        <v>3729</v>
      </c>
      <c r="BC966" s="34">
        <f t="shared" si="845"/>
        <v>0</v>
      </c>
      <c r="BD966" s="34">
        <f t="shared" si="846"/>
        <v>0</v>
      </c>
      <c r="BE966" s="34">
        <v>0</v>
      </c>
      <c r="BF966" s="34">
        <f>965</f>
        <v>965</v>
      </c>
      <c r="BH966" s="18">
        <f t="shared" si="847"/>
        <v>0</v>
      </c>
      <c r="BI966" s="18">
        <f t="shared" si="848"/>
        <v>0</v>
      </c>
      <c r="BJ966" s="18">
        <f t="shared" si="849"/>
        <v>0</v>
      </c>
    </row>
    <row r="967" spans="1:62" x14ac:dyDescent="0.2">
      <c r="A967" s="74" t="s">
        <v>913</v>
      </c>
      <c r="B967" s="5" t="s">
        <v>2088</v>
      </c>
      <c r="C967" s="135" t="s">
        <v>3295</v>
      </c>
      <c r="D967" s="136"/>
      <c r="E967" s="136"/>
      <c r="F967" s="136"/>
      <c r="G967" s="136"/>
      <c r="H967" s="5" t="s">
        <v>3612</v>
      </c>
      <c r="I967" s="18">
        <v>26</v>
      </c>
      <c r="J967" s="18">
        <v>0</v>
      </c>
      <c r="K967" s="18">
        <f t="shared" si="828"/>
        <v>0</v>
      </c>
      <c r="L967" s="28" t="s">
        <v>3635</v>
      </c>
      <c r="Z967" s="34">
        <f t="shared" si="829"/>
        <v>0</v>
      </c>
      <c r="AB967" s="34">
        <f t="shared" si="830"/>
        <v>0</v>
      </c>
      <c r="AC967" s="34">
        <f t="shared" si="831"/>
        <v>0</v>
      </c>
      <c r="AD967" s="34">
        <f t="shared" si="832"/>
        <v>0</v>
      </c>
      <c r="AE967" s="34">
        <f t="shared" si="833"/>
        <v>0</v>
      </c>
      <c r="AF967" s="34">
        <f t="shared" si="834"/>
        <v>0</v>
      </c>
      <c r="AG967" s="34">
        <f t="shared" si="835"/>
        <v>0</v>
      </c>
      <c r="AH967" s="34">
        <f t="shared" si="836"/>
        <v>0</v>
      </c>
      <c r="AI967" s="27" t="s">
        <v>3645</v>
      </c>
      <c r="AJ967" s="18">
        <f t="shared" si="837"/>
        <v>0</v>
      </c>
      <c r="AK967" s="18">
        <f t="shared" si="838"/>
        <v>0</v>
      </c>
      <c r="AL967" s="18">
        <f t="shared" si="839"/>
        <v>0</v>
      </c>
      <c r="AN967" s="34">
        <v>21</v>
      </c>
      <c r="AO967" s="34">
        <f t="shared" si="840"/>
        <v>0</v>
      </c>
      <c r="AP967" s="34">
        <f t="shared" si="841"/>
        <v>0</v>
      </c>
      <c r="AQ967" s="28" t="s">
        <v>7</v>
      </c>
      <c r="AV967" s="34">
        <f t="shared" si="842"/>
        <v>0</v>
      </c>
      <c r="AW967" s="34">
        <f t="shared" si="843"/>
        <v>0</v>
      </c>
      <c r="AX967" s="34">
        <f t="shared" si="844"/>
        <v>0</v>
      </c>
      <c r="AY967" s="35" t="s">
        <v>3694</v>
      </c>
      <c r="AZ967" s="35" t="s">
        <v>3712</v>
      </c>
      <c r="BA967" s="27" t="s">
        <v>3729</v>
      </c>
      <c r="BC967" s="34">
        <f t="shared" si="845"/>
        <v>0</v>
      </c>
      <c r="BD967" s="34">
        <f t="shared" si="846"/>
        <v>0</v>
      </c>
      <c r="BE967" s="34">
        <v>0</v>
      </c>
      <c r="BF967" s="34">
        <f>966</f>
        <v>966</v>
      </c>
      <c r="BH967" s="18">
        <f t="shared" si="847"/>
        <v>0</v>
      </c>
      <c r="BI967" s="18">
        <f t="shared" si="848"/>
        <v>0</v>
      </c>
      <c r="BJ967" s="18">
        <f t="shared" si="849"/>
        <v>0</v>
      </c>
    </row>
    <row r="968" spans="1:62" x14ac:dyDescent="0.2">
      <c r="A968" s="74" t="s">
        <v>914</v>
      </c>
      <c r="B968" s="5" t="s">
        <v>2089</v>
      </c>
      <c r="C968" s="135" t="s">
        <v>3296</v>
      </c>
      <c r="D968" s="136"/>
      <c r="E968" s="136"/>
      <c r="F968" s="136"/>
      <c r="G968" s="136"/>
      <c r="H968" s="5" t="s">
        <v>3612</v>
      </c>
      <c r="I968" s="18">
        <v>1</v>
      </c>
      <c r="J968" s="18">
        <v>0</v>
      </c>
      <c r="K968" s="18">
        <f t="shared" si="828"/>
        <v>0</v>
      </c>
      <c r="L968" s="28" t="s">
        <v>3635</v>
      </c>
      <c r="Z968" s="34">
        <f t="shared" si="829"/>
        <v>0</v>
      </c>
      <c r="AB968" s="34">
        <f t="shared" si="830"/>
        <v>0</v>
      </c>
      <c r="AC968" s="34">
        <f t="shared" si="831"/>
        <v>0</v>
      </c>
      <c r="AD968" s="34">
        <f t="shared" si="832"/>
        <v>0</v>
      </c>
      <c r="AE968" s="34">
        <f t="shared" si="833"/>
        <v>0</v>
      </c>
      <c r="AF968" s="34">
        <f t="shared" si="834"/>
        <v>0</v>
      </c>
      <c r="AG968" s="34">
        <f t="shared" si="835"/>
        <v>0</v>
      </c>
      <c r="AH968" s="34">
        <f t="shared" si="836"/>
        <v>0</v>
      </c>
      <c r="AI968" s="27" t="s">
        <v>3645</v>
      </c>
      <c r="AJ968" s="18">
        <f t="shared" si="837"/>
        <v>0</v>
      </c>
      <c r="AK968" s="18">
        <f t="shared" si="838"/>
        <v>0</v>
      </c>
      <c r="AL968" s="18">
        <f t="shared" si="839"/>
        <v>0</v>
      </c>
      <c r="AN968" s="34">
        <v>21</v>
      </c>
      <c r="AO968" s="34">
        <f t="shared" si="840"/>
        <v>0</v>
      </c>
      <c r="AP968" s="34">
        <f t="shared" si="841"/>
        <v>0</v>
      </c>
      <c r="AQ968" s="28" t="s">
        <v>7</v>
      </c>
      <c r="AV968" s="34">
        <f t="shared" si="842"/>
        <v>0</v>
      </c>
      <c r="AW968" s="34">
        <f t="shared" si="843"/>
        <v>0</v>
      </c>
      <c r="AX968" s="34">
        <f t="shared" si="844"/>
        <v>0</v>
      </c>
      <c r="AY968" s="35" t="s">
        <v>3694</v>
      </c>
      <c r="AZ968" s="35" t="s">
        <v>3712</v>
      </c>
      <c r="BA968" s="27" t="s">
        <v>3729</v>
      </c>
      <c r="BC968" s="34">
        <f t="shared" si="845"/>
        <v>0</v>
      </c>
      <c r="BD968" s="34">
        <f t="shared" si="846"/>
        <v>0</v>
      </c>
      <c r="BE968" s="34">
        <v>0</v>
      </c>
      <c r="BF968" s="34">
        <f>967</f>
        <v>967</v>
      </c>
      <c r="BH968" s="18">
        <f t="shared" si="847"/>
        <v>0</v>
      </c>
      <c r="BI968" s="18">
        <f t="shared" si="848"/>
        <v>0</v>
      </c>
      <c r="BJ968" s="18">
        <f t="shared" si="849"/>
        <v>0</v>
      </c>
    </row>
    <row r="969" spans="1:62" x14ac:dyDescent="0.2">
      <c r="A969" s="74" t="s">
        <v>915</v>
      </c>
      <c r="B969" s="5" t="s">
        <v>2090</v>
      </c>
      <c r="C969" s="135" t="s">
        <v>3297</v>
      </c>
      <c r="D969" s="136"/>
      <c r="E969" s="136"/>
      <c r="F969" s="136"/>
      <c r="G969" s="136"/>
      <c r="H969" s="5" t="s">
        <v>3612</v>
      </c>
      <c r="I969" s="18">
        <v>2</v>
      </c>
      <c r="J969" s="18">
        <v>0</v>
      </c>
      <c r="K969" s="18">
        <f t="shared" si="828"/>
        <v>0</v>
      </c>
      <c r="L969" s="28" t="s">
        <v>3635</v>
      </c>
      <c r="Z969" s="34">
        <f t="shared" si="829"/>
        <v>0</v>
      </c>
      <c r="AB969" s="34">
        <f t="shared" si="830"/>
        <v>0</v>
      </c>
      <c r="AC969" s="34">
        <f t="shared" si="831"/>
        <v>0</v>
      </c>
      <c r="AD969" s="34">
        <f t="shared" si="832"/>
        <v>0</v>
      </c>
      <c r="AE969" s="34">
        <f t="shared" si="833"/>
        <v>0</v>
      </c>
      <c r="AF969" s="34">
        <f t="shared" si="834"/>
        <v>0</v>
      </c>
      <c r="AG969" s="34">
        <f t="shared" si="835"/>
        <v>0</v>
      </c>
      <c r="AH969" s="34">
        <f t="shared" si="836"/>
        <v>0</v>
      </c>
      <c r="AI969" s="27" t="s">
        <v>3645</v>
      </c>
      <c r="AJ969" s="18">
        <f t="shared" si="837"/>
        <v>0</v>
      </c>
      <c r="AK969" s="18">
        <f t="shared" si="838"/>
        <v>0</v>
      </c>
      <c r="AL969" s="18">
        <f t="shared" si="839"/>
        <v>0</v>
      </c>
      <c r="AN969" s="34">
        <v>21</v>
      </c>
      <c r="AO969" s="34">
        <f t="shared" si="840"/>
        <v>0</v>
      </c>
      <c r="AP969" s="34">
        <f t="shared" si="841"/>
        <v>0</v>
      </c>
      <c r="AQ969" s="28" t="s">
        <v>7</v>
      </c>
      <c r="AV969" s="34">
        <f t="shared" si="842"/>
        <v>0</v>
      </c>
      <c r="AW969" s="34">
        <f t="shared" si="843"/>
        <v>0</v>
      </c>
      <c r="AX969" s="34">
        <f t="shared" si="844"/>
        <v>0</v>
      </c>
      <c r="AY969" s="35" t="s">
        <v>3694</v>
      </c>
      <c r="AZ969" s="35" t="s">
        <v>3712</v>
      </c>
      <c r="BA969" s="27" t="s">
        <v>3729</v>
      </c>
      <c r="BC969" s="34">
        <f t="shared" si="845"/>
        <v>0</v>
      </c>
      <c r="BD969" s="34">
        <f t="shared" si="846"/>
        <v>0</v>
      </c>
      <c r="BE969" s="34">
        <v>0</v>
      </c>
      <c r="BF969" s="34">
        <f>968</f>
        <v>968</v>
      </c>
      <c r="BH969" s="18">
        <f t="shared" si="847"/>
        <v>0</v>
      </c>
      <c r="BI969" s="18">
        <f t="shared" si="848"/>
        <v>0</v>
      </c>
      <c r="BJ969" s="18">
        <f t="shared" si="849"/>
        <v>0</v>
      </c>
    </row>
    <row r="970" spans="1:62" x14ac:dyDescent="0.2">
      <c r="A970" s="74" t="s">
        <v>916</v>
      </c>
      <c r="B970" s="5" t="s">
        <v>2091</v>
      </c>
      <c r="C970" s="135" t="s">
        <v>3298</v>
      </c>
      <c r="D970" s="136"/>
      <c r="E970" s="136"/>
      <c r="F970" s="136"/>
      <c r="G970" s="136"/>
      <c r="H970" s="5" t="s">
        <v>3612</v>
      </c>
      <c r="I970" s="18">
        <v>2</v>
      </c>
      <c r="J970" s="18">
        <v>0</v>
      </c>
      <c r="K970" s="18">
        <f t="shared" si="828"/>
        <v>0</v>
      </c>
      <c r="L970" s="28" t="s">
        <v>3635</v>
      </c>
      <c r="Z970" s="34">
        <f t="shared" si="829"/>
        <v>0</v>
      </c>
      <c r="AB970" s="34">
        <f t="shared" si="830"/>
        <v>0</v>
      </c>
      <c r="AC970" s="34">
        <f t="shared" si="831"/>
        <v>0</v>
      </c>
      <c r="AD970" s="34">
        <f t="shared" si="832"/>
        <v>0</v>
      </c>
      <c r="AE970" s="34">
        <f t="shared" si="833"/>
        <v>0</v>
      </c>
      <c r="AF970" s="34">
        <f t="shared" si="834"/>
        <v>0</v>
      </c>
      <c r="AG970" s="34">
        <f t="shared" si="835"/>
        <v>0</v>
      </c>
      <c r="AH970" s="34">
        <f t="shared" si="836"/>
        <v>0</v>
      </c>
      <c r="AI970" s="27" t="s">
        <v>3645</v>
      </c>
      <c r="AJ970" s="18">
        <f t="shared" si="837"/>
        <v>0</v>
      </c>
      <c r="AK970" s="18">
        <f t="shared" si="838"/>
        <v>0</v>
      </c>
      <c r="AL970" s="18">
        <f t="shared" si="839"/>
        <v>0</v>
      </c>
      <c r="AN970" s="34">
        <v>21</v>
      </c>
      <c r="AO970" s="34">
        <f t="shared" si="840"/>
        <v>0</v>
      </c>
      <c r="AP970" s="34">
        <f t="shared" si="841"/>
        <v>0</v>
      </c>
      <c r="AQ970" s="28" t="s">
        <v>7</v>
      </c>
      <c r="AV970" s="34">
        <f t="shared" si="842"/>
        <v>0</v>
      </c>
      <c r="AW970" s="34">
        <f t="shared" si="843"/>
        <v>0</v>
      </c>
      <c r="AX970" s="34">
        <f t="shared" si="844"/>
        <v>0</v>
      </c>
      <c r="AY970" s="35" t="s">
        <v>3694</v>
      </c>
      <c r="AZ970" s="35" t="s">
        <v>3712</v>
      </c>
      <c r="BA970" s="27" t="s">
        <v>3729</v>
      </c>
      <c r="BC970" s="34">
        <f t="shared" si="845"/>
        <v>0</v>
      </c>
      <c r="BD970" s="34">
        <f t="shared" si="846"/>
        <v>0</v>
      </c>
      <c r="BE970" s="34">
        <v>0</v>
      </c>
      <c r="BF970" s="34">
        <f>969</f>
        <v>969</v>
      </c>
      <c r="BH970" s="18">
        <f t="shared" si="847"/>
        <v>0</v>
      </c>
      <c r="BI970" s="18">
        <f t="shared" si="848"/>
        <v>0</v>
      </c>
      <c r="BJ970" s="18">
        <f t="shared" si="849"/>
        <v>0</v>
      </c>
    </row>
    <row r="971" spans="1:62" x14ac:dyDescent="0.2">
      <c r="A971" s="74" t="s">
        <v>917</v>
      </c>
      <c r="B971" s="5" t="s">
        <v>2092</v>
      </c>
      <c r="C971" s="135" t="s">
        <v>3299</v>
      </c>
      <c r="D971" s="136"/>
      <c r="E971" s="136"/>
      <c r="F971" s="136"/>
      <c r="G971" s="136"/>
      <c r="H971" s="5" t="s">
        <v>3612</v>
      </c>
      <c r="I971" s="18">
        <v>5</v>
      </c>
      <c r="J971" s="18">
        <v>0</v>
      </c>
      <c r="K971" s="18">
        <f t="shared" si="828"/>
        <v>0</v>
      </c>
      <c r="L971" s="28" t="s">
        <v>3635</v>
      </c>
      <c r="Z971" s="34">
        <f t="shared" si="829"/>
        <v>0</v>
      </c>
      <c r="AB971" s="34">
        <f t="shared" si="830"/>
        <v>0</v>
      </c>
      <c r="AC971" s="34">
        <f t="shared" si="831"/>
        <v>0</v>
      </c>
      <c r="AD971" s="34">
        <f t="shared" si="832"/>
        <v>0</v>
      </c>
      <c r="AE971" s="34">
        <f t="shared" si="833"/>
        <v>0</v>
      </c>
      <c r="AF971" s="34">
        <f t="shared" si="834"/>
        <v>0</v>
      </c>
      <c r="AG971" s="34">
        <f t="shared" si="835"/>
        <v>0</v>
      </c>
      <c r="AH971" s="34">
        <f t="shared" si="836"/>
        <v>0</v>
      </c>
      <c r="AI971" s="27" t="s">
        <v>3645</v>
      </c>
      <c r="AJ971" s="18">
        <f t="shared" si="837"/>
        <v>0</v>
      </c>
      <c r="AK971" s="18">
        <f t="shared" si="838"/>
        <v>0</v>
      </c>
      <c r="AL971" s="18">
        <f t="shared" si="839"/>
        <v>0</v>
      </c>
      <c r="AN971" s="34">
        <v>21</v>
      </c>
      <c r="AO971" s="34">
        <f t="shared" si="840"/>
        <v>0</v>
      </c>
      <c r="AP971" s="34">
        <f t="shared" si="841"/>
        <v>0</v>
      </c>
      <c r="AQ971" s="28" t="s">
        <v>7</v>
      </c>
      <c r="AV971" s="34">
        <f t="shared" si="842"/>
        <v>0</v>
      </c>
      <c r="AW971" s="34">
        <f t="shared" si="843"/>
        <v>0</v>
      </c>
      <c r="AX971" s="34">
        <f t="shared" si="844"/>
        <v>0</v>
      </c>
      <c r="AY971" s="35" t="s">
        <v>3694</v>
      </c>
      <c r="AZ971" s="35" t="s">
        <v>3712</v>
      </c>
      <c r="BA971" s="27" t="s">
        <v>3729</v>
      </c>
      <c r="BC971" s="34">
        <f t="shared" si="845"/>
        <v>0</v>
      </c>
      <c r="BD971" s="34">
        <f t="shared" si="846"/>
        <v>0</v>
      </c>
      <c r="BE971" s="34">
        <v>0</v>
      </c>
      <c r="BF971" s="34">
        <f>970</f>
        <v>970</v>
      </c>
      <c r="BH971" s="18">
        <f t="shared" si="847"/>
        <v>0</v>
      </c>
      <c r="BI971" s="18">
        <f t="shared" si="848"/>
        <v>0</v>
      </c>
      <c r="BJ971" s="18">
        <f t="shared" si="849"/>
        <v>0</v>
      </c>
    </row>
    <row r="972" spans="1:62" x14ac:dyDescent="0.2">
      <c r="A972" s="74" t="s">
        <v>918</v>
      </c>
      <c r="B972" s="5" t="s">
        <v>2093</v>
      </c>
      <c r="C972" s="135" t="s">
        <v>3300</v>
      </c>
      <c r="D972" s="136"/>
      <c r="E972" s="136"/>
      <c r="F972" s="136"/>
      <c r="G972" s="136"/>
      <c r="H972" s="5" t="s">
        <v>3612</v>
      </c>
      <c r="I972" s="18">
        <v>5</v>
      </c>
      <c r="J972" s="18">
        <v>0</v>
      </c>
      <c r="K972" s="18">
        <f t="shared" si="828"/>
        <v>0</v>
      </c>
      <c r="L972" s="28" t="s">
        <v>3635</v>
      </c>
      <c r="Z972" s="34">
        <f t="shared" si="829"/>
        <v>0</v>
      </c>
      <c r="AB972" s="34">
        <f t="shared" si="830"/>
        <v>0</v>
      </c>
      <c r="AC972" s="34">
        <f t="shared" si="831"/>
        <v>0</v>
      </c>
      <c r="AD972" s="34">
        <f t="shared" si="832"/>
        <v>0</v>
      </c>
      <c r="AE972" s="34">
        <f t="shared" si="833"/>
        <v>0</v>
      </c>
      <c r="AF972" s="34">
        <f t="shared" si="834"/>
        <v>0</v>
      </c>
      <c r="AG972" s="34">
        <f t="shared" si="835"/>
        <v>0</v>
      </c>
      <c r="AH972" s="34">
        <f t="shared" si="836"/>
        <v>0</v>
      </c>
      <c r="AI972" s="27" t="s">
        <v>3645</v>
      </c>
      <c r="AJ972" s="18">
        <f t="shared" si="837"/>
        <v>0</v>
      </c>
      <c r="AK972" s="18">
        <f t="shared" si="838"/>
        <v>0</v>
      </c>
      <c r="AL972" s="18">
        <f t="shared" si="839"/>
        <v>0</v>
      </c>
      <c r="AN972" s="34">
        <v>21</v>
      </c>
      <c r="AO972" s="34">
        <f t="shared" si="840"/>
        <v>0</v>
      </c>
      <c r="AP972" s="34">
        <f t="shared" si="841"/>
        <v>0</v>
      </c>
      <c r="AQ972" s="28" t="s">
        <v>7</v>
      </c>
      <c r="AV972" s="34">
        <f t="shared" si="842"/>
        <v>0</v>
      </c>
      <c r="AW972" s="34">
        <f t="shared" si="843"/>
        <v>0</v>
      </c>
      <c r="AX972" s="34">
        <f t="shared" si="844"/>
        <v>0</v>
      </c>
      <c r="AY972" s="35" t="s">
        <v>3694</v>
      </c>
      <c r="AZ972" s="35" t="s">
        <v>3712</v>
      </c>
      <c r="BA972" s="27" t="s">
        <v>3729</v>
      </c>
      <c r="BC972" s="34">
        <f t="shared" si="845"/>
        <v>0</v>
      </c>
      <c r="BD972" s="34">
        <f t="shared" si="846"/>
        <v>0</v>
      </c>
      <c r="BE972" s="34">
        <v>0</v>
      </c>
      <c r="BF972" s="34">
        <f>971</f>
        <v>971</v>
      </c>
      <c r="BH972" s="18">
        <f t="shared" si="847"/>
        <v>0</v>
      </c>
      <c r="BI972" s="18">
        <f t="shared" si="848"/>
        <v>0</v>
      </c>
      <c r="BJ972" s="18">
        <f t="shared" si="849"/>
        <v>0</v>
      </c>
    </row>
    <row r="973" spans="1:62" x14ac:dyDescent="0.2">
      <c r="A973" s="74" t="s">
        <v>919</v>
      </c>
      <c r="B973" s="5" t="s">
        <v>2094</v>
      </c>
      <c r="C973" s="135" t="s">
        <v>3301</v>
      </c>
      <c r="D973" s="136"/>
      <c r="E973" s="136"/>
      <c r="F973" s="136"/>
      <c r="G973" s="136"/>
      <c r="H973" s="5" t="s">
        <v>3612</v>
      </c>
      <c r="I973" s="18">
        <v>2</v>
      </c>
      <c r="J973" s="18">
        <v>0</v>
      </c>
      <c r="K973" s="18">
        <f t="shared" si="828"/>
        <v>0</v>
      </c>
      <c r="L973" s="28" t="s">
        <v>3635</v>
      </c>
      <c r="Z973" s="34">
        <f t="shared" si="829"/>
        <v>0</v>
      </c>
      <c r="AB973" s="34">
        <f t="shared" si="830"/>
        <v>0</v>
      </c>
      <c r="AC973" s="34">
        <f t="shared" si="831"/>
        <v>0</v>
      </c>
      <c r="AD973" s="34">
        <f t="shared" si="832"/>
        <v>0</v>
      </c>
      <c r="AE973" s="34">
        <f t="shared" si="833"/>
        <v>0</v>
      </c>
      <c r="AF973" s="34">
        <f t="shared" si="834"/>
        <v>0</v>
      </c>
      <c r="AG973" s="34">
        <f t="shared" si="835"/>
        <v>0</v>
      </c>
      <c r="AH973" s="34">
        <f t="shared" si="836"/>
        <v>0</v>
      </c>
      <c r="AI973" s="27" t="s">
        <v>3645</v>
      </c>
      <c r="AJ973" s="18">
        <f t="shared" si="837"/>
        <v>0</v>
      </c>
      <c r="AK973" s="18">
        <f t="shared" si="838"/>
        <v>0</v>
      </c>
      <c r="AL973" s="18">
        <f t="shared" si="839"/>
        <v>0</v>
      </c>
      <c r="AN973" s="34">
        <v>21</v>
      </c>
      <c r="AO973" s="34">
        <f t="shared" si="840"/>
        <v>0</v>
      </c>
      <c r="AP973" s="34">
        <f t="shared" si="841"/>
        <v>0</v>
      </c>
      <c r="AQ973" s="28" t="s">
        <v>7</v>
      </c>
      <c r="AV973" s="34">
        <f t="shared" si="842"/>
        <v>0</v>
      </c>
      <c r="AW973" s="34">
        <f t="shared" si="843"/>
        <v>0</v>
      </c>
      <c r="AX973" s="34">
        <f t="shared" si="844"/>
        <v>0</v>
      </c>
      <c r="AY973" s="35" t="s">
        <v>3694</v>
      </c>
      <c r="AZ973" s="35" t="s">
        <v>3712</v>
      </c>
      <c r="BA973" s="27" t="s">
        <v>3729</v>
      </c>
      <c r="BC973" s="34">
        <f t="shared" si="845"/>
        <v>0</v>
      </c>
      <c r="BD973" s="34">
        <f t="shared" si="846"/>
        <v>0</v>
      </c>
      <c r="BE973" s="34">
        <v>0</v>
      </c>
      <c r="BF973" s="34">
        <f>972</f>
        <v>972</v>
      </c>
      <c r="BH973" s="18">
        <f t="shared" si="847"/>
        <v>0</v>
      </c>
      <c r="BI973" s="18">
        <f t="shared" si="848"/>
        <v>0</v>
      </c>
      <c r="BJ973" s="18">
        <f t="shared" si="849"/>
        <v>0</v>
      </c>
    </row>
    <row r="974" spans="1:62" x14ac:dyDescent="0.2">
      <c r="A974" s="74" t="s">
        <v>920</v>
      </c>
      <c r="B974" s="5" t="s">
        <v>2095</v>
      </c>
      <c r="C974" s="135" t="s">
        <v>3302</v>
      </c>
      <c r="D974" s="136"/>
      <c r="E974" s="136"/>
      <c r="F974" s="136"/>
      <c r="G974" s="136"/>
      <c r="H974" s="5" t="s">
        <v>3612</v>
      </c>
      <c r="I974" s="18">
        <v>2</v>
      </c>
      <c r="J974" s="18">
        <v>0</v>
      </c>
      <c r="K974" s="18">
        <f t="shared" si="828"/>
        <v>0</v>
      </c>
      <c r="L974" s="28" t="s">
        <v>3635</v>
      </c>
      <c r="Z974" s="34">
        <f t="shared" si="829"/>
        <v>0</v>
      </c>
      <c r="AB974" s="34">
        <f t="shared" si="830"/>
        <v>0</v>
      </c>
      <c r="AC974" s="34">
        <f t="shared" si="831"/>
        <v>0</v>
      </c>
      <c r="AD974" s="34">
        <f t="shared" si="832"/>
        <v>0</v>
      </c>
      <c r="AE974" s="34">
        <f t="shared" si="833"/>
        <v>0</v>
      </c>
      <c r="AF974" s="34">
        <f t="shared" si="834"/>
        <v>0</v>
      </c>
      <c r="AG974" s="34">
        <f t="shared" si="835"/>
        <v>0</v>
      </c>
      <c r="AH974" s="34">
        <f t="shared" si="836"/>
        <v>0</v>
      </c>
      <c r="AI974" s="27" t="s">
        <v>3645</v>
      </c>
      <c r="AJ974" s="18">
        <f t="shared" si="837"/>
        <v>0</v>
      </c>
      <c r="AK974" s="18">
        <f t="shared" si="838"/>
        <v>0</v>
      </c>
      <c r="AL974" s="18">
        <f t="shared" si="839"/>
        <v>0</v>
      </c>
      <c r="AN974" s="34">
        <v>21</v>
      </c>
      <c r="AO974" s="34">
        <f t="shared" si="840"/>
        <v>0</v>
      </c>
      <c r="AP974" s="34">
        <f t="shared" si="841"/>
        <v>0</v>
      </c>
      <c r="AQ974" s="28" t="s">
        <v>7</v>
      </c>
      <c r="AV974" s="34">
        <f t="shared" si="842"/>
        <v>0</v>
      </c>
      <c r="AW974" s="34">
        <f t="shared" si="843"/>
        <v>0</v>
      </c>
      <c r="AX974" s="34">
        <f t="shared" si="844"/>
        <v>0</v>
      </c>
      <c r="AY974" s="35" t="s">
        <v>3694</v>
      </c>
      <c r="AZ974" s="35" t="s">
        <v>3712</v>
      </c>
      <c r="BA974" s="27" t="s">
        <v>3729</v>
      </c>
      <c r="BC974" s="34">
        <f t="shared" si="845"/>
        <v>0</v>
      </c>
      <c r="BD974" s="34">
        <f t="shared" si="846"/>
        <v>0</v>
      </c>
      <c r="BE974" s="34">
        <v>0</v>
      </c>
      <c r="BF974" s="34">
        <f>973</f>
        <v>973</v>
      </c>
      <c r="BH974" s="18">
        <f t="shared" si="847"/>
        <v>0</v>
      </c>
      <c r="BI974" s="18">
        <f t="shared" si="848"/>
        <v>0</v>
      </c>
      <c r="BJ974" s="18">
        <f t="shared" si="849"/>
        <v>0</v>
      </c>
    </row>
    <row r="975" spans="1:62" x14ac:dyDescent="0.2">
      <c r="A975" s="74" t="s">
        <v>921</v>
      </c>
      <c r="B975" s="5" t="s">
        <v>2096</v>
      </c>
      <c r="C975" s="135" t="s">
        <v>3303</v>
      </c>
      <c r="D975" s="136"/>
      <c r="E975" s="136"/>
      <c r="F975" s="136"/>
      <c r="G975" s="136"/>
      <c r="H975" s="5" t="s">
        <v>3612</v>
      </c>
      <c r="I975" s="18">
        <v>4</v>
      </c>
      <c r="J975" s="18">
        <v>0</v>
      </c>
      <c r="K975" s="18">
        <f t="shared" si="828"/>
        <v>0</v>
      </c>
      <c r="L975" s="28" t="s">
        <v>3635</v>
      </c>
      <c r="Z975" s="34">
        <f t="shared" si="829"/>
        <v>0</v>
      </c>
      <c r="AB975" s="34">
        <f t="shared" si="830"/>
        <v>0</v>
      </c>
      <c r="AC975" s="34">
        <f t="shared" si="831"/>
        <v>0</v>
      </c>
      <c r="AD975" s="34">
        <f t="shared" si="832"/>
        <v>0</v>
      </c>
      <c r="AE975" s="34">
        <f t="shared" si="833"/>
        <v>0</v>
      </c>
      <c r="AF975" s="34">
        <f t="shared" si="834"/>
        <v>0</v>
      </c>
      <c r="AG975" s="34">
        <f t="shared" si="835"/>
        <v>0</v>
      </c>
      <c r="AH975" s="34">
        <f t="shared" si="836"/>
        <v>0</v>
      </c>
      <c r="AI975" s="27" t="s">
        <v>3645</v>
      </c>
      <c r="AJ975" s="18">
        <f t="shared" si="837"/>
        <v>0</v>
      </c>
      <c r="AK975" s="18">
        <f t="shared" si="838"/>
        <v>0</v>
      </c>
      <c r="AL975" s="18">
        <f t="shared" si="839"/>
        <v>0</v>
      </c>
      <c r="AN975" s="34">
        <v>21</v>
      </c>
      <c r="AO975" s="34">
        <f t="shared" si="840"/>
        <v>0</v>
      </c>
      <c r="AP975" s="34">
        <f t="shared" si="841"/>
        <v>0</v>
      </c>
      <c r="AQ975" s="28" t="s">
        <v>7</v>
      </c>
      <c r="AV975" s="34">
        <f t="shared" si="842"/>
        <v>0</v>
      </c>
      <c r="AW975" s="34">
        <f t="shared" si="843"/>
        <v>0</v>
      </c>
      <c r="AX975" s="34">
        <f t="shared" si="844"/>
        <v>0</v>
      </c>
      <c r="AY975" s="35" t="s">
        <v>3694</v>
      </c>
      <c r="AZ975" s="35" t="s">
        <v>3712</v>
      </c>
      <c r="BA975" s="27" t="s">
        <v>3729</v>
      </c>
      <c r="BC975" s="34">
        <f t="shared" si="845"/>
        <v>0</v>
      </c>
      <c r="BD975" s="34">
        <f t="shared" si="846"/>
        <v>0</v>
      </c>
      <c r="BE975" s="34">
        <v>0</v>
      </c>
      <c r="BF975" s="34">
        <f>974</f>
        <v>974</v>
      </c>
      <c r="BH975" s="18">
        <f t="shared" si="847"/>
        <v>0</v>
      </c>
      <c r="BI975" s="18">
        <f t="shared" si="848"/>
        <v>0</v>
      </c>
      <c r="BJ975" s="18">
        <f t="shared" si="849"/>
        <v>0</v>
      </c>
    </row>
    <row r="976" spans="1:62" x14ac:dyDescent="0.2">
      <c r="A976" s="74" t="s">
        <v>922</v>
      </c>
      <c r="B976" s="5" t="s">
        <v>2097</v>
      </c>
      <c r="C976" s="135" t="s">
        <v>3303</v>
      </c>
      <c r="D976" s="136"/>
      <c r="E976" s="136"/>
      <c r="F976" s="136"/>
      <c r="G976" s="136"/>
      <c r="H976" s="5" t="s">
        <v>3612</v>
      </c>
      <c r="I976" s="18">
        <v>4</v>
      </c>
      <c r="J976" s="18">
        <v>0</v>
      </c>
      <c r="K976" s="18">
        <f t="shared" si="828"/>
        <v>0</v>
      </c>
      <c r="L976" s="28" t="s">
        <v>3635</v>
      </c>
      <c r="Z976" s="34">
        <f t="shared" si="829"/>
        <v>0</v>
      </c>
      <c r="AB976" s="34">
        <f t="shared" si="830"/>
        <v>0</v>
      </c>
      <c r="AC976" s="34">
        <f t="shared" si="831"/>
        <v>0</v>
      </c>
      <c r="AD976" s="34">
        <f t="shared" si="832"/>
        <v>0</v>
      </c>
      <c r="AE976" s="34">
        <f t="shared" si="833"/>
        <v>0</v>
      </c>
      <c r="AF976" s="34">
        <f t="shared" si="834"/>
        <v>0</v>
      </c>
      <c r="AG976" s="34">
        <f t="shared" si="835"/>
        <v>0</v>
      </c>
      <c r="AH976" s="34">
        <f t="shared" si="836"/>
        <v>0</v>
      </c>
      <c r="AI976" s="27" t="s">
        <v>3645</v>
      </c>
      <c r="AJ976" s="18">
        <f t="shared" si="837"/>
        <v>0</v>
      </c>
      <c r="AK976" s="18">
        <f t="shared" si="838"/>
        <v>0</v>
      </c>
      <c r="AL976" s="18">
        <f t="shared" si="839"/>
        <v>0</v>
      </c>
      <c r="AN976" s="34">
        <v>21</v>
      </c>
      <c r="AO976" s="34">
        <f t="shared" si="840"/>
        <v>0</v>
      </c>
      <c r="AP976" s="34">
        <f t="shared" si="841"/>
        <v>0</v>
      </c>
      <c r="AQ976" s="28" t="s">
        <v>7</v>
      </c>
      <c r="AV976" s="34">
        <f t="shared" si="842"/>
        <v>0</v>
      </c>
      <c r="AW976" s="34">
        <f t="shared" si="843"/>
        <v>0</v>
      </c>
      <c r="AX976" s="34">
        <f t="shared" si="844"/>
        <v>0</v>
      </c>
      <c r="AY976" s="35" t="s">
        <v>3694</v>
      </c>
      <c r="AZ976" s="35" t="s">
        <v>3712</v>
      </c>
      <c r="BA976" s="27" t="s">
        <v>3729</v>
      </c>
      <c r="BC976" s="34">
        <f t="shared" si="845"/>
        <v>0</v>
      </c>
      <c r="BD976" s="34">
        <f t="shared" si="846"/>
        <v>0</v>
      </c>
      <c r="BE976" s="34">
        <v>0</v>
      </c>
      <c r="BF976" s="34">
        <f>975</f>
        <v>975</v>
      </c>
      <c r="BH976" s="18">
        <f t="shared" si="847"/>
        <v>0</v>
      </c>
      <c r="BI976" s="18">
        <f t="shared" si="848"/>
        <v>0</v>
      </c>
      <c r="BJ976" s="18">
        <f t="shared" si="849"/>
        <v>0</v>
      </c>
    </row>
    <row r="977" spans="1:62" x14ac:dyDescent="0.2">
      <c r="A977" s="74" t="s">
        <v>923</v>
      </c>
      <c r="B977" s="5" t="s">
        <v>2098</v>
      </c>
      <c r="C977" s="135" t="s">
        <v>3304</v>
      </c>
      <c r="D977" s="136"/>
      <c r="E977" s="136"/>
      <c r="F977" s="136"/>
      <c r="G977" s="136"/>
      <c r="H977" s="5" t="s">
        <v>3612</v>
      </c>
      <c r="I977" s="18">
        <v>4</v>
      </c>
      <c r="J977" s="18">
        <v>0</v>
      </c>
      <c r="K977" s="18">
        <f t="shared" si="828"/>
        <v>0</v>
      </c>
      <c r="L977" s="28" t="s">
        <v>3635</v>
      </c>
      <c r="Z977" s="34">
        <f t="shared" si="829"/>
        <v>0</v>
      </c>
      <c r="AB977" s="34">
        <f t="shared" si="830"/>
        <v>0</v>
      </c>
      <c r="AC977" s="34">
        <f t="shared" si="831"/>
        <v>0</v>
      </c>
      <c r="AD977" s="34">
        <f t="shared" si="832"/>
        <v>0</v>
      </c>
      <c r="AE977" s="34">
        <f t="shared" si="833"/>
        <v>0</v>
      </c>
      <c r="AF977" s="34">
        <f t="shared" si="834"/>
        <v>0</v>
      </c>
      <c r="AG977" s="34">
        <f t="shared" si="835"/>
        <v>0</v>
      </c>
      <c r="AH977" s="34">
        <f t="shared" si="836"/>
        <v>0</v>
      </c>
      <c r="AI977" s="27" t="s">
        <v>3645</v>
      </c>
      <c r="AJ977" s="18">
        <f t="shared" si="837"/>
        <v>0</v>
      </c>
      <c r="AK977" s="18">
        <f t="shared" si="838"/>
        <v>0</v>
      </c>
      <c r="AL977" s="18">
        <f t="shared" si="839"/>
        <v>0</v>
      </c>
      <c r="AN977" s="34">
        <v>21</v>
      </c>
      <c r="AO977" s="34">
        <f t="shared" si="840"/>
        <v>0</v>
      </c>
      <c r="AP977" s="34">
        <f t="shared" si="841"/>
        <v>0</v>
      </c>
      <c r="AQ977" s="28" t="s">
        <v>7</v>
      </c>
      <c r="AV977" s="34">
        <f t="shared" si="842"/>
        <v>0</v>
      </c>
      <c r="AW977" s="34">
        <f t="shared" si="843"/>
        <v>0</v>
      </c>
      <c r="AX977" s="34">
        <f t="shared" si="844"/>
        <v>0</v>
      </c>
      <c r="AY977" s="35" t="s">
        <v>3694</v>
      </c>
      <c r="AZ977" s="35" t="s">
        <v>3712</v>
      </c>
      <c r="BA977" s="27" t="s">
        <v>3729</v>
      </c>
      <c r="BC977" s="34">
        <f t="shared" si="845"/>
        <v>0</v>
      </c>
      <c r="BD977" s="34">
        <f t="shared" si="846"/>
        <v>0</v>
      </c>
      <c r="BE977" s="34">
        <v>0</v>
      </c>
      <c r="BF977" s="34">
        <f>976</f>
        <v>976</v>
      </c>
      <c r="BH977" s="18">
        <f t="shared" si="847"/>
        <v>0</v>
      </c>
      <c r="BI977" s="18">
        <f t="shared" si="848"/>
        <v>0</v>
      </c>
      <c r="BJ977" s="18">
        <f t="shared" si="849"/>
        <v>0</v>
      </c>
    </row>
    <row r="978" spans="1:62" x14ac:dyDescent="0.2">
      <c r="A978" s="74" t="s">
        <v>924</v>
      </c>
      <c r="B978" s="5" t="s">
        <v>2099</v>
      </c>
      <c r="C978" s="135" t="s">
        <v>3305</v>
      </c>
      <c r="D978" s="136"/>
      <c r="E978" s="136"/>
      <c r="F978" s="136"/>
      <c r="G978" s="136"/>
      <c r="H978" s="5" t="s">
        <v>3612</v>
      </c>
      <c r="I978" s="18">
        <v>4</v>
      </c>
      <c r="J978" s="18">
        <v>0</v>
      </c>
      <c r="K978" s="18">
        <f t="shared" si="828"/>
        <v>0</v>
      </c>
      <c r="L978" s="28" t="s">
        <v>3635</v>
      </c>
      <c r="Z978" s="34">
        <f t="shared" si="829"/>
        <v>0</v>
      </c>
      <c r="AB978" s="34">
        <f t="shared" si="830"/>
        <v>0</v>
      </c>
      <c r="AC978" s="34">
        <f t="shared" si="831"/>
        <v>0</v>
      </c>
      <c r="AD978" s="34">
        <f t="shared" si="832"/>
        <v>0</v>
      </c>
      <c r="AE978" s="34">
        <f t="shared" si="833"/>
        <v>0</v>
      </c>
      <c r="AF978" s="34">
        <f t="shared" si="834"/>
        <v>0</v>
      </c>
      <c r="AG978" s="34">
        <f t="shared" si="835"/>
        <v>0</v>
      </c>
      <c r="AH978" s="34">
        <f t="shared" si="836"/>
        <v>0</v>
      </c>
      <c r="AI978" s="27" t="s">
        <v>3645</v>
      </c>
      <c r="AJ978" s="18">
        <f t="shared" si="837"/>
        <v>0</v>
      </c>
      <c r="AK978" s="18">
        <f t="shared" si="838"/>
        <v>0</v>
      </c>
      <c r="AL978" s="18">
        <f t="shared" si="839"/>
        <v>0</v>
      </c>
      <c r="AN978" s="34">
        <v>21</v>
      </c>
      <c r="AO978" s="34">
        <f t="shared" si="840"/>
        <v>0</v>
      </c>
      <c r="AP978" s="34">
        <f t="shared" si="841"/>
        <v>0</v>
      </c>
      <c r="AQ978" s="28" t="s">
        <v>7</v>
      </c>
      <c r="AV978" s="34">
        <f t="shared" si="842"/>
        <v>0</v>
      </c>
      <c r="AW978" s="34">
        <f t="shared" si="843"/>
        <v>0</v>
      </c>
      <c r="AX978" s="34">
        <f t="shared" si="844"/>
        <v>0</v>
      </c>
      <c r="AY978" s="35" t="s">
        <v>3694</v>
      </c>
      <c r="AZ978" s="35" t="s">
        <v>3712</v>
      </c>
      <c r="BA978" s="27" t="s">
        <v>3729</v>
      </c>
      <c r="BC978" s="34">
        <f t="shared" si="845"/>
        <v>0</v>
      </c>
      <c r="BD978" s="34">
        <f t="shared" si="846"/>
        <v>0</v>
      </c>
      <c r="BE978" s="34">
        <v>0</v>
      </c>
      <c r="BF978" s="34">
        <f>977</f>
        <v>977</v>
      </c>
      <c r="BH978" s="18">
        <f t="shared" si="847"/>
        <v>0</v>
      </c>
      <c r="BI978" s="18">
        <f t="shared" si="848"/>
        <v>0</v>
      </c>
      <c r="BJ978" s="18">
        <f t="shared" si="849"/>
        <v>0</v>
      </c>
    </row>
    <row r="979" spans="1:62" x14ac:dyDescent="0.2">
      <c r="A979" s="74" t="s">
        <v>925</v>
      </c>
      <c r="B979" s="5" t="s">
        <v>2100</v>
      </c>
      <c r="C979" s="135" t="s">
        <v>3306</v>
      </c>
      <c r="D979" s="136"/>
      <c r="E979" s="136"/>
      <c r="F979" s="136"/>
      <c r="G979" s="136"/>
      <c r="H979" s="5" t="s">
        <v>3612</v>
      </c>
      <c r="I979" s="18">
        <v>1</v>
      </c>
      <c r="J979" s="18">
        <v>0</v>
      </c>
      <c r="K979" s="18">
        <f t="shared" si="828"/>
        <v>0</v>
      </c>
      <c r="L979" s="28" t="s">
        <v>3635</v>
      </c>
      <c r="Z979" s="34">
        <f t="shared" si="829"/>
        <v>0</v>
      </c>
      <c r="AB979" s="34">
        <f t="shared" si="830"/>
        <v>0</v>
      </c>
      <c r="AC979" s="34">
        <f t="shared" si="831"/>
        <v>0</v>
      </c>
      <c r="AD979" s="34">
        <f t="shared" si="832"/>
        <v>0</v>
      </c>
      <c r="AE979" s="34">
        <f t="shared" si="833"/>
        <v>0</v>
      </c>
      <c r="AF979" s="34">
        <f t="shared" si="834"/>
        <v>0</v>
      </c>
      <c r="AG979" s="34">
        <f t="shared" si="835"/>
        <v>0</v>
      </c>
      <c r="AH979" s="34">
        <f t="shared" si="836"/>
        <v>0</v>
      </c>
      <c r="AI979" s="27" t="s">
        <v>3645</v>
      </c>
      <c r="AJ979" s="18">
        <f t="shared" si="837"/>
        <v>0</v>
      </c>
      <c r="AK979" s="18">
        <f t="shared" si="838"/>
        <v>0</v>
      </c>
      <c r="AL979" s="18">
        <f t="shared" si="839"/>
        <v>0</v>
      </c>
      <c r="AN979" s="34">
        <v>21</v>
      </c>
      <c r="AO979" s="34">
        <f t="shared" si="840"/>
        <v>0</v>
      </c>
      <c r="AP979" s="34">
        <f t="shared" si="841"/>
        <v>0</v>
      </c>
      <c r="AQ979" s="28" t="s">
        <v>7</v>
      </c>
      <c r="AV979" s="34">
        <f t="shared" si="842"/>
        <v>0</v>
      </c>
      <c r="AW979" s="34">
        <f t="shared" si="843"/>
        <v>0</v>
      </c>
      <c r="AX979" s="34">
        <f t="shared" si="844"/>
        <v>0</v>
      </c>
      <c r="AY979" s="35" t="s">
        <v>3694</v>
      </c>
      <c r="AZ979" s="35" t="s">
        <v>3712</v>
      </c>
      <c r="BA979" s="27" t="s">
        <v>3729</v>
      </c>
      <c r="BC979" s="34">
        <f t="shared" si="845"/>
        <v>0</v>
      </c>
      <c r="BD979" s="34">
        <f t="shared" si="846"/>
        <v>0</v>
      </c>
      <c r="BE979" s="34">
        <v>0</v>
      </c>
      <c r="BF979" s="34">
        <f>978</f>
        <v>978</v>
      </c>
      <c r="BH979" s="18">
        <f t="shared" si="847"/>
        <v>0</v>
      </c>
      <c r="BI979" s="18">
        <f t="shared" si="848"/>
        <v>0</v>
      </c>
      <c r="BJ979" s="18">
        <f t="shared" si="849"/>
        <v>0</v>
      </c>
    </row>
    <row r="980" spans="1:62" x14ac:dyDescent="0.2">
      <c r="A980" s="74" t="s">
        <v>926</v>
      </c>
      <c r="B980" s="5" t="s">
        <v>2101</v>
      </c>
      <c r="C980" s="135" t="s">
        <v>3306</v>
      </c>
      <c r="D980" s="136"/>
      <c r="E980" s="136"/>
      <c r="F980" s="136"/>
      <c r="G980" s="136"/>
      <c r="H980" s="5" t="s">
        <v>3612</v>
      </c>
      <c r="I980" s="18">
        <v>1</v>
      </c>
      <c r="J980" s="18">
        <v>0</v>
      </c>
      <c r="K980" s="18">
        <f t="shared" si="828"/>
        <v>0</v>
      </c>
      <c r="L980" s="28" t="s">
        <v>3635</v>
      </c>
      <c r="Z980" s="34">
        <f t="shared" si="829"/>
        <v>0</v>
      </c>
      <c r="AB980" s="34">
        <f t="shared" si="830"/>
        <v>0</v>
      </c>
      <c r="AC980" s="34">
        <f t="shared" si="831"/>
        <v>0</v>
      </c>
      <c r="AD980" s="34">
        <f t="shared" si="832"/>
        <v>0</v>
      </c>
      <c r="AE980" s="34">
        <f t="shared" si="833"/>
        <v>0</v>
      </c>
      <c r="AF980" s="34">
        <f t="shared" si="834"/>
        <v>0</v>
      </c>
      <c r="AG980" s="34">
        <f t="shared" si="835"/>
        <v>0</v>
      </c>
      <c r="AH980" s="34">
        <f t="shared" si="836"/>
        <v>0</v>
      </c>
      <c r="AI980" s="27" t="s">
        <v>3645</v>
      </c>
      <c r="AJ980" s="18">
        <f t="shared" si="837"/>
        <v>0</v>
      </c>
      <c r="AK980" s="18">
        <f t="shared" si="838"/>
        <v>0</v>
      </c>
      <c r="AL980" s="18">
        <f t="shared" si="839"/>
        <v>0</v>
      </c>
      <c r="AN980" s="34">
        <v>21</v>
      </c>
      <c r="AO980" s="34">
        <f t="shared" si="840"/>
        <v>0</v>
      </c>
      <c r="AP980" s="34">
        <f t="shared" si="841"/>
        <v>0</v>
      </c>
      <c r="AQ980" s="28" t="s">
        <v>7</v>
      </c>
      <c r="AV980" s="34">
        <f t="shared" si="842"/>
        <v>0</v>
      </c>
      <c r="AW980" s="34">
        <f t="shared" si="843"/>
        <v>0</v>
      </c>
      <c r="AX980" s="34">
        <f t="shared" si="844"/>
        <v>0</v>
      </c>
      <c r="AY980" s="35" t="s">
        <v>3694</v>
      </c>
      <c r="AZ980" s="35" t="s">
        <v>3712</v>
      </c>
      <c r="BA980" s="27" t="s">
        <v>3729</v>
      </c>
      <c r="BC980" s="34">
        <f t="shared" si="845"/>
        <v>0</v>
      </c>
      <c r="BD980" s="34">
        <f t="shared" si="846"/>
        <v>0</v>
      </c>
      <c r="BE980" s="34">
        <v>0</v>
      </c>
      <c r="BF980" s="34">
        <f>979</f>
        <v>979</v>
      </c>
      <c r="BH980" s="18">
        <f t="shared" si="847"/>
        <v>0</v>
      </c>
      <c r="BI980" s="18">
        <f t="shared" si="848"/>
        <v>0</v>
      </c>
      <c r="BJ980" s="18">
        <f t="shared" si="849"/>
        <v>0</v>
      </c>
    </row>
    <row r="981" spans="1:62" x14ac:dyDescent="0.2">
      <c r="A981" s="74" t="s">
        <v>927</v>
      </c>
      <c r="B981" s="5" t="s">
        <v>2102</v>
      </c>
      <c r="C981" s="135" t="s">
        <v>3307</v>
      </c>
      <c r="D981" s="136"/>
      <c r="E981" s="136"/>
      <c r="F981" s="136"/>
      <c r="G981" s="136"/>
      <c r="H981" s="5" t="s">
        <v>3612</v>
      </c>
      <c r="I981" s="18">
        <v>1</v>
      </c>
      <c r="J981" s="18">
        <v>0</v>
      </c>
      <c r="K981" s="18">
        <f t="shared" si="828"/>
        <v>0</v>
      </c>
      <c r="L981" s="28" t="s">
        <v>3635</v>
      </c>
      <c r="Z981" s="34">
        <f t="shared" si="829"/>
        <v>0</v>
      </c>
      <c r="AB981" s="34">
        <f t="shared" si="830"/>
        <v>0</v>
      </c>
      <c r="AC981" s="34">
        <f t="shared" si="831"/>
        <v>0</v>
      </c>
      <c r="AD981" s="34">
        <f t="shared" si="832"/>
        <v>0</v>
      </c>
      <c r="AE981" s="34">
        <f t="shared" si="833"/>
        <v>0</v>
      </c>
      <c r="AF981" s="34">
        <f t="shared" si="834"/>
        <v>0</v>
      </c>
      <c r="AG981" s="34">
        <f t="shared" si="835"/>
        <v>0</v>
      </c>
      <c r="AH981" s="34">
        <f t="shared" si="836"/>
        <v>0</v>
      </c>
      <c r="AI981" s="27" t="s">
        <v>3645</v>
      </c>
      <c r="AJ981" s="18">
        <f t="shared" si="837"/>
        <v>0</v>
      </c>
      <c r="AK981" s="18">
        <f t="shared" si="838"/>
        <v>0</v>
      </c>
      <c r="AL981" s="18">
        <f t="shared" si="839"/>
        <v>0</v>
      </c>
      <c r="AN981" s="34">
        <v>21</v>
      </c>
      <c r="AO981" s="34">
        <f t="shared" si="840"/>
        <v>0</v>
      </c>
      <c r="AP981" s="34">
        <f t="shared" si="841"/>
        <v>0</v>
      </c>
      <c r="AQ981" s="28" t="s">
        <v>7</v>
      </c>
      <c r="AV981" s="34">
        <f t="shared" si="842"/>
        <v>0</v>
      </c>
      <c r="AW981" s="34">
        <f t="shared" si="843"/>
        <v>0</v>
      </c>
      <c r="AX981" s="34">
        <f t="shared" si="844"/>
        <v>0</v>
      </c>
      <c r="AY981" s="35" t="s">
        <v>3694</v>
      </c>
      <c r="AZ981" s="35" t="s">
        <v>3712</v>
      </c>
      <c r="BA981" s="27" t="s">
        <v>3729</v>
      </c>
      <c r="BC981" s="34">
        <f t="shared" si="845"/>
        <v>0</v>
      </c>
      <c r="BD981" s="34">
        <f t="shared" si="846"/>
        <v>0</v>
      </c>
      <c r="BE981" s="34">
        <v>0</v>
      </c>
      <c r="BF981" s="34">
        <f>980</f>
        <v>980</v>
      </c>
      <c r="BH981" s="18">
        <f t="shared" si="847"/>
        <v>0</v>
      </c>
      <c r="BI981" s="18">
        <f t="shared" si="848"/>
        <v>0</v>
      </c>
      <c r="BJ981" s="18">
        <f t="shared" si="849"/>
        <v>0</v>
      </c>
    </row>
    <row r="982" spans="1:62" x14ac:dyDescent="0.2">
      <c r="A982" s="74" t="s">
        <v>928</v>
      </c>
      <c r="B982" s="5" t="s">
        <v>2103</v>
      </c>
      <c r="C982" s="135" t="s">
        <v>3308</v>
      </c>
      <c r="D982" s="136"/>
      <c r="E982" s="136"/>
      <c r="F982" s="136"/>
      <c r="G982" s="136"/>
      <c r="H982" s="5" t="s">
        <v>3612</v>
      </c>
      <c r="I982" s="18">
        <v>1</v>
      </c>
      <c r="J982" s="18">
        <v>0</v>
      </c>
      <c r="K982" s="18">
        <f t="shared" si="828"/>
        <v>0</v>
      </c>
      <c r="L982" s="28" t="s">
        <v>3635</v>
      </c>
      <c r="Z982" s="34">
        <f t="shared" si="829"/>
        <v>0</v>
      </c>
      <c r="AB982" s="34">
        <f t="shared" si="830"/>
        <v>0</v>
      </c>
      <c r="AC982" s="34">
        <f t="shared" si="831"/>
        <v>0</v>
      </c>
      <c r="AD982" s="34">
        <f t="shared" si="832"/>
        <v>0</v>
      </c>
      <c r="AE982" s="34">
        <f t="shared" si="833"/>
        <v>0</v>
      </c>
      <c r="AF982" s="34">
        <f t="shared" si="834"/>
        <v>0</v>
      </c>
      <c r="AG982" s="34">
        <f t="shared" si="835"/>
        <v>0</v>
      </c>
      <c r="AH982" s="34">
        <f t="shared" si="836"/>
        <v>0</v>
      </c>
      <c r="AI982" s="27" t="s">
        <v>3645</v>
      </c>
      <c r="AJ982" s="18">
        <f t="shared" si="837"/>
        <v>0</v>
      </c>
      <c r="AK982" s="18">
        <f t="shared" si="838"/>
        <v>0</v>
      </c>
      <c r="AL982" s="18">
        <f t="shared" si="839"/>
        <v>0</v>
      </c>
      <c r="AN982" s="34">
        <v>21</v>
      </c>
      <c r="AO982" s="34">
        <f t="shared" si="840"/>
        <v>0</v>
      </c>
      <c r="AP982" s="34">
        <f t="shared" si="841"/>
        <v>0</v>
      </c>
      <c r="AQ982" s="28" t="s">
        <v>7</v>
      </c>
      <c r="AV982" s="34">
        <f t="shared" si="842"/>
        <v>0</v>
      </c>
      <c r="AW982" s="34">
        <f t="shared" si="843"/>
        <v>0</v>
      </c>
      <c r="AX982" s="34">
        <f t="shared" si="844"/>
        <v>0</v>
      </c>
      <c r="AY982" s="35" t="s">
        <v>3694</v>
      </c>
      <c r="AZ982" s="35" t="s">
        <v>3712</v>
      </c>
      <c r="BA982" s="27" t="s">
        <v>3729</v>
      </c>
      <c r="BC982" s="34">
        <f t="shared" si="845"/>
        <v>0</v>
      </c>
      <c r="BD982" s="34">
        <f t="shared" si="846"/>
        <v>0</v>
      </c>
      <c r="BE982" s="34">
        <v>0</v>
      </c>
      <c r="BF982" s="34">
        <f>981</f>
        <v>981</v>
      </c>
      <c r="BH982" s="18">
        <f t="shared" si="847"/>
        <v>0</v>
      </c>
      <c r="BI982" s="18">
        <f t="shared" si="848"/>
        <v>0</v>
      </c>
      <c r="BJ982" s="18">
        <f t="shared" si="849"/>
        <v>0</v>
      </c>
    </row>
    <row r="983" spans="1:62" x14ac:dyDescent="0.2">
      <c r="A983" s="74" t="s">
        <v>929</v>
      </c>
      <c r="B983" s="5" t="s">
        <v>2104</v>
      </c>
      <c r="C983" s="135" t="s">
        <v>3309</v>
      </c>
      <c r="D983" s="136"/>
      <c r="E983" s="136"/>
      <c r="F983" s="136"/>
      <c r="G983" s="136"/>
      <c r="H983" s="5" t="s">
        <v>3612</v>
      </c>
      <c r="I983" s="18">
        <v>1</v>
      </c>
      <c r="J983" s="18">
        <v>0</v>
      </c>
      <c r="K983" s="18">
        <f t="shared" si="828"/>
        <v>0</v>
      </c>
      <c r="L983" s="28" t="s">
        <v>3635</v>
      </c>
      <c r="Z983" s="34">
        <f t="shared" si="829"/>
        <v>0</v>
      </c>
      <c r="AB983" s="34">
        <f t="shared" si="830"/>
        <v>0</v>
      </c>
      <c r="AC983" s="34">
        <f t="shared" si="831"/>
        <v>0</v>
      </c>
      <c r="AD983" s="34">
        <f t="shared" si="832"/>
        <v>0</v>
      </c>
      <c r="AE983" s="34">
        <f t="shared" si="833"/>
        <v>0</v>
      </c>
      <c r="AF983" s="34">
        <f t="shared" si="834"/>
        <v>0</v>
      </c>
      <c r="AG983" s="34">
        <f t="shared" si="835"/>
        <v>0</v>
      </c>
      <c r="AH983" s="34">
        <f t="shared" si="836"/>
        <v>0</v>
      </c>
      <c r="AI983" s="27" t="s">
        <v>3645</v>
      </c>
      <c r="AJ983" s="18">
        <f t="shared" si="837"/>
        <v>0</v>
      </c>
      <c r="AK983" s="18">
        <f t="shared" si="838"/>
        <v>0</v>
      </c>
      <c r="AL983" s="18">
        <f t="shared" si="839"/>
        <v>0</v>
      </c>
      <c r="AN983" s="34">
        <v>21</v>
      </c>
      <c r="AO983" s="34">
        <f t="shared" si="840"/>
        <v>0</v>
      </c>
      <c r="AP983" s="34">
        <f t="shared" si="841"/>
        <v>0</v>
      </c>
      <c r="AQ983" s="28" t="s">
        <v>7</v>
      </c>
      <c r="AV983" s="34">
        <f t="shared" si="842"/>
        <v>0</v>
      </c>
      <c r="AW983" s="34">
        <f t="shared" si="843"/>
        <v>0</v>
      </c>
      <c r="AX983" s="34">
        <f t="shared" si="844"/>
        <v>0</v>
      </c>
      <c r="AY983" s="35" t="s">
        <v>3694</v>
      </c>
      <c r="AZ983" s="35" t="s">
        <v>3712</v>
      </c>
      <c r="BA983" s="27" t="s">
        <v>3729</v>
      </c>
      <c r="BC983" s="34">
        <f t="shared" si="845"/>
        <v>0</v>
      </c>
      <c r="BD983" s="34">
        <f t="shared" si="846"/>
        <v>0</v>
      </c>
      <c r="BE983" s="34">
        <v>0</v>
      </c>
      <c r="BF983" s="34">
        <f>982</f>
        <v>982</v>
      </c>
      <c r="BH983" s="18">
        <f t="shared" si="847"/>
        <v>0</v>
      </c>
      <c r="BI983" s="18">
        <f t="shared" si="848"/>
        <v>0</v>
      </c>
      <c r="BJ983" s="18">
        <f t="shared" si="849"/>
        <v>0</v>
      </c>
    </row>
    <row r="984" spans="1:62" x14ac:dyDescent="0.2">
      <c r="A984" s="74" t="s">
        <v>930</v>
      </c>
      <c r="B984" s="5" t="s">
        <v>2105</v>
      </c>
      <c r="C984" s="135" t="s">
        <v>3310</v>
      </c>
      <c r="D984" s="136"/>
      <c r="E984" s="136"/>
      <c r="F984" s="136"/>
      <c r="G984" s="136"/>
      <c r="H984" s="5" t="s">
        <v>3612</v>
      </c>
      <c r="I984" s="18">
        <v>1</v>
      </c>
      <c r="J984" s="18">
        <v>0</v>
      </c>
      <c r="K984" s="18">
        <f t="shared" si="828"/>
        <v>0</v>
      </c>
      <c r="L984" s="28" t="s">
        <v>3635</v>
      </c>
      <c r="Z984" s="34">
        <f t="shared" si="829"/>
        <v>0</v>
      </c>
      <c r="AB984" s="34">
        <f t="shared" si="830"/>
        <v>0</v>
      </c>
      <c r="AC984" s="34">
        <f t="shared" si="831"/>
        <v>0</v>
      </c>
      <c r="AD984" s="34">
        <f t="shared" si="832"/>
        <v>0</v>
      </c>
      <c r="AE984" s="34">
        <f t="shared" si="833"/>
        <v>0</v>
      </c>
      <c r="AF984" s="34">
        <f t="shared" si="834"/>
        <v>0</v>
      </c>
      <c r="AG984" s="34">
        <f t="shared" si="835"/>
        <v>0</v>
      </c>
      <c r="AH984" s="34">
        <f t="shared" si="836"/>
        <v>0</v>
      </c>
      <c r="AI984" s="27" t="s">
        <v>3645</v>
      </c>
      <c r="AJ984" s="18">
        <f t="shared" si="837"/>
        <v>0</v>
      </c>
      <c r="AK984" s="18">
        <f t="shared" si="838"/>
        <v>0</v>
      </c>
      <c r="AL984" s="18">
        <f t="shared" si="839"/>
        <v>0</v>
      </c>
      <c r="AN984" s="34">
        <v>21</v>
      </c>
      <c r="AO984" s="34">
        <f t="shared" si="840"/>
        <v>0</v>
      </c>
      <c r="AP984" s="34">
        <f t="shared" si="841"/>
        <v>0</v>
      </c>
      <c r="AQ984" s="28" t="s">
        <v>7</v>
      </c>
      <c r="AV984" s="34">
        <f t="shared" si="842"/>
        <v>0</v>
      </c>
      <c r="AW984" s="34">
        <f t="shared" si="843"/>
        <v>0</v>
      </c>
      <c r="AX984" s="34">
        <f t="shared" si="844"/>
        <v>0</v>
      </c>
      <c r="AY984" s="35" t="s">
        <v>3694</v>
      </c>
      <c r="AZ984" s="35" t="s">
        <v>3712</v>
      </c>
      <c r="BA984" s="27" t="s">
        <v>3729</v>
      </c>
      <c r="BC984" s="34">
        <f t="shared" si="845"/>
        <v>0</v>
      </c>
      <c r="BD984" s="34">
        <f t="shared" si="846"/>
        <v>0</v>
      </c>
      <c r="BE984" s="34">
        <v>0</v>
      </c>
      <c r="BF984" s="34">
        <f>983</f>
        <v>983</v>
      </c>
      <c r="BH984" s="18">
        <f t="shared" si="847"/>
        <v>0</v>
      </c>
      <c r="BI984" s="18">
        <f t="shared" si="848"/>
        <v>0</v>
      </c>
      <c r="BJ984" s="18">
        <f t="shared" si="849"/>
        <v>0</v>
      </c>
    </row>
    <row r="985" spans="1:62" x14ac:dyDescent="0.2">
      <c r="A985" s="74" t="s">
        <v>931</v>
      </c>
      <c r="B985" s="5" t="s">
        <v>2106</v>
      </c>
      <c r="C985" s="135" t="s">
        <v>3311</v>
      </c>
      <c r="D985" s="136"/>
      <c r="E985" s="136"/>
      <c r="F985" s="136"/>
      <c r="G985" s="136"/>
      <c r="H985" s="5" t="s">
        <v>3612</v>
      </c>
      <c r="I985" s="18">
        <v>4</v>
      </c>
      <c r="J985" s="18">
        <v>0</v>
      </c>
      <c r="K985" s="18">
        <f t="shared" si="828"/>
        <v>0</v>
      </c>
      <c r="L985" s="28" t="s">
        <v>3635</v>
      </c>
      <c r="Z985" s="34">
        <f t="shared" si="829"/>
        <v>0</v>
      </c>
      <c r="AB985" s="34">
        <f t="shared" si="830"/>
        <v>0</v>
      </c>
      <c r="AC985" s="34">
        <f t="shared" si="831"/>
        <v>0</v>
      </c>
      <c r="AD985" s="34">
        <f t="shared" si="832"/>
        <v>0</v>
      </c>
      <c r="AE985" s="34">
        <f t="shared" si="833"/>
        <v>0</v>
      </c>
      <c r="AF985" s="34">
        <f t="shared" si="834"/>
        <v>0</v>
      </c>
      <c r="AG985" s="34">
        <f t="shared" si="835"/>
        <v>0</v>
      </c>
      <c r="AH985" s="34">
        <f t="shared" si="836"/>
        <v>0</v>
      </c>
      <c r="AI985" s="27" t="s">
        <v>3645</v>
      </c>
      <c r="AJ985" s="18">
        <f t="shared" si="837"/>
        <v>0</v>
      </c>
      <c r="AK985" s="18">
        <f t="shared" si="838"/>
        <v>0</v>
      </c>
      <c r="AL985" s="18">
        <f t="shared" si="839"/>
        <v>0</v>
      </c>
      <c r="AN985" s="34">
        <v>21</v>
      </c>
      <c r="AO985" s="34">
        <f t="shared" si="840"/>
        <v>0</v>
      </c>
      <c r="AP985" s="34">
        <f t="shared" si="841"/>
        <v>0</v>
      </c>
      <c r="AQ985" s="28" t="s">
        <v>7</v>
      </c>
      <c r="AV985" s="34">
        <f t="shared" si="842"/>
        <v>0</v>
      </c>
      <c r="AW985" s="34">
        <f t="shared" si="843"/>
        <v>0</v>
      </c>
      <c r="AX985" s="34">
        <f t="shared" si="844"/>
        <v>0</v>
      </c>
      <c r="AY985" s="35" t="s">
        <v>3694</v>
      </c>
      <c r="AZ985" s="35" t="s">
        <v>3712</v>
      </c>
      <c r="BA985" s="27" t="s">
        <v>3729</v>
      </c>
      <c r="BC985" s="34">
        <f t="shared" si="845"/>
        <v>0</v>
      </c>
      <c r="BD985" s="34">
        <f t="shared" si="846"/>
        <v>0</v>
      </c>
      <c r="BE985" s="34">
        <v>0</v>
      </c>
      <c r="BF985" s="34">
        <f>984</f>
        <v>984</v>
      </c>
      <c r="BH985" s="18">
        <f t="shared" si="847"/>
        <v>0</v>
      </c>
      <c r="BI985" s="18">
        <f t="shared" si="848"/>
        <v>0</v>
      </c>
      <c r="BJ985" s="18">
        <f t="shared" si="849"/>
        <v>0</v>
      </c>
    </row>
    <row r="986" spans="1:62" x14ac:dyDescent="0.2">
      <c r="A986" s="74" t="s">
        <v>932</v>
      </c>
      <c r="B986" s="5" t="s">
        <v>2107</v>
      </c>
      <c r="C986" s="135" t="s">
        <v>3312</v>
      </c>
      <c r="D986" s="136"/>
      <c r="E986" s="136"/>
      <c r="F986" s="136"/>
      <c r="G986" s="136"/>
      <c r="H986" s="5" t="s">
        <v>3612</v>
      </c>
      <c r="I986" s="18">
        <v>4</v>
      </c>
      <c r="J986" s="18">
        <v>0</v>
      </c>
      <c r="K986" s="18">
        <f t="shared" si="828"/>
        <v>0</v>
      </c>
      <c r="L986" s="28" t="s">
        <v>3635</v>
      </c>
      <c r="Z986" s="34">
        <f t="shared" si="829"/>
        <v>0</v>
      </c>
      <c r="AB986" s="34">
        <f t="shared" si="830"/>
        <v>0</v>
      </c>
      <c r="AC986" s="34">
        <f t="shared" si="831"/>
        <v>0</v>
      </c>
      <c r="AD986" s="34">
        <f t="shared" si="832"/>
        <v>0</v>
      </c>
      <c r="AE986" s="34">
        <f t="shared" si="833"/>
        <v>0</v>
      </c>
      <c r="AF986" s="34">
        <f t="shared" si="834"/>
        <v>0</v>
      </c>
      <c r="AG986" s="34">
        <f t="shared" si="835"/>
        <v>0</v>
      </c>
      <c r="AH986" s="34">
        <f t="shared" si="836"/>
        <v>0</v>
      </c>
      <c r="AI986" s="27" t="s">
        <v>3645</v>
      </c>
      <c r="AJ986" s="18">
        <f t="shared" si="837"/>
        <v>0</v>
      </c>
      <c r="AK986" s="18">
        <f t="shared" si="838"/>
        <v>0</v>
      </c>
      <c r="AL986" s="18">
        <f t="shared" si="839"/>
        <v>0</v>
      </c>
      <c r="AN986" s="34">
        <v>21</v>
      </c>
      <c r="AO986" s="34">
        <f t="shared" si="840"/>
        <v>0</v>
      </c>
      <c r="AP986" s="34">
        <f t="shared" si="841"/>
        <v>0</v>
      </c>
      <c r="AQ986" s="28" t="s">
        <v>7</v>
      </c>
      <c r="AV986" s="34">
        <f t="shared" si="842"/>
        <v>0</v>
      </c>
      <c r="AW986" s="34">
        <f t="shared" si="843"/>
        <v>0</v>
      </c>
      <c r="AX986" s="34">
        <f t="shared" si="844"/>
        <v>0</v>
      </c>
      <c r="AY986" s="35" t="s">
        <v>3694</v>
      </c>
      <c r="AZ986" s="35" t="s">
        <v>3712</v>
      </c>
      <c r="BA986" s="27" t="s">
        <v>3729</v>
      </c>
      <c r="BC986" s="34">
        <f t="shared" si="845"/>
        <v>0</v>
      </c>
      <c r="BD986" s="34">
        <f t="shared" si="846"/>
        <v>0</v>
      </c>
      <c r="BE986" s="34">
        <v>0</v>
      </c>
      <c r="BF986" s="34">
        <f>985</f>
        <v>985</v>
      </c>
      <c r="BH986" s="18">
        <f t="shared" si="847"/>
        <v>0</v>
      </c>
      <c r="BI986" s="18">
        <f t="shared" si="848"/>
        <v>0</v>
      </c>
      <c r="BJ986" s="18">
        <f t="shared" si="849"/>
        <v>0</v>
      </c>
    </row>
    <row r="987" spans="1:62" x14ac:dyDescent="0.2">
      <c r="A987" s="74" t="s">
        <v>933</v>
      </c>
      <c r="B987" s="5" t="s">
        <v>2108</v>
      </c>
      <c r="C987" s="135" t="s">
        <v>3313</v>
      </c>
      <c r="D987" s="136"/>
      <c r="E987" s="136"/>
      <c r="F987" s="136"/>
      <c r="G987" s="136"/>
      <c r="H987" s="5" t="s">
        <v>3612</v>
      </c>
      <c r="I987" s="18">
        <v>12</v>
      </c>
      <c r="J987" s="18">
        <v>0</v>
      </c>
      <c r="K987" s="18">
        <f t="shared" si="828"/>
        <v>0</v>
      </c>
      <c r="L987" s="28" t="s">
        <v>3635</v>
      </c>
      <c r="Z987" s="34">
        <f t="shared" si="829"/>
        <v>0</v>
      </c>
      <c r="AB987" s="34">
        <f t="shared" si="830"/>
        <v>0</v>
      </c>
      <c r="AC987" s="34">
        <f t="shared" si="831"/>
        <v>0</v>
      </c>
      <c r="AD987" s="34">
        <f t="shared" si="832"/>
        <v>0</v>
      </c>
      <c r="AE987" s="34">
        <f t="shared" si="833"/>
        <v>0</v>
      </c>
      <c r="AF987" s="34">
        <f t="shared" si="834"/>
        <v>0</v>
      </c>
      <c r="AG987" s="34">
        <f t="shared" si="835"/>
        <v>0</v>
      </c>
      <c r="AH987" s="34">
        <f t="shared" si="836"/>
        <v>0</v>
      </c>
      <c r="AI987" s="27" t="s">
        <v>3645</v>
      </c>
      <c r="AJ987" s="18">
        <f t="shared" si="837"/>
        <v>0</v>
      </c>
      <c r="AK987" s="18">
        <f t="shared" si="838"/>
        <v>0</v>
      </c>
      <c r="AL987" s="18">
        <f t="shared" si="839"/>
        <v>0</v>
      </c>
      <c r="AN987" s="34">
        <v>21</v>
      </c>
      <c r="AO987" s="34">
        <f t="shared" si="840"/>
        <v>0</v>
      </c>
      <c r="AP987" s="34">
        <f t="shared" si="841"/>
        <v>0</v>
      </c>
      <c r="AQ987" s="28" t="s">
        <v>7</v>
      </c>
      <c r="AV987" s="34">
        <f t="shared" si="842"/>
        <v>0</v>
      </c>
      <c r="AW987" s="34">
        <f t="shared" si="843"/>
        <v>0</v>
      </c>
      <c r="AX987" s="34">
        <f t="shared" si="844"/>
        <v>0</v>
      </c>
      <c r="AY987" s="35" t="s">
        <v>3694</v>
      </c>
      <c r="AZ987" s="35" t="s">
        <v>3712</v>
      </c>
      <c r="BA987" s="27" t="s">
        <v>3729</v>
      </c>
      <c r="BC987" s="34">
        <f t="shared" si="845"/>
        <v>0</v>
      </c>
      <c r="BD987" s="34">
        <f t="shared" si="846"/>
        <v>0</v>
      </c>
      <c r="BE987" s="34">
        <v>0</v>
      </c>
      <c r="BF987" s="34">
        <f>986</f>
        <v>986</v>
      </c>
      <c r="BH987" s="18">
        <f t="shared" si="847"/>
        <v>0</v>
      </c>
      <c r="BI987" s="18">
        <f t="shared" si="848"/>
        <v>0</v>
      </c>
      <c r="BJ987" s="18">
        <f t="shared" si="849"/>
        <v>0</v>
      </c>
    </row>
    <row r="988" spans="1:62" x14ac:dyDescent="0.2">
      <c r="A988" s="74" t="s">
        <v>934</v>
      </c>
      <c r="B988" s="5" t="s">
        <v>2109</v>
      </c>
      <c r="C988" s="135" t="s">
        <v>3314</v>
      </c>
      <c r="D988" s="136"/>
      <c r="E988" s="136"/>
      <c r="F988" s="136"/>
      <c r="G988" s="136"/>
      <c r="H988" s="5" t="s">
        <v>3612</v>
      </c>
      <c r="I988" s="18">
        <v>8</v>
      </c>
      <c r="J988" s="18">
        <v>0</v>
      </c>
      <c r="K988" s="18">
        <f t="shared" si="828"/>
        <v>0</v>
      </c>
      <c r="L988" s="28" t="s">
        <v>3635</v>
      </c>
      <c r="Z988" s="34">
        <f t="shared" si="829"/>
        <v>0</v>
      </c>
      <c r="AB988" s="34">
        <f t="shared" si="830"/>
        <v>0</v>
      </c>
      <c r="AC988" s="34">
        <f t="shared" si="831"/>
        <v>0</v>
      </c>
      <c r="AD988" s="34">
        <f t="shared" si="832"/>
        <v>0</v>
      </c>
      <c r="AE988" s="34">
        <f t="shared" si="833"/>
        <v>0</v>
      </c>
      <c r="AF988" s="34">
        <f t="shared" si="834"/>
        <v>0</v>
      </c>
      <c r="AG988" s="34">
        <f t="shared" si="835"/>
        <v>0</v>
      </c>
      <c r="AH988" s="34">
        <f t="shared" si="836"/>
        <v>0</v>
      </c>
      <c r="AI988" s="27" t="s">
        <v>3645</v>
      </c>
      <c r="AJ988" s="18">
        <f t="shared" si="837"/>
        <v>0</v>
      </c>
      <c r="AK988" s="18">
        <f t="shared" si="838"/>
        <v>0</v>
      </c>
      <c r="AL988" s="18">
        <f t="shared" si="839"/>
        <v>0</v>
      </c>
      <c r="AN988" s="34">
        <v>21</v>
      </c>
      <c r="AO988" s="34">
        <f t="shared" si="840"/>
        <v>0</v>
      </c>
      <c r="AP988" s="34">
        <f t="shared" si="841"/>
        <v>0</v>
      </c>
      <c r="AQ988" s="28" t="s">
        <v>7</v>
      </c>
      <c r="AV988" s="34">
        <f t="shared" si="842"/>
        <v>0</v>
      </c>
      <c r="AW988" s="34">
        <f t="shared" si="843"/>
        <v>0</v>
      </c>
      <c r="AX988" s="34">
        <f t="shared" si="844"/>
        <v>0</v>
      </c>
      <c r="AY988" s="35" t="s">
        <v>3694</v>
      </c>
      <c r="AZ988" s="35" t="s">
        <v>3712</v>
      </c>
      <c r="BA988" s="27" t="s">
        <v>3729</v>
      </c>
      <c r="BC988" s="34">
        <f t="shared" si="845"/>
        <v>0</v>
      </c>
      <c r="BD988" s="34">
        <f t="shared" si="846"/>
        <v>0</v>
      </c>
      <c r="BE988" s="34">
        <v>0</v>
      </c>
      <c r="BF988" s="34">
        <f>987</f>
        <v>987</v>
      </c>
      <c r="BH988" s="18">
        <f t="shared" si="847"/>
        <v>0</v>
      </c>
      <c r="BI988" s="18">
        <f t="shared" si="848"/>
        <v>0</v>
      </c>
      <c r="BJ988" s="18">
        <f t="shared" si="849"/>
        <v>0</v>
      </c>
    </row>
    <row r="989" spans="1:62" x14ac:dyDescent="0.2">
      <c r="A989" s="74" t="s">
        <v>935</v>
      </c>
      <c r="B989" s="5" t="s">
        <v>2110</v>
      </c>
      <c r="C989" s="135" t="s">
        <v>3315</v>
      </c>
      <c r="D989" s="136"/>
      <c r="E989" s="136"/>
      <c r="F989" s="136"/>
      <c r="G989" s="136"/>
      <c r="H989" s="5" t="s">
        <v>3612</v>
      </c>
      <c r="I989" s="18">
        <v>4</v>
      </c>
      <c r="J989" s="18">
        <v>0</v>
      </c>
      <c r="K989" s="18">
        <f t="shared" si="828"/>
        <v>0</v>
      </c>
      <c r="L989" s="28" t="s">
        <v>3635</v>
      </c>
      <c r="Z989" s="34">
        <f t="shared" si="829"/>
        <v>0</v>
      </c>
      <c r="AB989" s="34">
        <f t="shared" si="830"/>
        <v>0</v>
      </c>
      <c r="AC989" s="34">
        <f t="shared" si="831"/>
        <v>0</v>
      </c>
      <c r="AD989" s="34">
        <f t="shared" si="832"/>
        <v>0</v>
      </c>
      <c r="AE989" s="34">
        <f t="shared" si="833"/>
        <v>0</v>
      </c>
      <c r="AF989" s="34">
        <f t="shared" si="834"/>
        <v>0</v>
      </c>
      <c r="AG989" s="34">
        <f t="shared" si="835"/>
        <v>0</v>
      </c>
      <c r="AH989" s="34">
        <f t="shared" si="836"/>
        <v>0</v>
      </c>
      <c r="AI989" s="27" t="s">
        <v>3645</v>
      </c>
      <c r="AJ989" s="18">
        <f t="shared" si="837"/>
        <v>0</v>
      </c>
      <c r="AK989" s="18">
        <f t="shared" si="838"/>
        <v>0</v>
      </c>
      <c r="AL989" s="18">
        <f t="shared" si="839"/>
        <v>0</v>
      </c>
      <c r="AN989" s="34">
        <v>21</v>
      </c>
      <c r="AO989" s="34">
        <f t="shared" si="840"/>
        <v>0</v>
      </c>
      <c r="AP989" s="34">
        <f t="shared" si="841"/>
        <v>0</v>
      </c>
      <c r="AQ989" s="28" t="s">
        <v>7</v>
      </c>
      <c r="AV989" s="34">
        <f t="shared" si="842"/>
        <v>0</v>
      </c>
      <c r="AW989" s="34">
        <f t="shared" si="843"/>
        <v>0</v>
      </c>
      <c r="AX989" s="34">
        <f t="shared" si="844"/>
        <v>0</v>
      </c>
      <c r="AY989" s="35" t="s">
        <v>3694</v>
      </c>
      <c r="AZ989" s="35" t="s">
        <v>3712</v>
      </c>
      <c r="BA989" s="27" t="s">
        <v>3729</v>
      </c>
      <c r="BC989" s="34">
        <f t="shared" si="845"/>
        <v>0</v>
      </c>
      <c r="BD989" s="34">
        <f t="shared" si="846"/>
        <v>0</v>
      </c>
      <c r="BE989" s="34">
        <v>0</v>
      </c>
      <c r="BF989" s="34">
        <f>988</f>
        <v>988</v>
      </c>
      <c r="BH989" s="18">
        <f t="shared" si="847"/>
        <v>0</v>
      </c>
      <c r="BI989" s="18">
        <f t="shared" si="848"/>
        <v>0</v>
      </c>
      <c r="BJ989" s="18">
        <f t="shared" si="849"/>
        <v>0</v>
      </c>
    </row>
    <row r="990" spans="1:62" x14ac:dyDescent="0.2">
      <c r="A990" s="74" t="s">
        <v>936</v>
      </c>
      <c r="B990" s="5" t="s">
        <v>2111</v>
      </c>
      <c r="C990" s="135" t="s">
        <v>3316</v>
      </c>
      <c r="D990" s="136"/>
      <c r="E990" s="136"/>
      <c r="F990" s="136"/>
      <c r="G990" s="136"/>
      <c r="H990" s="5" t="s">
        <v>3612</v>
      </c>
      <c r="I990" s="18">
        <v>4</v>
      </c>
      <c r="J990" s="18">
        <v>0</v>
      </c>
      <c r="K990" s="18">
        <f t="shared" ref="K990:K1021" si="850">I990*J990</f>
        <v>0</v>
      </c>
      <c r="L990" s="28" t="s">
        <v>3635</v>
      </c>
      <c r="Z990" s="34">
        <f t="shared" ref="Z990:Z1021" si="851">IF(AQ990="5",BJ990,0)</f>
        <v>0</v>
      </c>
      <c r="AB990" s="34">
        <f t="shared" ref="AB990:AB1021" si="852">IF(AQ990="1",BH990,0)</f>
        <v>0</v>
      </c>
      <c r="AC990" s="34">
        <f t="shared" ref="AC990:AC1021" si="853">IF(AQ990="1",BI990,0)</f>
        <v>0</v>
      </c>
      <c r="AD990" s="34">
        <f t="shared" ref="AD990:AD1021" si="854">IF(AQ990="7",BH990,0)</f>
        <v>0</v>
      </c>
      <c r="AE990" s="34">
        <f t="shared" ref="AE990:AE1021" si="855">IF(AQ990="7",BI990,0)</f>
        <v>0</v>
      </c>
      <c r="AF990" s="34">
        <f t="shared" ref="AF990:AF1021" si="856">IF(AQ990="2",BH990,0)</f>
        <v>0</v>
      </c>
      <c r="AG990" s="34">
        <f t="shared" ref="AG990:AG1021" si="857">IF(AQ990="2",BI990,0)</f>
        <v>0</v>
      </c>
      <c r="AH990" s="34">
        <f t="shared" ref="AH990:AH1021" si="858">IF(AQ990="0",BJ990,0)</f>
        <v>0</v>
      </c>
      <c r="AI990" s="27" t="s">
        <v>3645</v>
      </c>
      <c r="AJ990" s="18">
        <f t="shared" ref="AJ990:AJ1021" si="859">IF(AN990=0,K990,0)</f>
        <v>0</v>
      </c>
      <c r="AK990" s="18">
        <f t="shared" ref="AK990:AK1021" si="860">IF(AN990=15,K990,0)</f>
        <v>0</v>
      </c>
      <c r="AL990" s="18">
        <f t="shared" ref="AL990:AL1021" si="861">IF(AN990=21,K990,0)</f>
        <v>0</v>
      </c>
      <c r="AN990" s="34">
        <v>21</v>
      </c>
      <c r="AO990" s="34">
        <f t="shared" ref="AO990:AO1021" si="862">J990*0</f>
        <v>0</v>
      </c>
      <c r="AP990" s="34">
        <f t="shared" ref="AP990:AP1021" si="863">J990*(1-0)</f>
        <v>0</v>
      </c>
      <c r="AQ990" s="28" t="s">
        <v>7</v>
      </c>
      <c r="AV990" s="34">
        <f t="shared" ref="AV990:AV1021" si="864">AW990+AX990</f>
        <v>0</v>
      </c>
      <c r="AW990" s="34">
        <f t="shared" ref="AW990:AW1021" si="865">I990*AO990</f>
        <v>0</v>
      </c>
      <c r="AX990" s="34">
        <f t="shared" ref="AX990:AX1021" si="866">I990*AP990</f>
        <v>0</v>
      </c>
      <c r="AY990" s="35" t="s">
        <v>3694</v>
      </c>
      <c r="AZ990" s="35" t="s">
        <v>3712</v>
      </c>
      <c r="BA990" s="27" t="s">
        <v>3729</v>
      </c>
      <c r="BC990" s="34">
        <f t="shared" ref="BC990:BC1021" si="867">AW990+AX990</f>
        <v>0</v>
      </c>
      <c r="BD990" s="34">
        <f t="shared" ref="BD990:BD1021" si="868">J990/(100-BE990)*100</f>
        <v>0</v>
      </c>
      <c r="BE990" s="34">
        <v>0</v>
      </c>
      <c r="BF990" s="34">
        <f>989</f>
        <v>989</v>
      </c>
      <c r="BH990" s="18">
        <f t="shared" ref="BH990:BH1021" si="869">I990*AO990</f>
        <v>0</v>
      </c>
      <c r="BI990" s="18">
        <f t="shared" ref="BI990:BI1021" si="870">I990*AP990</f>
        <v>0</v>
      </c>
      <c r="BJ990" s="18">
        <f t="shared" ref="BJ990:BJ1021" si="871">I990*J990</f>
        <v>0</v>
      </c>
    </row>
    <row r="991" spans="1:62" x14ac:dyDescent="0.2">
      <c r="A991" s="74" t="s">
        <v>937</v>
      </c>
      <c r="B991" s="5" t="s">
        <v>2112</v>
      </c>
      <c r="C991" s="135" t="s">
        <v>3316</v>
      </c>
      <c r="D991" s="136"/>
      <c r="E991" s="136"/>
      <c r="F991" s="136"/>
      <c r="G991" s="136"/>
      <c r="H991" s="5" t="s">
        <v>3612</v>
      </c>
      <c r="I991" s="18">
        <v>4</v>
      </c>
      <c r="J991" s="18">
        <v>0</v>
      </c>
      <c r="K991" s="18">
        <f t="shared" si="850"/>
        <v>0</v>
      </c>
      <c r="L991" s="28" t="s">
        <v>3635</v>
      </c>
      <c r="Z991" s="34">
        <f t="shared" si="851"/>
        <v>0</v>
      </c>
      <c r="AB991" s="34">
        <f t="shared" si="852"/>
        <v>0</v>
      </c>
      <c r="AC991" s="34">
        <f t="shared" si="853"/>
        <v>0</v>
      </c>
      <c r="AD991" s="34">
        <f t="shared" si="854"/>
        <v>0</v>
      </c>
      <c r="AE991" s="34">
        <f t="shared" si="855"/>
        <v>0</v>
      </c>
      <c r="AF991" s="34">
        <f t="shared" si="856"/>
        <v>0</v>
      </c>
      <c r="AG991" s="34">
        <f t="shared" si="857"/>
        <v>0</v>
      </c>
      <c r="AH991" s="34">
        <f t="shared" si="858"/>
        <v>0</v>
      </c>
      <c r="AI991" s="27" t="s">
        <v>3645</v>
      </c>
      <c r="AJ991" s="18">
        <f t="shared" si="859"/>
        <v>0</v>
      </c>
      <c r="AK991" s="18">
        <f t="shared" si="860"/>
        <v>0</v>
      </c>
      <c r="AL991" s="18">
        <f t="shared" si="861"/>
        <v>0</v>
      </c>
      <c r="AN991" s="34">
        <v>21</v>
      </c>
      <c r="AO991" s="34">
        <f t="shared" si="862"/>
        <v>0</v>
      </c>
      <c r="AP991" s="34">
        <f t="shared" si="863"/>
        <v>0</v>
      </c>
      <c r="AQ991" s="28" t="s">
        <v>7</v>
      </c>
      <c r="AV991" s="34">
        <f t="shared" si="864"/>
        <v>0</v>
      </c>
      <c r="AW991" s="34">
        <f t="shared" si="865"/>
        <v>0</v>
      </c>
      <c r="AX991" s="34">
        <f t="shared" si="866"/>
        <v>0</v>
      </c>
      <c r="AY991" s="35" t="s">
        <v>3694</v>
      </c>
      <c r="AZ991" s="35" t="s">
        <v>3712</v>
      </c>
      <c r="BA991" s="27" t="s">
        <v>3729</v>
      </c>
      <c r="BC991" s="34">
        <f t="shared" si="867"/>
        <v>0</v>
      </c>
      <c r="BD991" s="34">
        <f t="shared" si="868"/>
        <v>0</v>
      </c>
      <c r="BE991" s="34">
        <v>0</v>
      </c>
      <c r="BF991" s="34">
        <f>990</f>
        <v>990</v>
      </c>
      <c r="BH991" s="18">
        <f t="shared" si="869"/>
        <v>0</v>
      </c>
      <c r="BI991" s="18">
        <f t="shared" si="870"/>
        <v>0</v>
      </c>
      <c r="BJ991" s="18">
        <f t="shared" si="871"/>
        <v>0</v>
      </c>
    </row>
    <row r="992" spans="1:62" x14ac:dyDescent="0.2">
      <c r="A992" s="74" t="s">
        <v>938</v>
      </c>
      <c r="B992" s="5" t="s">
        <v>2113</v>
      </c>
      <c r="C992" s="135" t="s">
        <v>3317</v>
      </c>
      <c r="D992" s="136"/>
      <c r="E992" s="136"/>
      <c r="F992" s="136"/>
      <c r="G992" s="136"/>
      <c r="H992" s="5" t="s">
        <v>3612</v>
      </c>
      <c r="I992" s="18">
        <v>4</v>
      </c>
      <c r="J992" s="18">
        <v>0</v>
      </c>
      <c r="K992" s="18">
        <f t="shared" si="850"/>
        <v>0</v>
      </c>
      <c r="L992" s="28" t="s">
        <v>3635</v>
      </c>
      <c r="Z992" s="34">
        <f t="shared" si="851"/>
        <v>0</v>
      </c>
      <c r="AB992" s="34">
        <f t="shared" si="852"/>
        <v>0</v>
      </c>
      <c r="AC992" s="34">
        <f t="shared" si="853"/>
        <v>0</v>
      </c>
      <c r="AD992" s="34">
        <f t="shared" si="854"/>
        <v>0</v>
      </c>
      <c r="AE992" s="34">
        <f t="shared" si="855"/>
        <v>0</v>
      </c>
      <c r="AF992" s="34">
        <f t="shared" si="856"/>
        <v>0</v>
      </c>
      <c r="AG992" s="34">
        <f t="shared" si="857"/>
        <v>0</v>
      </c>
      <c r="AH992" s="34">
        <f t="shared" si="858"/>
        <v>0</v>
      </c>
      <c r="AI992" s="27" t="s">
        <v>3645</v>
      </c>
      <c r="AJ992" s="18">
        <f t="shared" si="859"/>
        <v>0</v>
      </c>
      <c r="AK992" s="18">
        <f t="shared" si="860"/>
        <v>0</v>
      </c>
      <c r="AL992" s="18">
        <f t="shared" si="861"/>
        <v>0</v>
      </c>
      <c r="AN992" s="34">
        <v>21</v>
      </c>
      <c r="AO992" s="34">
        <f t="shared" si="862"/>
        <v>0</v>
      </c>
      <c r="AP992" s="34">
        <f t="shared" si="863"/>
        <v>0</v>
      </c>
      <c r="AQ992" s="28" t="s">
        <v>7</v>
      </c>
      <c r="AV992" s="34">
        <f t="shared" si="864"/>
        <v>0</v>
      </c>
      <c r="AW992" s="34">
        <f t="shared" si="865"/>
        <v>0</v>
      </c>
      <c r="AX992" s="34">
        <f t="shared" si="866"/>
        <v>0</v>
      </c>
      <c r="AY992" s="35" t="s">
        <v>3694</v>
      </c>
      <c r="AZ992" s="35" t="s">
        <v>3712</v>
      </c>
      <c r="BA992" s="27" t="s">
        <v>3729</v>
      </c>
      <c r="BC992" s="34">
        <f t="shared" si="867"/>
        <v>0</v>
      </c>
      <c r="BD992" s="34">
        <f t="shared" si="868"/>
        <v>0</v>
      </c>
      <c r="BE992" s="34">
        <v>0</v>
      </c>
      <c r="BF992" s="34">
        <f>991</f>
        <v>991</v>
      </c>
      <c r="BH992" s="18">
        <f t="shared" si="869"/>
        <v>0</v>
      </c>
      <c r="BI992" s="18">
        <f t="shared" si="870"/>
        <v>0</v>
      </c>
      <c r="BJ992" s="18">
        <f t="shared" si="871"/>
        <v>0</v>
      </c>
    </row>
    <row r="993" spans="1:62" x14ac:dyDescent="0.2">
      <c r="A993" s="74" t="s">
        <v>939</v>
      </c>
      <c r="B993" s="5" t="s">
        <v>2114</v>
      </c>
      <c r="C993" s="135" t="s">
        <v>3318</v>
      </c>
      <c r="D993" s="136"/>
      <c r="E993" s="136"/>
      <c r="F993" s="136"/>
      <c r="G993" s="136"/>
      <c r="H993" s="5" t="s">
        <v>3612</v>
      </c>
      <c r="I993" s="18">
        <v>4</v>
      </c>
      <c r="J993" s="18">
        <v>0</v>
      </c>
      <c r="K993" s="18">
        <f t="shared" si="850"/>
        <v>0</v>
      </c>
      <c r="L993" s="28" t="s">
        <v>3635</v>
      </c>
      <c r="Z993" s="34">
        <f t="shared" si="851"/>
        <v>0</v>
      </c>
      <c r="AB993" s="34">
        <f t="shared" si="852"/>
        <v>0</v>
      </c>
      <c r="AC993" s="34">
        <f t="shared" si="853"/>
        <v>0</v>
      </c>
      <c r="AD993" s="34">
        <f t="shared" si="854"/>
        <v>0</v>
      </c>
      <c r="AE993" s="34">
        <f t="shared" si="855"/>
        <v>0</v>
      </c>
      <c r="AF993" s="34">
        <f t="shared" si="856"/>
        <v>0</v>
      </c>
      <c r="AG993" s="34">
        <f t="shared" si="857"/>
        <v>0</v>
      </c>
      <c r="AH993" s="34">
        <f t="shared" si="858"/>
        <v>0</v>
      </c>
      <c r="AI993" s="27" t="s">
        <v>3645</v>
      </c>
      <c r="AJ993" s="18">
        <f t="shared" si="859"/>
        <v>0</v>
      </c>
      <c r="AK993" s="18">
        <f t="shared" si="860"/>
        <v>0</v>
      </c>
      <c r="AL993" s="18">
        <f t="shared" si="861"/>
        <v>0</v>
      </c>
      <c r="AN993" s="34">
        <v>21</v>
      </c>
      <c r="AO993" s="34">
        <f t="shared" si="862"/>
        <v>0</v>
      </c>
      <c r="AP993" s="34">
        <f t="shared" si="863"/>
        <v>0</v>
      </c>
      <c r="AQ993" s="28" t="s">
        <v>7</v>
      </c>
      <c r="AV993" s="34">
        <f t="shared" si="864"/>
        <v>0</v>
      </c>
      <c r="AW993" s="34">
        <f t="shared" si="865"/>
        <v>0</v>
      </c>
      <c r="AX993" s="34">
        <f t="shared" si="866"/>
        <v>0</v>
      </c>
      <c r="AY993" s="35" t="s">
        <v>3694</v>
      </c>
      <c r="AZ993" s="35" t="s">
        <v>3712</v>
      </c>
      <c r="BA993" s="27" t="s">
        <v>3729</v>
      </c>
      <c r="BC993" s="34">
        <f t="shared" si="867"/>
        <v>0</v>
      </c>
      <c r="BD993" s="34">
        <f t="shared" si="868"/>
        <v>0</v>
      </c>
      <c r="BE993" s="34">
        <v>0</v>
      </c>
      <c r="BF993" s="34">
        <f>992</f>
        <v>992</v>
      </c>
      <c r="BH993" s="18">
        <f t="shared" si="869"/>
        <v>0</v>
      </c>
      <c r="BI993" s="18">
        <f t="shared" si="870"/>
        <v>0</v>
      </c>
      <c r="BJ993" s="18">
        <f t="shared" si="871"/>
        <v>0</v>
      </c>
    </row>
    <row r="994" spans="1:62" x14ac:dyDescent="0.2">
      <c r="A994" s="74" t="s">
        <v>940</v>
      </c>
      <c r="B994" s="5" t="s">
        <v>2115</v>
      </c>
      <c r="C994" s="135" t="s">
        <v>3319</v>
      </c>
      <c r="D994" s="136"/>
      <c r="E994" s="136"/>
      <c r="F994" s="136"/>
      <c r="G994" s="136"/>
      <c r="H994" s="5" t="s">
        <v>3612</v>
      </c>
      <c r="I994" s="18">
        <v>2</v>
      </c>
      <c r="J994" s="18">
        <v>0</v>
      </c>
      <c r="K994" s="18">
        <f t="shared" si="850"/>
        <v>0</v>
      </c>
      <c r="L994" s="28" t="s">
        <v>3635</v>
      </c>
      <c r="Z994" s="34">
        <f t="shared" si="851"/>
        <v>0</v>
      </c>
      <c r="AB994" s="34">
        <f t="shared" si="852"/>
        <v>0</v>
      </c>
      <c r="AC994" s="34">
        <f t="shared" si="853"/>
        <v>0</v>
      </c>
      <c r="AD994" s="34">
        <f t="shared" si="854"/>
        <v>0</v>
      </c>
      <c r="AE994" s="34">
        <f t="shared" si="855"/>
        <v>0</v>
      </c>
      <c r="AF994" s="34">
        <f t="shared" si="856"/>
        <v>0</v>
      </c>
      <c r="AG994" s="34">
        <f t="shared" si="857"/>
        <v>0</v>
      </c>
      <c r="AH994" s="34">
        <f t="shared" si="858"/>
        <v>0</v>
      </c>
      <c r="AI994" s="27" t="s">
        <v>3645</v>
      </c>
      <c r="AJ994" s="18">
        <f t="shared" si="859"/>
        <v>0</v>
      </c>
      <c r="AK994" s="18">
        <f t="shared" si="860"/>
        <v>0</v>
      </c>
      <c r="AL994" s="18">
        <f t="shared" si="861"/>
        <v>0</v>
      </c>
      <c r="AN994" s="34">
        <v>21</v>
      </c>
      <c r="AO994" s="34">
        <f t="shared" si="862"/>
        <v>0</v>
      </c>
      <c r="AP994" s="34">
        <f t="shared" si="863"/>
        <v>0</v>
      </c>
      <c r="AQ994" s="28" t="s">
        <v>7</v>
      </c>
      <c r="AV994" s="34">
        <f t="shared" si="864"/>
        <v>0</v>
      </c>
      <c r="AW994" s="34">
        <f t="shared" si="865"/>
        <v>0</v>
      </c>
      <c r="AX994" s="34">
        <f t="shared" si="866"/>
        <v>0</v>
      </c>
      <c r="AY994" s="35" t="s">
        <v>3694</v>
      </c>
      <c r="AZ994" s="35" t="s">
        <v>3712</v>
      </c>
      <c r="BA994" s="27" t="s">
        <v>3729</v>
      </c>
      <c r="BC994" s="34">
        <f t="shared" si="867"/>
        <v>0</v>
      </c>
      <c r="BD994" s="34">
        <f t="shared" si="868"/>
        <v>0</v>
      </c>
      <c r="BE994" s="34">
        <v>0</v>
      </c>
      <c r="BF994" s="34">
        <f>993</f>
        <v>993</v>
      </c>
      <c r="BH994" s="18">
        <f t="shared" si="869"/>
        <v>0</v>
      </c>
      <c r="BI994" s="18">
        <f t="shared" si="870"/>
        <v>0</v>
      </c>
      <c r="BJ994" s="18">
        <f t="shared" si="871"/>
        <v>0</v>
      </c>
    </row>
    <row r="995" spans="1:62" x14ac:dyDescent="0.2">
      <c r="A995" s="74" t="s">
        <v>941</v>
      </c>
      <c r="B995" s="5" t="s">
        <v>2116</v>
      </c>
      <c r="C995" s="135" t="s">
        <v>3320</v>
      </c>
      <c r="D995" s="136"/>
      <c r="E995" s="136"/>
      <c r="F995" s="136"/>
      <c r="G995" s="136"/>
      <c r="H995" s="5" t="s">
        <v>3612</v>
      </c>
      <c r="I995" s="18">
        <v>2</v>
      </c>
      <c r="J995" s="18">
        <v>0</v>
      </c>
      <c r="K995" s="18">
        <f t="shared" si="850"/>
        <v>0</v>
      </c>
      <c r="L995" s="28" t="s">
        <v>3635</v>
      </c>
      <c r="Z995" s="34">
        <f t="shared" si="851"/>
        <v>0</v>
      </c>
      <c r="AB995" s="34">
        <f t="shared" si="852"/>
        <v>0</v>
      </c>
      <c r="AC995" s="34">
        <f t="shared" si="853"/>
        <v>0</v>
      </c>
      <c r="AD995" s="34">
        <f t="shared" si="854"/>
        <v>0</v>
      </c>
      <c r="AE995" s="34">
        <f t="shared" si="855"/>
        <v>0</v>
      </c>
      <c r="AF995" s="34">
        <f t="shared" si="856"/>
        <v>0</v>
      </c>
      <c r="AG995" s="34">
        <f t="shared" si="857"/>
        <v>0</v>
      </c>
      <c r="AH995" s="34">
        <f t="shared" si="858"/>
        <v>0</v>
      </c>
      <c r="AI995" s="27" t="s">
        <v>3645</v>
      </c>
      <c r="AJ995" s="18">
        <f t="shared" si="859"/>
        <v>0</v>
      </c>
      <c r="AK995" s="18">
        <f t="shared" si="860"/>
        <v>0</v>
      </c>
      <c r="AL995" s="18">
        <f t="shared" si="861"/>
        <v>0</v>
      </c>
      <c r="AN995" s="34">
        <v>21</v>
      </c>
      <c r="AO995" s="34">
        <f t="shared" si="862"/>
        <v>0</v>
      </c>
      <c r="AP995" s="34">
        <f t="shared" si="863"/>
        <v>0</v>
      </c>
      <c r="AQ995" s="28" t="s">
        <v>7</v>
      </c>
      <c r="AV995" s="34">
        <f t="shared" si="864"/>
        <v>0</v>
      </c>
      <c r="AW995" s="34">
        <f t="shared" si="865"/>
        <v>0</v>
      </c>
      <c r="AX995" s="34">
        <f t="shared" si="866"/>
        <v>0</v>
      </c>
      <c r="AY995" s="35" t="s">
        <v>3694</v>
      </c>
      <c r="AZ995" s="35" t="s">
        <v>3712</v>
      </c>
      <c r="BA995" s="27" t="s">
        <v>3729</v>
      </c>
      <c r="BC995" s="34">
        <f t="shared" si="867"/>
        <v>0</v>
      </c>
      <c r="BD995" s="34">
        <f t="shared" si="868"/>
        <v>0</v>
      </c>
      <c r="BE995" s="34">
        <v>0</v>
      </c>
      <c r="BF995" s="34">
        <f>994</f>
        <v>994</v>
      </c>
      <c r="BH995" s="18">
        <f t="shared" si="869"/>
        <v>0</v>
      </c>
      <c r="BI995" s="18">
        <f t="shared" si="870"/>
        <v>0</v>
      </c>
      <c r="BJ995" s="18">
        <f t="shared" si="871"/>
        <v>0</v>
      </c>
    </row>
    <row r="996" spans="1:62" x14ac:dyDescent="0.2">
      <c r="A996" s="74" t="s">
        <v>942</v>
      </c>
      <c r="B996" s="5" t="s">
        <v>2113</v>
      </c>
      <c r="C996" s="135" t="s">
        <v>3321</v>
      </c>
      <c r="D996" s="136"/>
      <c r="E996" s="136"/>
      <c r="F996" s="136"/>
      <c r="G996" s="136"/>
      <c r="H996" s="5" t="s">
        <v>3612</v>
      </c>
      <c r="I996" s="18">
        <v>7</v>
      </c>
      <c r="J996" s="18">
        <v>0</v>
      </c>
      <c r="K996" s="18">
        <f t="shared" si="850"/>
        <v>0</v>
      </c>
      <c r="L996" s="28" t="s">
        <v>3635</v>
      </c>
      <c r="Z996" s="34">
        <f t="shared" si="851"/>
        <v>0</v>
      </c>
      <c r="AB996" s="34">
        <f t="shared" si="852"/>
        <v>0</v>
      </c>
      <c r="AC996" s="34">
        <f t="shared" si="853"/>
        <v>0</v>
      </c>
      <c r="AD996" s="34">
        <f t="shared" si="854"/>
        <v>0</v>
      </c>
      <c r="AE996" s="34">
        <f t="shared" si="855"/>
        <v>0</v>
      </c>
      <c r="AF996" s="34">
        <f t="shared" si="856"/>
        <v>0</v>
      </c>
      <c r="AG996" s="34">
        <f t="shared" si="857"/>
        <v>0</v>
      </c>
      <c r="AH996" s="34">
        <f t="shared" si="858"/>
        <v>0</v>
      </c>
      <c r="AI996" s="27" t="s">
        <v>3645</v>
      </c>
      <c r="AJ996" s="18">
        <f t="shared" si="859"/>
        <v>0</v>
      </c>
      <c r="AK996" s="18">
        <f t="shared" si="860"/>
        <v>0</v>
      </c>
      <c r="AL996" s="18">
        <f t="shared" si="861"/>
        <v>0</v>
      </c>
      <c r="AN996" s="34">
        <v>21</v>
      </c>
      <c r="AO996" s="34">
        <f t="shared" si="862"/>
        <v>0</v>
      </c>
      <c r="AP996" s="34">
        <f t="shared" si="863"/>
        <v>0</v>
      </c>
      <c r="AQ996" s="28" t="s">
        <v>7</v>
      </c>
      <c r="AV996" s="34">
        <f t="shared" si="864"/>
        <v>0</v>
      </c>
      <c r="AW996" s="34">
        <f t="shared" si="865"/>
        <v>0</v>
      </c>
      <c r="AX996" s="34">
        <f t="shared" si="866"/>
        <v>0</v>
      </c>
      <c r="AY996" s="35" t="s">
        <v>3694</v>
      </c>
      <c r="AZ996" s="35" t="s">
        <v>3712</v>
      </c>
      <c r="BA996" s="27" t="s">
        <v>3729</v>
      </c>
      <c r="BC996" s="34">
        <f t="shared" si="867"/>
        <v>0</v>
      </c>
      <c r="BD996" s="34">
        <f t="shared" si="868"/>
        <v>0</v>
      </c>
      <c r="BE996" s="34">
        <v>0</v>
      </c>
      <c r="BF996" s="34">
        <f>995</f>
        <v>995</v>
      </c>
      <c r="BH996" s="18">
        <f t="shared" si="869"/>
        <v>0</v>
      </c>
      <c r="BI996" s="18">
        <f t="shared" si="870"/>
        <v>0</v>
      </c>
      <c r="BJ996" s="18">
        <f t="shared" si="871"/>
        <v>0</v>
      </c>
    </row>
    <row r="997" spans="1:62" x14ac:dyDescent="0.2">
      <c r="A997" s="74" t="s">
        <v>943</v>
      </c>
      <c r="B997" s="5" t="s">
        <v>2117</v>
      </c>
      <c r="C997" s="135" t="s">
        <v>3322</v>
      </c>
      <c r="D997" s="136"/>
      <c r="E997" s="136"/>
      <c r="F997" s="136"/>
      <c r="G997" s="136"/>
      <c r="H997" s="5" t="s">
        <v>3612</v>
      </c>
      <c r="I997" s="18">
        <v>7</v>
      </c>
      <c r="J997" s="18">
        <v>0</v>
      </c>
      <c r="K997" s="18">
        <f t="shared" si="850"/>
        <v>0</v>
      </c>
      <c r="L997" s="28" t="s">
        <v>3635</v>
      </c>
      <c r="Z997" s="34">
        <f t="shared" si="851"/>
        <v>0</v>
      </c>
      <c r="AB997" s="34">
        <f t="shared" si="852"/>
        <v>0</v>
      </c>
      <c r="AC997" s="34">
        <f t="shared" si="853"/>
        <v>0</v>
      </c>
      <c r="AD997" s="34">
        <f t="shared" si="854"/>
        <v>0</v>
      </c>
      <c r="AE997" s="34">
        <f t="shared" si="855"/>
        <v>0</v>
      </c>
      <c r="AF997" s="34">
        <f t="shared" si="856"/>
        <v>0</v>
      </c>
      <c r="AG997" s="34">
        <f t="shared" si="857"/>
        <v>0</v>
      </c>
      <c r="AH997" s="34">
        <f t="shared" si="858"/>
        <v>0</v>
      </c>
      <c r="AI997" s="27" t="s">
        <v>3645</v>
      </c>
      <c r="AJ997" s="18">
        <f t="shared" si="859"/>
        <v>0</v>
      </c>
      <c r="AK997" s="18">
        <f t="shared" si="860"/>
        <v>0</v>
      </c>
      <c r="AL997" s="18">
        <f t="shared" si="861"/>
        <v>0</v>
      </c>
      <c r="AN997" s="34">
        <v>21</v>
      </c>
      <c r="AO997" s="34">
        <f t="shared" si="862"/>
        <v>0</v>
      </c>
      <c r="AP997" s="34">
        <f t="shared" si="863"/>
        <v>0</v>
      </c>
      <c r="AQ997" s="28" t="s">
        <v>7</v>
      </c>
      <c r="AV997" s="34">
        <f t="shared" si="864"/>
        <v>0</v>
      </c>
      <c r="AW997" s="34">
        <f t="shared" si="865"/>
        <v>0</v>
      </c>
      <c r="AX997" s="34">
        <f t="shared" si="866"/>
        <v>0</v>
      </c>
      <c r="AY997" s="35" t="s">
        <v>3694</v>
      </c>
      <c r="AZ997" s="35" t="s">
        <v>3712</v>
      </c>
      <c r="BA997" s="27" t="s">
        <v>3729</v>
      </c>
      <c r="BC997" s="34">
        <f t="shared" si="867"/>
        <v>0</v>
      </c>
      <c r="BD997" s="34">
        <f t="shared" si="868"/>
        <v>0</v>
      </c>
      <c r="BE997" s="34">
        <v>0</v>
      </c>
      <c r="BF997" s="34">
        <f>996</f>
        <v>996</v>
      </c>
      <c r="BH997" s="18">
        <f t="shared" si="869"/>
        <v>0</v>
      </c>
      <c r="BI997" s="18">
        <f t="shared" si="870"/>
        <v>0</v>
      </c>
      <c r="BJ997" s="18">
        <f t="shared" si="871"/>
        <v>0</v>
      </c>
    </row>
    <row r="998" spans="1:62" x14ac:dyDescent="0.2">
      <c r="A998" s="74" t="s">
        <v>944</v>
      </c>
      <c r="B998" s="5" t="s">
        <v>2118</v>
      </c>
      <c r="C998" s="135" t="s">
        <v>3323</v>
      </c>
      <c r="D998" s="136"/>
      <c r="E998" s="136"/>
      <c r="F998" s="136"/>
      <c r="G998" s="136"/>
      <c r="H998" s="5" t="s">
        <v>3612</v>
      </c>
      <c r="I998" s="18">
        <v>3</v>
      </c>
      <c r="J998" s="18">
        <v>0</v>
      </c>
      <c r="K998" s="18">
        <f t="shared" si="850"/>
        <v>0</v>
      </c>
      <c r="L998" s="28" t="s">
        <v>3635</v>
      </c>
      <c r="Z998" s="34">
        <f t="shared" si="851"/>
        <v>0</v>
      </c>
      <c r="AB998" s="34">
        <f t="shared" si="852"/>
        <v>0</v>
      </c>
      <c r="AC998" s="34">
        <f t="shared" si="853"/>
        <v>0</v>
      </c>
      <c r="AD998" s="34">
        <f t="shared" si="854"/>
        <v>0</v>
      </c>
      <c r="AE998" s="34">
        <f t="shared" si="855"/>
        <v>0</v>
      </c>
      <c r="AF998" s="34">
        <f t="shared" si="856"/>
        <v>0</v>
      </c>
      <c r="AG998" s="34">
        <f t="shared" si="857"/>
        <v>0</v>
      </c>
      <c r="AH998" s="34">
        <f t="shared" si="858"/>
        <v>0</v>
      </c>
      <c r="AI998" s="27" t="s">
        <v>3645</v>
      </c>
      <c r="AJ998" s="18">
        <f t="shared" si="859"/>
        <v>0</v>
      </c>
      <c r="AK998" s="18">
        <f t="shared" si="860"/>
        <v>0</v>
      </c>
      <c r="AL998" s="18">
        <f t="shared" si="861"/>
        <v>0</v>
      </c>
      <c r="AN998" s="34">
        <v>21</v>
      </c>
      <c r="AO998" s="34">
        <f t="shared" si="862"/>
        <v>0</v>
      </c>
      <c r="AP998" s="34">
        <f t="shared" si="863"/>
        <v>0</v>
      </c>
      <c r="AQ998" s="28" t="s">
        <v>7</v>
      </c>
      <c r="AV998" s="34">
        <f t="shared" si="864"/>
        <v>0</v>
      </c>
      <c r="AW998" s="34">
        <f t="shared" si="865"/>
        <v>0</v>
      </c>
      <c r="AX998" s="34">
        <f t="shared" si="866"/>
        <v>0</v>
      </c>
      <c r="AY998" s="35" t="s">
        <v>3694</v>
      </c>
      <c r="AZ998" s="35" t="s">
        <v>3712</v>
      </c>
      <c r="BA998" s="27" t="s">
        <v>3729</v>
      </c>
      <c r="BC998" s="34">
        <f t="shared" si="867"/>
        <v>0</v>
      </c>
      <c r="BD998" s="34">
        <f t="shared" si="868"/>
        <v>0</v>
      </c>
      <c r="BE998" s="34">
        <v>0</v>
      </c>
      <c r="BF998" s="34">
        <f>997</f>
        <v>997</v>
      </c>
      <c r="BH998" s="18">
        <f t="shared" si="869"/>
        <v>0</v>
      </c>
      <c r="BI998" s="18">
        <f t="shared" si="870"/>
        <v>0</v>
      </c>
      <c r="BJ998" s="18">
        <f t="shared" si="871"/>
        <v>0</v>
      </c>
    </row>
    <row r="999" spans="1:62" x14ac:dyDescent="0.2">
      <c r="A999" s="74" t="s">
        <v>945</v>
      </c>
      <c r="B999" s="5" t="s">
        <v>2119</v>
      </c>
      <c r="C999" s="135" t="s">
        <v>3324</v>
      </c>
      <c r="D999" s="136"/>
      <c r="E999" s="136"/>
      <c r="F999" s="136"/>
      <c r="G999" s="136"/>
      <c r="H999" s="5" t="s">
        <v>3612</v>
      </c>
      <c r="I999" s="18">
        <v>3</v>
      </c>
      <c r="J999" s="18">
        <v>0</v>
      </c>
      <c r="K999" s="18">
        <f t="shared" si="850"/>
        <v>0</v>
      </c>
      <c r="L999" s="28" t="s">
        <v>3635</v>
      </c>
      <c r="Z999" s="34">
        <f t="shared" si="851"/>
        <v>0</v>
      </c>
      <c r="AB999" s="34">
        <f t="shared" si="852"/>
        <v>0</v>
      </c>
      <c r="AC999" s="34">
        <f t="shared" si="853"/>
        <v>0</v>
      </c>
      <c r="AD999" s="34">
        <f t="shared" si="854"/>
        <v>0</v>
      </c>
      <c r="AE999" s="34">
        <f t="shared" si="855"/>
        <v>0</v>
      </c>
      <c r="AF999" s="34">
        <f t="shared" si="856"/>
        <v>0</v>
      </c>
      <c r="AG999" s="34">
        <f t="shared" si="857"/>
        <v>0</v>
      </c>
      <c r="AH999" s="34">
        <f t="shared" si="858"/>
        <v>0</v>
      </c>
      <c r="AI999" s="27" t="s">
        <v>3645</v>
      </c>
      <c r="AJ999" s="18">
        <f t="shared" si="859"/>
        <v>0</v>
      </c>
      <c r="AK999" s="18">
        <f t="shared" si="860"/>
        <v>0</v>
      </c>
      <c r="AL999" s="18">
        <f t="shared" si="861"/>
        <v>0</v>
      </c>
      <c r="AN999" s="34">
        <v>21</v>
      </c>
      <c r="AO999" s="34">
        <f t="shared" si="862"/>
        <v>0</v>
      </c>
      <c r="AP999" s="34">
        <f t="shared" si="863"/>
        <v>0</v>
      </c>
      <c r="AQ999" s="28" t="s">
        <v>7</v>
      </c>
      <c r="AV999" s="34">
        <f t="shared" si="864"/>
        <v>0</v>
      </c>
      <c r="AW999" s="34">
        <f t="shared" si="865"/>
        <v>0</v>
      </c>
      <c r="AX999" s="34">
        <f t="shared" si="866"/>
        <v>0</v>
      </c>
      <c r="AY999" s="35" t="s">
        <v>3694</v>
      </c>
      <c r="AZ999" s="35" t="s">
        <v>3712</v>
      </c>
      <c r="BA999" s="27" t="s">
        <v>3729</v>
      </c>
      <c r="BC999" s="34">
        <f t="shared" si="867"/>
        <v>0</v>
      </c>
      <c r="BD999" s="34">
        <f t="shared" si="868"/>
        <v>0</v>
      </c>
      <c r="BE999" s="34">
        <v>0</v>
      </c>
      <c r="BF999" s="34">
        <f>998</f>
        <v>998</v>
      </c>
      <c r="BH999" s="18">
        <f t="shared" si="869"/>
        <v>0</v>
      </c>
      <c r="BI999" s="18">
        <f t="shared" si="870"/>
        <v>0</v>
      </c>
      <c r="BJ999" s="18">
        <f t="shared" si="871"/>
        <v>0</v>
      </c>
    </row>
    <row r="1000" spans="1:62" x14ac:dyDescent="0.2">
      <c r="A1000" s="74" t="s">
        <v>946</v>
      </c>
      <c r="B1000" s="5" t="s">
        <v>2120</v>
      </c>
      <c r="C1000" s="135" t="s">
        <v>3325</v>
      </c>
      <c r="D1000" s="136"/>
      <c r="E1000" s="136"/>
      <c r="F1000" s="136"/>
      <c r="G1000" s="136"/>
      <c r="H1000" s="5" t="s">
        <v>3612</v>
      </c>
      <c r="I1000" s="18">
        <v>2</v>
      </c>
      <c r="J1000" s="18">
        <v>0</v>
      </c>
      <c r="K1000" s="18">
        <f t="shared" si="850"/>
        <v>0</v>
      </c>
      <c r="L1000" s="28" t="s">
        <v>3635</v>
      </c>
      <c r="Z1000" s="34">
        <f t="shared" si="851"/>
        <v>0</v>
      </c>
      <c r="AB1000" s="34">
        <f t="shared" si="852"/>
        <v>0</v>
      </c>
      <c r="AC1000" s="34">
        <f t="shared" si="853"/>
        <v>0</v>
      </c>
      <c r="AD1000" s="34">
        <f t="shared" si="854"/>
        <v>0</v>
      </c>
      <c r="AE1000" s="34">
        <f t="shared" si="855"/>
        <v>0</v>
      </c>
      <c r="AF1000" s="34">
        <f t="shared" si="856"/>
        <v>0</v>
      </c>
      <c r="AG1000" s="34">
        <f t="shared" si="857"/>
        <v>0</v>
      </c>
      <c r="AH1000" s="34">
        <f t="shared" si="858"/>
        <v>0</v>
      </c>
      <c r="AI1000" s="27" t="s">
        <v>3645</v>
      </c>
      <c r="AJ1000" s="18">
        <f t="shared" si="859"/>
        <v>0</v>
      </c>
      <c r="AK1000" s="18">
        <f t="shared" si="860"/>
        <v>0</v>
      </c>
      <c r="AL1000" s="18">
        <f t="shared" si="861"/>
        <v>0</v>
      </c>
      <c r="AN1000" s="34">
        <v>21</v>
      </c>
      <c r="AO1000" s="34">
        <f t="shared" si="862"/>
        <v>0</v>
      </c>
      <c r="AP1000" s="34">
        <f t="shared" si="863"/>
        <v>0</v>
      </c>
      <c r="AQ1000" s="28" t="s">
        <v>7</v>
      </c>
      <c r="AV1000" s="34">
        <f t="shared" si="864"/>
        <v>0</v>
      </c>
      <c r="AW1000" s="34">
        <f t="shared" si="865"/>
        <v>0</v>
      </c>
      <c r="AX1000" s="34">
        <f t="shared" si="866"/>
        <v>0</v>
      </c>
      <c r="AY1000" s="35" t="s">
        <v>3694</v>
      </c>
      <c r="AZ1000" s="35" t="s">
        <v>3712</v>
      </c>
      <c r="BA1000" s="27" t="s">
        <v>3729</v>
      </c>
      <c r="BC1000" s="34">
        <f t="shared" si="867"/>
        <v>0</v>
      </c>
      <c r="BD1000" s="34">
        <f t="shared" si="868"/>
        <v>0</v>
      </c>
      <c r="BE1000" s="34">
        <v>0</v>
      </c>
      <c r="BF1000" s="34">
        <f>999</f>
        <v>999</v>
      </c>
      <c r="BH1000" s="18">
        <f t="shared" si="869"/>
        <v>0</v>
      </c>
      <c r="BI1000" s="18">
        <f t="shared" si="870"/>
        <v>0</v>
      </c>
      <c r="BJ1000" s="18">
        <f t="shared" si="871"/>
        <v>0</v>
      </c>
    </row>
    <row r="1001" spans="1:62" x14ac:dyDescent="0.2">
      <c r="A1001" s="74" t="s">
        <v>947</v>
      </c>
      <c r="B1001" s="5" t="s">
        <v>2121</v>
      </c>
      <c r="C1001" s="135" t="s">
        <v>3326</v>
      </c>
      <c r="D1001" s="136"/>
      <c r="E1001" s="136"/>
      <c r="F1001" s="136"/>
      <c r="G1001" s="136"/>
      <c r="H1001" s="5" t="s">
        <v>3612</v>
      </c>
      <c r="I1001" s="18">
        <v>2</v>
      </c>
      <c r="J1001" s="18">
        <v>0</v>
      </c>
      <c r="K1001" s="18">
        <f t="shared" si="850"/>
        <v>0</v>
      </c>
      <c r="L1001" s="28" t="s">
        <v>3635</v>
      </c>
      <c r="Z1001" s="34">
        <f t="shared" si="851"/>
        <v>0</v>
      </c>
      <c r="AB1001" s="34">
        <f t="shared" si="852"/>
        <v>0</v>
      </c>
      <c r="AC1001" s="34">
        <f t="shared" si="853"/>
        <v>0</v>
      </c>
      <c r="AD1001" s="34">
        <f t="shared" si="854"/>
        <v>0</v>
      </c>
      <c r="AE1001" s="34">
        <f t="shared" si="855"/>
        <v>0</v>
      </c>
      <c r="AF1001" s="34">
        <f t="shared" si="856"/>
        <v>0</v>
      </c>
      <c r="AG1001" s="34">
        <f t="shared" si="857"/>
        <v>0</v>
      </c>
      <c r="AH1001" s="34">
        <f t="shared" si="858"/>
        <v>0</v>
      </c>
      <c r="AI1001" s="27" t="s">
        <v>3645</v>
      </c>
      <c r="AJ1001" s="18">
        <f t="shared" si="859"/>
        <v>0</v>
      </c>
      <c r="AK1001" s="18">
        <f t="shared" si="860"/>
        <v>0</v>
      </c>
      <c r="AL1001" s="18">
        <f t="shared" si="861"/>
        <v>0</v>
      </c>
      <c r="AN1001" s="34">
        <v>21</v>
      </c>
      <c r="AO1001" s="34">
        <f t="shared" si="862"/>
        <v>0</v>
      </c>
      <c r="AP1001" s="34">
        <f t="shared" si="863"/>
        <v>0</v>
      </c>
      <c r="AQ1001" s="28" t="s">
        <v>7</v>
      </c>
      <c r="AV1001" s="34">
        <f t="shared" si="864"/>
        <v>0</v>
      </c>
      <c r="AW1001" s="34">
        <f t="shared" si="865"/>
        <v>0</v>
      </c>
      <c r="AX1001" s="34">
        <f t="shared" si="866"/>
        <v>0</v>
      </c>
      <c r="AY1001" s="35" t="s">
        <v>3694</v>
      </c>
      <c r="AZ1001" s="35" t="s">
        <v>3712</v>
      </c>
      <c r="BA1001" s="27" t="s">
        <v>3729</v>
      </c>
      <c r="BC1001" s="34">
        <f t="shared" si="867"/>
        <v>0</v>
      </c>
      <c r="BD1001" s="34">
        <f t="shared" si="868"/>
        <v>0</v>
      </c>
      <c r="BE1001" s="34">
        <v>0</v>
      </c>
      <c r="BF1001" s="34">
        <f>1000</f>
        <v>1000</v>
      </c>
      <c r="BH1001" s="18">
        <f t="shared" si="869"/>
        <v>0</v>
      </c>
      <c r="BI1001" s="18">
        <f t="shared" si="870"/>
        <v>0</v>
      </c>
      <c r="BJ1001" s="18">
        <f t="shared" si="871"/>
        <v>0</v>
      </c>
    </row>
    <row r="1002" spans="1:62" x14ac:dyDescent="0.2">
      <c r="A1002" s="74" t="s">
        <v>948</v>
      </c>
      <c r="B1002" s="5" t="s">
        <v>2122</v>
      </c>
      <c r="C1002" s="135" t="s">
        <v>3327</v>
      </c>
      <c r="D1002" s="136"/>
      <c r="E1002" s="136"/>
      <c r="F1002" s="136"/>
      <c r="G1002" s="136"/>
      <c r="H1002" s="5" t="s">
        <v>3612</v>
      </c>
      <c r="I1002" s="18">
        <v>5</v>
      </c>
      <c r="J1002" s="18">
        <v>0</v>
      </c>
      <c r="K1002" s="18">
        <f t="shared" si="850"/>
        <v>0</v>
      </c>
      <c r="L1002" s="28" t="s">
        <v>3635</v>
      </c>
      <c r="Z1002" s="34">
        <f t="shared" si="851"/>
        <v>0</v>
      </c>
      <c r="AB1002" s="34">
        <f t="shared" si="852"/>
        <v>0</v>
      </c>
      <c r="AC1002" s="34">
        <f t="shared" si="853"/>
        <v>0</v>
      </c>
      <c r="AD1002" s="34">
        <f t="shared" si="854"/>
        <v>0</v>
      </c>
      <c r="AE1002" s="34">
        <f t="shared" si="855"/>
        <v>0</v>
      </c>
      <c r="AF1002" s="34">
        <f t="shared" si="856"/>
        <v>0</v>
      </c>
      <c r="AG1002" s="34">
        <f t="shared" si="857"/>
        <v>0</v>
      </c>
      <c r="AH1002" s="34">
        <f t="shared" si="858"/>
        <v>0</v>
      </c>
      <c r="AI1002" s="27" t="s">
        <v>3645</v>
      </c>
      <c r="AJ1002" s="18">
        <f t="shared" si="859"/>
        <v>0</v>
      </c>
      <c r="AK1002" s="18">
        <f t="shared" si="860"/>
        <v>0</v>
      </c>
      <c r="AL1002" s="18">
        <f t="shared" si="861"/>
        <v>0</v>
      </c>
      <c r="AN1002" s="34">
        <v>21</v>
      </c>
      <c r="AO1002" s="34">
        <f t="shared" si="862"/>
        <v>0</v>
      </c>
      <c r="AP1002" s="34">
        <f t="shared" si="863"/>
        <v>0</v>
      </c>
      <c r="AQ1002" s="28" t="s">
        <v>7</v>
      </c>
      <c r="AV1002" s="34">
        <f t="shared" si="864"/>
        <v>0</v>
      </c>
      <c r="AW1002" s="34">
        <f t="shared" si="865"/>
        <v>0</v>
      </c>
      <c r="AX1002" s="34">
        <f t="shared" si="866"/>
        <v>0</v>
      </c>
      <c r="AY1002" s="35" t="s">
        <v>3694</v>
      </c>
      <c r="AZ1002" s="35" t="s">
        <v>3712</v>
      </c>
      <c r="BA1002" s="27" t="s">
        <v>3729</v>
      </c>
      <c r="BC1002" s="34">
        <f t="shared" si="867"/>
        <v>0</v>
      </c>
      <c r="BD1002" s="34">
        <f t="shared" si="868"/>
        <v>0</v>
      </c>
      <c r="BE1002" s="34">
        <v>0</v>
      </c>
      <c r="BF1002" s="34">
        <f>1001</f>
        <v>1001</v>
      </c>
      <c r="BH1002" s="18">
        <f t="shared" si="869"/>
        <v>0</v>
      </c>
      <c r="BI1002" s="18">
        <f t="shared" si="870"/>
        <v>0</v>
      </c>
      <c r="BJ1002" s="18">
        <f t="shared" si="871"/>
        <v>0</v>
      </c>
    </row>
    <row r="1003" spans="1:62" x14ac:dyDescent="0.2">
      <c r="A1003" s="74" t="s">
        <v>949</v>
      </c>
      <c r="B1003" s="5" t="s">
        <v>2123</v>
      </c>
      <c r="C1003" s="135" t="s">
        <v>3328</v>
      </c>
      <c r="D1003" s="136"/>
      <c r="E1003" s="136"/>
      <c r="F1003" s="136"/>
      <c r="G1003" s="136"/>
      <c r="H1003" s="5" t="s">
        <v>3612</v>
      </c>
      <c r="I1003" s="18">
        <v>5</v>
      </c>
      <c r="J1003" s="18">
        <v>0</v>
      </c>
      <c r="K1003" s="18">
        <f t="shared" si="850"/>
        <v>0</v>
      </c>
      <c r="L1003" s="28" t="s">
        <v>3635</v>
      </c>
      <c r="Z1003" s="34">
        <f t="shared" si="851"/>
        <v>0</v>
      </c>
      <c r="AB1003" s="34">
        <f t="shared" si="852"/>
        <v>0</v>
      </c>
      <c r="AC1003" s="34">
        <f t="shared" si="853"/>
        <v>0</v>
      </c>
      <c r="AD1003" s="34">
        <f t="shared" si="854"/>
        <v>0</v>
      </c>
      <c r="AE1003" s="34">
        <f t="shared" si="855"/>
        <v>0</v>
      </c>
      <c r="AF1003" s="34">
        <f t="shared" si="856"/>
        <v>0</v>
      </c>
      <c r="AG1003" s="34">
        <f t="shared" si="857"/>
        <v>0</v>
      </c>
      <c r="AH1003" s="34">
        <f t="shared" si="858"/>
        <v>0</v>
      </c>
      <c r="AI1003" s="27" t="s">
        <v>3645</v>
      </c>
      <c r="AJ1003" s="18">
        <f t="shared" si="859"/>
        <v>0</v>
      </c>
      <c r="AK1003" s="18">
        <f t="shared" si="860"/>
        <v>0</v>
      </c>
      <c r="AL1003" s="18">
        <f t="shared" si="861"/>
        <v>0</v>
      </c>
      <c r="AN1003" s="34">
        <v>21</v>
      </c>
      <c r="AO1003" s="34">
        <f t="shared" si="862"/>
        <v>0</v>
      </c>
      <c r="AP1003" s="34">
        <f t="shared" si="863"/>
        <v>0</v>
      </c>
      <c r="AQ1003" s="28" t="s">
        <v>7</v>
      </c>
      <c r="AV1003" s="34">
        <f t="shared" si="864"/>
        <v>0</v>
      </c>
      <c r="AW1003" s="34">
        <f t="shared" si="865"/>
        <v>0</v>
      </c>
      <c r="AX1003" s="34">
        <f t="shared" si="866"/>
        <v>0</v>
      </c>
      <c r="AY1003" s="35" t="s">
        <v>3694</v>
      </c>
      <c r="AZ1003" s="35" t="s">
        <v>3712</v>
      </c>
      <c r="BA1003" s="27" t="s">
        <v>3729</v>
      </c>
      <c r="BC1003" s="34">
        <f t="shared" si="867"/>
        <v>0</v>
      </c>
      <c r="BD1003" s="34">
        <f t="shared" si="868"/>
        <v>0</v>
      </c>
      <c r="BE1003" s="34">
        <v>0</v>
      </c>
      <c r="BF1003" s="34">
        <f>1002</f>
        <v>1002</v>
      </c>
      <c r="BH1003" s="18">
        <f t="shared" si="869"/>
        <v>0</v>
      </c>
      <c r="BI1003" s="18">
        <f t="shared" si="870"/>
        <v>0</v>
      </c>
      <c r="BJ1003" s="18">
        <f t="shared" si="871"/>
        <v>0</v>
      </c>
    </row>
    <row r="1004" spans="1:62" x14ac:dyDescent="0.2">
      <c r="A1004" s="74" t="s">
        <v>950</v>
      </c>
      <c r="B1004" s="5" t="s">
        <v>2124</v>
      </c>
      <c r="C1004" s="135" t="s">
        <v>3329</v>
      </c>
      <c r="D1004" s="136"/>
      <c r="E1004" s="136"/>
      <c r="F1004" s="136"/>
      <c r="G1004" s="136"/>
      <c r="H1004" s="5" t="s">
        <v>3612</v>
      </c>
      <c r="I1004" s="18">
        <v>7</v>
      </c>
      <c r="J1004" s="18">
        <v>0</v>
      </c>
      <c r="K1004" s="18">
        <f t="shared" si="850"/>
        <v>0</v>
      </c>
      <c r="L1004" s="28" t="s">
        <v>3635</v>
      </c>
      <c r="Z1004" s="34">
        <f t="shared" si="851"/>
        <v>0</v>
      </c>
      <c r="AB1004" s="34">
        <f t="shared" si="852"/>
        <v>0</v>
      </c>
      <c r="AC1004" s="34">
        <f t="shared" si="853"/>
        <v>0</v>
      </c>
      <c r="AD1004" s="34">
        <f t="shared" si="854"/>
        <v>0</v>
      </c>
      <c r="AE1004" s="34">
        <f t="shared" si="855"/>
        <v>0</v>
      </c>
      <c r="AF1004" s="34">
        <f t="shared" si="856"/>
        <v>0</v>
      </c>
      <c r="AG1004" s="34">
        <f t="shared" si="857"/>
        <v>0</v>
      </c>
      <c r="AH1004" s="34">
        <f t="shared" si="858"/>
        <v>0</v>
      </c>
      <c r="AI1004" s="27" t="s">
        <v>3645</v>
      </c>
      <c r="AJ1004" s="18">
        <f t="shared" si="859"/>
        <v>0</v>
      </c>
      <c r="AK1004" s="18">
        <f t="shared" si="860"/>
        <v>0</v>
      </c>
      <c r="AL1004" s="18">
        <f t="shared" si="861"/>
        <v>0</v>
      </c>
      <c r="AN1004" s="34">
        <v>21</v>
      </c>
      <c r="AO1004" s="34">
        <f t="shared" si="862"/>
        <v>0</v>
      </c>
      <c r="AP1004" s="34">
        <f t="shared" si="863"/>
        <v>0</v>
      </c>
      <c r="AQ1004" s="28" t="s">
        <v>7</v>
      </c>
      <c r="AV1004" s="34">
        <f t="shared" si="864"/>
        <v>0</v>
      </c>
      <c r="AW1004" s="34">
        <f t="shared" si="865"/>
        <v>0</v>
      </c>
      <c r="AX1004" s="34">
        <f t="shared" si="866"/>
        <v>0</v>
      </c>
      <c r="AY1004" s="35" t="s">
        <v>3694</v>
      </c>
      <c r="AZ1004" s="35" t="s">
        <v>3712</v>
      </c>
      <c r="BA1004" s="27" t="s">
        <v>3729</v>
      </c>
      <c r="BC1004" s="34">
        <f t="shared" si="867"/>
        <v>0</v>
      </c>
      <c r="BD1004" s="34">
        <f t="shared" si="868"/>
        <v>0</v>
      </c>
      <c r="BE1004" s="34">
        <v>0</v>
      </c>
      <c r="BF1004" s="34">
        <f>1003</f>
        <v>1003</v>
      </c>
      <c r="BH1004" s="18">
        <f t="shared" si="869"/>
        <v>0</v>
      </c>
      <c r="BI1004" s="18">
        <f t="shared" si="870"/>
        <v>0</v>
      </c>
      <c r="BJ1004" s="18">
        <f t="shared" si="871"/>
        <v>0</v>
      </c>
    </row>
    <row r="1005" spans="1:62" x14ac:dyDescent="0.2">
      <c r="A1005" s="74" t="s">
        <v>951</v>
      </c>
      <c r="B1005" s="5" t="s">
        <v>2125</v>
      </c>
      <c r="C1005" s="135" t="s">
        <v>3329</v>
      </c>
      <c r="D1005" s="136"/>
      <c r="E1005" s="136"/>
      <c r="F1005" s="136"/>
      <c r="G1005" s="136"/>
      <c r="H1005" s="5" t="s">
        <v>3612</v>
      </c>
      <c r="I1005" s="18">
        <v>7</v>
      </c>
      <c r="J1005" s="18">
        <v>0</v>
      </c>
      <c r="K1005" s="18">
        <f t="shared" si="850"/>
        <v>0</v>
      </c>
      <c r="L1005" s="28" t="s">
        <v>3635</v>
      </c>
      <c r="Z1005" s="34">
        <f t="shared" si="851"/>
        <v>0</v>
      </c>
      <c r="AB1005" s="34">
        <f t="shared" si="852"/>
        <v>0</v>
      </c>
      <c r="AC1005" s="34">
        <f t="shared" si="853"/>
        <v>0</v>
      </c>
      <c r="AD1005" s="34">
        <f t="shared" si="854"/>
        <v>0</v>
      </c>
      <c r="AE1005" s="34">
        <f t="shared" si="855"/>
        <v>0</v>
      </c>
      <c r="AF1005" s="34">
        <f t="shared" si="856"/>
        <v>0</v>
      </c>
      <c r="AG1005" s="34">
        <f t="shared" si="857"/>
        <v>0</v>
      </c>
      <c r="AH1005" s="34">
        <f t="shared" si="858"/>
        <v>0</v>
      </c>
      <c r="AI1005" s="27" t="s">
        <v>3645</v>
      </c>
      <c r="AJ1005" s="18">
        <f t="shared" si="859"/>
        <v>0</v>
      </c>
      <c r="AK1005" s="18">
        <f t="shared" si="860"/>
        <v>0</v>
      </c>
      <c r="AL1005" s="18">
        <f t="shared" si="861"/>
        <v>0</v>
      </c>
      <c r="AN1005" s="34">
        <v>21</v>
      </c>
      <c r="AO1005" s="34">
        <f t="shared" si="862"/>
        <v>0</v>
      </c>
      <c r="AP1005" s="34">
        <f t="shared" si="863"/>
        <v>0</v>
      </c>
      <c r="AQ1005" s="28" t="s">
        <v>7</v>
      </c>
      <c r="AV1005" s="34">
        <f t="shared" si="864"/>
        <v>0</v>
      </c>
      <c r="AW1005" s="34">
        <f t="shared" si="865"/>
        <v>0</v>
      </c>
      <c r="AX1005" s="34">
        <f t="shared" si="866"/>
        <v>0</v>
      </c>
      <c r="AY1005" s="35" t="s">
        <v>3694</v>
      </c>
      <c r="AZ1005" s="35" t="s">
        <v>3712</v>
      </c>
      <c r="BA1005" s="27" t="s">
        <v>3729</v>
      </c>
      <c r="BC1005" s="34">
        <f t="shared" si="867"/>
        <v>0</v>
      </c>
      <c r="BD1005" s="34">
        <f t="shared" si="868"/>
        <v>0</v>
      </c>
      <c r="BE1005" s="34">
        <v>0</v>
      </c>
      <c r="BF1005" s="34">
        <f>1004</f>
        <v>1004</v>
      </c>
      <c r="BH1005" s="18">
        <f t="shared" si="869"/>
        <v>0</v>
      </c>
      <c r="BI1005" s="18">
        <f t="shared" si="870"/>
        <v>0</v>
      </c>
      <c r="BJ1005" s="18">
        <f t="shared" si="871"/>
        <v>0</v>
      </c>
    </row>
    <row r="1006" spans="1:62" x14ac:dyDescent="0.2">
      <c r="A1006" s="74" t="s">
        <v>952</v>
      </c>
      <c r="B1006" s="5" t="s">
        <v>2126</v>
      </c>
      <c r="C1006" s="135" t="s">
        <v>3330</v>
      </c>
      <c r="D1006" s="136"/>
      <c r="E1006" s="136"/>
      <c r="F1006" s="136"/>
      <c r="G1006" s="136"/>
      <c r="H1006" s="5" t="s">
        <v>3612</v>
      </c>
      <c r="I1006" s="18">
        <v>21</v>
      </c>
      <c r="J1006" s="18">
        <v>0</v>
      </c>
      <c r="K1006" s="18">
        <f t="shared" si="850"/>
        <v>0</v>
      </c>
      <c r="L1006" s="28" t="s">
        <v>3635</v>
      </c>
      <c r="Z1006" s="34">
        <f t="shared" si="851"/>
        <v>0</v>
      </c>
      <c r="AB1006" s="34">
        <f t="shared" si="852"/>
        <v>0</v>
      </c>
      <c r="AC1006" s="34">
        <f t="shared" si="853"/>
        <v>0</v>
      </c>
      <c r="AD1006" s="34">
        <f t="shared" si="854"/>
        <v>0</v>
      </c>
      <c r="AE1006" s="34">
        <f t="shared" si="855"/>
        <v>0</v>
      </c>
      <c r="AF1006" s="34">
        <f t="shared" si="856"/>
        <v>0</v>
      </c>
      <c r="AG1006" s="34">
        <f t="shared" si="857"/>
        <v>0</v>
      </c>
      <c r="AH1006" s="34">
        <f t="shared" si="858"/>
        <v>0</v>
      </c>
      <c r="AI1006" s="27" t="s">
        <v>3645</v>
      </c>
      <c r="AJ1006" s="18">
        <f t="shared" si="859"/>
        <v>0</v>
      </c>
      <c r="AK1006" s="18">
        <f t="shared" si="860"/>
        <v>0</v>
      </c>
      <c r="AL1006" s="18">
        <f t="shared" si="861"/>
        <v>0</v>
      </c>
      <c r="AN1006" s="34">
        <v>21</v>
      </c>
      <c r="AO1006" s="34">
        <f t="shared" si="862"/>
        <v>0</v>
      </c>
      <c r="AP1006" s="34">
        <f t="shared" si="863"/>
        <v>0</v>
      </c>
      <c r="AQ1006" s="28" t="s">
        <v>7</v>
      </c>
      <c r="AV1006" s="34">
        <f t="shared" si="864"/>
        <v>0</v>
      </c>
      <c r="AW1006" s="34">
        <f t="shared" si="865"/>
        <v>0</v>
      </c>
      <c r="AX1006" s="34">
        <f t="shared" si="866"/>
        <v>0</v>
      </c>
      <c r="AY1006" s="35" t="s">
        <v>3694</v>
      </c>
      <c r="AZ1006" s="35" t="s">
        <v>3712</v>
      </c>
      <c r="BA1006" s="27" t="s">
        <v>3729</v>
      </c>
      <c r="BC1006" s="34">
        <f t="shared" si="867"/>
        <v>0</v>
      </c>
      <c r="BD1006" s="34">
        <f t="shared" si="868"/>
        <v>0</v>
      </c>
      <c r="BE1006" s="34">
        <v>0</v>
      </c>
      <c r="BF1006" s="34">
        <f>1005</f>
        <v>1005</v>
      </c>
      <c r="BH1006" s="18">
        <f t="shared" si="869"/>
        <v>0</v>
      </c>
      <c r="BI1006" s="18">
        <f t="shared" si="870"/>
        <v>0</v>
      </c>
      <c r="BJ1006" s="18">
        <f t="shared" si="871"/>
        <v>0</v>
      </c>
    </row>
    <row r="1007" spans="1:62" x14ac:dyDescent="0.2">
      <c r="A1007" s="74" t="s">
        <v>953</v>
      </c>
      <c r="B1007" s="5" t="s">
        <v>2127</v>
      </c>
      <c r="C1007" s="135" t="s">
        <v>3331</v>
      </c>
      <c r="D1007" s="136"/>
      <c r="E1007" s="136"/>
      <c r="F1007" s="136"/>
      <c r="G1007" s="136"/>
      <c r="H1007" s="5" t="s">
        <v>3612</v>
      </c>
      <c r="I1007" s="18">
        <v>21</v>
      </c>
      <c r="J1007" s="18">
        <v>0</v>
      </c>
      <c r="K1007" s="18">
        <f t="shared" si="850"/>
        <v>0</v>
      </c>
      <c r="L1007" s="28" t="s">
        <v>3635</v>
      </c>
      <c r="Z1007" s="34">
        <f t="shared" si="851"/>
        <v>0</v>
      </c>
      <c r="AB1007" s="34">
        <f t="shared" si="852"/>
        <v>0</v>
      </c>
      <c r="AC1007" s="34">
        <f t="shared" si="853"/>
        <v>0</v>
      </c>
      <c r="AD1007" s="34">
        <f t="shared" si="854"/>
        <v>0</v>
      </c>
      <c r="AE1007" s="34">
        <f t="shared" si="855"/>
        <v>0</v>
      </c>
      <c r="AF1007" s="34">
        <f t="shared" si="856"/>
        <v>0</v>
      </c>
      <c r="AG1007" s="34">
        <f t="shared" si="857"/>
        <v>0</v>
      </c>
      <c r="AH1007" s="34">
        <f t="shared" si="858"/>
        <v>0</v>
      </c>
      <c r="AI1007" s="27" t="s">
        <v>3645</v>
      </c>
      <c r="AJ1007" s="18">
        <f t="shared" si="859"/>
        <v>0</v>
      </c>
      <c r="AK1007" s="18">
        <f t="shared" si="860"/>
        <v>0</v>
      </c>
      <c r="AL1007" s="18">
        <f t="shared" si="861"/>
        <v>0</v>
      </c>
      <c r="AN1007" s="34">
        <v>21</v>
      </c>
      <c r="AO1007" s="34">
        <f t="shared" si="862"/>
        <v>0</v>
      </c>
      <c r="AP1007" s="34">
        <f t="shared" si="863"/>
        <v>0</v>
      </c>
      <c r="AQ1007" s="28" t="s">
        <v>7</v>
      </c>
      <c r="AV1007" s="34">
        <f t="shared" si="864"/>
        <v>0</v>
      </c>
      <c r="AW1007" s="34">
        <f t="shared" si="865"/>
        <v>0</v>
      </c>
      <c r="AX1007" s="34">
        <f t="shared" si="866"/>
        <v>0</v>
      </c>
      <c r="AY1007" s="35" t="s">
        <v>3694</v>
      </c>
      <c r="AZ1007" s="35" t="s">
        <v>3712</v>
      </c>
      <c r="BA1007" s="27" t="s">
        <v>3729</v>
      </c>
      <c r="BC1007" s="34">
        <f t="shared" si="867"/>
        <v>0</v>
      </c>
      <c r="BD1007" s="34">
        <f t="shared" si="868"/>
        <v>0</v>
      </c>
      <c r="BE1007" s="34">
        <v>0</v>
      </c>
      <c r="BF1007" s="34">
        <f>1006</f>
        <v>1006</v>
      </c>
      <c r="BH1007" s="18">
        <f t="shared" si="869"/>
        <v>0</v>
      </c>
      <c r="BI1007" s="18">
        <f t="shared" si="870"/>
        <v>0</v>
      </c>
      <c r="BJ1007" s="18">
        <f t="shared" si="871"/>
        <v>0</v>
      </c>
    </row>
    <row r="1008" spans="1:62" x14ac:dyDescent="0.2">
      <c r="A1008" s="74" t="s">
        <v>954</v>
      </c>
      <c r="B1008" s="5" t="s">
        <v>2128</v>
      </c>
      <c r="C1008" s="135" t="s">
        <v>3332</v>
      </c>
      <c r="D1008" s="136"/>
      <c r="E1008" s="136"/>
      <c r="F1008" s="136"/>
      <c r="G1008" s="136"/>
      <c r="H1008" s="5" t="s">
        <v>3612</v>
      </c>
      <c r="I1008" s="18">
        <v>13</v>
      </c>
      <c r="J1008" s="18">
        <v>0</v>
      </c>
      <c r="K1008" s="18">
        <f t="shared" si="850"/>
        <v>0</v>
      </c>
      <c r="L1008" s="28" t="s">
        <v>3635</v>
      </c>
      <c r="Z1008" s="34">
        <f t="shared" si="851"/>
        <v>0</v>
      </c>
      <c r="AB1008" s="34">
        <f t="shared" si="852"/>
        <v>0</v>
      </c>
      <c r="AC1008" s="34">
        <f t="shared" si="853"/>
        <v>0</v>
      </c>
      <c r="AD1008" s="34">
        <f t="shared" si="854"/>
        <v>0</v>
      </c>
      <c r="AE1008" s="34">
        <f t="shared" si="855"/>
        <v>0</v>
      </c>
      <c r="AF1008" s="34">
        <f t="shared" si="856"/>
        <v>0</v>
      </c>
      <c r="AG1008" s="34">
        <f t="shared" si="857"/>
        <v>0</v>
      </c>
      <c r="AH1008" s="34">
        <f t="shared" si="858"/>
        <v>0</v>
      </c>
      <c r="AI1008" s="27" t="s">
        <v>3645</v>
      </c>
      <c r="AJ1008" s="18">
        <f t="shared" si="859"/>
        <v>0</v>
      </c>
      <c r="AK1008" s="18">
        <f t="shared" si="860"/>
        <v>0</v>
      </c>
      <c r="AL1008" s="18">
        <f t="shared" si="861"/>
        <v>0</v>
      </c>
      <c r="AN1008" s="34">
        <v>21</v>
      </c>
      <c r="AO1008" s="34">
        <f t="shared" si="862"/>
        <v>0</v>
      </c>
      <c r="AP1008" s="34">
        <f t="shared" si="863"/>
        <v>0</v>
      </c>
      <c r="AQ1008" s="28" t="s">
        <v>7</v>
      </c>
      <c r="AV1008" s="34">
        <f t="shared" si="864"/>
        <v>0</v>
      </c>
      <c r="AW1008" s="34">
        <f t="shared" si="865"/>
        <v>0</v>
      </c>
      <c r="AX1008" s="34">
        <f t="shared" si="866"/>
        <v>0</v>
      </c>
      <c r="AY1008" s="35" t="s">
        <v>3694</v>
      </c>
      <c r="AZ1008" s="35" t="s">
        <v>3712</v>
      </c>
      <c r="BA1008" s="27" t="s">
        <v>3729</v>
      </c>
      <c r="BC1008" s="34">
        <f t="shared" si="867"/>
        <v>0</v>
      </c>
      <c r="BD1008" s="34">
        <f t="shared" si="868"/>
        <v>0</v>
      </c>
      <c r="BE1008" s="34">
        <v>0</v>
      </c>
      <c r="BF1008" s="34">
        <f>1007</f>
        <v>1007</v>
      </c>
      <c r="BH1008" s="18">
        <f t="shared" si="869"/>
        <v>0</v>
      </c>
      <c r="BI1008" s="18">
        <f t="shared" si="870"/>
        <v>0</v>
      </c>
      <c r="BJ1008" s="18">
        <f t="shared" si="871"/>
        <v>0</v>
      </c>
    </row>
    <row r="1009" spans="1:62" x14ac:dyDescent="0.2">
      <c r="A1009" s="74" t="s">
        <v>955</v>
      </c>
      <c r="B1009" s="5" t="s">
        <v>2129</v>
      </c>
      <c r="C1009" s="135" t="s">
        <v>3332</v>
      </c>
      <c r="D1009" s="136"/>
      <c r="E1009" s="136"/>
      <c r="F1009" s="136"/>
      <c r="G1009" s="136"/>
      <c r="H1009" s="5" t="s">
        <v>3612</v>
      </c>
      <c r="I1009" s="18">
        <v>13</v>
      </c>
      <c r="J1009" s="18">
        <v>0</v>
      </c>
      <c r="K1009" s="18">
        <f t="shared" si="850"/>
        <v>0</v>
      </c>
      <c r="L1009" s="28" t="s">
        <v>3635</v>
      </c>
      <c r="Z1009" s="34">
        <f t="shared" si="851"/>
        <v>0</v>
      </c>
      <c r="AB1009" s="34">
        <f t="shared" si="852"/>
        <v>0</v>
      </c>
      <c r="AC1009" s="34">
        <f t="shared" si="853"/>
        <v>0</v>
      </c>
      <c r="AD1009" s="34">
        <f t="shared" si="854"/>
        <v>0</v>
      </c>
      <c r="AE1009" s="34">
        <f t="shared" si="855"/>
        <v>0</v>
      </c>
      <c r="AF1009" s="34">
        <f t="shared" si="856"/>
        <v>0</v>
      </c>
      <c r="AG1009" s="34">
        <f t="shared" si="857"/>
        <v>0</v>
      </c>
      <c r="AH1009" s="34">
        <f t="shared" si="858"/>
        <v>0</v>
      </c>
      <c r="AI1009" s="27" t="s">
        <v>3645</v>
      </c>
      <c r="AJ1009" s="18">
        <f t="shared" si="859"/>
        <v>0</v>
      </c>
      <c r="AK1009" s="18">
        <f t="shared" si="860"/>
        <v>0</v>
      </c>
      <c r="AL1009" s="18">
        <f t="shared" si="861"/>
        <v>0</v>
      </c>
      <c r="AN1009" s="34">
        <v>21</v>
      </c>
      <c r="AO1009" s="34">
        <f t="shared" si="862"/>
        <v>0</v>
      </c>
      <c r="AP1009" s="34">
        <f t="shared" si="863"/>
        <v>0</v>
      </c>
      <c r="AQ1009" s="28" t="s">
        <v>7</v>
      </c>
      <c r="AV1009" s="34">
        <f t="shared" si="864"/>
        <v>0</v>
      </c>
      <c r="AW1009" s="34">
        <f t="shared" si="865"/>
        <v>0</v>
      </c>
      <c r="AX1009" s="34">
        <f t="shared" si="866"/>
        <v>0</v>
      </c>
      <c r="AY1009" s="35" t="s">
        <v>3694</v>
      </c>
      <c r="AZ1009" s="35" t="s">
        <v>3712</v>
      </c>
      <c r="BA1009" s="27" t="s">
        <v>3729</v>
      </c>
      <c r="BC1009" s="34">
        <f t="shared" si="867"/>
        <v>0</v>
      </c>
      <c r="BD1009" s="34">
        <f t="shared" si="868"/>
        <v>0</v>
      </c>
      <c r="BE1009" s="34">
        <v>0</v>
      </c>
      <c r="BF1009" s="34">
        <f>1008</f>
        <v>1008</v>
      </c>
      <c r="BH1009" s="18">
        <f t="shared" si="869"/>
        <v>0</v>
      </c>
      <c r="BI1009" s="18">
        <f t="shared" si="870"/>
        <v>0</v>
      </c>
      <c r="BJ1009" s="18">
        <f t="shared" si="871"/>
        <v>0</v>
      </c>
    </row>
    <row r="1010" spans="1:62" x14ac:dyDescent="0.2">
      <c r="A1010" s="74" t="s">
        <v>956</v>
      </c>
      <c r="B1010" s="5" t="s">
        <v>2130</v>
      </c>
      <c r="C1010" s="135" t="s">
        <v>3333</v>
      </c>
      <c r="D1010" s="136"/>
      <c r="E1010" s="136"/>
      <c r="F1010" s="136"/>
      <c r="G1010" s="136"/>
      <c r="H1010" s="5" t="s">
        <v>3612</v>
      </c>
      <c r="I1010" s="18">
        <v>11</v>
      </c>
      <c r="J1010" s="18">
        <v>0</v>
      </c>
      <c r="K1010" s="18">
        <f t="shared" si="850"/>
        <v>0</v>
      </c>
      <c r="L1010" s="28" t="s">
        <v>3635</v>
      </c>
      <c r="Z1010" s="34">
        <f t="shared" si="851"/>
        <v>0</v>
      </c>
      <c r="AB1010" s="34">
        <f t="shared" si="852"/>
        <v>0</v>
      </c>
      <c r="AC1010" s="34">
        <f t="shared" si="853"/>
        <v>0</v>
      </c>
      <c r="AD1010" s="34">
        <f t="shared" si="854"/>
        <v>0</v>
      </c>
      <c r="AE1010" s="34">
        <f t="shared" si="855"/>
        <v>0</v>
      </c>
      <c r="AF1010" s="34">
        <f t="shared" si="856"/>
        <v>0</v>
      </c>
      <c r="AG1010" s="34">
        <f t="shared" si="857"/>
        <v>0</v>
      </c>
      <c r="AH1010" s="34">
        <f t="shared" si="858"/>
        <v>0</v>
      </c>
      <c r="AI1010" s="27" t="s">
        <v>3645</v>
      </c>
      <c r="AJ1010" s="18">
        <f t="shared" si="859"/>
        <v>0</v>
      </c>
      <c r="AK1010" s="18">
        <f t="shared" si="860"/>
        <v>0</v>
      </c>
      <c r="AL1010" s="18">
        <f t="shared" si="861"/>
        <v>0</v>
      </c>
      <c r="AN1010" s="34">
        <v>21</v>
      </c>
      <c r="AO1010" s="34">
        <f t="shared" si="862"/>
        <v>0</v>
      </c>
      <c r="AP1010" s="34">
        <f t="shared" si="863"/>
        <v>0</v>
      </c>
      <c r="AQ1010" s="28" t="s">
        <v>7</v>
      </c>
      <c r="AV1010" s="34">
        <f t="shared" si="864"/>
        <v>0</v>
      </c>
      <c r="AW1010" s="34">
        <f t="shared" si="865"/>
        <v>0</v>
      </c>
      <c r="AX1010" s="34">
        <f t="shared" si="866"/>
        <v>0</v>
      </c>
      <c r="AY1010" s="35" t="s">
        <v>3694</v>
      </c>
      <c r="AZ1010" s="35" t="s">
        <v>3712</v>
      </c>
      <c r="BA1010" s="27" t="s">
        <v>3729</v>
      </c>
      <c r="BC1010" s="34">
        <f t="shared" si="867"/>
        <v>0</v>
      </c>
      <c r="BD1010" s="34">
        <f t="shared" si="868"/>
        <v>0</v>
      </c>
      <c r="BE1010" s="34">
        <v>0</v>
      </c>
      <c r="BF1010" s="34">
        <f>1009</f>
        <v>1009</v>
      </c>
      <c r="BH1010" s="18">
        <f t="shared" si="869"/>
        <v>0</v>
      </c>
      <c r="BI1010" s="18">
        <f t="shared" si="870"/>
        <v>0</v>
      </c>
      <c r="BJ1010" s="18">
        <f t="shared" si="871"/>
        <v>0</v>
      </c>
    </row>
    <row r="1011" spans="1:62" x14ac:dyDescent="0.2">
      <c r="A1011" s="74" t="s">
        <v>957</v>
      </c>
      <c r="B1011" s="5" t="s">
        <v>2131</v>
      </c>
      <c r="C1011" s="135" t="s">
        <v>3333</v>
      </c>
      <c r="D1011" s="136"/>
      <c r="E1011" s="136"/>
      <c r="F1011" s="136"/>
      <c r="G1011" s="136"/>
      <c r="H1011" s="5" t="s">
        <v>3612</v>
      </c>
      <c r="I1011" s="18">
        <v>11</v>
      </c>
      <c r="J1011" s="18">
        <v>0</v>
      </c>
      <c r="K1011" s="18">
        <f t="shared" si="850"/>
        <v>0</v>
      </c>
      <c r="L1011" s="28" t="s">
        <v>3635</v>
      </c>
      <c r="Z1011" s="34">
        <f t="shared" si="851"/>
        <v>0</v>
      </c>
      <c r="AB1011" s="34">
        <f t="shared" si="852"/>
        <v>0</v>
      </c>
      <c r="AC1011" s="34">
        <f t="shared" si="853"/>
        <v>0</v>
      </c>
      <c r="AD1011" s="34">
        <f t="shared" si="854"/>
        <v>0</v>
      </c>
      <c r="AE1011" s="34">
        <f t="shared" si="855"/>
        <v>0</v>
      </c>
      <c r="AF1011" s="34">
        <f t="shared" si="856"/>
        <v>0</v>
      </c>
      <c r="AG1011" s="34">
        <f t="shared" si="857"/>
        <v>0</v>
      </c>
      <c r="AH1011" s="34">
        <f t="shared" si="858"/>
        <v>0</v>
      </c>
      <c r="AI1011" s="27" t="s">
        <v>3645</v>
      </c>
      <c r="AJ1011" s="18">
        <f t="shared" si="859"/>
        <v>0</v>
      </c>
      <c r="AK1011" s="18">
        <f t="shared" si="860"/>
        <v>0</v>
      </c>
      <c r="AL1011" s="18">
        <f t="shared" si="861"/>
        <v>0</v>
      </c>
      <c r="AN1011" s="34">
        <v>21</v>
      </c>
      <c r="AO1011" s="34">
        <f t="shared" si="862"/>
        <v>0</v>
      </c>
      <c r="AP1011" s="34">
        <f t="shared" si="863"/>
        <v>0</v>
      </c>
      <c r="AQ1011" s="28" t="s">
        <v>7</v>
      </c>
      <c r="AV1011" s="34">
        <f t="shared" si="864"/>
        <v>0</v>
      </c>
      <c r="AW1011" s="34">
        <f t="shared" si="865"/>
        <v>0</v>
      </c>
      <c r="AX1011" s="34">
        <f t="shared" si="866"/>
        <v>0</v>
      </c>
      <c r="AY1011" s="35" t="s">
        <v>3694</v>
      </c>
      <c r="AZ1011" s="35" t="s">
        <v>3712</v>
      </c>
      <c r="BA1011" s="27" t="s">
        <v>3729</v>
      </c>
      <c r="BC1011" s="34">
        <f t="shared" si="867"/>
        <v>0</v>
      </c>
      <c r="BD1011" s="34">
        <f t="shared" si="868"/>
        <v>0</v>
      </c>
      <c r="BE1011" s="34">
        <v>0</v>
      </c>
      <c r="BF1011" s="34">
        <f>1010</f>
        <v>1010</v>
      </c>
      <c r="BH1011" s="18">
        <f t="shared" si="869"/>
        <v>0</v>
      </c>
      <c r="BI1011" s="18">
        <f t="shared" si="870"/>
        <v>0</v>
      </c>
      <c r="BJ1011" s="18">
        <f t="shared" si="871"/>
        <v>0</v>
      </c>
    </row>
    <row r="1012" spans="1:62" x14ac:dyDescent="0.2">
      <c r="A1012" s="74" t="s">
        <v>958</v>
      </c>
      <c r="B1012" s="5" t="s">
        <v>2132</v>
      </c>
      <c r="C1012" s="135" t="s">
        <v>3334</v>
      </c>
      <c r="D1012" s="136"/>
      <c r="E1012" s="136"/>
      <c r="F1012" s="136"/>
      <c r="G1012" s="136"/>
      <c r="H1012" s="5" t="s">
        <v>3612</v>
      </c>
      <c r="I1012" s="18">
        <v>1</v>
      </c>
      <c r="J1012" s="18">
        <v>0</v>
      </c>
      <c r="K1012" s="18">
        <f t="shared" si="850"/>
        <v>0</v>
      </c>
      <c r="L1012" s="28" t="s">
        <v>3635</v>
      </c>
      <c r="Z1012" s="34">
        <f t="shared" si="851"/>
        <v>0</v>
      </c>
      <c r="AB1012" s="34">
        <f t="shared" si="852"/>
        <v>0</v>
      </c>
      <c r="AC1012" s="34">
        <f t="shared" si="853"/>
        <v>0</v>
      </c>
      <c r="AD1012" s="34">
        <f t="shared" si="854"/>
        <v>0</v>
      </c>
      <c r="AE1012" s="34">
        <f t="shared" si="855"/>
        <v>0</v>
      </c>
      <c r="AF1012" s="34">
        <f t="shared" si="856"/>
        <v>0</v>
      </c>
      <c r="AG1012" s="34">
        <f t="shared" si="857"/>
        <v>0</v>
      </c>
      <c r="AH1012" s="34">
        <f t="shared" si="858"/>
        <v>0</v>
      </c>
      <c r="AI1012" s="27" t="s">
        <v>3645</v>
      </c>
      <c r="AJ1012" s="18">
        <f t="shared" si="859"/>
        <v>0</v>
      </c>
      <c r="AK1012" s="18">
        <f t="shared" si="860"/>
        <v>0</v>
      </c>
      <c r="AL1012" s="18">
        <f t="shared" si="861"/>
        <v>0</v>
      </c>
      <c r="AN1012" s="34">
        <v>21</v>
      </c>
      <c r="AO1012" s="34">
        <f t="shared" si="862"/>
        <v>0</v>
      </c>
      <c r="AP1012" s="34">
        <f t="shared" si="863"/>
        <v>0</v>
      </c>
      <c r="AQ1012" s="28" t="s">
        <v>7</v>
      </c>
      <c r="AV1012" s="34">
        <f t="shared" si="864"/>
        <v>0</v>
      </c>
      <c r="AW1012" s="34">
        <f t="shared" si="865"/>
        <v>0</v>
      </c>
      <c r="AX1012" s="34">
        <f t="shared" si="866"/>
        <v>0</v>
      </c>
      <c r="AY1012" s="35" t="s">
        <v>3694</v>
      </c>
      <c r="AZ1012" s="35" t="s">
        <v>3712</v>
      </c>
      <c r="BA1012" s="27" t="s">
        <v>3729</v>
      </c>
      <c r="BC1012" s="34">
        <f t="shared" si="867"/>
        <v>0</v>
      </c>
      <c r="BD1012" s="34">
        <f t="shared" si="868"/>
        <v>0</v>
      </c>
      <c r="BE1012" s="34">
        <v>0</v>
      </c>
      <c r="BF1012" s="34">
        <f>1011</f>
        <v>1011</v>
      </c>
      <c r="BH1012" s="18">
        <f t="shared" si="869"/>
        <v>0</v>
      </c>
      <c r="BI1012" s="18">
        <f t="shared" si="870"/>
        <v>0</v>
      </c>
      <c r="BJ1012" s="18">
        <f t="shared" si="871"/>
        <v>0</v>
      </c>
    </row>
    <row r="1013" spans="1:62" x14ac:dyDescent="0.2">
      <c r="A1013" s="74" t="s">
        <v>959</v>
      </c>
      <c r="B1013" s="5" t="s">
        <v>2133</v>
      </c>
      <c r="C1013" s="135" t="s">
        <v>3335</v>
      </c>
      <c r="D1013" s="136"/>
      <c r="E1013" s="136"/>
      <c r="F1013" s="136"/>
      <c r="G1013" s="136"/>
      <c r="H1013" s="5" t="s">
        <v>3612</v>
      </c>
      <c r="I1013" s="18">
        <v>112</v>
      </c>
      <c r="J1013" s="18">
        <v>0</v>
      </c>
      <c r="K1013" s="18">
        <f t="shared" si="850"/>
        <v>0</v>
      </c>
      <c r="L1013" s="28" t="s">
        <v>3635</v>
      </c>
      <c r="Z1013" s="34">
        <f t="shared" si="851"/>
        <v>0</v>
      </c>
      <c r="AB1013" s="34">
        <f t="shared" si="852"/>
        <v>0</v>
      </c>
      <c r="AC1013" s="34">
        <f t="shared" si="853"/>
        <v>0</v>
      </c>
      <c r="AD1013" s="34">
        <f t="shared" si="854"/>
        <v>0</v>
      </c>
      <c r="AE1013" s="34">
        <f t="shared" si="855"/>
        <v>0</v>
      </c>
      <c r="AF1013" s="34">
        <f t="shared" si="856"/>
        <v>0</v>
      </c>
      <c r="AG1013" s="34">
        <f t="shared" si="857"/>
        <v>0</v>
      </c>
      <c r="AH1013" s="34">
        <f t="shared" si="858"/>
        <v>0</v>
      </c>
      <c r="AI1013" s="27" t="s">
        <v>3645</v>
      </c>
      <c r="AJ1013" s="18">
        <f t="shared" si="859"/>
        <v>0</v>
      </c>
      <c r="AK1013" s="18">
        <f t="shared" si="860"/>
        <v>0</v>
      </c>
      <c r="AL1013" s="18">
        <f t="shared" si="861"/>
        <v>0</v>
      </c>
      <c r="AN1013" s="34">
        <v>21</v>
      </c>
      <c r="AO1013" s="34">
        <f t="shared" si="862"/>
        <v>0</v>
      </c>
      <c r="AP1013" s="34">
        <f t="shared" si="863"/>
        <v>0</v>
      </c>
      <c r="AQ1013" s="28" t="s">
        <v>7</v>
      </c>
      <c r="AV1013" s="34">
        <f t="shared" si="864"/>
        <v>0</v>
      </c>
      <c r="AW1013" s="34">
        <f t="shared" si="865"/>
        <v>0</v>
      </c>
      <c r="AX1013" s="34">
        <f t="shared" si="866"/>
        <v>0</v>
      </c>
      <c r="AY1013" s="35" t="s">
        <v>3694</v>
      </c>
      <c r="AZ1013" s="35" t="s">
        <v>3712</v>
      </c>
      <c r="BA1013" s="27" t="s">
        <v>3729</v>
      </c>
      <c r="BC1013" s="34">
        <f t="shared" si="867"/>
        <v>0</v>
      </c>
      <c r="BD1013" s="34">
        <f t="shared" si="868"/>
        <v>0</v>
      </c>
      <c r="BE1013" s="34">
        <v>0</v>
      </c>
      <c r="BF1013" s="34">
        <f>1012</f>
        <v>1012</v>
      </c>
      <c r="BH1013" s="18">
        <f t="shared" si="869"/>
        <v>0</v>
      </c>
      <c r="BI1013" s="18">
        <f t="shared" si="870"/>
        <v>0</v>
      </c>
      <c r="BJ1013" s="18">
        <f t="shared" si="871"/>
        <v>0</v>
      </c>
    </row>
    <row r="1014" spans="1:62" x14ac:dyDescent="0.2">
      <c r="A1014" s="74" t="s">
        <v>960</v>
      </c>
      <c r="B1014" s="5" t="s">
        <v>2134</v>
      </c>
      <c r="C1014" s="135" t="s">
        <v>3336</v>
      </c>
      <c r="D1014" s="136"/>
      <c r="E1014" s="136"/>
      <c r="F1014" s="136"/>
      <c r="G1014" s="136"/>
      <c r="H1014" s="5" t="s">
        <v>3612</v>
      </c>
      <c r="I1014" s="18">
        <v>23</v>
      </c>
      <c r="J1014" s="18">
        <v>0</v>
      </c>
      <c r="K1014" s="18">
        <f t="shared" si="850"/>
        <v>0</v>
      </c>
      <c r="L1014" s="28" t="s">
        <v>3635</v>
      </c>
      <c r="Z1014" s="34">
        <f t="shared" si="851"/>
        <v>0</v>
      </c>
      <c r="AB1014" s="34">
        <f t="shared" si="852"/>
        <v>0</v>
      </c>
      <c r="AC1014" s="34">
        <f t="shared" si="853"/>
        <v>0</v>
      </c>
      <c r="AD1014" s="34">
        <f t="shared" si="854"/>
        <v>0</v>
      </c>
      <c r="AE1014" s="34">
        <f t="shared" si="855"/>
        <v>0</v>
      </c>
      <c r="AF1014" s="34">
        <f t="shared" si="856"/>
        <v>0</v>
      </c>
      <c r="AG1014" s="34">
        <f t="shared" si="857"/>
        <v>0</v>
      </c>
      <c r="AH1014" s="34">
        <f t="shared" si="858"/>
        <v>0</v>
      </c>
      <c r="AI1014" s="27" t="s">
        <v>3645</v>
      </c>
      <c r="AJ1014" s="18">
        <f t="shared" si="859"/>
        <v>0</v>
      </c>
      <c r="AK1014" s="18">
        <f t="shared" si="860"/>
        <v>0</v>
      </c>
      <c r="AL1014" s="18">
        <f t="shared" si="861"/>
        <v>0</v>
      </c>
      <c r="AN1014" s="34">
        <v>21</v>
      </c>
      <c r="AO1014" s="34">
        <f t="shared" si="862"/>
        <v>0</v>
      </c>
      <c r="AP1014" s="34">
        <f t="shared" si="863"/>
        <v>0</v>
      </c>
      <c r="AQ1014" s="28" t="s">
        <v>7</v>
      </c>
      <c r="AV1014" s="34">
        <f t="shared" si="864"/>
        <v>0</v>
      </c>
      <c r="AW1014" s="34">
        <f t="shared" si="865"/>
        <v>0</v>
      </c>
      <c r="AX1014" s="34">
        <f t="shared" si="866"/>
        <v>0</v>
      </c>
      <c r="AY1014" s="35" t="s">
        <v>3694</v>
      </c>
      <c r="AZ1014" s="35" t="s">
        <v>3712</v>
      </c>
      <c r="BA1014" s="27" t="s">
        <v>3729</v>
      </c>
      <c r="BC1014" s="34">
        <f t="shared" si="867"/>
        <v>0</v>
      </c>
      <c r="BD1014" s="34">
        <f t="shared" si="868"/>
        <v>0</v>
      </c>
      <c r="BE1014" s="34">
        <v>0</v>
      </c>
      <c r="BF1014" s="34">
        <f>1013</f>
        <v>1013</v>
      </c>
      <c r="BH1014" s="18">
        <f t="shared" si="869"/>
        <v>0</v>
      </c>
      <c r="BI1014" s="18">
        <f t="shared" si="870"/>
        <v>0</v>
      </c>
      <c r="BJ1014" s="18">
        <f t="shared" si="871"/>
        <v>0</v>
      </c>
    </row>
    <row r="1015" spans="1:62" x14ac:dyDescent="0.2">
      <c r="A1015" s="74" t="s">
        <v>961</v>
      </c>
      <c r="B1015" s="5" t="s">
        <v>2135</v>
      </c>
      <c r="C1015" s="135" t="s">
        <v>3337</v>
      </c>
      <c r="D1015" s="136"/>
      <c r="E1015" s="136"/>
      <c r="F1015" s="136"/>
      <c r="G1015" s="136"/>
      <c r="H1015" s="5" t="s">
        <v>3612</v>
      </c>
      <c r="I1015" s="18">
        <v>4</v>
      </c>
      <c r="J1015" s="18">
        <v>0</v>
      </c>
      <c r="K1015" s="18">
        <f t="shared" si="850"/>
        <v>0</v>
      </c>
      <c r="L1015" s="28" t="s">
        <v>3635</v>
      </c>
      <c r="Z1015" s="34">
        <f t="shared" si="851"/>
        <v>0</v>
      </c>
      <c r="AB1015" s="34">
        <f t="shared" si="852"/>
        <v>0</v>
      </c>
      <c r="AC1015" s="34">
        <f t="shared" si="853"/>
        <v>0</v>
      </c>
      <c r="AD1015" s="34">
        <f t="shared" si="854"/>
        <v>0</v>
      </c>
      <c r="AE1015" s="34">
        <f t="shared" si="855"/>
        <v>0</v>
      </c>
      <c r="AF1015" s="34">
        <f t="shared" si="856"/>
        <v>0</v>
      </c>
      <c r="AG1015" s="34">
        <f t="shared" si="857"/>
        <v>0</v>
      </c>
      <c r="AH1015" s="34">
        <f t="shared" si="858"/>
        <v>0</v>
      </c>
      <c r="AI1015" s="27" t="s">
        <v>3645</v>
      </c>
      <c r="AJ1015" s="18">
        <f t="shared" si="859"/>
        <v>0</v>
      </c>
      <c r="AK1015" s="18">
        <f t="shared" si="860"/>
        <v>0</v>
      </c>
      <c r="AL1015" s="18">
        <f t="shared" si="861"/>
        <v>0</v>
      </c>
      <c r="AN1015" s="34">
        <v>21</v>
      </c>
      <c r="AO1015" s="34">
        <f t="shared" si="862"/>
        <v>0</v>
      </c>
      <c r="AP1015" s="34">
        <f t="shared" si="863"/>
        <v>0</v>
      </c>
      <c r="AQ1015" s="28" t="s">
        <v>7</v>
      </c>
      <c r="AV1015" s="34">
        <f t="shared" si="864"/>
        <v>0</v>
      </c>
      <c r="AW1015" s="34">
        <f t="shared" si="865"/>
        <v>0</v>
      </c>
      <c r="AX1015" s="34">
        <f t="shared" si="866"/>
        <v>0</v>
      </c>
      <c r="AY1015" s="35" t="s">
        <v>3694</v>
      </c>
      <c r="AZ1015" s="35" t="s">
        <v>3712</v>
      </c>
      <c r="BA1015" s="27" t="s">
        <v>3729</v>
      </c>
      <c r="BC1015" s="34">
        <f t="shared" si="867"/>
        <v>0</v>
      </c>
      <c r="BD1015" s="34">
        <f t="shared" si="868"/>
        <v>0</v>
      </c>
      <c r="BE1015" s="34">
        <v>0</v>
      </c>
      <c r="BF1015" s="34">
        <f>1014</f>
        <v>1014</v>
      </c>
      <c r="BH1015" s="18">
        <f t="shared" si="869"/>
        <v>0</v>
      </c>
      <c r="BI1015" s="18">
        <f t="shared" si="870"/>
        <v>0</v>
      </c>
      <c r="BJ1015" s="18">
        <f t="shared" si="871"/>
        <v>0</v>
      </c>
    </row>
    <row r="1016" spans="1:62" x14ac:dyDescent="0.2">
      <c r="A1016" s="74" t="s">
        <v>962</v>
      </c>
      <c r="B1016" s="5" t="s">
        <v>2136</v>
      </c>
      <c r="C1016" s="135" t="s">
        <v>3338</v>
      </c>
      <c r="D1016" s="136"/>
      <c r="E1016" s="136"/>
      <c r="F1016" s="136"/>
      <c r="G1016" s="136"/>
      <c r="H1016" s="5" t="s">
        <v>3612</v>
      </c>
      <c r="I1016" s="18">
        <v>20</v>
      </c>
      <c r="J1016" s="18">
        <v>0</v>
      </c>
      <c r="K1016" s="18">
        <f t="shared" si="850"/>
        <v>0</v>
      </c>
      <c r="L1016" s="28" t="s">
        <v>3635</v>
      </c>
      <c r="Z1016" s="34">
        <f t="shared" si="851"/>
        <v>0</v>
      </c>
      <c r="AB1016" s="34">
        <f t="shared" si="852"/>
        <v>0</v>
      </c>
      <c r="AC1016" s="34">
        <f t="shared" si="853"/>
        <v>0</v>
      </c>
      <c r="AD1016" s="34">
        <f t="shared" si="854"/>
        <v>0</v>
      </c>
      <c r="AE1016" s="34">
        <f t="shared" si="855"/>
        <v>0</v>
      </c>
      <c r="AF1016" s="34">
        <f t="shared" si="856"/>
        <v>0</v>
      </c>
      <c r="AG1016" s="34">
        <f t="shared" si="857"/>
        <v>0</v>
      </c>
      <c r="AH1016" s="34">
        <f t="shared" si="858"/>
        <v>0</v>
      </c>
      <c r="AI1016" s="27" t="s">
        <v>3645</v>
      </c>
      <c r="AJ1016" s="18">
        <f t="shared" si="859"/>
        <v>0</v>
      </c>
      <c r="AK1016" s="18">
        <f t="shared" si="860"/>
        <v>0</v>
      </c>
      <c r="AL1016" s="18">
        <f t="shared" si="861"/>
        <v>0</v>
      </c>
      <c r="AN1016" s="34">
        <v>21</v>
      </c>
      <c r="AO1016" s="34">
        <f t="shared" si="862"/>
        <v>0</v>
      </c>
      <c r="AP1016" s="34">
        <f t="shared" si="863"/>
        <v>0</v>
      </c>
      <c r="AQ1016" s="28" t="s">
        <v>7</v>
      </c>
      <c r="AV1016" s="34">
        <f t="shared" si="864"/>
        <v>0</v>
      </c>
      <c r="AW1016" s="34">
        <f t="shared" si="865"/>
        <v>0</v>
      </c>
      <c r="AX1016" s="34">
        <f t="shared" si="866"/>
        <v>0</v>
      </c>
      <c r="AY1016" s="35" t="s">
        <v>3694</v>
      </c>
      <c r="AZ1016" s="35" t="s">
        <v>3712</v>
      </c>
      <c r="BA1016" s="27" t="s">
        <v>3729</v>
      </c>
      <c r="BC1016" s="34">
        <f t="shared" si="867"/>
        <v>0</v>
      </c>
      <c r="BD1016" s="34">
        <f t="shared" si="868"/>
        <v>0</v>
      </c>
      <c r="BE1016" s="34">
        <v>0</v>
      </c>
      <c r="BF1016" s="34">
        <f>1015</f>
        <v>1015</v>
      </c>
      <c r="BH1016" s="18">
        <f t="shared" si="869"/>
        <v>0</v>
      </c>
      <c r="BI1016" s="18">
        <f t="shared" si="870"/>
        <v>0</v>
      </c>
      <c r="BJ1016" s="18">
        <f t="shared" si="871"/>
        <v>0</v>
      </c>
    </row>
    <row r="1017" spans="1:62" x14ac:dyDescent="0.2">
      <c r="A1017" s="74" t="s">
        <v>963</v>
      </c>
      <c r="B1017" s="5" t="s">
        <v>2137</v>
      </c>
      <c r="C1017" s="135" t="s">
        <v>3339</v>
      </c>
      <c r="D1017" s="136"/>
      <c r="E1017" s="136"/>
      <c r="F1017" s="136"/>
      <c r="G1017" s="136"/>
      <c r="H1017" s="5" t="s">
        <v>3612</v>
      </c>
      <c r="I1017" s="18">
        <v>10</v>
      </c>
      <c r="J1017" s="18">
        <v>0</v>
      </c>
      <c r="K1017" s="18">
        <f t="shared" si="850"/>
        <v>0</v>
      </c>
      <c r="L1017" s="28" t="s">
        <v>3635</v>
      </c>
      <c r="Z1017" s="34">
        <f t="shared" si="851"/>
        <v>0</v>
      </c>
      <c r="AB1017" s="34">
        <f t="shared" si="852"/>
        <v>0</v>
      </c>
      <c r="AC1017" s="34">
        <f t="shared" si="853"/>
        <v>0</v>
      </c>
      <c r="AD1017" s="34">
        <f t="shared" si="854"/>
        <v>0</v>
      </c>
      <c r="AE1017" s="34">
        <f t="shared" si="855"/>
        <v>0</v>
      </c>
      <c r="AF1017" s="34">
        <f t="shared" si="856"/>
        <v>0</v>
      </c>
      <c r="AG1017" s="34">
        <f t="shared" si="857"/>
        <v>0</v>
      </c>
      <c r="AH1017" s="34">
        <f t="shared" si="858"/>
        <v>0</v>
      </c>
      <c r="AI1017" s="27" t="s">
        <v>3645</v>
      </c>
      <c r="AJ1017" s="18">
        <f t="shared" si="859"/>
        <v>0</v>
      </c>
      <c r="AK1017" s="18">
        <f t="shared" si="860"/>
        <v>0</v>
      </c>
      <c r="AL1017" s="18">
        <f t="shared" si="861"/>
        <v>0</v>
      </c>
      <c r="AN1017" s="34">
        <v>21</v>
      </c>
      <c r="AO1017" s="34">
        <f t="shared" si="862"/>
        <v>0</v>
      </c>
      <c r="AP1017" s="34">
        <f t="shared" si="863"/>
        <v>0</v>
      </c>
      <c r="AQ1017" s="28" t="s">
        <v>7</v>
      </c>
      <c r="AV1017" s="34">
        <f t="shared" si="864"/>
        <v>0</v>
      </c>
      <c r="AW1017" s="34">
        <f t="shared" si="865"/>
        <v>0</v>
      </c>
      <c r="AX1017" s="34">
        <f t="shared" si="866"/>
        <v>0</v>
      </c>
      <c r="AY1017" s="35" t="s">
        <v>3694</v>
      </c>
      <c r="AZ1017" s="35" t="s">
        <v>3712</v>
      </c>
      <c r="BA1017" s="27" t="s">
        <v>3729</v>
      </c>
      <c r="BC1017" s="34">
        <f t="shared" si="867"/>
        <v>0</v>
      </c>
      <c r="BD1017" s="34">
        <f t="shared" si="868"/>
        <v>0</v>
      </c>
      <c r="BE1017" s="34">
        <v>0</v>
      </c>
      <c r="BF1017" s="34">
        <f>1016</f>
        <v>1016</v>
      </c>
      <c r="BH1017" s="18">
        <f t="shared" si="869"/>
        <v>0</v>
      </c>
      <c r="BI1017" s="18">
        <f t="shared" si="870"/>
        <v>0</v>
      </c>
      <c r="BJ1017" s="18">
        <f t="shared" si="871"/>
        <v>0</v>
      </c>
    </row>
    <row r="1018" spans="1:62" x14ac:dyDescent="0.2">
      <c r="A1018" s="74" t="s">
        <v>964</v>
      </c>
      <c r="B1018" s="5" t="s">
        <v>2138</v>
      </c>
      <c r="C1018" s="135" t="s">
        <v>3340</v>
      </c>
      <c r="D1018" s="136"/>
      <c r="E1018" s="136"/>
      <c r="F1018" s="136"/>
      <c r="G1018" s="136"/>
      <c r="H1018" s="5" t="s">
        <v>3612</v>
      </c>
      <c r="I1018" s="18">
        <v>1</v>
      </c>
      <c r="J1018" s="18">
        <v>0</v>
      </c>
      <c r="K1018" s="18">
        <f t="shared" si="850"/>
        <v>0</v>
      </c>
      <c r="L1018" s="28" t="s">
        <v>3635</v>
      </c>
      <c r="Z1018" s="34">
        <f t="shared" si="851"/>
        <v>0</v>
      </c>
      <c r="AB1018" s="34">
        <f t="shared" si="852"/>
        <v>0</v>
      </c>
      <c r="AC1018" s="34">
        <f t="shared" si="853"/>
        <v>0</v>
      </c>
      <c r="AD1018" s="34">
        <f t="shared" si="854"/>
        <v>0</v>
      </c>
      <c r="AE1018" s="34">
        <f t="shared" si="855"/>
        <v>0</v>
      </c>
      <c r="AF1018" s="34">
        <f t="shared" si="856"/>
        <v>0</v>
      </c>
      <c r="AG1018" s="34">
        <f t="shared" si="857"/>
        <v>0</v>
      </c>
      <c r="AH1018" s="34">
        <f t="shared" si="858"/>
        <v>0</v>
      </c>
      <c r="AI1018" s="27" t="s">
        <v>3645</v>
      </c>
      <c r="AJ1018" s="18">
        <f t="shared" si="859"/>
        <v>0</v>
      </c>
      <c r="AK1018" s="18">
        <f t="shared" si="860"/>
        <v>0</v>
      </c>
      <c r="AL1018" s="18">
        <f t="shared" si="861"/>
        <v>0</v>
      </c>
      <c r="AN1018" s="34">
        <v>21</v>
      </c>
      <c r="AO1018" s="34">
        <f t="shared" si="862"/>
        <v>0</v>
      </c>
      <c r="AP1018" s="34">
        <f t="shared" si="863"/>
        <v>0</v>
      </c>
      <c r="AQ1018" s="28" t="s">
        <v>7</v>
      </c>
      <c r="AV1018" s="34">
        <f t="shared" si="864"/>
        <v>0</v>
      </c>
      <c r="AW1018" s="34">
        <f t="shared" si="865"/>
        <v>0</v>
      </c>
      <c r="AX1018" s="34">
        <f t="shared" si="866"/>
        <v>0</v>
      </c>
      <c r="AY1018" s="35" t="s">
        <v>3694</v>
      </c>
      <c r="AZ1018" s="35" t="s">
        <v>3712</v>
      </c>
      <c r="BA1018" s="27" t="s">
        <v>3729</v>
      </c>
      <c r="BC1018" s="34">
        <f t="shared" si="867"/>
        <v>0</v>
      </c>
      <c r="BD1018" s="34">
        <f t="shared" si="868"/>
        <v>0</v>
      </c>
      <c r="BE1018" s="34">
        <v>0</v>
      </c>
      <c r="BF1018" s="34">
        <f>1017</f>
        <v>1017</v>
      </c>
      <c r="BH1018" s="18">
        <f t="shared" si="869"/>
        <v>0</v>
      </c>
      <c r="BI1018" s="18">
        <f t="shared" si="870"/>
        <v>0</v>
      </c>
      <c r="BJ1018" s="18">
        <f t="shared" si="871"/>
        <v>0</v>
      </c>
    </row>
    <row r="1019" spans="1:62" x14ac:dyDescent="0.2">
      <c r="A1019" s="74" t="s">
        <v>965</v>
      </c>
      <c r="B1019" s="5" t="s">
        <v>2139</v>
      </c>
      <c r="C1019" s="135" t="s">
        <v>3341</v>
      </c>
      <c r="D1019" s="136"/>
      <c r="E1019" s="136"/>
      <c r="F1019" s="136"/>
      <c r="G1019" s="136"/>
      <c r="H1019" s="5" t="s">
        <v>3612</v>
      </c>
      <c r="I1019" s="18">
        <v>21</v>
      </c>
      <c r="J1019" s="18">
        <v>0</v>
      </c>
      <c r="K1019" s="18">
        <f t="shared" si="850"/>
        <v>0</v>
      </c>
      <c r="L1019" s="28" t="s">
        <v>3635</v>
      </c>
      <c r="Z1019" s="34">
        <f t="shared" si="851"/>
        <v>0</v>
      </c>
      <c r="AB1019" s="34">
        <f t="shared" si="852"/>
        <v>0</v>
      </c>
      <c r="AC1019" s="34">
        <f t="shared" si="853"/>
        <v>0</v>
      </c>
      <c r="AD1019" s="34">
        <f t="shared" si="854"/>
        <v>0</v>
      </c>
      <c r="AE1019" s="34">
        <f t="shared" si="855"/>
        <v>0</v>
      </c>
      <c r="AF1019" s="34">
        <f t="shared" si="856"/>
        <v>0</v>
      </c>
      <c r="AG1019" s="34">
        <f t="shared" si="857"/>
        <v>0</v>
      </c>
      <c r="AH1019" s="34">
        <f t="shared" si="858"/>
        <v>0</v>
      </c>
      <c r="AI1019" s="27" t="s">
        <v>3645</v>
      </c>
      <c r="AJ1019" s="18">
        <f t="shared" si="859"/>
        <v>0</v>
      </c>
      <c r="AK1019" s="18">
        <f t="shared" si="860"/>
        <v>0</v>
      </c>
      <c r="AL1019" s="18">
        <f t="shared" si="861"/>
        <v>0</v>
      </c>
      <c r="AN1019" s="34">
        <v>21</v>
      </c>
      <c r="AO1019" s="34">
        <f t="shared" si="862"/>
        <v>0</v>
      </c>
      <c r="AP1019" s="34">
        <f t="shared" si="863"/>
        <v>0</v>
      </c>
      <c r="AQ1019" s="28" t="s">
        <v>7</v>
      </c>
      <c r="AV1019" s="34">
        <f t="shared" si="864"/>
        <v>0</v>
      </c>
      <c r="AW1019" s="34">
        <f t="shared" si="865"/>
        <v>0</v>
      </c>
      <c r="AX1019" s="34">
        <f t="shared" si="866"/>
        <v>0</v>
      </c>
      <c r="AY1019" s="35" t="s">
        <v>3694</v>
      </c>
      <c r="AZ1019" s="35" t="s">
        <v>3712</v>
      </c>
      <c r="BA1019" s="27" t="s">
        <v>3729</v>
      </c>
      <c r="BC1019" s="34">
        <f t="shared" si="867"/>
        <v>0</v>
      </c>
      <c r="BD1019" s="34">
        <f t="shared" si="868"/>
        <v>0</v>
      </c>
      <c r="BE1019" s="34">
        <v>0</v>
      </c>
      <c r="BF1019" s="34">
        <f>1018</f>
        <v>1018</v>
      </c>
      <c r="BH1019" s="18">
        <f t="shared" si="869"/>
        <v>0</v>
      </c>
      <c r="BI1019" s="18">
        <f t="shared" si="870"/>
        <v>0</v>
      </c>
      <c r="BJ1019" s="18">
        <f t="shared" si="871"/>
        <v>0</v>
      </c>
    </row>
    <row r="1020" spans="1:62" x14ac:dyDescent="0.2">
      <c r="A1020" s="74" t="s">
        <v>966</v>
      </c>
      <c r="B1020" s="5" t="s">
        <v>2140</v>
      </c>
      <c r="C1020" s="135" t="s">
        <v>3342</v>
      </c>
      <c r="D1020" s="136"/>
      <c r="E1020" s="136"/>
      <c r="F1020" s="136"/>
      <c r="G1020" s="136"/>
      <c r="H1020" s="5" t="s">
        <v>3612</v>
      </c>
      <c r="I1020" s="18">
        <v>3</v>
      </c>
      <c r="J1020" s="18">
        <v>0</v>
      </c>
      <c r="K1020" s="18">
        <f t="shared" si="850"/>
        <v>0</v>
      </c>
      <c r="L1020" s="28" t="s">
        <v>3635</v>
      </c>
      <c r="Z1020" s="34">
        <f t="shared" si="851"/>
        <v>0</v>
      </c>
      <c r="AB1020" s="34">
        <f t="shared" si="852"/>
        <v>0</v>
      </c>
      <c r="AC1020" s="34">
        <f t="shared" si="853"/>
        <v>0</v>
      </c>
      <c r="AD1020" s="34">
        <f t="shared" si="854"/>
        <v>0</v>
      </c>
      <c r="AE1020" s="34">
        <f t="shared" si="855"/>
        <v>0</v>
      </c>
      <c r="AF1020" s="34">
        <f t="shared" si="856"/>
        <v>0</v>
      </c>
      <c r="AG1020" s="34">
        <f t="shared" si="857"/>
        <v>0</v>
      </c>
      <c r="AH1020" s="34">
        <f t="shared" si="858"/>
        <v>0</v>
      </c>
      <c r="AI1020" s="27" t="s">
        <v>3645</v>
      </c>
      <c r="AJ1020" s="18">
        <f t="shared" si="859"/>
        <v>0</v>
      </c>
      <c r="AK1020" s="18">
        <f t="shared" si="860"/>
        <v>0</v>
      </c>
      <c r="AL1020" s="18">
        <f t="shared" si="861"/>
        <v>0</v>
      </c>
      <c r="AN1020" s="34">
        <v>21</v>
      </c>
      <c r="AO1020" s="34">
        <f t="shared" si="862"/>
        <v>0</v>
      </c>
      <c r="AP1020" s="34">
        <f t="shared" si="863"/>
        <v>0</v>
      </c>
      <c r="AQ1020" s="28" t="s">
        <v>7</v>
      </c>
      <c r="AV1020" s="34">
        <f t="shared" si="864"/>
        <v>0</v>
      </c>
      <c r="AW1020" s="34">
        <f t="shared" si="865"/>
        <v>0</v>
      </c>
      <c r="AX1020" s="34">
        <f t="shared" si="866"/>
        <v>0</v>
      </c>
      <c r="AY1020" s="35" t="s">
        <v>3694</v>
      </c>
      <c r="AZ1020" s="35" t="s">
        <v>3712</v>
      </c>
      <c r="BA1020" s="27" t="s">
        <v>3729</v>
      </c>
      <c r="BC1020" s="34">
        <f t="shared" si="867"/>
        <v>0</v>
      </c>
      <c r="BD1020" s="34">
        <f t="shared" si="868"/>
        <v>0</v>
      </c>
      <c r="BE1020" s="34">
        <v>0</v>
      </c>
      <c r="BF1020" s="34">
        <f>1019</f>
        <v>1019</v>
      </c>
      <c r="BH1020" s="18">
        <f t="shared" si="869"/>
        <v>0</v>
      </c>
      <c r="BI1020" s="18">
        <f t="shared" si="870"/>
        <v>0</v>
      </c>
      <c r="BJ1020" s="18">
        <f t="shared" si="871"/>
        <v>0</v>
      </c>
    </row>
    <row r="1021" spans="1:62" x14ac:dyDescent="0.2">
      <c r="A1021" s="74" t="s">
        <v>967</v>
      </c>
      <c r="B1021" s="5" t="s">
        <v>2141</v>
      </c>
      <c r="C1021" s="135" t="s">
        <v>3343</v>
      </c>
      <c r="D1021" s="136"/>
      <c r="E1021" s="136"/>
      <c r="F1021" s="136"/>
      <c r="G1021" s="136"/>
      <c r="H1021" s="5" t="s">
        <v>3612</v>
      </c>
      <c r="I1021" s="18">
        <v>2</v>
      </c>
      <c r="J1021" s="18">
        <v>0</v>
      </c>
      <c r="K1021" s="18">
        <f t="shared" si="850"/>
        <v>0</v>
      </c>
      <c r="L1021" s="28" t="s">
        <v>3635</v>
      </c>
      <c r="Z1021" s="34">
        <f t="shared" si="851"/>
        <v>0</v>
      </c>
      <c r="AB1021" s="34">
        <f t="shared" si="852"/>
        <v>0</v>
      </c>
      <c r="AC1021" s="34">
        <f t="shared" si="853"/>
        <v>0</v>
      </c>
      <c r="AD1021" s="34">
        <f t="shared" si="854"/>
        <v>0</v>
      </c>
      <c r="AE1021" s="34">
        <f t="shared" si="855"/>
        <v>0</v>
      </c>
      <c r="AF1021" s="34">
        <f t="shared" si="856"/>
        <v>0</v>
      </c>
      <c r="AG1021" s="34">
        <f t="shared" si="857"/>
        <v>0</v>
      </c>
      <c r="AH1021" s="34">
        <f t="shared" si="858"/>
        <v>0</v>
      </c>
      <c r="AI1021" s="27" t="s">
        <v>3645</v>
      </c>
      <c r="AJ1021" s="18">
        <f t="shared" si="859"/>
        <v>0</v>
      </c>
      <c r="AK1021" s="18">
        <f t="shared" si="860"/>
        <v>0</v>
      </c>
      <c r="AL1021" s="18">
        <f t="shared" si="861"/>
        <v>0</v>
      </c>
      <c r="AN1021" s="34">
        <v>21</v>
      </c>
      <c r="AO1021" s="34">
        <f t="shared" si="862"/>
        <v>0</v>
      </c>
      <c r="AP1021" s="34">
        <f t="shared" si="863"/>
        <v>0</v>
      </c>
      <c r="AQ1021" s="28" t="s">
        <v>7</v>
      </c>
      <c r="AV1021" s="34">
        <f t="shared" si="864"/>
        <v>0</v>
      </c>
      <c r="AW1021" s="34">
        <f t="shared" si="865"/>
        <v>0</v>
      </c>
      <c r="AX1021" s="34">
        <f t="shared" si="866"/>
        <v>0</v>
      </c>
      <c r="AY1021" s="35" t="s">
        <v>3694</v>
      </c>
      <c r="AZ1021" s="35" t="s">
        <v>3712</v>
      </c>
      <c r="BA1021" s="27" t="s">
        <v>3729</v>
      </c>
      <c r="BC1021" s="34">
        <f t="shared" si="867"/>
        <v>0</v>
      </c>
      <c r="BD1021" s="34">
        <f t="shared" si="868"/>
        <v>0</v>
      </c>
      <c r="BE1021" s="34">
        <v>0</v>
      </c>
      <c r="BF1021" s="34">
        <f>1020</f>
        <v>1020</v>
      </c>
      <c r="BH1021" s="18">
        <f t="shared" si="869"/>
        <v>0</v>
      </c>
      <c r="BI1021" s="18">
        <f t="shared" si="870"/>
        <v>0</v>
      </c>
      <c r="BJ1021" s="18">
        <f t="shared" si="871"/>
        <v>0</v>
      </c>
    </row>
    <row r="1022" spans="1:62" x14ac:dyDescent="0.2">
      <c r="A1022" s="74" t="s">
        <v>968</v>
      </c>
      <c r="B1022" s="5" t="s">
        <v>2142</v>
      </c>
      <c r="C1022" s="135" t="s">
        <v>3344</v>
      </c>
      <c r="D1022" s="136"/>
      <c r="E1022" s="136"/>
      <c r="F1022" s="136"/>
      <c r="G1022" s="136"/>
      <c r="H1022" s="5" t="s">
        <v>3612</v>
      </c>
      <c r="I1022" s="18">
        <v>4</v>
      </c>
      <c r="J1022" s="18">
        <v>0</v>
      </c>
      <c r="K1022" s="18">
        <f t="shared" ref="K1022:K1045" si="872">I1022*J1022</f>
        <v>0</v>
      </c>
      <c r="L1022" s="28" t="s">
        <v>3635</v>
      </c>
      <c r="Z1022" s="34">
        <f t="shared" ref="Z1022:Z1045" si="873">IF(AQ1022="5",BJ1022,0)</f>
        <v>0</v>
      </c>
      <c r="AB1022" s="34">
        <f t="shared" ref="AB1022:AB1045" si="874">IF(AQ1022="1",BH1022,0)</f>
        <v>0</v>
      </c>
      <c r="AC1022" s="34">
        <f t="shared" ref="AC1022:AC1045" si="875">IF(AQ1022="1",BI1022,0)</f>
        <v>0</v>
      </c>
      <c r="AD1022" s="34">
        <f t="shared" ref="AD1022:AD1045" si="876">IF(AQ1022="7",BH1022,0)</f>
        <v>0</v>
      </c>
      <c r="AE1022" s="34">
        <f t="shared" ref="AE1022:AE1045" si="877">IF(AQ1022="7",BI1022,0)</f>
        <v>0</v>
      </c>
      <c r="AF1022" s="34">
        <f t="shared" ref="AF1022:AF1045" si="878">IF(AQ1022="2",BH1022,0)</f>
        <v>0</v>
      </c>
      <c r="AG1022" s="34">
        <f t="shared" ref="AG1022:AG1045" si="879">IF(AQ1022="2",BI1022,0)</f>
        <v>0</v>
      </c>
      <c r="AH1022" s="34">
        <f t="shared" ref="AH1022:AH1045" si="880">IF(AQ1022="0",BJ1022,0)</f>
        <v>0</v>
      </c>
      <c r="AI1022" s="27" t="s">
        <v>3645</v>
      </c>
      <c r="AJ1022" s="18">
        <f t="shared" ref="AJ1022:AJ1045" si="881">IF(AN1022=0,K1022,0)</f>
        <v>0</v>
      </c>
      <c r="AK1022" s="18">
        <f t="shared" ref="AK1022:AK1045" si="882">IF(AN1022=15,K1022,0)</f>
        <v>0</v>
      </c>
      <c r="AL1022" s="18">
        <f t="shared" ref="AL1022:AL1045" si="883">IF(AN1022=21,K1022,0)</f>
        <v>0</v>
      </c>
      <c r="AN1022" s="34">
        <v>21</v>
      </c>
      <c r="AO1022" s="34">
        <f t="shared" ref="AO1022:AO1043" si="884">J1022*0</f>
        <v>0</v>
      </c>
      <c r="AP1022" s="34">
        <f t="shared" ref="AP1022:AP1043" si="885">J1022*(1-0)</f>
        <v>0</v>
      </c>
      <c r="AQ1022" s="28" t="s">
        <v>7</v>
      </c>
      <c r="AV1022" s="34">
        <f t="shared" ref="AV1022:AV1045" si="886">AW1022+AX1022</f>
        <v>0</v>
      </c>
      <c r="AW1022" s="34">
        <f t="shared" ref="AW1022:AW1045" si="887">I1022*AO1022</f>
        <v>0</v>
      </c>
      <c r="AX1022" s="34">
        <f t="shared" ref="AX1022:AX1045" si="888">I1022*AP1022</f>
        <v>0</v>
      </c>
      <c r="AY1022" s="35" t="s">
        <v>3694</v>
      </c>
      <c r="AZ1022" s="35" t="s">
        <v>3712</v>
      </c>
      <c r="BA1022" s="27" t="s">
        <v>3729</v>
      </c>
      <c r="BC1022" s="34">
        <f t="shared" ref="BC1022:BC1045" si="889">AW1022+AX1022</f>
        <v>0</v>
      </c>
      <c r="BD1022" s="34">
        <f t="shared" ref="BD1022:BD1045" si="890">J1022/(100-BE1022)*100</f>
        <v>0</v>
      </c>
      <c r="BE1022" s="34">
        <v>0</v>
      </c>
      <c r="BF1022" s="34">
        <f>1021</f>
        <v>1021</v>
      </c>
      <c r="BH1022" s="18">
        <f t="shared" ref="BH1022:BH1045" si="891">I1022*AO1022</f>
        <v>0</v>
      </c>
      <c r="BI1022" s="18">
        <f t="shared" ref="BI1022:BI1045" si="892">I1022*AP1022</f>
        <v>0</v>
      </c>
      <c r="BJ1022" s="18">
        <f t="shared" ref="BJ1022:BJ1045" si="893">I1022*J1022</f>
        <v>0</v>
      </c>
    </row>
    <row r="1023" spans="1:62" x14ac:dyDescent="0.2">
      <c r="A1023" s="74" t="s">
        <v>969</v>
      </c>
      <c r="B1023" s="5" t="s">
        <v>2143</v>
      </c>
      <c r="C1023" s="135" t="s">
        <v>3345</v>
      </c>
      <c r="D1023" s="136"/>
      <c r="E1023" s="136"/>
      <c r="F1023" s="136"/>
      <c r="G1023" s="136"/>
      <c r="H1023" s="5" t="s">
        <v>3612</v>
      </c>
      <c r="I1023" s="18">
        <v>4</v>
      </c>
      <c r="J1023" s="18">
        <v>0</v>
      </c>
      <c r="K1023" s="18">
        <f t="shared" si="872"/>
        <v>0</v>
      </c>
      <c r="L1023" s="28" t="s">
        <v>3635</v>
      </c>
      <c r="Z1023" s="34">
        <f t="shared" si="873"/>
        <v>0</v>
      </c>
      <c r="AB1023" s="34">
        <f t="shared" si="874"/>
        <v>0</v>
      </c>
      <c r="AC1023" s="34">
        <f t="shared" si="875"/>
        <v>0</v>
      </c>
      <c r="AD1023" s="34">
        <f t="shared" si="876"/>
        <v>0</v>
      </c>
      <c r="AE1023" s="34">
        <f t="shared" si="877"/>
        <v>0</v>
      </c>
      <c r="AF1023" s="34">
        <f t="shared" si="878"/>
        <v>0</v>
      </c>
      <c r="AG1023" s="34">
        <f t="shared" si="879"/>
        <v>0</v>
      </c>
      <c r="AH1023" s="34">
        <f t="shared" si="880"/>
        <v>0</v>
      </c>
      <c r="AI1023" s="27" t="s">
        <v>3645</v>
      </c>
      <c r="AJ1023" s="18">
        <f t="shared" si="881"/>
        <v>0</v>
      </c>
      <c r="AK1023" s="18">
        <f t="shared" si="882"/>
        <v>0</v>
      </c>
      <c r="AL1023" s="18">
        <f t="shared" si="883"/>
        <v>0</v>
      </c>
      <c r="AN1023" s="34">
        <v>21</v>
      </c>
      <c r="AO1023" s="34">
        <f t="shared" si="884"/>
        <v>0</v>
      </c>
      <c r="AP1023" s="34">
        <f t="shared" si="885"/>
        <v>0</v>
      </c>
      <c r="AQ1023" s="28" t="s">
        <v>7</v>
      </c>
      <c r="AV1023" s="34">
        <f t="shared" si="886"/>
        <v>0</v>
      </c>
      <c r="AW1023" s="34">
        <f t="shared" si="887"/>
        <v>0</v>
      </c>
      <c r="AX1023" s="34">
        <f t="shared" si="888"/>
        <v>0</v>
      </c>
      <c r="AY1023" s="35" t="s">
        <v>3694</v>
      </c>
      <c r="AZ1023" s="35" t="s">
        <v>3712</v>
      </c>
      <c r="BA1023" s="27" t="s">
        <v>3729</v>
      </c>
      <c r="BC1023" s="34">
        <f t="shared" si="889"/>
        <v>0</v>
      </c>
      <c r="BD1023" s="34">
        <f t="shared" si="890"/>
        <v>0</v>
      </c>
      <c r="BE1023" s="34">
        <v>0</v>
      </c>
      <c r="BF1023" s="34">
        <f>1022</f>
        <v>1022</v>
      </c>
      <c r="BH1023" s="18">
        <f t="shared" si="891"/>
        <v>0</v>
      </c>
      <c r="BI1023" s="18">
        <f t="shared" si="892"/>
        <v>0</v>
      </c>
      <c r="BJ1023" s="18">
        <f t="shared" si="893"/>
        <v>0</v>
      </c>
    </row>
    <row r="1024" spans="1:62" x14ac:dyDescent="0.2">
      <c r="A1024" s="74" t="s">
        <v>970</v>
      </c>
      <c r="B1024" s="5" t="s">
        <v>2144</v>
      </c>
      <c r="C1024" s="135" t="s">
        <v>3346</v>
      </c>
      <c r="D1024" s="136"/>
      <c r="E1024" s="136"/>
      <c r="F1024" s="136"/>
      <c r="G1024" s="136"/>
      <c r="H1024" s="5" t="s">
        <v>3612</v>
      </c>
      <c r="I1024" s="18">
        <v>4</v>
      </c>
      <c r="J1024" s="18">
        <v>0</v>
      </c>
      <c r="K1024" s="18">
        <f t="shared" si="872"/>
        <v>0</v>
      </c>
      <c r="L1024" s="28" t="s">
        <v>3635</v>
      </c>
      <c r="Z1024" s="34">
        <f t="shared" si="873"/>
        <v>0</v>
      </c>
      <c r="AB1024" s="34">
        <f t="shared" si="874"/>
        <v>0</v>
      </c>
      <c r="AC1024" s="34">
        <f t="shared" si="875"/>
        <v>0</v>
      </c>
      <c r="AD1024" s="34">
        <f t="shared" si="876"/>
        <v>0</v>
      </c>
      <c r="AE1024" s="34">
        <f t="shared" si="877"/>
        <v>0</v>
      </c>
      <c r="AF1024" s="34">
        <f t="shared" si="878"/>
        <v>0</v>
      </c>
      <c r="AG1024" s="34">
        <f t="shared" si="879"/>
        <v>0</v>
      </c>
      <c r="AH1024" s="34">
        <f t="shared" si="880"/>
        <v>0</v>
      </c>
      <c r="AI1024" s="27" t="s">
        <v>3645</v>
      </c>
      <c r="AJ1024" s="18">
        <f t="shared" si="881"/>
        <v>0</v>
      </c>
      <c r="AK1024" s="18">
        <f t="shared" si="882"/>
        <v>0</v>
      </c>
      <c r="AL1024" s="18">
        <f t="shared" si="883"/>
        <v>0</v>
      </c>
      <c r="AN1024" s="34">
        <v>21</v>
      </c>
      <c r="AO1024" s="34">
        <f t="shared" si="884"/>
        <v>0</v>
      </c>
      <c r="AP1024" s="34">
        <f t="shared" si="885"/>
        <v>0</v>
      </c>
      <c r="AQ1024" s="28" t="s">
        <v>7</v>
      </c>
      <c r="AV1024" s="34">
        <f t="shared" si="886"/>
        <v>0</v>
      </c>
      <c r="AW1024" s="34">
        <f t="shared" si="887"/>
        <v>0</v>
      </c>
      <c r="AX1024" s="34">
        <f t="shared" si="888"/>
        <v>0</v>
      </c>
      <c r="AY1024" s="35" t="s">
        <v>3694</v>
      </c>
      <c r="AZ1024" s="35" t="s">
        <v>3712</v>
      </c>
      <c r="BA1024" s="27" t="s">
        <v>3729</v>
      </c>
      <c r="BC1024" s="34">
        <f t="shared" si="889"/>
        <v>0</v>
      </c>
      <c r="BD1024" s="34">
        <f t="shared" si="890"/>
        <v>0</v>
      </c>
      <c r="BE1024" s="34">
        <v>0</v>
      </c>
      <c r="BF1024" s="34">
        <f>1023</f>
        <v>1023</v>
      </c>
      <c r="BH1024" s="18">
        <f t="shared" si="891"/>
        <v>0</v>
      </c>
      <c r="BI1024" s="18">
        <f t="shared" si="892"/>
        <v>0</v>
      </c>
      <c r="BJ1024" s="18">
        <f t="shared" si="893"/>
        <v>0</v>
      </c>
    </row>
    <row r="1025" spans="1:62" x14ac:dyDescent="0.2">
      <c r="A1025" s="74" t="s">
        <v>971</v>
      </c>
      <c r="B1025" s="5" t="s">
        <v>2145</v>
      </c>
      <c r="C1025" s="135" t="s">
        <v>3347</v>
      </c>
      <c r="D1025" s="136"/>
      <c r="E1025" s="136"/>
      <c r="F1025" s="136"/>
      <c r="G1025" s="136"/>
      <c r="H1025" s="5" t="s">
        <v>3612</v>
      </c>
      <c r="I1025" s="18">
        <v>9</v>
      </c>
      <c r="J1025" s="18">
        <v>0</v>
      </c>
      <c r="K1025" s="18">
        <f t="shared" si="872"/>
        <v>0</v>
      </c>
      <c r="L1025" s="28" t="s">
        <v>3635</v>
      </c>
      <c r="Z1025" s="34">
        <f t="shared" si="873"/>
        <v>0</v>
      </c>
      <c r="AB1025" s="34">
        <f t="shared" si="874"/>
        <v>0</v>
      </c>
      <c r="AC1025" s="34">
        <f t="shared" si="875"/>
        <v>0</v>
      </c>
      <c r="AD1025" s="34">
        <f t="shared" si="876"/>
        <v>0</v>
      </c>
      <c r="AE1025" s="34">
        <f t="shared" si="877"/>
        <v>0</v>
      </c>
      <c r="AF1025" s="34">
        <f t="shared" si="878"/>
        <v>0</v>
      </c>
      <c r="AG1025" s="34">
        <f t="shared" si="879"/>
        <v>0</v>
      </c>
      <c r="AH1025" s="34">
        <f t="shared" si="880"/>
        <v>0</v>
      </c>
      <c r="AI1025" s="27" t="s">
        <v>3645</v>
      </c>
      <c r="AJ1025" s="18">
        <f t="shared" si="881"/>
        <v>0</v>
      </c>
      <c r="AK1025" s="18">
        <f t="shared" si="882"/>
        <v>0</v>
      </c>
      <c r="AL1025" s="18">
        <f t="shared" si="883"/>
        <v>0</v>
      </c>
      <c r="AN1025" s="34">
        <v>21</v>
      </c>
      <c r="AO1025" s="34">
        <f t="shared" si="884"/>
        <v>0</v>
      </c>
      <c r="AP1025" s="34">
        <f t="shared" si="885"/>
        <v>0</v>
      </c>
      <c r="AQ1025" s="28" t="s">
        <v>7</v>
      </c>
      <c r="AV1025" s="34">
        <f t="shared" si="886"/>
        <v>0</v>
      </c>
      <c r="AW1025" s="34">
        <f t="shared" si="887"/>
        <v>0</v>
      </c>
      <c r="AX1025" s="34">
        <f t="shared" si="888"/>
        <v>0</v>
      </c>
      <c r="AY1025" s="35" t="s">
        <v>3694</v>
      </c>
      <c r="AZ1025" s="35" t="s">
        <v>3712</v>
      </c>
      <c r="BA1025" s="27" t="s">
        <v>3729</v>
      </c>
      <c r="BC1025" s="34">
        <f t="shared" si="889"/>
        <v>0</v>
      </c>
      <c r="BD1025" s="34">
        <f t="shared" si="890"/>
        <v>0</v>
      </c>
      <c r="BE1025" s="34">
        <v>0</v>
      </c>
      <c r="BF1025" s="34">
        <f>1024</f>
        <v>1024</v>
      </c>
      <c r="BH1025" s="18">
        <f t="shared" si="891"/>
        <v>0</v>
      </c>
      <c r="BI1025" s="18">
        <f t="shared" si="892"/>
        <v>0</v>
      </c>
      <c r="BJ1025" s="18">
        <f t="shared" si="893"/>
        <v>0</v>
      </c>
    </row>
    <row r="1026" spans="1:62" x14ac:dyDescent="0.2">
      <c r="A1026" s="74" t="s">
        <v>972</v>
      </c>
      <c r="B1026" s="5" t="s">
        <v>2146</v>
      </c>
      <c r="C1026" s="135" t="s">
        <v>3348</v>
      </c>
      <c r="D1026" s="136"/>
      <c r="E1026" s="136"/>
      <c r="F1026" s="136"/>
      <c r="G1026" s="136"/>
      <c r="H1026" s="5" t="s">
        <v>3612</v>
      </c>
      <c r="I1026" s="18">
        <v>2</v>
      </c>
      <c r="J1026" s="18">
        <v>0</v>
      </c>
      <c r="K1026" s="18">
        <f t="shared" si="872"/>
        <v>0</v>
      </c>
      <c r="L1026" s="28" t="s">
        <v>3635</v>
      </c>
      <c r="Z1026" s="34">
        <f t="shared" si="873"/>
        <v>0</v>
      </c>
      <c r="AB1026" s="34">
        <f t="shared" si="874"/>
        <v>0</v>
      </c>
      <c r="AC1026" s="34">
        <f t="shared" si="875"/>
        <v>0</v>
      </c>
      <c r="AD1026" s="34">
        <f t="shared" si="876"/>
        <v>0</v>
      </c>
      <c r="AE1026" s="34">
        <f t="shared" si="877"/>
        <v>0</v>
      </c>
      <c r="AF1026" s="34">
        <f t="shared" si="878"/>
        <v>0</v>
      </c>
      <c r="AG1026" s="34">
        <f t="shared" si="879"/>
        <v>0</v>
      </c>
      <c r="AH1026" s="34">
        <f t="shared" si="880"/>
        <v>0</v>
      </c>
      <c r="AI1026" s="27" t="s">
        <v>3645</v>
      </c>
      <c r="AJ1026" s="18">
        <f t="shared" si="881"/>
        <v>0</v>
      </c>
      <c r="AK1026" s="18">
        <f t="shared" si="882"/>
        <v>0</v>
      </c>
      <c r="AL1026" s="18">
        <f t="shared" si="883"/>
        <v>0</v>
      </c>
      <c r="AN1026" s="34">
        <v>21</v>
      </c>
      <c r="AO1026" s="34">
        <f t="shared" si="884"/>
        <v>0</v>
      </c>
      <c r="AP1026" s="34">
        <f t="shared" si="885"/>
        <v>0</v>
      </c>
      <c r="AQ1026" s="28" t="s">
        <v>7</v>
      </c>
      <c r="AV1026" s="34">
        <f t="shared" si="886"/>
        <v>0</v>
      </c>
      <c r="AW1026" s="34">
        <f t="shared" si="887"/>
        <v>0</v>
      </c>
      <c r="AX1026" s="34">
        <f t="shared" si="888"/>
        <v>0</v>
      </c>
      <c r="AY1026" s="35" t="s">
        <v>3694</v>
      </c>
      <c r="AZ1026" s="35" t="s">
        <v>3712</v>
      </c>
      <c r="BA1026" s="27" t="s">
        <v>3729</v>
      </c>
      <c r="BC1026" s="34">
        <f t="shared" si="889"/>
        <v>0</v>
      </c>
      <c r="BD1026" s="34">
        <f t="shared" si="890"/>
        <v>0</v>
      </c>
      <c r="BE1026" s="34">
        <v>0</v>
      </c>
      <c r="BF1026" s="34">
        <f>1025</f>
        <v>1025</v>
      </c>
      <c r="BH1026" s="18">
        <f t="shared" si="891"/>
        <v>0</v>
      </c>
      <c r="BI1026" s="18">
        <f t="shared" si="892"/>
        <v>0</v>
      </c>
      <c r="BJ1026" s="18">
        <f t="shared" si="893"/>
        <v>0</v>
      </c>
    </row>
    <row r="1027" spans="1:62" x14ac:dyDescent="0.2">
      <c r="A1027" s="74" t="s">
        <v>973</v>
      </c>
      <c r="B1027" s="5" t="s">
        <v>2147</v>
      </c>
      <c r="C1027" s="135" t="s">
        <v>3349</v>
      </c>
      <c r="D1027" s="136"/>
      <c r="E1027" s="136"/>
      <c r="F1027" s="136"/>
      <c r="G1027" s="136"/>
      <c r="H1027" s="5" t="s">
        <v>3612</v>
      </c>
      <c r="I1027" s="18">
        <v>3</v>
      </c>
      <c r="J1027" s="18">
        <v>0</v>
      </c>
      <c r="K1027" s="18">
        <f t="shared" si="872"/>
        <v>0</v>
      </c>
      <c r="L1027" s="28" t="s">
        <v>3635</v>
      </c>
      <c r="Z1027" s="34">
        <f t="shared" si="873"/>
        <v>0</v>
      </c>
      <c r="AB1027" s="34">
        <f t="shared" si="874"/>
        <v>0</v>
      </c>
      <c r="AC1027" s="34">
        <f t="shared" si="875"/>
        <v>0</v>
      </c>
      <c r="AD1027" s="34">
        <f t="shared" si="876"/>
        <v>0</v>
      </c>
      <c r="AE1027" s="34">
        <f t="shared" si="877"/>
        <v>0</v>
      </c>
      <c r="AF1027" s="34">
        <f t="shared" si="878"/>
        <v>0</v>
      </c>
      <c r="AG1027" s="34">
        <f t="shared" si="879"/>
        <v>0</v>
      </c>
      <c r="AH1027" s="34">
        <f t="shared" si="880"/>
        <v>0</v>
      </c>
      <c r="AI1027" s="27" t="s">
        <v>3645</v>
      </c>
      <c r="AJ1027" s="18">
        <f t="shared" si="881"/>
        <v>0</v>
      </c>
      <c r="AK1027" s="18">
        <f t="shared" si="882"/>
        <v>0</v>
      </c>
      <c r="AL1027" s="18">
        <f t="shared" si="883"/>
        <v>0</v>
      </c>
      <c r="AN1027" s="34">
        <v>21</v>
      </c>
      <c r="AO1027" s="34">
        <f t="shared" si="884"/>
        <v>0</v>
      </c>
      <c r="AP1027" s="34">
        <f t="shared" si="885"/>
        <v>0</v>
      </c>
      <c r="AQ1027" s="28" t="s">
        <v>7</v>
      </c>
      <c r="AV1027" s="34">
        <f t="shared" si="886"/>
        <v>0</v>
      </c>
      <c r="AW1027" s="34">
        <f t="shared" si="887"/>
        <v>0</v>
      </c>
      <c r="AX1027" s="34">
        <f t="shared" si="888"/>
        <v>0</v>
      </c>
      <c r="AY1027" s="35" t="s">
        <v>3694</v>
      </c>
      <c r="AZ1027" s="35" t="s">
        <v>3712</v>
      </c>
      <c r="BA1027" s="27" t="s">
        <v>3729</v>
      </c>
      <c r="BC1027" s="34">
        <f t="shared" si="889"/>
        <v>0</v>
      </c>
      <c r="BD1027" s="34">
        <f t="shared" si="890"/>
        <v>0</v>
      </c>
      <c r="BE1027" s="34">
        <v>0</v>
      </c>
      <c r="BF1027" s="34">
        <f>1026</f>
        <v>1026</v>
      </c>
      <c r="BH1027" s="18">
        <f t="shared" si="891"/>
        <v>0</v>
      </c>
      <c r="BI1027" s="18">
        <f t="shared" si="892"/>
        <v>0</v>
      </c>
      <c r="BJ1027" s="18">
        <f t="shared" si="893"/>
        <v>0</v>
      </c>
    </row>
    <row r="1028" spans="1:62" x14ac:dyDescent="0.2">
      <c r="A1028" s="74" t="s">
        <v>974</v>
      </c>
      <c r="B1028" s="5" t="s">
        <v>2148</v>
      </c>
      <c r="C1028" s="135" t="s">
        <v>3350</v>
      </c>
      <c r="D1028" s="136"/>
      <c r="E1028" s="136"/>
      <c r="F1028" s="136"/>
      <c r="G1028" s="136"/>
      <c r="H1028" s="5" t="s">
        <v>3612</v>
      </c>
      <c r="I1028" s="18">
        <v>2</v>
      </c>
      <c r="J1028" s="18">
        <v>0</v>
      </c>
      <c r="K1028" s="18">
        <f t="shared" si="872"/>
        <v>0</v>
      </c>
      <c r="L1028" s="28" t="s">
        <v>3635</v>
      </c>
      <c r="Z1028" s="34">
        <f t="shared" si="873"/>
        <v>0</v>
      </c>
      <c r="AB1028" s="34">
        <f t="shared" si="874"/>
        <v>0</v>
      </c>
      <c r="AC1028" s="34">
        <f t="shared" si="875"/>
        <v>0</v>
      </c>
      <c r="AD1028" s="34">
        <f t="shared" si="876"/>
        <v>0</v>
      </c>
      <c r="AE1028" s="34">
        <f t="shared" si="877"/>
        <v>0</v>
      </c>
      <c r="AF1028" s="34">
        <f t="shared" si="878"/>
        <v>0</v>
      </c>
      <c r="AG1028" s="34">
        <f t="shared" si="879"/>
        <v>0</v>
      </c>
      <c r="AH1028" s="34">
        <f t="shared" si="880"/>
        <v>0</v>
      </c>
      <c r="AI1028" s="27" t="s">
        <v>3645</v>
      </c>
      <c r="AJ1028" s="18">
        <f t="shared" si="881"/>
        <v>0</v>
      </c>
      <c r="AK1028" s="18">
        <f t="shared" si="882"/>
        <v>0</v>
      </c>
      <c r="AL1028" s="18">
        <f t="shared" si="883"/>
        <v>0</v>
      </c>
      <c r="AN1028" s="34">
        <v>21</v>
      </c>
      <c r="AO1028" s="34">
        <f t="shared" si="884"/>
        <v>0</v>
      </c>
      <c r="AP1028" s="34">
        <f t="shared" si="885"/>
        <v>0</v>
      </c>
      <c r="AQ1028" s="28" t="s">
        <v>7</v>
      </c>
      <c r="AV1028" s="34">
        <f t="shared" si="886"/>
        <v>0</v>
      </c>
      <c r="AW1028" s="34">
        <f t="shared" si="887"/>
        <v>0</v>
      </c>
      <c r="AX1028" s="34">
        <f t="shared" si="888"/>
        <v>0</v>
      </c>
      <c r="AY1028" s="35" t="s">
        <v>3694</v>
      </c>
      <c r="AZ1028" s="35" t="s">
        <v>3712</v>
      </c>
      <c r="BA1028" s="27" t="s">
        <v>3729</v>
      </c>
      <c r="BC1028" s="34">
        <f t="shared" si="889"/>
        <v>0</v>
      </c>
      <c r="BD1028" s="34">
        <f t="shared" si="890"/>
        <v>0</v>
      </c>
      <c r="BE1028" s="34">
        <v>0</v>
      </c>
      <c r="BF1028" s="34">
        <f>1027</f>
        <v>1027</v>
      </c>
      <c r="BH1028" s="18">
        <f t="shared" si="891"/>
        <v>0</v>
      </c>
      <c r="BI1028" s="18">
        <f t="shared" si="892"/>
        <v>0</v>
      </c>
      <c r="BJ1028" s="18">
        <f t="shared" si="893"/>
        <v>0</v>
      </c>
    </row>
    <row r="1029" spans="1:62" x14ac:dyDescent="0.2">
      <c r="A1029" s="74" t="s">
        <v>975</v>
      </c>
      <c r="B1029" s="5" t="s">
        <v>2149</v>
      </c>
      <c r="C1029" s="135" t="s">
        <v>3351</v>
      </c>
      <c r="D1029" s="136"/>
      <c r="E1029" s="136"/>
      <c r="F1029" s="136"/>
      <c r="G1029" s="136"/>
      <c r="H1029" s="5" t="s">
        <v>3612</v>
      </c>
      <c r="I1029" s="18">
        <v>18</v>
      </c>
      <c r="J1029" s="18">
        <v>0</v>
      </c>
      <c r="K1029" s="18">
        <f t="shared" si="872"/>
        <v>0</v>
      </c>
      <c r="L1029" s="28" t="s">
        <v>3635</v>
      </c>
      <c r="Z1029" s="34">
        <f t="shared" si="873"/>
        <v>0</v>
      </c>
      <c r="AB1029" s="34">
        <f t="shared" si="874"/>
        <v>0</v>
      </c>
      <c r="AC1029" s="34">
        <f t="shared" si="875"/>
        <v>0</v>
      </c>
      <c r="AD1029" s="34">
        <f t="shared" si="876"/>
        <v>0</v>
      </c>
      <c r="AE1029" s="34">
        <f t="shared" si="877"/>
        <v>0</v>
      </c>
      <c r="AF1029" s="34">
        <f t="shared" si="878"/>
        <v>0</v>
      </c>
      <c r="AG1029" s="34">
        <f t="shared" si="879"/>
        <v>0</v>
      </c>
      <c r="AH1029" s="34">
        <f t="shared" si="880"/>
        <v>0</v>
      </c>
      <c r="AI1029" s="27" t="s">
        <v>3645</v>
      </c>
      <c r="AJ1029" s="18">
        <f t="shared" si="881"/>
        <v>0</v>
      </c>
      <c r="AK1029" s="18">
        <f t="shared" si="882"/>
        <v>0</v>
      </c>
      <c r="AL1029" s="18">
        <f t="shared" si="883"/>
        <v>0</v>
      </c>
      <c r="AN1029" s="34">
        <v>21</v>
      </c>
      <c r="AO1029" s="34">
        <f t="shared" si="884"/>
        <v>0</v>
      </c>
      <c r="AP1029" s="34">
        <f t="shared" si="885"/>
        <v>0</v>
      </c>
      <c r="AQ1029" s="28" t="s">
        <v>7</v>
      </c>
      <c r="AV1029" s="34">
        <f t="shared" si="886"/>
        <v>0</v>
      </c>
      <c r="AW1029" s="34">
        <f t="shared" si="887"/>
        <v>0</v>
      </c>
      <c r="AX1029" s="34">
        <f t="shared" si="888"/>
        <v>0</v>
      </c>
      <c r="AY1029" s="35" t="s">
        <v>3694</v>
      </c>
      <c r="AZ1029" s="35" t="s">
        <v>3712</v>
      </c>
      <c r="BA1029" s="27" t="s">
        <v>3729</v>
      </c>
      <c r="BC1029" s="34">
        <f t="shared" si="889"/>
        <v>0</v>
      </c>
      <c r="BD1029" s="34">
        <f t="shared" si="890"/>
        <v>0</v>
      </c>
      <c r="BE1029" s="34">
        <v>0</v>
      </c>
      <c r="BF1029" s="34">
        <f>1028</f>
        <v>1028</v>
      </c>
      <c r="BH1029" s="18">
        <f t="shared" si="891"/>
        <v>0</v>
      </c>
      <c r="BI1029" s="18">
        <f t="shared" si="892"/>
        <v>0</v>
      </c>
      <c r="BJ1029" s="18">
        <f t="shared" si="893"/>
        <v>0</v>
      </c>
    </row>
    <row r="1030" spans="1:62" x14ac:dyDescent="0.2">
      <c r="A1030" s="74" t="s">
        <v>976</v>
      </c>
      <c r="B1030" s="5" t="s">
        <v>2150</v>
      </c>
      <c r="C1030" s="135" t="s">
        <v>3352</v>
      </c>
      <c r="D1030" s="136"/>
      <c r="E1030" s="136"/>
      <c r="F1030" s="136"/>
      <c r="G1030" s="136"/>
      <c r="H1030" s="5" t="s">
        <v>3612</v>
      </c>
      <c r="I1030" s="18">
        <v>18</v>
      </c>
      <c r="J1030" s="18">
        <v>0</v>
      </c>
      <c r="K1030" s="18">
        <f t="shared" si="872"/>
        <v>0</v>
      </c>
      <c r="L1030" s="28" t="s">
        <v>3635</v>
      </c>
      <c r="Z1030" s="34">
        <f t="shared" si="873"/>
        <v>0</v>
      </c>
      <c r="AB1030" s="34">
        <f t="shared" si="874"/>
        <v>0</v>
      </c>
      <c r="AC1030" s="34">
        <f t="shared" si="875"/>
        <v>0</v>
      </c>
      <c r="AD1030" s="34">
        <f t="shared" si="876"/>
        <v>0</v>
      </c>
      <c r="AE1030" s="34">
        <f t="shared" si="877"/>
        <v>0</v>
      </c>
      <c r="AF1030" s="34">
        <f t="shared" si="878"/>
        <v>0</v>
      </c>
      <c r="AG1030" s="34">
        <f t="shared" si="879"/>
        <v>0</v>
      </c>
      <c r="AH1030" s="34">
        <f t="shared" si="880"/>
        <v>0</v>
      </c>
      <c r="AI1030" s="27" t="s">
        <v>3645</v>
      </c>
      <c r="AJ1030" s="18">
        <f t="shared" si="881"/>
        <v>0</v>
      </c>
      <c r="AK1030" s="18">
        <f t="shared" si="882"/>
        <v>0</v>
      </c>
      <c r="AL1030" s="18">
        <f t="shared" si="883"/>
        <v>0</v>
      </c>
      <c r="AN1030" s="34">
        <v>21</v>
      </c>
      <c r="AO1030" s="34">
        <f t="shared" si="884"/>
        <v>0</v>
      </c>
      <c r="AP1030" s="34">
        <f t="shared" si="885"/>
        <v>0</v>
      </c>
      <c r="AQ1030" s="28" t="s">
        <v>7</v>
      </c>
      <c r="AV1030" s="34">
        <f t="shared" si="886"/>
        <v>0</v>
      </c>
      <c r="AW1030" s="34">
        <f t="shared" si="887"/>
        <v>0</v>
      </c>
      <c r="AX1030" s="34">
        <f t="shared" si="888"/>
        <v>0</v>
      </c>
      <c r="AY1030" s="35" t="s">
        <v>3694</v>
      </c>
      <c r="AZ1030" s="35" t="s">
        <v>3712</v>
      </c>
      <c r="BA1030" s="27" t="s">
        <v>3729</v>
      </c>
      <c r="BC1030" s="34">
        <f t="shared" si="889"/>
        <v>0</v>
      </c>
      <c r="BD1030" s="34">
        <f t="shared" si="890"/>
        <v>0</v>
      </c>
      <c r="BE1030" s="34">
        <v>0</v>
      </c>
      <c r="BF1030" s="34">
        <f>1029</f>
        <v>1029</v>
      </c>
      <c r="BH1030" s="18">
        <f t="shared" si="891"/>
        <v>0</v>
      </c>
      <c r="BI1030" s="18">
        <f t="shared" si="892"/>
        <v>0</v>
      </c>
      <c r="BJ1030" s="18">
        <f t="shared" si="893"/>
        <v>0</v>
      </c>
    </row>
    <row r="1031" spans="1:62" x14ac:dyDescent="0.2">
      <c r="A1031" s="74" t="s">
        <v>977</v>
      </c>
      <c r="B1031" s="5" t="s">
        <v>2151</v>
      </c>
      <c r="C1031" s="135" t="s">
        <v>3353</v>
      </c>
      <c r="D1031" s="136"/>
      <c r="E1031" s="136"/>
      <c r="F1031" s="136"/>
      <c r="G1031" s="136"/>
      <c r="H1031" s="5" t="s">
        <v>3619</v>
      </c>
      <c r="I1031" s="18">
        <v>4</v>
      </c>
      <c r="J1031" s="18">
        <v>0</v>
      </c>
      <c r="K1031" s="18">
        <f t="shared" si="872"/>
        <v>0</v>
      </c>
      <c r="L1031" s="28" t="s">
        <v>3635</v>
      </c>
      <c r="Z1031" s="34">
        <f t="shared" si="873"/>
        <v>0</v>
      </c>
      <c r="AB1031" s="34">
        <f t="shared" si="874"/>
        <v>0</v>
      </c>
      <c r="AC1031" s="34">
        <f t="shared" si="875"/>
        <v>0</v>
      </c>
      <c r="AD1031" s="34">
        <f t="shared" si="876"/>
        <v>0</v>
      </c>
      <c r="AE1031" s="34">
        <f t="shared" si="877"/>
        <v>0</v>
      </c>
      <c r="AF1031" s="34">
        <f t="shared" si="878"/>
        <v>0</v>
      </c>
      <c r="AG1031" s="34">
        <f t="shared" si="879"/>
        <v>0</v>
      </c>
      <c r="AH1031" s="34">
        <f t="shared" si="880"/>
        <v>0</v>
      </c>
      <c r="AI1031" s="27" t="s">
        <v>3645</v>
      </c>
      <c r="AJ1031" s="18">
        <f t="shared" si="881"/>
        <v>0</v>
      </c>
      <c r="AK1031" s="18">
        <f t="shared" si="882"/>
        <v>0</v>
      </c>
      <c r="AL1031" s="18">
        <f t="shared" si="883"/>
        <v>0</v>
      </c>
      <c r="AN1031" s="34">
        <v>21</v>
      </c>
      <c r="AO1031" s="34">
        <f t="shared" si="884"/>
        <v>0</v>
      </c>
      <c r="AP1031" s="34">
        <f t="shared" si="885"/>
        <v>0</v>
      </c>
      <c r="AQ1031" s="28" t="s">
        <v>7</v>
      </c>
      <c r="AV1031" s="34">
        <f t="shared" si="886"/>
        <v>0</v>
      </c>
      <c r="AW1031" s="34">
        <f t="shared" si="887"/>
        <v>0</v>
      </c>
      <c r="AX1031" s="34">
        <f t="shared" si="888"/>
        <v>0</v>
      </c>
      <c r="AY1031" s="35" t="s">
        <v>3694</v>
      </c>
      <c r="AZ1031" s="35" t="s">
        <v>3712</v>
      </c>
      <c r="BA1031" s="27" t="s">
        <v>3729</v>
      </c>
      <c r="BC1031" s="34">
        <f t="shared" si="889"/>
        <v>0</v>
      </c>
      <c r="BD1031" s="34">
        <f t="shared" si="890"/>
        <v>0</v>
      </c>
      <c r="BE1031" s="34">
        <v>0</v>
      </c>
      <c r="BF1031" s="34">
        <f>1030</f>
        <v>1030</v>
      </c>
      <c r="BH1031" s="18">
        <f t="shared" si="891"/>
        <v>0</v>
      </c>
      <c r="BI1031" s="18">
        <f t="shared" si="892"/>
        <v>0</v>
      </c>
      <c r="BJ1031" s="18">
        <f t="shared" si="893"/>
        <v>0</v>
      </c>
    </row>
    <row r="1032" spans="1:62" x14ac:dyDescent="0.2">
      <c r="A1032" s="74" t="s">
        <v>978</v>
      </c>
      <c r="B1032" s="5" t="s">
        <v>2152</v>
      </c>
      <c r="C1032" s="135" t="s">
        <v>3354</v>
      </c>
      <c r="D1032" s="136"/>
      <c r="E1032" s="136"/>
      <c r="F1032" s="136"/>
      <c r="G1032" s="136"/>
      <c r="H1032" s="5" t="s">
        <v>3619</v>
      </c>
      <c r="I1032" s="18">
        <v>5</v>
      </c>
      <c r="J1032" s="18">
        <v>0</v>
      </c>
      <c r="K1032" s="18">
        <f t="shared" si="872"/>
        <v>0</v>
      </c>
      <c r="L1032" s="28" t="s">
        <v>3635</v>
      </c>
      <c r="Z1032" s="34">
        <f t="shared" si="873"/>
        <v>0</v>
      </c>
      <c r="AB1032" s="34">
        <f t="shared" si="874"/>
        <v>0</v>
      </c>
      <c r="AC1032" s="34">
        <f t="shared" si="875"/>
        <v>0</v>
      </c>
      <c r="AD1032" s="34">
        <f t="shared" si="876"/>
        <v>0</v>
      </c>
      <c r="AE1032" s="34">
        <f t="shared" si="877"/>
        <v>0</v>
      </c>
      <c r="AF1032" s="34">
        <f t="shared" si="878"/>
        <v>0</v>
      </c>
      <c r="AG1032" s="34">
        <f t="shared" si="879"/>
        <v>0</v>
      </c>
      <c r="AH1032" s="34">
        <f t="shared" si="880"/>
        <v>0</v>
      </c>
      <c r="AI1032" s="27" t="s">
        <v>3645</v>
      </c>
      <c r="AJ1032" s="18">
        <f t="shared" si="881"/>
        <v>0</v>
      </c>
      <c r="AK1032" s="18">
        <f t="shared" si="882"/>
        <v>0</v>
      </c>
      <c r="AL1032" s="18">
        <f t="shared" si="883"/>
        <v>0</v>
      </c>
      <c r="AN1032" s="34">
        <v>21</v>
      </c>
      <c r="AO1032" s="34">
        <f t="shared" si="884"/>
        <v>0</v>
      </c>
      <c r="AP1032" s="34">
        <f t="shared" si="885"/>
        <v>0</v>
      </c>
      <c r="AQ1032" s="28" t="s">
        <v>7</v>
      </c>
      <c r="AV1032" s="34">
        <f t="shared" si="886"/>
        <v>0</v>
      </c>
      <c r="AW1032" s="34">
        <f t="shared" si="887"/>
        <v>0</v>
      </c>
      <c r="AX1032" s="34">
        <f t="shared" si="888"/>
        <v>0</v>
      </c>
      <c r="AY1032" s="35" t="s">
        <v>3694</v>
      </c>
      <c r="AZ1032" s="35" t="s">
        <v>3712</v>
      </c>
      <c r="BA1032" s="27" t="s">
        <v>3729</v>
      </c>
      <c r="BC1032" s="34">
        <f t="shared" si="889"/>
        <v>0</v>
      </c>
      <c r="BD1032" s="34">
        <f t="shared" si="890"/>
        <v>0</v>
      </c>
      <c r="BE1032" s="34">
        <v>0</v>
      </c>
      <c r="BF1032" s="34">
        <f>1031</f>
        <v>1031</v>
      </c>
      <c r="BH1032" s="18">
        <f t="shared" si="891"/>
        <v>0</v>
      </c>
      <c r="BI1032" s="18">
        <f t="shared" si="892"/>
        <v>0</v>
      </c>
      <c r="BJ1032" s="18">
        <f t="shared" si="893"/>
        <v>0</v>
      </c>
    </row>
    <row r="1033" spans="1:62" x14ac:dyDescent="0.2">
      <c r="A1033" s="74" t="s">
        <v>979</v>
      </c>
      <c r="B1033" s="5" t="s">
        <v>2014</v>
      </c>
      <c r="C1033" s="135" t="s">
        <v>3355</v>
      </c>
      <c r="D1033" s="136"/>
      <c r="E1033" s="136"/>
      <c r="F1033" s="136"/>
      <c r="G1033" s="136"/>
      <c r="H1033" s="5" t="s">
        <v>3612</v>
      </c>
      <c r="I1033" s="18">
        <v>1</v>
      </c>
      <c r="J1033" s="18">
        <v>0</v>
      </c>
      <c r="K1033" s="18">
        <f t="shared" si="872"/>
        <v>0</v>
      </c>
      <c r="L1033" s="28" t="s">
        <v>3635</v>
      </c>
      <c r="Z1033" s="34">
        <f t="shared" si="873"/>
        <v>0</v>
      </c>
      <c r="AB1033" s="34">
        <f t="shared" si="874"/>
        <v>0</v>
      </c>
      <c r="AC1033" s="34">
        <f t="shared" si="875"/>
        <v>0</v>
      </c>
      <c r="AD1033" s="34">
        <f t="shared" si="876"/>
        <v>0</v>
      </c>
      <c r="AE1033" s="34">
        <f t="shared" si="877"/>
        <v>0</v>
      </c>
      <c r="AF1033" s="34">
        <f t="shared" si="878"/>
        <v>0</v>
      </c>
      <c r="AG1033" s="34">
        <f t="shared" si="879"/>
        <v>0</v>
      </c>
      <c r="AH1033" s="34">
        <f t="shared" si="880"/>
        <v>0</v>
      </c>
      <c r="AI1033" s="27" t="s">
        <v>3645</v>
      </c>
      <c r="AJ1033" s="18">
        <f t="shared" si="881"/>
        <v>0</v>
      </c>
      <c r="AK1033" s="18">
        <f t="shared" si="882"/>
        <v>0</v>
      </c>
      <c r="AL1033" s="18">
        <f t="shared" si="883"/>
        <v>0</v>
      </c>
      <c r="AN1033" s="34">
        <v>21</v>
      </c>
      <c r="AO1033" s="34">
        <f t="shared" si="884"/>
        <v>0</v>
      </c>
      <c r="AP1033" s="34">
        <f t="shared" si="885"/>
        <v>0</v>
      </c>
      <c r="AQ1033" s="28" t="s">
        <v>7</v>
      </c>
      <c r="AV1033" s="34">
        <f t="shared" si="886"/>
        <v>0</v>
      </c>
      <c r="AW1033" s="34">
        <f t="shared" si="887"/>
        <v>0</v>
      </c>
      <c r="AX1033" s="34">
        <f t="shared" si="888"/>
        <v>0</v>
      </c>
      <c r="AY1033" s="35" t="s">
        <v>3694</v>
      </c>
      <c r="AZ1033" s="35" t="s">
        <v>3712</v>
      </c>
      <c r="BA1033" s="27" t="s">
        <v>3729</v>
      </c>
      <c r="BC1033" s="34">
        <f t="shared" si="889"/>
        <v>0</v>
      </c>
      <c r="BD1033" s="34">
        <f t="shared" si="890"/>
        <v>0</v>
      </c>
      <c r="BE1033" s="34">
        <v>0</v>
      </c>
      <c r="BF1033" s="34">
        <f>1032</f>
        <v>1032</v>
      </c>
      <c r="BH1033" s="18">
        <f t="shared" si="891"/>
        <v>0</v>
      </c>
      <c r="BI1033" s="18">
        <f t="shared" si="892"/>
        <v>0</v>
      </c>
      <c r="BJ1033" s="18">
        <f t="shared" si="893"/>
        <v>0</v>
      </c>
    </row>
    <row r="1034" spans="1:62" x14ac:dyDescent="0.2">
      <c r="A1034" s="74" t="s">
        <v>980</v>
      </c>
      <c r="B1034" s="5" t="s">
        <v>2153</v>
      </c>
      <c r="C1034" s="135" t="s">
        <v>3198</v>
      </c>
      <c r="D1034" s="136"/>
      <c r="E1034" s="136"/>
      <c r="F1034" s="136"/>
      <c r="G1034" s="136"/>
      <c r="H1034" s="5" t="s">
        <v>3614</v>
      </c>
      <c r="I1034" s="18">
        <v>40</v>
      </c>
      <c r="J1034" s="18">
        <v>0</v>
      </c>
      <c r="K1034" s="18">
        <f t="shared" si="872"/>
        <v>0</v>
      </c>
      <c r="L1034" s="28" t="s">
        <v>3635</v>
      </c>
      <c r="Z1034" s="34">
        <f t="shared" si="873"/>
        <v>0</v>
      </c>
      <c r="AB1034" s="34">
        <f t="shared" si="874"/>
        <v>0</v>
      </c>
      <c r="AC1034" s="34">
        <f t="shared" si="875"/>
        <v>0</v>
      </c>
      <c r="AD1034" s="34">
        <f t="shared" si="876"/>
        <v>0</v>
      </c>
      <c r="AE1034" s="34">
        <f t="shared" si="877"/>
        <v>0</v>
      </c>
      <c r="AF1034" s="34">
        <f t="shared" si="878"/>
        <v>0</v>
      </c>
      <c r="AG1034" s="34">
        <f t="shared" si="879"/>
        <v>0</v>
      </c>
      <c r="AH1034" s="34">
        <f t="shared" si="880"/>
        <v>0</v>
      </c>
      <c r="AI1034" s="27" t="s">
        <v>3645</v>
      </c>
      <c r="AJ1034" s="18">
        <f t="shared" si="881"/>
        <v>0</v>
      </c>
      <c r="AK1034" s="18">
        <f t="shared" si="882"/>
        <v>0</v>
      </c>
      <c r="AL1034" s="18">
        <f t="shared" si="883"/>
        <v>0</v>
      </c>
      <c r="AN1034" s="34">
        <v>21</v>
      </c>
      <c r="AO1034" s="34">
        <f t="shared" si="884"/>
        <v>0</v>
      </c>
      <c r="AP1034" s="34">
        <f t="shared" si="885"/>
        <v>0</v>
      </c>
      <c r="AQ1034" s="28" t="s">
        <v>7</v>
      </c>
      <c r="AV1034" s="34">
        <f t="shared" si="886"/>
        <v>0</v>
      </c>
      <c r="AW1034" s="34">
        <f t="shared" si="887"/>
        <v>0</v>
      </c>
      <c r="AX1034" s="34">
        <f t="shared" si="888"/>
        <v>0</v>
      </c>
      <c r="AY1034" s="35" t="s">
        <v>3694</v>
      </c>
      <c r="AZ1034" s="35" t="s">
        <v>3712</v>
      </c>
      <c r="BA1034" s="27" t="s">
        <v>3729</v>
      </c>
      <c r="BC1034" s="34">
        <f t="shared" si="889"/>
        <v>0</v>
      </c>
      <c r="BD1034" s="34">
        <f t="shared" si="890"/>
        <v>0</v>
      </c>
      <c r="BE1034" s="34">
        <v>0</v>
      </c>
      <c r="BF1034" s="34">
        <f>1033</f>
        <v>1033</v>
      </c>
      <c r="BH1034" s="18">
        <f t="shared" si="891"/>
        <v>0</v>
      </c>
      <c r="BI1034" s="18">
        <f t="shared" si="892"/>
        <v>0</v>
      </c>
      <c r="BJ1034" s="18">
        <f t="shared" si="893"/>
        <v>0</v>
      </c>
    </row>
    <row r="1035" spans="1:62" x14ac:dyDescent="0.2">
      <c r="A1035" s="74" t="s">
        <v>981</v>
      </c>
      <c r="B1035" s="5" t="s">
        <v>2154</v>
      </c>
      <c r="C1035" s="135" t="s">
        <v>3198</v>
      </c>
      <c r="D1035" s="136"/>
      <c r="E1035" s="136"/>
      <c r="F1035" s="136"/>
      <c r="G1035" s="136"/>
      <c r="H1035" s="5" t="s">
        <v>3614</v>
      </c>
      <c r="I1035" s="18">
        <v>40</v>
      </c>
      <c r="J1035" s="18">
        <v>0</v>
      </c>
      <c r="K1035" s="18">
        <f t="shared" si="872"/>
        <v>0</v>
      </c>
      <c r="L1035" s="28" t="s">
        <v>3635</v>
      </c>
      <c r="Z1035" s="34">
        <f t="shared" si="873"/>
        <v>0</v>
      </c>
      <c r="AB1035" s="34">
        <f t="shared" si="874"/>
        <v>0</v>
      </c>
      <c r="AC1035" s="34">
        <f t="shared" si="875"/>
        <v>0</v>
      </c>
      <c r="AD1035" s="34">
        <f t="shared" si="876"/>
        <v>0</v>
      </c>
      <c r="AE1035" s="34">
        <f t="shared" si="877"/>
        <v>0</v>
      </c>
      <c r="AF1035" s="34">
        <f t="shared" si="878"/>
        <v>0</v>
      </c>
      <c r="AG1035" s="34">
        <f t="shared" si="879"/>
        <v>0</v>
      </c>
      <c r="AH1035" s="34">
        <f t="shared" si="880"/>
        <v>0</v>
      </c>
      <c r="AI1035" s="27" t="s">
        <v>3645</v>
      </c>
      <c r="AJ1035" s="18">
        <f t="shared" si="881"/>
        <v>0</v>
      </c>
      <c r="AK1035" s="18">
        <f t="shared" si="882"/>
        <v>0</v>
      </c>
      <c r="AL1035" s="18">
        <f t="shared" si="883"/>
        <v>0</v>
      </c>
      <c r="AN1035" s="34">
        <v>21</v>
      </c>
      <c r="AO1035" s="34">
        <f t="shared" si="884"/>
        <v>0</v>
      </c>
      <c r="AP1035" s="34">
        <f t="shared" si="885"/>
        <v>0</v>
      </c>
      <c r="AQ1035" s="28" t="s">
        <v>7</v>
      </c>
      <c r="AV1035" s="34">
        <f t="shared" si="886"/>
        <v>0</v>
      </c>
      <c r="AW1035" s="34">
        <f t="shared" si="887"/>
        <v>0</v>
      </c>
      <c r="AX1035" s="34">
        <f t="shared" si="888"/>
        <v>0</v>
      </c>
      <c r="AY1035" s="35" t="s">
        <v>3694</v>
      </c>
      <c r="AZ1035" s="35" t="s">
        <v>3712</v>
      </c>
      <c r="BA1035" s="27" t="s">
        <v>3729</v>
      </c>
      <c r="BC1035" s="34">
        <f t="shared" si="889"/>
        <v>0</v>
      </c>
      <c r="BD1035" s="34">
        <f t="shared" si="890"/>
        <v>0</v>
      </c>
      <c r="BE1035" s="34">
        <v>0</v>
      </c>
      <c r="BF1035" s="34">
        <f>1034</f>
        <v>1034</v>
      </c>
      <c r="BH1035" s="18">
        <f t="shared" si="891"/>
        <v>0</v>
      </c>
      <c r="BI1035" s="18">
        <f t="shared" si="892"/>
        <v>0</v>
      </c>
      <c r="BJ1035" s="18">
        <f t="shared" si="893"/>
        <v>0</v>
      </c>
    </row>
    <row r="1036" spans="1:62" x14ac:dyDescent="0.2">
      <c r="A1036" s="74" t="s">
        <v>982</v>
      </c>
      <c r="B1036" s="5" t="s">
        <v>2016</v>
      </c>
      <c r="C1036" s="135" t="s">
        <v>3220</v>
      </c>
      <c r="D1036" s="136"/>
      <c r="E1036" s="136"/>
      <c r="F1036" s="136"/>
      <c r="G1036" s="136"/>
      <c r="H1036" s="5" t="s">
        <v>3622</v>
      </c>
      <c r="I1036" s="18">
        <v>1</v>
      </c>
      <c r="J1036" s="18">
        <v>0</v>
      </c>
      <c r="K1036" s="18">
        <f t="shared" si="872"/>
        <v>0</v>
      </c>
      <c r="L1036" s="28" t="s">
        <v>3635</v>
      </c>
      <c r="Z1036" s="34">
        <f t="shared" si="873"/>
        <v>0</v>
      </c>
      <c r="AB1036" s="34">
        <f t="shared" si="874"/>
        <v>0</v>
      </c>
      <c r="AC1036" s="34">
        <f t="shared" si="875"/>
        <v>0</v>
      </c>
      <c r="AD1036" s="34">
        <f t="shared" si="876"/>
        <v>0</v>
      </c>
      <c r="AE1036" s="34">
        <f t="shared" si="877"/>
        <v>0</v>
      </c>
      <c r="AF1036" s="34">
        <f t="shared" si="878"/>
        <v>0</v>
      </c>
      <c r="AG1036" s="34">
        <f t="shared" si="879"/>
        <v>0</v>
      </c>
      <c r="AH1036" s="34">
        <f t="shared" si="880"/>
        <v>0</v>
      </c>
      <c r="AI1036" s="27" t="s">
        <v>3645</v>
      </c>
      <c r="AJ1036" s="18">
        <f t="shared" si="881"/>
        <v>0</v>
      </c>
      <c r="AK1036" s="18">
        <f t="shared" si="882"/>
        <v>0</v>
      </c>
      <c r="AL1036" s="18">
        <f t="shared" si="883"/>
        <v>0</v>
      </c>
      <c r="AN1036" s="34">
        <v>21</v>
      </c>
      <c r="AO1036" s="34">
        <f t="shared" si="884"/>
        <v>0</v>
      </c>
      <c r="AP1036" s="34">
        <f t="shared" si="885"/>
        <v>0</v>
      </c>
      <c r="AQ1036" s="28" t="s">
        <v>7</v>
      </c>
      <c r="AV1036" s="34">
        <f t="shared" si="886"/>
        <v>0</v>
      </c>
      <c r="AW1036" s="34">
        <f t="shared" si="887"/>
        <v>0</v>
      </c>
      <c r="AX1036" s="34">
        <f t="shared" si="888"/>
        <v>0</v>
      </c>
      <c r="AY1036" s="35" t="s">
        <v>3694</v>
      </c>
      <c r="AZ1036" s="35" t="s">
        <v>3712</v>
      </c>
      <c r="BA1036" s="27" t="s">
        <v>3729</v>
      </c>
      <c r="BC1036" s="34">
        <f t="shared" si="889"/>
        <v>0</v>
      </c>
      <c r="BD1036" s="34">
        <f t="shared" si="890"/>
        <v>0</v>
      </c>
      <c r="BE1036" s="34">
        <v>0</v>
      </c>
      <c r="BF1036" s="34">
        <f>1035</f>
        <v>1035</v>
      </c>
      <c r="BH1036" s="18">
        <f t="shared" si="891"/>
        <v>0</v>
      </c>
      <c r="BI1036" s="18">
        <f t="shared" si="892"/>
        <v>0</v>
      </c>
      <c r="BJ1036" s="18">
        <f t="shared" si="893"/>
        <v>0</v>
      </c>
    </row>
    <row r="1037" spans="1:62" x14ac:dyDescent="0.2">
      <c r="A1037" s="74" t="s">
        <v>983</v>
      </c>
      <c r="B1037" s="5" t="s">
        <v>2017</v>
      </c>
      <c r="C1037" s="135" t="s">
        <v>3356</v>
      </c>
      <c r="D1037" s="136"/>
      <c r="E1037" s="136"/>
      <c r="F1037" s="136"/>
      <c r="G1037" s="136"/>
      <c r="H1037" s="5" t="s">
        <v>3618</v>
      </c>
      <c r="I1037" s="18">
        <v>1</v>
      </c>
      <c r="J1037" s="18">
        <v>0</v>
      </c>
      <c r="K1037" s="18">
        <f t="shared" si="872"/>
        <v>0</v>
      </c>
      <c r="L1037" s="28" t="s">
        <v>3635</v>
      </c>
      <c r="Z1037" s="34">
        <f t="shared" si="873"/>
        <v>0</v>
      </c>
      <c r="AB1037" s="34">
        <f t="shared" si="874"/>
        <v>0</v>
      </c>
      <c r="AC1037" s="34">
        <f t="shared" si="875"/>
        <v>0</v>
      </c>
      <c r="AD1037" s="34">
        <f t="shared" si="876"/>
        <v>0</v>
      </c>
      <c r="AE1037" s="34">
        <f t="shared" si="877"/>
        <v>0</v>
      </c>
      <c r="AF1037" s="34">
        <f t="shared" si="878"/>
        <v>0</v>
      </c>
      <c r="AG1037" s="34">
        <f t="shared" si="879"/>
        <v>0</v>
      </c>
      <c r="AH1037" s="34">
        <f t="shared" si="880"/>
        <v>0</v>
      </c>
      <c r="AI1037" s="27" t="s">
        <v>3645</v>
      </c>
      <c r="AJ1037" s="18">
        <f t="shared" si="881"/>
        <v>0</v>
      </c>
      <c r="AK1037" s="18">
        <f t="shared" si="882"/>
        <v>0</v>
      </c>
      <c r="AL1037" s="18">
        <f t="shared" si="883"/>
        <v>0</v>
      </c>
      <c r="AN1037" s="34">
        <v>21</v>
      </c>
      <c r="AO1037" s="34">
        <f t="shared" si="884"/>
        <v>0</v>
      </c>
      <c r="AP1037" s="34">
        <f t="shared" si="885"/>
        <v>0</v>
      </c>
      <c r="AQ1037" s="28" t="s">
        <v>7</v>
      </c>
      <c r="AV1037" s="34">
        <f t="shared" si="886"/>
        <v>0</v>
      </c>
      <c r="AW1037" s="34">
        <f t="shared" si="887"/>
        <v>0</v>
      </c>
      <c r="AX1037" s="34">
        <f t="shared" si="888"/>
        <v>0</v>
      </c>
      <c r="AY1037" s="35" t="s">
        <v>3694</v>
      </c>
      <c r="AZ1037" s="35" t="s">
        <v>3712</v>
      </c>
      <c r="BA1037" s="27" t="s">
        <v>3729</v>
      </c>
      <c r="BC1037" s="34">
        <f t="shared" si="889"/>
        <v>0</v>
      </c>
      <c r="BD1037" s="34">
        <f t="shared" si="890"/>
        <v>0</v>
      </c>
      <c r="BE1037" s="34">
        <v>0</v>
      </c>
      <c r="BF1037" s="34">
        <f>1036</f>
        <v>1036</v>
      </c>
      <c r="BH1037" s="18">
        <f t="shared" si="891"/>
        <v>0</v>
      </c>
      <c r="BI1037" s="18">
        <f t="shared" si="892"/>
        <v>0</v>
      </c>
      <c r="BJ1037" s="18">
        <f t="shared" si="893"/>
        <v>0</v>
      </c>
    </row>
    <row r="1038" spans="1:62" x14ac:dyDescent="0.2">
      <c r="A1038" s="74" t="s">
        <v>984</v>
      </c>
      <c r="B1038" s="5" t="s">
        <v>2155</v>
      </c>
      <c r="C1038" s="135" t="s">
        <v>3357</v>
      </c>
      <c r="D1038" s="136"/>
      <c r="E1038" s="136"/>
      <c r="F1038" s="136"/>
      <c r="G1038" s="136"/>
      <c r="H1038" s="5" t="s">
        <v>3619</v>
      </c>
      <c r="I1038" s="18">
        <v>72</v>
      </c>
      <c r="J1038" s="18">
        <v>0</v>
      </c>
      <c r="K1038" s="18">
        <f t="shared" si="872"/>
        <v>0</v>
      </c>
      <c r="L1038" s="28" t="s">
        <v>3635</v>
      </c>
      <c r="Z1038" s="34">
        <f t="shared" si="873"/>
        <v>0</v>
      </c>
      <c r="AB1038" s="34">
        <f t="shared" si="874"/>
        <v>0</v>
      </c>
      <c r="AC1038" s="34">
        <f t="shared" si="875"/>
        <v>0</v>
      </c>
      <c r="AD1038" s="34">
        <f t="shared" si="876"/>
        <v>0</v>
      </c>
      <c r="AE1038" s="34">
        <f t="shared" si="877"/>
        <v>0</v>
      </c>
      <c r="AF1038" s="34">
        <f t="shared" si="878"/>
        <v>0</v>
      </c>
      <c r="AG1038" s="34">
        <f t="shared" si="879"/>
        <v>0</v>
      </c>
      <c r="AH1038" s="34">
        <f t="shared" si="880"/>
        <v>0</v>
      </c>
      <c r="AI1038" s="27" t="s">
        <v>3645</v>
      </c>
      <c r="AJ1038" s="18">
        <f t="shared" si="881"/>
        <v>0</v>
      </c>
      <c r="AK1038" s="18">
        <f t="shared" si="882"/>
        <v>0</v>
      </c>
      <c r="AL1038" s="18">
        <f t="shared" si="883"/>
        <v>0</v>
      </c>
      <c r="AN1038" s="34">
        <v>21</v>
      </c>
      <c r="AO1038" s="34">
        <f t="shared" si="884"/>
        <v>0</v>
      </c>
      <c r="AP1038" s="34">
        <f t="shared" si="885"/>
        <v>0</v>
      </c>
      <c r="AQ1038" s="28" t="s">
        <v>7</v>
      </c>
      <c r="AV1038" s="34">
        <f t="shared" si="886"/>
        <v>0</v>
      </c>
      <c r="AW1038" s="34">
        <f t="shared" si="887"/>
        <v>0</v>
      </c>
      <c r="AX1038" s="34">
        <f t="shared" si="888"/>
        <v>0</v>
      </c>
      <c r="AY1038" s="35" t="s">
        <v>3694</v>
      </c>
      <c r="AZ1038" s="35" t="s">
        <v>3712</v>
      </c>
      <c r="BA1038" s="27" t="s">
        <v>3729</v>
      </c>
      <c r="BC1038" s="34">
        <f t="shared" si="889"/>
        <v>0</v>
      </c>
      <c r="BD1038" s="34">
        <f t="shared" si="890"/>
        <v>0</v>
      </c>
      <c r="BE1038" s="34">
        <v>0</v>
      </c>
      <c r="BF1038" s="34">
        <f>1037</f>
        <v>1037</v>
      </c>
      <c r="BH1038" s="18">
        <f t="shared" si="891"/>
        <v>0</v>
      </c>
      <c r="BI1038" s="18">
        <f t="shared" si="892"/>
        <v>0</v>
      </c>
      <c r="BJ1038" s="18">
        <f t="shared" si="893"/>
        <v>0</v>
      </c>
    </row>
    <row r="1039" spans="1:62" x14ac:dyDescent="0.2">
      <c r="A1039" s="74" t="s">
        <v>985</v>
      </c>
      <c r="B1039" s="5" t="s">
        <v>2156</v>
      </c>
      <c r="C1039" s="135" t="s">
        <v>3358</v>
      </c>
      <c r="D1039" s="136"/>
      <c r="E1039" s="136"/>
      <c r="F1039" s="136"/>
      <c r="G1039" s="136"/>
      <c r="H1039" s="5" t="s">
        <v>3618</v>
      </c>
      <c r="I1039" s="18">
        <v>1</v>
      </c>
      <c r="J1039" s="18">
        <v>0</v>
      </c>
      <c r="K1039" s="18">
        <f t="shared" si="872"/>
        <v>0</v>
      </c>
      <c r="L1039" s="28" t="s">
        <v>3635</v>
      </c>
      <c r="Z1039" s="34">
        <f t="shared" si="873"/>
        <v>0</v>
      </c>
      <c r="AB1039" s="34">
        <f t="shared" si="874"/>
        <v>0</v>
      </c>
      <c r="AC1039" s="34">
        <f t="shared" si="875"/>
        <v>0</v>
      </c>
      <c r="AD1039" s="34">
        <f t="shared" si="876"/>
        <v>0</v>
      </c>
      <c r="AE1039" s="34">
        <f t="shared" si="877"/>
        <v>0</v>
      </c>
      <c r="AF1039" s="34">
        <f t="shared" si="878"/>
        <v>0</v>
      </c>
      <c r="AG1039" s="34">
        <f t="shared" si="879"/>
        <v>0</v>
      </c>
      <c r="AH1039" s="34">
        <f t="shared" si="880"/>
        <v>0</v>
      </c>
      <c r="AI1039" s="27" t="s">
        <v>3645</v>
      </c>
      <c r="AJ1039" s="18">
        <f t="shared" si="881"/>
        <v>0</v>
      </c>
      <c r="AK1039" s="18">
        <f t="shared" si="882"/>
        <v>0</v>
      </c>
      <c r="AL1039" s="18">
        <f t="shared" si="883"/>
        <v>0</v>
      </c>
      <c r="AN1039" s="34">
        <v>21</v>
      </c>
      <c r="AO1039" s="34">
        <f t="shared" si="884"/>
        <v>0</v>
      </c>
      <c r="AP1039" s="34">
        <f t="shared" si="885"/>
        <v>0</v>
      </c>
      <c r="AQ1039" s="28" t="s">
        <v>7</v>
      </c>
      <c r="AV1039" s="34">
        <f t="shared" si="886"/>
        <v>0</v>
      </c>
      <c r="AW1039" s="34">
        <f t="shared" si="887"/>
        <v>0</v>
      </c>
      <c r="AX1039" s="34">
        <f t="shared" si="888"/>
        <v>0</v>
      </c>
      <c r="AY1039" s="35" t="s">
        <v>3694</v>
      </c>
      <c r="AZ1039" s="35" t="s">
        <v>3712</v>
      </c>
      <c r="BA1039" s="27" t="s">
        <v>3729</v>
      </c>
      <c r="BC1039" s="34">
        <f t="shared" si="889"/>
        <v>0</v>
      </c>
      <c r="BD1039" s="34">
        <f t="shared" si="890"/>
        <v>0</v>
      </c>
      <c r="BE1039" s="34">
        <v>0</v>
      </c>
      <c r="BF1039" s="34">
        <f>1038</f>
        <v>1038</v>
      </c>
      <c r="BH1039" s="18">
        <f t="shared" si="891"/>
        <v>0</v>
      </c>
      <c r="BI1039" s="18">
        <f t="shared" si="892"/>
        <v>0</v>
      </c>
      <c r="BJ1039" s="18">
        <f t="shared" si="893"/>
        <v>0</v>
      </c>
    </row>
    <row r="1040" spans="1:62" x14ac:dyDescent="0.2">
      <c r="A1040" s="74" t="s">
        <v>986</v>
      </c>
      <c r="B1040" s="5" t="s">
        <v>2157</v>
      </c>
      <c r="C1040" s="135" t="s">
        <v>3359</v>
      </c>
      <c r="D1040" s="136"/>
      <c r="E1040" s="136"/>
      <c r="F1040" s="136"/>
      <c r="G1040" s="136"/>
      <c r="H1040" s="5" t="s">
        <v>3625</v>
      </c>
      <c r="I1040" s="18">
        <v>25</v>
      </c>
      <c r="J1040" s="18">
        <v>0</v>
      </c>
      <c r="K1040" s="18">
        <f t="shared" si="872"/>
        <v>0</v>
      </c>
      <c r="L1040" s="28" t="s">
        <v>3635</v>
      </c>
      <c r="Z1040" s="34">
        <f t="shared" si="873"/>
        <v>0</v>
      </c>
      <c r="AB1040" s="34">
        <f t="shared" si="874"/>
        <v>0</v>
      </c>
      <c r="AC1040" s="34">
        <f t="shared" si="875"/>
        <v>0</v>
      </c>
      <c r="AD1040" s="34">
        <f t="shared" si="876"/>
        <v>0</v>
      </c>
      <c r="AE1040" s="34">
        <f t="shared" si="877"/>
        <v>0</v>
      </c>
      <c r="AF1040" s="34">
        <f t="shared" si="878"/>
        <v>0</v>
      </c>
      <c r="AG1040" s="34">
        <f t="shared" si="879"/>
        <v>0</v>
      </c>
      <c r="AH1040" s="34">
        <f t="shared" si="880"/>
        <v>0</v>
      </c>
      <c r="AI1040" s="27" t="s">
        <v>3645</v>
      </c>
      <c r="AJ1040" s="18">
        <f t="shared" si="881"/>
        <v>0</v>
      </c>
      <c r="AK1040" s="18">
        <f t="shared" si="882"/>
        <v>0</v>
      </c>
      <c r="AL1040" s="18">
        <f t="shared" si="883"/>
        <v>0</v>
      </c>
      <c r="AN1040" s="34">
        <v>21</v>
      </c>
      <c r="AO1040" s="34">
        <f t="shared" si="884"/>
        <v>0</v>
      </c>
      <c r="AP1040" s="34">
        <f t="shared" si="885"/>
        <v>0</v>
      </c>
      <c r="AQ1040" s="28" t="s">
        <v>7</v>
      </c>
      <c r="AV1040" s="34">
        <f t="shared" si="886"/>
        <v>0</v>
      </c>
      <c r="AW1040" s="34">
        <f t="shared" si="887"/>
        <v>0</v>
      </c>
      <c r="AX1040" s="34">
        <f t="shared" si="888"/>
        <v>0</v>
      </c>
      <c r="AY1040" s="35" t="s">
        <v>3694</v>
      </c>
      <c r="AZ1040" s="35" t="s">
        <v>3712</v>
      </c>
      <c r="BA1040" s="27" t="s">
        <v>3729</v>
      </c>
      <c r="BC1040" s="34">
        <f t="shared" si="889"/>
        <v>0</v>
      </c>
      <c r="BD1040" s="34">
        <f t="shared" si="890"/>
        <v>0</v>
      </c>
      <c r="BE1040" s="34">
        <v>0</v>
      </c>
      <c r="BF1040" s="34">
        <f>1039</f>
        <v>1039</v>
      </c>
      <c r="BH1040" s="18">
        <f t="shared" si="891"/>
        <v>0</v>
      </c>
      <c r="BI1040" s="18">
        <f t="shared" si="892"/>
        <v>0</v>
      </c>
      <c r="BJ1040" s="18">
        <f t="shared" si="893"/>
        <v>0</v>
      </c>
    </row>
    <row r="1041" spans="1:62" x14ac:dyDescent="0.2">
      <c r="A1041" s="74" t="s">
        <v>987</v>
      </c>
      <c r="B1041" s="5" t="s">
        <v>2158</v>
      </c>
      <c r="C1041" s="135" t="s">
        <v>3360</v>
      </c>
      <c r="D1041" s="136"/>
      <c r="E1041" s="136"/>
      <c r="F1041" s="136"/>
      <c r="G1041" s="136"/>
      <c r="H1041" s="5" t="s">
        <v>3625</v>
      </c>
      <c r="I1041" s="18">
        <v>55</v>
      </c>
      <c r="J1041" s="18">
        <v>0</v>
      </c>
      <c r="K1041" s="18">
        <f t="shared" si="872"/>
        <v>0</v>
      </c>
      <c r="L1041" s="28" t="s">
        <v>3635</v>
      </c>
      <c r="Z1041" s="34">
        <f t="shared" si="873"/>
        <v>0</v>
      </c>
      <c r="AB1041" s="34">
        <f t="shared" si="874"/>
        <v>0</v>
      </c>
      <c r="AC1041" s="34">
        <f t="shared" si="875"/>
        <v>0</v>
      </c>
      <c r="AD1041" s="34">
        <f t="shared" si="876"/>
        <v>0</v>
      </c>
      <c r="AE1041" s="34">
        <f t="shared" si="877"/>
        <v>0</v>
      </c>
      <c r="AF1041" s="34">
        <f t="shared" si="878"/>
        <v>0</v>
      </c>
      <c r="AG1041" s="34">
        <f t="shared" si="879"/>
        <v>0</v>
      </c>
      <c r="AH1041" s="34">
        <f t="shared" si="880"/>
        <v>0</v>
      </c>
      <c r="AI1041" s="27" t="s">
        <v>3645</v>
      </c>
      <c r="AJ1041" s="18">
        <f t="shared" si="881"/>
        <v>0</v>
      </c>
      <c r="AK1041" s="18">
        <f t="shared" si="882"/>
        <v>0</v>
      </c>
      <c r="AL1041" s="18">
        <f t="shared" si="883"/>
        <v>0</v>
      </c>
      <c r="AN1041" s="34">
        <v>21</v>
      </c>
      <c r="AO1041" s="34">
        <f t="shared" si="884"/>
        <v>0</v>
      </c>
      <c r="AP1041" s="34">
        <f t="shared" si="885"/>
        <v>0</v>
      </c>
      <c r="AQ1041" s="28" t="s">
        <v>7</v>
      </c>
      <c r="AV1041" s="34">
        <f t="shared" si="886"/>
        <v>0</v>
      </c>
      <c r="AW1041" s="34">
        <f t="shared" si="887"/>
        <v>0</v>
      </c>
      <c r="AX1041" s="34">
        <f t="shared" si="888"/>
        <v>0</v>
      </c>
      <c r="AY1041" s="35" t="s">
        <v>3694</v>
      </c>
      <c r="AZ1041" s="35" t="s">
        <v>3712</v>
      </c>
      <c r="BA1041" s="27" t="s">
        <v>3729</v>
      </c>
      <c r="BC1041" s="34">
        <f t="shared" si="889"/>
        <v>0</v>
      </c>
      <c r="BD1041" s="34">
        <f t="shared" si="890"/>
        <v>0</v>
      </c>
      <c r="BE1041" s="34">
        <v>0</v>
      </c>
      <c r="BF1041" s="34">
        <f>1040</f>
        <v>1040</v>
      </c>
      <c r="BH1041" s="18">
        <f t="shared" si="891"/>
        <v>0</v>
      </c>
      <c r="BI1041" s="18">
        <f t="shared" si="892"/>
        <v>0</v>
      </c>
      <c r="BJ1041" s="18">
        <f t="shared" si="893"/>
        <v>0</v>
      </c>
    </row>
    <row r="1042" spans="1:62" x14ac:dyDescent="0.2">
      <c r="A1042" s="74" t="s">
        <v>988</v>
      </c>
      <c r="B1042" s="5" t="s">
        <v>2159</v>
      </c>
      <c r="C1042" s="135" t="s">
        <v>3361</v>
      </c>
      <c r="D1042" s="136"/>
      <c r="E1042" s="136"/>
      <c r="F1042" s="136"/>
      <c r="G1042" s="136"/>
      <c r="H1042" s="5" t="s">
        <v>3618</v>
      </c>
      <c r="I1042" s="18">
        <v>1</v>
      </c>
      <c r="J1042" s="18">
        <v>0</v>
      </c>
      <c r="K1042" s="18">
        <f t="shared" si="872"/>
        <v>0</v>
      </c>
      <c r="L1042" s="28" t="s">
        <v>3635</v>
      </c>
      <c r="Z1042" s="34">
        <f t="shared" si="873"/>
        <v>0</v>
      </c>
      <c r="AB1042" s="34">
        <f t="shared" si="874"/>
        <v>0</v>
      </c>
      <c r="AC1042" s="34">
        <f t="shared" si="875"/>
        <v>0</v>
      </c>
      <c r="AD1042" s="34">
        <f t="shared" si="876"/>
        <v>0</v>
      </c>
      <c r="AE1042" s="34">
        <f t="shared" si="877"/>
        <v>0</v>
      </c>
      <c r="AF1042" s="34">
        <f t="shared" si="878"/>
        <v>0</v>
      </c>
      <c r="AG1042" s="34">
        <f t="shared" si="879"/>
        <v>0</v>
      </c>
      <c r="AH1042" s="34">
        <f t="shared" si="880"/>
        <v>0</v>
      </c>
      <c r="AI1042" s="27" t="s">
        <v>3645</v>
      </c>
      <c r="AJ1042" s="18">
        <f t="shared" si="881"/>
        <v>0</v>
      </c>
      <c r="AK1042" s="18">
        <f t="shared" si="882"/>
        <v>0</v>
      </c>
      <c r="AL1042" s="18">
        <f t="shared" si="883"/>
        <v>0</v>
      </c>
      <c r="AN1042" s="34">
        <v>21</v>
      </c>
      <c r="AO1042" s="34">
        <f t="shared" si="884"/>
        <v>0</v>
      </c>
      <c r="AP1042" s="34">
        <f t="shared" si="885"/>
        <v>0</v>
      </c>
      <c r="AQ1042" s="28" t="s">
        <v>7</v>
      </c>
      <c r="AV1042" s="34">
        <f t="shared" si="886"/>
        <v>0</v>
      </c>
      <c r="AW1042" s="34">
        <f t="shared" si="887"/>
        <v>0</v>
      </c>
      <c r="AX1042" s="34">
        <f t="shared" si="888"/>
        <v>0</v>
      </c>
      <c r="AY1042" s="35" t="s">
        <v>3694</v>
      </c>
      <c r="AZ1042" s="35" t="s">
        <v>3712</v>
      </c>
      <c r="BA1042" s="27" t="s">
        <v>3729</v>
      </c>
      <c r="BC1042" s="34">
        <f t="shared" si="889"/>
        <v>0</v>
      </c>
      <c r="BD1042" s="34">
        <f t="shared" si="890"/>
        <v>0</v>
      </c>
      <c r="BE1042" s="34">
        <v>0</v>
      </c>
      <c r="BF1042" s="34">
        <f>1041</f>
        <v>1041</v>
      </c>
      <c r="BH1042" s="18">
        <f t="shared" si="891"/>
        <v>0</v>
      </c>
      <c r="BI1042" s="18">
        <f t="shared" si="892"/>
        <v>0</v>
      </c>
      <c r="BJ1042" s="18">
        <f t="shared" si="893"/>
        <v>0</v>
      </c>
    </row>
    <row r="1043" spans="1:62" x14ac:dyDescent="0.2">
      <c r="A1043" s="74" t="s">
        <v>989</v>
      </c>
      <c r="B1043" s="5" t="s">
        <v>2018</v>
      </c>
      <c r="C1043" s="135" t="s">
        <v>3223</v>
      </c>
      <c r="D1043" s="136"/>
      <c r="E1043" s="136"/>
      <c r="F1043" s="136"/>
      <c r="G1043" s="136"/>
      <c r="H1043" s="5" t="s">
        <v>3619</v>
      </c>
      <c r="I1043" s="18">
        <v>80</v>
      </c>
      <c r="J1043" s="18">
        <v>0</v>
      </c>
      <c r="K1043" s="18">
        <f t="shared" si="872"/>
        <v>0</v>
      </c>
      <c r="L1043" s="28" t="s">
        <v>3635</v>
      </c>
      <c r="Z1043" s="34">
        <f t="shared" si="873"/>
        <v>0</v>
      </c>
      <c r="AB1043" s="34">
        <f t="shared" si="874"/>
        <v>0</v>
      </c>
      <c r="AC1043" s="34">
        <f t="shared" si="875"/>
        <v>0</v>
      </c>
      <c r="AD1043" s="34">
        <f t="shared" si="876"/>
        <v>0</v>
      </c>
      <c r="AE1043" s="34">
        <f t="shared" si="877"/>
        <v>0</v>
      </c>
      <c r="AF1043" s="34">
        <f t="shared" si="878"/>
        <v>0</v>
      </c>
      <c r="AG1043" s="34">
        <f t="shared" si="879"/>
        <v>0</v>
      </c>
      <c r="AH1043" s="34">
        <f t="shared" si="880"/>
        <v>0</v>
      </c>
      <c r="AI1043" s="27" t="s">
        <v>3645</v>
      </c>
      <c r="AJ1043" s="18">
        <f t="shared" si="881"/>
        <v>0</v>
      </c>
      <c r="AK1043" s="18">
        <f t="shared" si="882"/>
        <v>0</v>
      </c>
      <c r="AL1043" s="18">
        <f t="shared" si="883"/>
        <v>0</v>
      </c>
      <c r="AN1043" s="34">
        <v>21</v>
      </c>
      <c r="AO1043" s="34">
        <f t="shared" si="884"/>
        <v>0</v>
      </c>
      <c r="AP1043" s="34">
        <f t="shared" si="885"/>
        <v>0</v>
      </c>
      <c r="AQ1043" s="28" t="s">
        <v>7</v>
      </c>
      <c r="AV1043" s="34">
        <f t="shared" si="886"/>
        <v>0</v>
      </c>
      <c r="AW1043" s="34">
        <f t="shared" si="887"/>
        <v>0</v>
      </c>
      <c r="AX1043" s="34">
        <f t="shared" si="888"/>
        <v>0</v>
      </c>
      <c r="AY1043" s="35" t="s">
        <v>3694</v>
      </c>
      <c r="AZ1043" s="35" t="s">
        <v>3712</v>
      </c>
      <c r="BA1043" s="27" t="s">
        <v>3729</v>
      </c>
      <c r="BC1043" s="34">
        <f t="shared" si="889"/>
        <v>0</v>
      </c>
      <c r="BD1043" s="34">
        <f t="shared" si="890"/>
        <v>0</v>
      </c>
      <c r="BE1043" s="34">
        <v>0</v>
      </c>
      <c r="BF1043" s="34">
        <f>1042</f>
        <v>1042</v>
      </c>
      <c r="BH1043" s="18">
        <f t="shared" si="891"/>
        <v>0</v>
      </c>
      <c r="BI1043" s="18">
        <f t="shared" si="892"/>
        <v>0</v>
      </c>
      <c r="BJ1043" s="18">
        <f t="shared" si="893"/>
        <v>0</v>
      </c>
    </row>
    <row r="1044" spans="1:62" x14ac:dyDescent="0.2">
      <c r="A1044" s="74" t="s">
        <v>990</v>
      </c>
      <c r="B1044" s="6" t="s">
        <v>2160</v>
      </c>
      <c r="C1044" s="137" t="s">
        <v>3362</v>
      </c>
      <c r="D1044" s="138"/>
      <c r="E1044" s="138"/>
      <c r="F1044" s="138"/>
      <c r="G1044" s="138"/>
      <c r="H1044" s="6" t="s">
        <v>3612</v>
      </c>
      <c r="I1044" s="19">
        <v>204</v>
      </c>
      <c r="J1044" s="19">
        <v>0</v>
      </c>
      <c r="K1044" s="19">
        <f t="shared" si="872"/>
        <v>0</v>
      </c>
      <c r="L1044" s="29" t="s">
        <v>3635</v>
      </c>
      <c r="Z1044" s="34">
        <f t="shared" si="873"/>
        <v>0</v>
      </c>
      <c r="AB1044" s="34">
        <f t="shared" si="874"/>
        <v>0</v>
      </c>
      <c r="AC1044" s="34">
        <f t="shared" si="875"/>
        <v>0</v>
      </c>
      <c r="AD1044" s="34">
        <f t="shared" si="876"/>
        <v>0</v>
      </c>
      <c r="AE1044" s="34">
        <f t="shared" si="877"/>
        <v>0</v>
      </c>
      <c r="AF1044" s="34">
        <f t="shared" si="878"/>
        <v>0</v>
      </c>
      <c r="AG1044" s="34">
        <f t="shared" si="879"/>
        <v>0</v>
      </c>
      <c r="AH1044" s="34">
        <f t="shared" si="880"/>
        <v>0</v>
      </c>
      <c r="AI1044" s="27" t="s">
        <v>3645</v>
      </c>
      <c r="AJ1044" s="19">
        <f t="shared" si="881"/>
        <v>0</v>
      </c>
      <c r="AK1044" s="19">
        <f t="shared" si="882"/>
        <v>0</v>
      </c>
      <c r="AL1044" s="19">
        <f t="shared" si="883"/>
        <v>0</v>
      </c>
      <c r="AN1044" s="34">
        <v>21</v>
      </c>
      <c r="AO1044" s="34">
        <f>J1044*1</f>
        <v>0</v>
      </c>
      <c r="AP1044" s="34">
        <f>J1044*(1-1)</f>
        <v>0</v>
      </c>
      <c r="AQ1044" s="29" t="s">
        <v>7</v>
      </c>
      <c r="AV1044" s="34">
        <f t="shared" si="886"/>
        <v>0</v>
      </c>
      <c r="AW1044" s="34">
        <f t="shared" si="887"/>
        <v>0</v>
      </c>
      <c r="AX1044" s="34">
        <f t="shared" si="888"/>
        <v>0</v>
      </c>
      <c r="AY1044" s="35" t="s">
        <v>3694</v>
      </c>
      <c r="AZ1044" s="35" t="s">
        <v>3712</v>
      </c>
      <c r="BA1044" s="27" t="s">
        <v>3729</v>
      </c>
      <c r="BC1044" s="34">
        <f t="shared" si="889"/>
        <v>0</v>
      </c>
      <c r="BD1044" s="34">
        <f t="shared" si="890"/>
        <v>0</v>
      </c>
      <c r="BE1044" s="34">
        <v>0</v>
      </c>
      <c r="BF1044" s="34">
        <f>1043</f>
        <v>1043</v>
      </c>
      <c r="BH1044" s="19">
        <f t="shared" si="891"/>
        <v>0</v>
      </c>
      <c r="BI1044" s="19">
        <f t="shared" si="892"/>
        <v>0</v>
      </c>
      <c r="BJ1044" s="19">
        <f t="shared" si="893"/>
        <v>0</v>
      </c>
    </row>
    <row r="1045" spans="1:62" x14ac:dyDescent="0.2">
      <c r="A1045" s="74" t="s">
        <v>991</v>
      </c>
      <c r="B1045" s="6" t="s">
        <v>2161</v>
      </c>
      <c r="C1045" s="137" t="s">
        <v>3363</v>
      </c>
      <c r="D1045" s="138"/>
      <c r="E1045" s="138"/>
      <c r="F1045" s="138"/>
      <c r="G1045" s="138"/>
      <c r="H1045" s="6" t="s">
        <v>3612</v>
      </c>
      <c r="I1045" s="19">
        <v>68</v>
      </c>
      <c r="J1045" s="19">
        <v>0</v>
      </c>
      <c r="K1045" s="19">
        <f t="shared" si="872"/>
        <v>0</v>
      </c>
      <c r="L1045" s="29" t="s">
        <v>3635</v>
      </c>
      <c r="Z1045" s="34">
        <f t="shared" si="873"/>
        <v>0</v>
      </c>
      <c r="AB1045" s="34">
        <f t="shared" si="874"/>
        <v>0</v>
      </c>
      <c r="AC1045" s="34">
        <f t="shared" si="875"/>
        <v>0</v>
      </c>
      <c r="AD1045" s="34">
        <f t="shared" si="876"/>
        <v>0</v>
      </c>
      <c r="AE1045" s="34">
        <f t="shared" si="877"/>
        <v>0</v>
      </c>
      <c r="AF1045" s="34">
        <f t="shared" si="878"/>
        <v>0</v>
      </c>
      <c r="AG1045" s="34">
        <f t="shared" si="879"/>
        <v>0</v>
      </c>
      <c r="AH1045" s="34">
        <f t="shared" si="880"/>
        <v>0</v>
      </c>
      <c r="AI1045" s="27" t="s">
        <v>3645</v>
      </c>
      <c r="AJ1045" s="19">
        <f t="shared" si="881"/>
        <v>0</v>
      </c>
      <c r="AK1045" s="19">
        <f t="shared" si="882"/>
        <v>0</v>
      </c>
      <c r="AL1045" s="19">
        <f t="shared" si="883"/>
        <v>0</v>
      </c>
      <c r="AN1045" s="34">
        <v>21</v>
      </c>
      <c r="AO1045" s="34">
        <f>J1045*1</f>
        <v>0</v>
      </c>
      <c r="AP1045" s="34">
        <f>J1045*(1-1)</f>
        <v>0</v>
      </c>
      <c r="AQ1045" s="29" t="s">
        <v>7</v>
      </c>
      <c r="AV1045" s="34">
        <f t="shared" si="886"/>
        <v>0</v>
      </c>
      <c r="AW1045" s="34">
        <f t="shared" si="887"/>
        <v>0</v>
      </c>
      <c r="AX1045" s="34">
        <f t="shared" si="888"/>
        <v>0</v>
      </c>
      <c r="AY1045" s="35" t="s">
        <v>3694</v>
      </c>
      <c r="AZ1045" s="35" t="s">
        <v>3712</v>
      </c>
      <c r="BA1045" s="27" t="s">
        <v>3729</v>
      </c>
      <c r="BC1045" s="34">
        <f t="shared" si="889"/>
        <v>0</v>
      </c>
      <c r="BD1045" s="34">
        <f t="shared" si="890"/>
        <v>0</v>
      </c>
      <c r="BE1045" s="34">
        <v>0</v>
      </c>
      <c r="BF1045" s="34">
        <f>1044</f>
        <v>1044</v>
      </c>
      <c r="BH1045" s="19">
        <f t="shared" si="891"/>
        <v>0</v>
      </c>
      <c r="BI1045" s="19">
        <f t="shared" si="892"/>
        <v>0</v>
      </c>
      <c r="BJ1045" s="19">
        <f t="shared" si="893"/>
        <v>0</v>
      </c>
    </row>
    <row r="1046" spans="1:62" x14ac:dyDescent="0.2">
      <c r="A1046" s="4"/>
      <c r="B1046" s="14" t="s">
        <v>2162</v>
      </c>
      <c r="C1046" s="133" t="s">
        <v>3364</v>
      </c>
      <c r="D1046" s="134"/>
      <c r="E1046" s="134"/>
      <c r="F1046" s="134"/>
      <c r="G1046" s="134"/>
      <c r="H1046" s="4" t="s">
        <v>6</v>
      </c>
      <c r="I1046" s="4" t="s">
        <v>6</v>
      </c>
      <c r="J1046" s="4" t="s">
        <v>6</v>
      </c>
      <c r="K1046" s="37">
        <f>SUM(K1047:K1047)</f>
        <v>0</v>
      </c>
      <c r="L1046" s="27"/>
      <c r="AI1046" s="27" t="s">
        <v>3645</v>
      </c>
      <c r="AS1046" s="37">
        <f>SUM(AJ1047:AJ1047)</f>
        <v>0</v>
      </c>
      <c r="AT1046" s="37">
        <f>SUM(AK1047:AK1047)</f>
        <v>0</v>
      </c>
      <c r="AU1046" s="37">
        <f>SUM(AL1047:AL1047)</f>
        <v>0</v>
      </c>
    </row>
    <row r="1047" spans="1:62" x14ac:dyDescent="0.2">
      <c r="A1047" s="74" t="s">
        <v>992</v>
      </c>
      <c r="B1047" s="5" t="s">
        <v>2163</v>
      </c>
      <c r="C1047" s="135" t="s">
        <v>3365</v>
      </c>
      <c r="D1047" s="136"/>
      <c r="E1047" s="136"/>
      <c r="F1047" s="136"/>
      <c r="G1047" s="136"/>
      <c r="H1047" s="5" t="s">
        <v>3612</v>
      </c>
      <c r="I1047" s="18">
        <v>1</v>
      </c>
      <c r="J1047" s="18">
        <v>0</v>
      </c>
      <c r="K1047" s="18">
        <f>I1047*J1047</f>
        <v>0</v>
      </c>
      <c r="L1047" s="28" t="s">
        <v>3635</v>
      </c>
      <c r="Z1047" s="34">
        <f>IF(AQ1047="5",BJ1047,0)</f>
        <v>0</v>
      </c>
      <c r="AB1047" s="34">
        <f>IF(AQ1047="1",BH1047,0)</f>
        <v>0</v>
      </c>
      <c r="AC1047" s="34">
        <f>IF(AQ1047="1",BI1047,0)</f>
        <v>0</v>
      </c>
      <c r="AD1047" s="34">
        <f>IF(AQ1047="7",BH1047,0)</f>
        <v>0</v>
      </c>
      <c r="AE1047" s="34">
        <f>IF(AQ1047="7",BI1047,0)</f>
        <v>0</v>
      </c>
      <c r="AF1047" s="34">
        <f>IF(AQ1047="2",BH1047,0)</f>
        <v>0</v>
      </c>
      <c r="AG1047" s="34">
        <f>IF(AQ1047="2",BI1047,0)</f>
        <v>0</v>
      </c>
      <c r="AH1047" s="34">
        <f>IF(AQ1047="0",BJ1047,0)</f>
        <v>0</v>
      </c>
      <c r="AI1047" s="27" t="s">
        <v>3645</v>
      </c>
      <c r="AJ1047" s="18">
        <f>IF(AN1047=0,K1047,0)</f>
        <v>0</v>
      </c>
      <c r="AK1047" s="18">
        <f>IF(AN1047=15,K1047,0)</f>
        <v>0</v>
      </c>
      <c r="AL1047" s="18">
        <f>IF(AN1047=21,K1047,0)</f>
        <v>0</v>
      </c>
      <c r="AN1047" s="34">
        <v>21</v>
      </c>
      <c r="AO1047" s="34">
        <f>J1047*0</f>
        <v>0</v>
      </c>
      <c r="AP1047" s="34">
        <f>J1047*(1-0)</f>
        <v>0</v>
      </c>
      <c r="AQ1047" s="28" t="s">
        <v>8</v>
      </c>
      <c r="AV1047" s="34">
        <f>AW1047+AX1047</f>
        <v>0</v>
      </c>
      <c r="AW1047" s="34">
        <f>I1047*AO1047</f>
        <v>0</v>
      </c>
      <c r="AX1047" s="34">
        <f>I1047*AP1047</f>
        <v>0</v>
      </c>
      <c r="AY1047" s="35" t="s">
        <v>3695</v>
      </c>
      <c r="AZ1047" s="35" t="s">
        <v>3712</v>
      </c>
      <c r="BA1047" s="27" t="s">
        <v>3729</v>
      </c>
      <c r="BC1047" s="34">
        <f>AW1047+AX1047</f>
        <v>0</v>
      </c>
      <c r="BD1047" s="34">
        <f>J1047/(100-BE1047)*100</f>
        <v>0</v>
      </c>
      <c r="BE1047" s="34">
        <v>0</v>
      </c>
      <c r="BF1047" s="34">
        <f>1046</f>
        <v>1046</v>
      </c>
      <c r="BH1047" s="18">
        <f>I1047*AO1047</f>
        <v>0</v>
      </c>
      <c r="BI1047" s="18">
        <f>I1047*AP1047</f>
        <v>0</v>
      </c>
      <c r="BJ1047" s="18">
        <f>I1047*J1047</f>
        <v>0</v>
      </c>
    </row>
    <row r="1048" spans="1:62" x14ac:dyDescent="0.2">
      <c r="A1048" s="4"/>
      <c r="B1048" s="14" t="s">
        <v>2164</v>
      </c>
      <c r="C1048" s="133" t="s">
        <v>3366</v>
      </c>
      <c r="D1048" s="134"/>
      <c r="E1048" s="134"/>
      <c r="F1048" s="134"/>
      <c r="G1048" s="134"/>
      <c r="H1048" s="4" t="s">
        <v>6</v>
      </c>
      <c r="I1048" s="4" t="s">
        <v>6</v>
      </c>
      <c r="J1048" s="4" t="s">
        <v>6</v>
      </c>
      <c r="K1048" s="37">
        <f>SUM(K1049:K1051)</f>
        <v>0</v>
      </c>
      <c r="L1048" s="27"/>
      <c r="AI1048" s="27" t="s">
        <v>3645</v>
      </c>
      <c r="AS1048" s="37">
        <f>SUM(AJ1049:AJ1051)</f>
        <v>0</v>
      </c>
      <c r="AT1048" s="37">
        <f>SUM(AK1049:AK1051)</f>
        <v>0</v>
      </c>
      <c r="AU1048" s="37">
        <f>SUM(AL1049:AL1051)</f>
        <v>0</v>
      </c>
    </row>
    <row r="1049" spans="1:62" x14ac:dyDescent="0.2">
      <c r="A1049" s="74" t="s">
        <v>993</v>
      </c>
      <c r="B1049" s="5" t="s">
        <v>2165</v>
      </c>
      <c r="C1049" s="135" t="s">
        <v>3367</v>
      </c>
      <c r="D1049" s="136"/>
      <c r="E1049" s="136"/>
      <c r="F1049" s="136"/>
      <c r="G1049" s="136"/>
      <c r="H1049" s="5" t="s">
        <v>3620</v>
      </c>
      <c r="I1049" s="18">
        <v>6242.72</v>
      </c>
      <c r="J1049" s="18">
        <v>0</v>
      </c>
      <c r="K1049" s="18">
        <f>I1049*J1049</f>
        <v>0</v>
      </c>
      <c r="L1049" s="28" t="s">
        <v>3635</v>
      </c>
      <c r="Z1049" s="34">
        <f>IF(AQ1049="5",BJ1049,0)</f>
        <v>0</v>
      </c>
      <c r="AB1049" s="34">
        <f>IF(AQ1049="1",BH1049,0)</f>
        <v>0</v>
      </c>
      <c r="AC1049" s="34">
        <f>IF(AQ1049="1",BI1049,0)</f>
        <v>0</v>
      </c>
      <c r="AD1049" s="34">
        <f>IF(AQ1049="7",BH1049,0)</f>
        <v>0</v>
      </c>
      <c r="AE1049" s="34">
        <f>IF(AQ1049="7",BI1049,0)</f>
        <v>0</v>
      </c>
      <c r="AF1049" s="34">
        <f>IF(AQ1049="2",BH1049,0)</f>
        <v>0</v>
      </c>
      <c r="AG1049" s="34">
        <f>IF(AQ1049="2",BI1049,0)</f>
        <v>0</v>
      </c>
      <c r="AH1049" s="34">
        <f>IF(AQ1049="0",BJ1049,0)</f>
        <v>0</v>
      </c>
      <c r="AI1049" s="27" t="s">
        <v>3645</v>
      </c>
      <c r="AJ1049" s="18">
        <f>IF(AN1049=0,K1049,0)</f>
        <v>0</v>
      </c>
      <c r="AK1049" s="18">
        <f>IF(AN1049=15,K1049,0)</f>
        <v>0</v>
      </c>
      <c r="AL1049" s="18">
        <f>IF(AN1049=21,K1049,0)</f>
        <v>0</v>
      </c>
      <c r="AN1049" s="34">
        <v>21</v>
      </c>
      <c r="AO1049" s="34">
        <f>J1049*0</f>
        <v>0</v>
      </c>
      <c r="AP1049" s="34">
        <f>J1049*(1-0)</f>
        <v>0</v>
      </c>
      <c r="AQ1049" s="28" t="s">
        <v>8</v>
      </c>
      <c r="AV1049" s="34">
        <f>AW1049+AX1049</f>
        <v>0</v>
      </c>
      <c r="AW1049" s="34">
        <f>I1049*AO1049</f>
        <v>0</v>
      </c>
      <c r="AX1049" s="34">
        <f>I1049*AP1049</f>
        <v>0</v>
      </c>
      <c r="AY1049" s="35" t="s">
        <v>3696</v>
      </c>
      <c r="AZ1049" s="35" t="s">
        <v>3712</v>
      </c>
      <c r="BA1049" s="27" t="s">
        <v>3729</v>
      </c>
      <c r="BC1049" s="34">
        <f>AW1049+AX1049</f>
        <v>0</v>
      </c>
      <c r="BD1049" s="34">
        <f>J1049/(100-BE1049)*100</f>
        <v>0</v>
      </c>
      <c r="BE1049" s="34">
        <v>0</v>
      </c>
      <c r="BF1049" s="34">
        <f>1048</f>
        <v>1048</v>
      </c>
      <c r="BH1049" s="18">
        <f>I1049*AO1049</f>
        <v>0</v>
      </c>
      <c r="BI1049" s="18">
        <f>I1049*AP1049</f>
        <v>0</v>
      </c>
      <c r="BJ1049" s="18">
        <f>I1049*J1049</f>
        <v>0</v>
      </c>
    </row>
    <row r="1050" spans="1:62" x14ac:dyDescent="0.2">
      <c r="A1050" s="74" t="s">
        <v>994</v>
      </c>
      <c r="B1050" s="5" t="s">
        <v>2166</v>
      </c>
      <c r="C1050" s="135" t="s">
        <v>3368</v>
      </c>
      <c r="D1050" s="136"/>
      <c r="E1050" s="136"/>
      <c r="F1050" s="136"/>
      <c r="G1050" s="136"/>
      <c r="H1050" s="5" t="s">
        <v>3620</v>
      </c>
      <c r="I1050" s="18">
        <v>624.27200000000005</v>
      </c>
      <c r="J1050" s="18">
        <v>0</v>
      </c>
      <c r="K1050" s="18">
        <f>I1050*J1050</f>
        <v>0</v>
      </c>
      <c r="L1050" s="28" t="s">
        <v>3635</v>
      </c>
      <c r="Z1050" s="34">
        <f>IF(AQ1050="5",BJ1050,0)</f>
        <v>0</v>
      </c>
      <c r="AB1050" s="34">
        <f>IF(AQ1050="1",BH1050,0)</f>
        <v>0</v>
      </c>
      <c r="AC1050" s="34">
        <f>IF(AQ1050="1",BI1050,0)</f>
        <v>0</v>
      </c>
      <c r="AD1050" s="34">
        <f>IF(AQ1050="7",BH1050,0)</f>
        <v>0</v>
      </c>
      <c r="AE1050" s="34">
        <f>IF(AQ1050="7",BI1050,0)</f>
        <v>0</v>
      </c>
      <c r="AF1050" s="34">
        <f>IF(AQ1050="2",BH1050,0)</f>
        <v>0</v>
      </c>
      <c r="AG1050" s="34">
        <f>IF(AQ1050="2",BI1050,0)</f>
        <v>0</v>
      </c>
      <c r="AH1050" s="34">
        <f>IF(AQ1050="0",BJ1050,0)</f>
        <v>0</v>
      </c>
      <c r="AI1050" s="27" t="s">
        <v>3645</v>
      </c>
      <c r="AJ1050" s="18">
        <f>IF(AN1050=0,K1050,0)</f>
        <v>0</v>
      </c>
      <c r="AK1050" s="18">
        <f>IF(AN1050=15,K1050,0)</f>
        <v>0</v>
      </c>
      <c r="AL1050" s="18">
        <f>IF(AN1050=21,K1050,0)</f>
        <v>0</v>
      </c>
      <c r="AN1050" s="34">
        <v>21</v>
      </c>
      <c r="AO1050" s="34">
        <f>J1050*0</f>
        <v>0</v>
      </c>
      <c r="AP1050" s="34">
        <f>J1050*(1-0)</f>
        <v>0</v>
      </c>
      <c r="AQ1050" s="28" t="s">
        <v>8</v>
      </c>
      <c r="AV1050" s="34">
        <f>AW1050+AX1050</f>
        <v>0</v>
      </c>
      <c r="AW1050" s="34">
        <f>I1050*AO1050</f>
        <v>0</v>
      </c>
      <c r="AX1050" s="34">
        <f>I1050*AP1050</f>
        <v>0</v>
      </c>
      <c r="AY1050" s="35" t="s">
        <v>3696</v>
      </c>
      <c r="AZ1050" s="35" t="s">
        <v>3712</v>
      </c>
      <c r="BA1050" s="27" t="s">
        <v>3729</v>
      </c>
      <c r="BC1050" s="34">
        <f>AW1050+AX1050</f>
        <v>0</v>
      </c>
      <c r="BD1050" s="34">
        <f>J1050/(100-BE1050)*100</f>
        <v>0</v>
      </c>
      <c r="BE1050" s="34">
        <v>0</v>
      </c>
      <c r="BF1050" s="34">
        <f>1049</f>
        <v>1049</v>
      </c>
      <c r="BH1050" s="18">
        <f>I1050*AO1050</f>
        <v>0</v>
      </c>
      <c r="BI1050" s="18">
        <f>I1050*AP1050</f>
        <v>0</v>
      </c>
      <c r="BJ1050" s="18">
        <f>I1050*J1050</f>
        <v>0</v>
      </c>
    </row>
    <row r="1051" spans="1:62" x14ac:dyDescent="0.2">
      <c r="A1051" s="74" t="s">
        <v>995</v>
      </c>
      <c r="B1051" s="5" t="s">
        <v>2167</v>
      </c>
      <c r="C1051" s="135" t="s">
        <v>3369</v>
      </c>
      <c r="D1051" s="136"/>
      <c r="E1051" s="136"/>
      <c r="F1051" s="136"/>
      <c r="G1051" s="136"/>
      <c r="H1051" s="5" t="s">
        <v>3620</v>
      </c>
      <c r="I1051" s="18">
        <v>624.27200000000005</v>
      </c>
      <c r="J1051" s="18">
        <v>0</v>
      </c>
      <c r="K1051" s="18">
        <f>I1051*J1051</f>
        <v>0</v>
      </c>
      <c r="L1051" s="28" t="s">
        <v>3635</v>
      </c>
      <c r="Z1051" s="34">
        <f>IF(AQ1051="5",BJ1051,0)</f>
        <v>0</v>
      </c>
      <c r="AB1051" s="34">
        <f>IF(AQ1051="1",BH1051,0)</f>
        <v>0</v>
      </c>
      <c r="AC1051" s="34">
        <f>IF(AQ1051="1",BI1051,0)</f>
        <v>0</v>
      </c>
      <c r="AD1051" s="34">
        <f>IF(AQ1051="7",BH1051,0)</f>
        <v>0</v>
      </c>
      <c r="AE1051" s="34">
        <f>IF(AQ1051="7",BI1051,0)</f>
        <v>0</v>
      </c>
      <c r="AF1051" s="34">
        <f>IF(AQ1051="2",BH1051,0)</f>
        <v>0</v>
      </c>
      <c r="AG1051" s="34">
        <f>IF(AQ1051="2",BI1051,0)</f>
        <v>0</v>
      </c>
      <c r="AH1051" s="34">
        <f>IF(AQ1051="0",BJ1051,0)</f>
        <v>0</v>
      </c>
      <c r="AI1051" s="27" t="s">
        <v>3645</v>
      </c>
      <c r="AJ1051" s="18">
        <f>IF(AN1051=0,K1051,0)</f>
        <v>0</v>
      </c>
      <c r="AK1051" s="18">
        <f>IF(AN1051=15,K1051,0)</f>
        <v>0</v>
      </c>
      <c r="AL1051" s="18">
        <f>IF(AN1051=21,K1051,0)</f>
        <v>0</v>
      </c>
      <c r="AN1051" s="34">
        <v>21</v>
      </c>
      <c r="AO1051" s="34">
        <f>J1051*0</f>
        <v>0</v>
      </c>
      <c r="AP1051" s="34">
        <f>J1051*(1-0)</f>
        <v>0</v>
      </c>
      <c r="AQ1051" s="28" t="s">
        <v>8</v>
      </c>
      <c r="AV1051" s="34">
        <f>AW1051+AX1051</f>
        <v>0</v>
      </c>
      <c r="AW1051" s="34">
        <f>I1051*AO1051</f>
        <v>0</v>
      </c>
      <c r="AX1051" s="34">
        <f>I1051*AP1051</f>
        <v>0</v>
      </c>
      <c r="AY1051" s="35" t="s">
        <v>3696</v>
      </c>
      <c r="AZ1051" s="35" t="s">
        <v>3712</v>
      </c>
      <c r="BA1051" s="27" t="s">
        <v>3729</v>
      </c>
      <c r="BC1051" s="34">
        <f>AW1051+AX1051</f>
        <v>0</v>
      </c>
      <c r="BD1051" s="34">
        <f>J1051/(100-BE1051)*100</f>
        <v>0</v>
      </c>
      <c r="BE1051" s="34">
        <v>0</v>
      </c>
      <c r="BF1051" s="34">
        <f>1050</f>
        <v>1050</v>
      </c>
      <c r="BH1051" s="18">
        <f>I1051*AO1051</f>
        <v>0</v>
      </c>
      <c r="BI1051" s="18">
        <f>I1051*AP1051</f>
        <v>0</v>
      </c>
      <c r="BJ1051" s="18">
        <f>I1051*J1051</f>
        <v>0</v>
      </c>
    </row>
    <row r="1052" spans="1:62" x14ac:dyDescent="0.2">
      <c r="A1052" s="7"/>
      <c r="B1052" s="15"/>
      <c r="C1052" s="131" t="s">
        <v>3370</v>
      </c>
      <c r="D1052" s="132"/>
      <c r="E1052" s="132"/>
      <c r="F1052" s="132"/>
      <c r="G1052" s="132"/>
      <c r="H1052" s="7" t="s">
        <v>6</v>
      </c>
      <c r="I1052" s="7" t="s">
        <v>6</v>
      </c>
      <c r="J1052" s="7" t="s">
        <v>6</v>
      </c>
      <c r="K1052" s="38">
        <f>K1053+K1056+K1058+K1062+K1068+K1070</f>
        <v>0</v>
      </c>
      <c r="L1052" s="30"/>
    </row>
    <row r="1053" spans="1:62" x14ac:dyDescent="0.2">
      <c r="A1053" s="4"/>
      <c r="B1053" s="14" t="s">
        <v>17</v>
      </c>
      <c r="C1053" s="133" t="s">
        <v>2405</v>
      </c>
      <c r="D1053" s="134"/>
      <c r="E1053" s="134"/>
      <c r="F1053" s="134"/>
      <c r="G1053" s="134"/>
      <c r="H1053" s="4" t="s">
        <v>6</v>
      </c>
      <c r="I1053" s="4" t="s">
        <v>6</v>
      </c>
      <c r="J1053" s="4" t="s">
        <v>6</v>
      </c>
      <c r="K1053" s="37">
        <f>SUM(K1054:K1055)</f>
        <v>0</v>
      </c>
      <c r="L1053" s="27"/>
      <c r="AI1053" s="27" t="s">
        <v>3646</v>
      </c>
      <c r="AS1053" s="37">
        <f>SUM(AJ1054:AJ1055)</f>
        <v>0</v>
      </c>
      <c r="AT1053" s="37">
        <f>SUM(AK1054:AK1055)</f>
        <v>0</v>
      </c>
      <c r="AU1053" s="37">
        <f>SUM(AL1054:AL1055)</f>
        <v>0</v>
      </c>
    </row>
    <row r="1054" spans="1:62" x14ac:dyDescent="0.2">
      <c r="A1054" s="74" t="s">
        <v>996</v>
      </c>
      <c r="B1054" s="5" t="s">
        <v>2168</v>
      </c>
      <c r="C1054" s="135" t="s">
        <v>3371</v>
      </c>
      <c r="D1054" s="136"/>
      <c r="E1054" s="136"/>
      <c r="F1054" s="136"/>
      <c r="G1054" s="136"/>
      <c r="H1054" s="5" t="s">
        <v>3612</v>
      </c>
      <c r="I1054" s="18">
        <v>2</v>
      </c>
      <c r="J1054" s="18">
        <v>0</v>
      </c>
      <c r="K1054" s="18">
        <f>I1054*J1054</f>
        <v>0</v>
      </c>
      <c r="L1054" s="28" t="s">
        <v>3635</v>
      </c>
      <c r="Z1054" s="34">
        <f>IF(AQ1054="5",BJ1054,0)</f>
        <v>0</v>
      </c>
      <c r="AB1054" s="34">
        <f>IF(AQ1054="1",BH1054,0)</f>
        <v>0</v>
      </c>
      <c r="AC1054" s="34">
        <f>IF(AQ1054="1",BI1054,0)</f>
        <v>0</v>
      </c>
      <c r="AD1054" s="34">
        <f>IF(AQ1054="7",BH1054,0)</f>
        <v>0</v>
      </c>
      <c r="AE1054" s="34">
        <f>IF(AQ1054="7",BI1054,0)</f>
        <v>0</v>
      </c>
      <c r="AF1054" s="34">
        <f>IF(AQ1054="2",BH1054,0)</f>
        <v>0</v>
      </c>
      <c r="AG1054" s="34">
        <f>IF(AQ1054="2",BI1054,0)</f>
        <v>0</v>
      </c>
      <c r="AH1054" s="34">
        <f>IF(AQ1054="0",BJ1054,0)</f>
        <v>0</v>
      </c>
      <c r="AI1054" s="27" t="s">
        <v>3646</v>
      </c>
      <c r="AJ1054" s="18">
        <f>IF(AN1054=0,K1054,0)</f>
        <v>0</v>
      </c>
      <c r="AK1054" s="18">
        <f>IF(AN1054=15,K1054,0)</f>
        <v>0</v>
      </c>
      <c r="AL1054" s="18">
        <f>IF(AN1054=21,K1054,0)</f>
        <v>0</v>
      </c>
      <c r="AN1054" s="34">
        <v>21</v>
      </c>
      <c r="AO1054" s="34">
        <f>J1054*0.0363434802480381</f>
        <v>0</v>
      </c>
      <c r="AP1054" s="34">
        <f>J1054*(1-0.0363434802480381)</f>
        <v>0</v>
      </c>
      <c r="AQ1054" s="28" t="s">
        <v>7</v>
      </c>
      <c r="AV1054" s="34">
        <f>AW1054+AX1054</f>
        <v>0</v>
      </c>
      <c r="AW1054" s="34">
        <f>I1054*AO1054</f>
        <v>0</v>
      </c>
      <c r="AX1054" s="34">
        <f>I1054*AP1054</f>
        <v>0</v>
      </c>
      <c r="AY1054" s="35" t="s">
        <v>3652</v>
      </c>
      <c r="AZ1054" s="35" t="s">
        <v>3720</v>
      </c>
      <c r="BA1054" s="27" t="s">
        <v>3730</v>
      </c>
      <c r="BC1054" s="34">
        <f>AW1054+AX1054</f>
        <v>0</v>
      </c>
      <c r="BD1054" s="34">
        <f>J1054/(100-BE1054)*100</f>
        <v>0</v>
      </c>
      <c r="BE1054" s="34">
        <v>0</v>
      </c>
      <c r="BF1054" s="34">
        <f>1053</f>
        <v>1053</v>
      </c>
      <c r="BH1054" s="18">
        <f>I1054*AO1054</f>
        <v>0</v>
      </c>
      <c r="BI1054" s="18">
        <f>I1054*AP1054</f>
        <v>0</v>
      </c>
      <c r="BJ1054" s="18">
        <f>I1054*J1054</f>
        <v>0</v>
      </c>
    </row>
    <row r="1055" spans="1:62" x14ac:dyDescent="0.2">
      <c r="A1055" s="74" t="s">
        <v>997</v>
      </c>
      <c r="B1055" s="5" t="s">
        <v>2169</v>
      </c>
      <c r="C1055" s="135" t="s">
        <v>3372</v>
      </c>
      <c r="D1055" s="136"/>
      <c r="E1055" s="136"/>
      <c r="F1055" s="136"/>
      <c r="G1055" s="136"/>
      <c r="H1055" s="5" t="s">
        <v>3615</v>
      </c>
      <c r="I1055" s="18">
        <v>50</v>
      </c>
      <c r="J1055" s="18">
        <v>0</v>
      </c>
      <c r="K1055" s="18">
        <f>I1055*J1055</f>
        <v>0</v>
      </c>
      <c r="L1055" s="28" t="s">
        <v>3635</v>
      </c>
      <c r="Z1055" s="34">
        <f>IF(AQ1055="5",BJ1055,0)</f>
        <v>0</v>
      </c>
      <c r="AB1055" s="34">
        <f>IF(AQ1055="1",BH1055,0)</f>
        <v>0</v>
      </c>
      <c r="AC1055" s="34">
        <f>IF(AQ1055="1",BI1055,0)</f>
        <v>0</v>
      </c>
      <c r="AD1055" s="34">
        <f>IF(AQ1055="7",BH1055,0)</f>
        <v>0</v>
      </c>
      <c r="AE1055" s="34">
        <f>IF(AQ1055="7",BI1055,0)</f>
        <v>0</v>
      </c>
      <c r="AF1055" s="34">
        <f>IF(AQ1055="2",BH1055,0)</f>
        <v>0</v>
      </c>
      <c r="AG1055" s="34">
        <f>IF(AQ1055="2",BI1055,0)</f>
        <v>0</v>
      </c>
      <c r="AH1055" s="34">
        <f>IF(AQ1055="0",BJ1055,0)</f>
        <v>0</v>
      </c>
      <c r="AI1055" s="27" t="s">
        <v>3646</v>
      </c>
      <c r="AJ1055" s="18">
        <f>IF(AN1055=0,K1055,0)</f>
        <v>0</v>
      </c>
      <c r="AK1055" s="18">
        <f>IF(AN1055=15,K1055,0)</f>
        <v>0</v>
      </c>
      <c r="AL1055" s="18">
        <f>IF(AN1055=21,K1055,0)</f>
        <v>0</v>
      </c>
      <c r="AN1055" s="34">
        <v>21</v>
      </c>
      <c r="AO1055" s="34">
        <f>J1055*0.0243318707618668</f>
        <v>0</v>
      </c>
      <c r="AP1055" s="34">
        <f>J1055*(1-0.0243318707618668)</f>
        <v>0</v>
      </c>
      <c r="AQ1055" s="28" t="s">
        <v>7</v>
      </c>
      <c r="AV1055" s="34">
        <f>AW1055+AX1055</f>
        <v>0</v>
      </c>
      <c r="AW1055" s="34">
        <f>I1055*AO1055</f>
        <v>0</v>
      </c>
      <c r="AX1055" s="34">
        <f>I1055*AP1055</f>
        <v>0</v>
      </c>
      <c r="AY1055" s="35" t="s">
        <v>3652</v>
      </c>
      <c r="AZ1055" s="35" t="s">
        <v>3720</v>
      </c>
      <c r="BA1055" s="27" t="s">
        <v>3730</v>
      </c>
      <c r="BC1055" s="34">
        <f>AW1055+AX1055</f>
        <v>0</v>
      </c>
      <c r="BD1055" s="34">
        <f>J1055/(100-BE1055)*100</f>
        <v>0</v>
      </c>
      <c r="BE1055" s="34">
        <v>0</v>
      </c>
      <c r="BF1055" s="34">
        <f>1054</f>
        <v>1054</v>
      </c>
      <c r="BH1055" s="18">
        <f>I1055*AO1055</f>
        <v>0</v>
      </c>
      <c r="BI1055" s="18">
        <f>I1055*AP1055</f>
        <v>0</v>
      </c>
      <c r="BJ1055" s="18">
        <f>I1055*J1055</f>
        <v>0</v>
      </c>
    </row>
    <row r="1056" spans="1:62" x14ac:dyDescent="0.2">
      <c r="A1056" s="4"/>
      <c r="B1056" s="14" t="s">
        <v>63</v>
      </c>
      <c r="C1056" s="133" t="s">
        <v>3373</v>
      </c>
      <c r="D1056" s="134"/>
      <c r="E1056" s="134"/>
      <c r="F1056" s="134"/>
      <c r="G1056" s="134"/>
      <c r="H1056" s="4" t="s">
        <v>6</v>
      </c>
      <c r="I1056" s="4" t="s">
        <v>6</v>
      </c>
      <c r="J1056" s="4" t="s">
        <v>6</v>
      </c>
      <c r="K1056" s="37">
        <f>SUM(K1057:K1057)</f>
        <v>0</v>
      </c>
      <c r="L1056" s="27"/>
      <c r="AI1056" s="27" t="s">
        <v>3646</v>
      </c>
      <c r="AS1056" s="37">
        <f>SUM(AJ1057:AJ1057)</f>
        <v>0</v>
      </c>
      <c r="AT1056" s="37">
        <f>SUM(AK1057:AK1057)</f>
        <v>0</v>
      </c>
      <c r="AU1056" s="37">
        <f>SUM(AL1057:AL1057)</f>
        <v>0</v>
      </c>
    </row>
    <row r="1057" spans="1:62" x14ac:dyDescent="0.2">
      <c r="A1057" s="74" t="s">
        <v>998</v>
      </c>
      <c r="B1057" s="5" t="s">
        <v>2170</v>
      </c>
      <c r="C1057" s="135" t="s">
        <v>3374</v>
      </c>
      <c r="D1057" s="136"/>
      <c r="E1057" s="136"/>
      <c r="F1057" s="136"/>
      <c r="G1057" s="136"/>
      <c r="H1057" s="5" t="s">
        <v>3615</v>
      </c>
      <c r="I1057" s="18">
        <v>192.8</v>
      </c>
      <c r="J1057" s="18">
        <v>0</v>
      </c>
      <c r="K1057" s="18">
        <f>I1057*J1057</f>
        <v>0</v>
      </c>
      <c r="L1057" s="28" t="s">
        <v>3635</v>
      </c>
      <c r="Z1057" s="34">
        <f>IF(AQ1057="5",BJ1057,0)</f>
        <v>0</v>
      </c>
      <c r="AB1057" s="34">
        <f>IF(AQ1057="1",BH1057,0)</f>
        <v>0</v>
      </c>
      <c r="AC1057" s="34">
        <f>IF(AQ1057="1",BI1057,0)</f>
        <v>0</v>
      </c>
      <c r="AD1057" s="34">
        <f>IF(AQ1057="7",BH1057,0)</f>
        <v>0</v>
      </c>
      <c r="AE1057" s="34">
        <f>IF(AQ1057="7",BI1057,0)</f>
        <v>0</v>
      </c>
      <c r="AF1057" s="34">
        <f>IF(AQ1057="2",BH1057,0)</f>
        <v>0</v>
      </c>
      <c r="AG1057" s="34">
        <f>IF(AQ1057="2",BI1057,0)</f>
        <v>0</v>
      </c>
      <c r="AH1057" s="34">
        <f>IF(AQ1057="0",BJ1057,0)</f>
        <v>0</v>
      </c>
      <c r="AI1057" s="27" t="s">
        <v>3646</v>
      </c>
      <c r="AJ1057" s="18">
        <f>IF(AN1057=0,K1057,0)</f>
        <v>0</v>
      </c>
      <c r="AK1057" s="18">
        <f>IF(AN1057=15,K1057,0)</f>
        <v>0</v>
      </c>
      <c r="AL1057" s="18">
        <f>IF(AN1057=21,K1057,0)</f>
        <v>0</v>
      </c>
      <c r="AN1057" s="34">
        <v>21</v>
      </c>
      <c r="AO1057" s="34">
        <f>J1057*0.738904259439096</f>
        <v>0</v>
      </c>
      <c r="AP1057" s="34">
        <f>J1057*(1-0.738904259439096)</f>
        <v>0</v>
      </c>
      <c r="AQ1057" s="28" t="s">
        <v>7</v>
      </c>
      <c r="AV1057" s="34">
        <f>AW1057+AX1057</f>
        <v>0</v>
      </c>
      <c r="AW1057" s="34">
        <f>I1057*AO1057</f>
        <v>0</v>
      </c>
      <c r="AX1057" s="34">
        <f>I1057*AP1057</f>
        <v>0</v>
      </c>
      <c r="AY1057" s="35" t="s">
        <v>3697</v>
      </c>
      <c r="AZ1057" s="35" t="s">
        <v>3721</v>
      </c>
      <c r="BA1057" s="27" t="s">
        <v>3730</v>
      </c>
      <c r="BC1057" s="34">
        <f>AW1057+AX1057</f>
        <v>0</v>
      </c>
      <c r="BD1057" s="34">
        <f>J1057/(100-BE1057)*100</f>
        <v>0</v>
      </c>
      <c r="BE1057" s="34">
        <v>0</v>
      </c>
      <c r="BF1057" s="34">
        <f>1056</f>
        <v>1056</v>
      </c>
      <c r="BH1057" s="18">
        <f>I1057*AO1057</f>
        <v>0</v>
      </c>
      <c r="BI1057" s="18">
        <f>I1057*AP1057</f>
        <v>0</v>
      </c>
      <c r="BJ1057" s="18">
        <f>I1057*J1057</f>
        <v>0</v>
      </c>
    </row>
    <row r="1058" spans="1:62" x14ac:dyDescent="0.2">
      <c r="A1058" s="4"/>
      <c r="B1058" s="14" t="s">
        <v>65</v>
      </c>
      <c r="C1058" s="133" t="s">
        <v>3375</v>
      </c>
      <c r="D1058" s="134"/>
      <c r="E1058" s="134"/>
      <c r="F1058" s="134"/>
      <c r="G1058" s="134"/>
      <c r="H1058" s="4" t="s">
        <v>6</v>
      </c>
      <c r="I1058" s="4" t="s">
        <v>6</v>
      </c>
      <c r="J1058" s="4" t="s">
        <v>6</v>
      </c>
      <c r="K1058" s="37">
        <f>SUM(K1059:K1061)</f>
        <v>0</v>
      </c>
      <c r="L1058" s="27"/>
      <c r="AI1058" s="27" t="s">
        <v>3646</v>
      </c>
      <c r="AS1058" s="37">
        <f>SUM(AJ1059:AJ1061)</f>
        <v>0</v>
      </c>
      <c r="AT1058" s="37">
        <f>SUM(AK1059:AK1061)</f>
        <v>0</v>
      </c>
      <c r="AU1058" s="37">
        <f>SUM(AL1059:AL1061)</f>
        <v>0</v>
      </c>
    </row>
    <row r="1059" spans="1:62" x14ac:dyDescent="0.2">
      <c r="A1059" s="74" t="s">
        <v>999</v>
      </c>
      <c r="B1059" s="5" t="s">
        <v>2171</v>
      </c>
      <c r="C1059" s="135" t="s">
        <v>3376</v>
      </c>
      <c r="D1059" s="136"/>
      <c r="E1059" s="136"/>
      <c r="F1059" s="136"/>
      <c r="G1059" s="136"/>
      <c r="H1059" s="5" t="s">
        <v>3615</v>
      </c>
      <c r="I1059" s="18">
        <v>33.950000000000003</v>
      </c>
      <c r="J1059" s="18">
        <v>0</v>
      </c>
      <c r="K1059" s="18">
        <f>I1059*J1059</f>
        <v>0</v>
      </c>
      <c r="L1059" s="28" t="s">
        <v>3635</v>
      </c>
      <c r="Z1059" s="34">
        <f>IF(AQ1059="5",BJ1059,0)</f>
        <v>0</v>
      </c>
      <c r="AB1059" s="34">
        <f>IF(AQ1059="1",BH1059,0)</f>
        <v>0</v>
      </c>
      <c r="AC1059" s="34">
        <f>IF(AQ1059="1",BI1059,0)</f>
        <v>0</v>
      </c>
      <c r="AD1059" s="34">
        <f>IF(AQ1059="7",BH1059,0)</f>
        <v>0</v>
      </c>
      <c r="AE1059" s="34">
        <f>IF(AQ1059="7",BI1059,0)</f>
        <v>0</v>
      </c>
      <c r="AF1059" s="34">
        <f>IF(AQ1059="2",BH1059,0)</f>
        <v>0</v>
      </c>
      <c r="AG1059" s="34">
        <f>IF(AQ1059="2",BI1059,0)</f>
        <v>0</v>
      </c>
      <c r="AH1059" s="34">
        <f>IF(AQ1059="0",BJ1059,0)</f>
        <v>0</v>
      </c>
      <c r="AI1059" s="27" t="s">
        <v>3646</v>
      </c>
      <c r="AJ1059" s="18">
        <f>IF(AN1059=0,K1059,0)</f>
        <v>0</v>
      </c>
      <c r="AK1059" s="18">
        <f>IF(AN1059=15,K1059,0)</f>
        <v>0</v>
      </c>
      <c r="AL1059" s="18">
        <f>IF(AN1059=21,K1059,0)</f>
        <v>0</v>
      </c>
      <c r="AN1059" s="34">
        <v>21</v>
      </c>
      <c r="AO1059" s="34">
        <f>J1059*0.521534903501385</f>
        <v>0</v>
      </c>
      <c r="AP1059" s="34">
        <f>J1059*(1-0.521534903501385)</f>
        <v>0</v>
      </c>
      <c r="AQ1059" s="28" t="s">
        <v>7</v>
      </c>
      <c r="AV1059" s="34">
        <f>AW1059+AX1059</f>
        <v>0</v>
      </c>
      <c r="AW1059" s="34">
        <f>I1059*AO1059</f>
        <v>0</v>
      </c>
      <c r="AX1059" s="34">
        <f>I1059*AP1059</f>
        <v>0</v>
      </c>
      <c r="AY1059" s="35" t="s">
        <v>3698</v>
      </c>
      <c r="AZ1059" s="35" t="s">
        <v>3721</v>
      </c>
      <c r="BA1059" s="27" t="s">
        <v>3730</v>
      </c>
      <c r="BC1059" s="34">
        <f>AW1059+AX1059</f>
        <v>0</v>
      </c>
      <c r="BD1059" s="34">
        <f>J1059/(100-BE1059)*100</f>
        <v>0</v>
      </c>
      <c r="BE1059" s="34">
        <v>0</v>
      </c>
      <c r="BF1059" s="34">
        <f>1058</f>
        <v>1058</v>
      </c>
      <c r="BH1059" s="18">
        <f>I1059*AO1059</f>
        <v>0</v>
      </c>
      <c r="BI1059" s="18">
        <f>I1059*AP1059</f>
        <v>0</v>
      </c>
      <c r="BJ1059" s="18">
        <f>I1059*J1059</f>
        <v>0</v>
      </c>
    </row>
    <row r="1060" spans="1:62" x14ac:dyDescent="0.2">
      <c r="A1060" s="74" t="s">
        <v>1000</v>
      </c>
      <c r="B1060" s="5" t="s">
        <v>2172</v>
      </c>
      <c r="C1060" s="135" t="s">
        <v>3377</v>
      </c>
      <c r="D1060" s="136"/>
      <c r="E1060" s="136"/>
      <c r="F1060" s="136"/>
      <c r="G1060" s="136"/>
      <c r="H1060" s="5" t="s">
        <v>3615</v>
      </c>
      <c r="I1060" s="18">
        <v>184.5</v>
      </c>
      <c r="J1060" s="18">
        <v>0</v>
      </c>
      <c r="K1060" s="18">
        <f>I1060*J1060</f>
        <v>0</v>
      </c>
      <c r="L1060" s="28" t="s">
        <v>3635</v>
      </c>
      <c r="Z1060" s="34">
        <f>IF(AQ1060="5",BJ1060,0)</f>
        <v>0</v>
      </c>
      <c r="AB1060" s="34">
        <f>IF(AQ1060="1",BH1060,0)</f>
        <v>0</v>
      </c>
      <c r="AC1060" s="34">
        <f>IF(AQ1060="1",BI1060,0)</f>
        <v>0</v>
      </c>
      <c r="AD1060" s="34">
        <f>IF(AQ1060="7",BH1060,0)</f>
        <v>0</v>
      </c>
      <c r="AE1060" s="34">
        <f>IF(AQ1060="7",BI1060,0)</f>
        <v>0</v>
      </c>
      <c r="AF1060" s="34">
        <f>IF(AQ1060="2",BH1060,0)</f>
        <v>0</v>
      </c>
      <c r="AG1060" s="34">
        <f>IF(AQ1060="2",BI1060,0)</f>
        <v>0</v>
      </c>
      <c r="AH1060" s="34">
        <f>IF(AQ1060="0",BJ1060,0)</f>
        <v>0</v>
      </c>
      <c r="AI1060" s="27" t="s">
        <v>3646</v>
      </c>
      <c r="AJ1060" s="18">
        <f>IF(AN1060=0,K1060,0)</f>
        <v>0</v>
      </c>
      <c r="AK1060" s="18">
        <f>IF(AN1060=15,K1060,0)</f>
        <v>0</v>
      </c>
      <c r="AL1060" s="18">
        <f>IF(AN1060=21,K1060,0)</f>
        <v>0</v>
      </c>
      <c r="AN1060" s="34">
        <v>21</v>
      </c>
      <c r="AO1060" s="34">
        <f>J1060*0.502753168980002</f>
        <v>0</v>
      </c>
      <c r="AP1060" s="34">
        <f>J1060*(1-0.502753168980002)</f>
        <v>0</v>
      </c>
      <c r="AQ1060" s="28" t="s">
        <v>7</v>
      </c>
      <c r="AV1060" s="34">
        <f>AW1060+AX1060</f>
        <v>0</v>
      </c>
      <c r="AW1060" s="34">
        <f>I1060*AO1060</f>
        <v>0</v>
      </c>
      <c r="AX1060" s="34">
        <f>I1060*AP1060</f>
        <v>0</v>
      </c>
      <c r="AY1060" s="35" t="s">
        <v>3698</v>
      </c>
      <c r="AZ1060" s="35" t="s">
        <v>3721</v>
      </c>
      <c r="BA1060" s="27" t="s">
        <v>3730</v>
      </c>
      <c r="BC1060" s="34">
        <f>AW1060+AX1060</f>
        <v>0</v>
      </c>
      <c r="BD1060" s="34">
        <f>J1060/(100-BE1060)*100</f>
        <v>0</v>
      </c>
      <c r="BE1060" s="34">
        <v>0</v>
      </c>
      <c r="BF1060" s="34">
        <f>1059</f>
        <v>1059</v>
      </c>
      <c r="BH1060" s="18">
        <f>I1060*AO1060</f>
        <v>0</v>
      </c>
      <c r="BI1060" s="18">
        <f>I1060*AP1060</f>
        <v>0</v>
      </c>
      <c r="BJ1060" s="18">
        <f>I1060*J1060</f>
        <v>0</v>
      </c>
    </row>
    <row r="1061" spans="1:62" x14ac:dyDescent="0.2">
      <c r="A1061" s="74" t="s">
        <v>1001</v>
      </c>
      <c r="B1061" s="5" t="s">
        <v>2173</v>
      </c>
      <c r="C1061" s="135" t="s">
        <v>3378</v>
      </c>
      <c r="D1061" s="136"/>
      <c r="E1061" s="136"/>
      <c r="F1061" s="136"/>
      <c r="G1061" s="136"/>
      <c r="H1061" s="5" t="s">
        <v>3615</v>
      </c>
      <c r="I1061" s="18">
        <v>10.65</v>
      </c>
      <c r="J1061" s="18">
        <v>0</v>
      </c>
      <c r="K1061" s="18">
        <f>I1061*J1061</f>
        <v>0</v>
      </c>
      <c r="L1061" s="28" t="s">
        <v>3635</v>
      </c>
      <c r="Z1061" s="34">
        <f>IF(AQ1061="5",BJ1061,0)</f>
        <v>0</v>
      </c>
      <c r="AB1061" s="34">
        <f>IF(AQ1061="1",BH1061,0)</f>
        <v>0</v>
      </c>
      <c r="AC1061" s="34">
        <f>IF(AQ1061="1",BI1061,0)</f>
        <v>0</v>
      </c>
      <c r="AD1061" s="34">
        <f>IF(AQ1061="7",BH1061,0)</f>
        <v>0</v>
      </c>
      <c r="AE1061" s="34">
        <f>IF(AQ1061="7",BI1061,0)</f>
        <v>0</v>
      </c>
      <c r="AF1061" s="34">
        <f>IF(AQ1061="2",BH1061,0)</f>
        <v>0</v>
      </c>
      <c r="AG1061" s="34">
        <f>IF(AQ1061="2",BI1061,0)</f>
        <v>0</v>
      </c>
      <c r="AH1061" s="34">
        <f>IF(AQ1061="0",BJ1061,0)</f>
        <v>0</v>
      </c>
      <c r="AI1061" s="27" t="s">
        <v>3646</v>
      </c>
      <c r="AJ1061" s="18">
        <f>IF(AN1061=0,K1061,0)</f>
        <v>0</v>
      </c>
      <c r="AK1061" s="18">
        <f>IF(AN1061=15,K1061,0)</f>
        <v>0</v>
      </c>
      <c r="AL1061" s="18">
        <f>IF(AN1061=21,K1061,0)</f>
        <v>0</v>
      </c>
      <c r="AN1061" s="34">
        <v>21</v>
      </c>
      <c r="AO1061" s="34">
        <f>J1061*0.508366914103924</f>
        <v>0</v>
      </c>
      <c r="AP1061" s="34">
        <f>J1061*(1-0.508366914103924)</f>
        <v>0</v>
      </c>
      <c r="AQ1061" s="28" t="s">
        <v>7</v>
      </c>
      <c r="AV1061" s="34">
        <f>AW1061+AX1061</f>
        <v>0</v>
      </c>
      <c r="AW1061" s="34">
        <f>I1061*AO1061</f>
        <v>0</v>
      </c>
      <c r="AX1061" s="34">
        <f>I1061*AP1061</f>
        <v>0</v>
      </c>
      <c r="AY1061" s="35" t="s">
        <v>3698</v>
      </c>
      <c r="AZ1061" s="35" t="s">
        <v>3721</v>
      </c>
      <c r="BA1061" s="27" t="s">
        <v>3730</v>
      </c>
      <c r="BC1061" s="34">
        <f>AW1061+AX1061</f>
        <v>0</v>
      </c>
      <c r="BD1061" s="34">
        <f>J1061/(100-BE1061)*100</f>
        <v>0</v>
      </c>
      <c r="BE1061" s="34">
        <v>0</v>
      </c>
      <c r="BF1061" s="34">
        <f>1060</f>
        <v>1060</v>
      </c>
      <c r="BH1061" s="18">
        <f>I1061*AO1061</f>
        <v>0</v>
      </c>
      <c r="BI1061" s="18">
        <f>I1061*AP1061</f>
        <v>0</v>
      </c>
      <c r="BJ1061" s="18">
        <f>I1061*J1061</f>
        <v>0</v>
      </c>
    </row>
    <row r="1062" spans="1:62" x14ac:dyDescent="0.2">
      <c r="A1062" s="4"/>
      <c r="B1062" s="14" t="s">
        <v>97</v>
      </c>
      <c r="C1062" s="133" t="s">
        <v>3379</v>
      </c>
      <c r="D1062" s="134"/>
      <c r="E1062" s="134"/>
      <c r="F1062" s="134"/>
      <c r="G1062" s="134"/>
      <c r="H1062" s="4" t="s">
        <v>6</v>
      </c>
      <c r="I1062" s="4" t="s">
        <v>6</v>
      </c>
      <c r="J1062" s="4" t="s">
        <v>6</v>
      </c>
      <c r="K1062" s="37">
        <f>SUM(K1063:K1067)</f>
        <v>0</v>
      </c>
      <c r="L1062" s="27"/>
      <c r="AI1062" s="27" t="s">
        <v>3646</v>
      </c>
      <c r="AS1062" s="37">
        <f>SUM(AJ1063:AJ1067)</f>
        <v>0</v>
      </c>
      <c r="AT1062" s="37">
        <f>SUM(AK1063:AK1067)</f>
        <v>0</v>
      </c>
      <c r="AU1062" s="37">
        <f>SUM(AL1063:AL1067)</f>
        <v>0</v>
      </c>
    </row>
    <row r="1063" spans="1:62" x14ac:dyDescent="0.2">
      <c r="A1063" s="74" t="s">
        <v>1002</v>
      </c>
      <c r="B1063" s="5" t="s">
        <v>2174</v>
      </c>
      <c r="C1063" s="135" t="s">
        <v>3380</v>
      </c>
      <c r="D1063" s="136"/>
      <c r="E1063" s="136"/>
      <c r="F1063" s="136"/>
      <c r="G1063" s="136"/>
      <c r="H1063" s="5" t="s">
        <v>3612</v>
      </c>
      <c r="I1063" s="18">
        <v>1</v>
      </c>
      <c r="J1063" s="18">
        <v>0</v>
      </c>
      <c r="K1063" s="18">
        <f>I1063*J1063</f>
        <v>0</v>
      </c>
      <c r="L1063" s="28" t="s">
        <v>3635</v>
      </c>
      <c r="Z1063" s="34">
        <f>IF(AQ1063="5",BJ1063,0)</f>
        <v>0</v>
      </c>
      <c r="AB1063" s="34">
        <f>IF(AQ1063="1",BH1063,0)</f>
        <v>0</v>
      </c>
      <c r="AC1063" s="34">
        <f>IF(AQ1063="1",BI1063,0)</f>
        <v>0</v>
      </c>
      <c r="AD1063" s="34">
        <f>IF(AQ1063="7",BH1063,0)</f>
        <v>0</v>
      </c>
      <c r="AE1063" s="34">
        <f>IF(AQ1063="7",BI1063,0)</f>
        <v>0</v>
      </c>
      <c r="AF1063" s="34">
        <f>IF(AQ1063="2",BH1063,0)</f>
        <v>0</v>
      </c>
      <c r="AG1063" s="34">
        <f>IF(AQ1063="2",BI1063,0)</f>
        <v>0</v>
      </c>
      <c r="AH1063" s="34">
        <f>IF(AQ1063="0",BJ1063,0)</f>
        <v>0</v>
      </c>
      <c r="AI1063" s="27" t="s">
        <v>3646</v>
      </c>
      <c r="AJ1063" s="18">
        <f>IF(AN1063=0,K1063,0)</f>
        <v>0</v>
      </c>
      <c r="AK1063" s="18">
        <f>IF(AN1063=15,K1063,0)</f>
        <v>0</v>
      </c>
      <c r="AL1063" s="18">
        <f>IF(AN1063=21,K1063,0)</f>
        <v>0</v>
      </c>
      <c r="AN1063" s="34">
        <v>21</v>
      </c>
      <c r="AO1063" s="34">
        <f>J1063*0.815791262135922</f>
        <v>0</v>
      </c>
      <c r="AP1063" s="34">
        <f>J1063*(1-0.815791262135922)</f>
        <v>0</v>
      </c>
      <c r="AQ1063" s="28" t="s">
        <v>7</v>
      </c>
      <c r="AV1063" s="34">
        <f>AW1063+AX1063</f>
        <v>0</v>
      </c>
      <c r="AW1063" s="34">
        <f>I1063*AO1063</f>
        <v>0</v>
      </c>
      <c r="AX1063" s="34">
        <f>I1063*AP1063</f>
        <v>0</v>
      </c>
      <c r="AY1063" s="35" t="s">
        <v>3699</v>
      </c>
      <c r="AZ1063" s="35" t="s">
        <v>3722</v>
      </c>
      <c r="BA1063" s="27" t="s">
        <v>3730</v>
      </c>
      <c r="BC1063" s="34">
        <f>AW1063+AX1063</f>
        <v>0</v>
      </c>
      <c r="BD1063" s="34">
        <f>J1063/(100-BE1063)*100</f>
        <v>0</v>
      </c>
      <c r="BE1063" s="34">
        <v>0</v>
      </c>
      <c r="BF1063" s="34">
        <f>1062</f>
        <v>1062</v>
      </c>
      <c r="BH1063" s="18">
        <f>I1063*AO1063</f>
        <v>0</v>
      </c>
      <c r="BI1063" s="18">
        <f>I1063*AP1063</f>
        <v>0</v>
      </c>
      <c r="BJ1063" s="18">
        <f>I1063*J1063</f>
        <v>0</v>
      </c>
    </row>
    <row r="1064" spans="1:62" x14ac:dyDescent="0.2">
      <c r="A1064" s="74" t="s">
        <v>1003</v>
      </c>
      <c r="B1064" s="5" t="s">
        <v>2175</v>
      </c>
      <c r="C1064" s="135" t="s">
        <v>3381</v>
      </c>
      <c r="D1064" s="136"/>
      <c r="E1064" s="136"/>
      <c r="F1064" s="136"/>
      <c r="G1064" s="136"/>
      <c r="H1064" s="5" t="s">
        <v>3618</v>
      </c>
      <c r="I1064" s="18">
        <v>1</v>
      </c>
      <c r="J1064" s="18">
        <v>0</v>
      </c>
      <c r="K1064" s="18">
        <f>I1064*J1064</f>
        <v>0</v>
      </c>
      <c r="L1064" s="28" t="s">
        <v>3635</v>
      </c>
      <c r="Z1064" s="34">
        <f>IF(AQ1064="5",BJ1064,0)</f>
        <v>0</v>
      </c>
      <c r="AB1064" s="34">
        <f>IF(AQ1064="1",BH1064,0)</f>
        <v>0</v>
      </c>
      <c r="AC1064" s="34">
        <f>IF(AQ1064="1",BI1064,0)</f>
        <v>0</v>
      </c>
      <c r="AD1064" s="34">
        <f>IF(AQ1064="7",BH1064,0)</f>
        <v>0</v>
      </c>
      <c r="AE1064" s="34">
        <f>IF(AQ1064="7",BI1064,0)</f>
        <v>0</v>
      </c>
      <c r="AF1064" s="34">
        <f>IF(AQ1064="2",BH1064,0)</f>
        <v>0</v>
      </c>
      <c r="AG1064" s="34">
        <f>IF(AQ1064="2",BI1064,0)</f>
        <v>0</v>
      </c>
      <c r="AH1064" s="34">
        <f>IF(AQ1064="0",BJ1064,0)</f>
        <v>0</v>
      </c>
      <c r="AI1064" s="27" t="s">
        <v>3646</v>
      </c>
      <c r="AJ1064" s="18">
        <f>IF(AN1064=0,K1064,0)</f>
        <v>0</v>
      </c>
      <c r="AK1064" s="18">
        <f>IF(AN1064=15,K1064,0)</f>
        <v>0</v>
      </c>
      <c r="AL1064" s="18">
        <f>IF(AN1064=21,K1064,0)</f>
        <v>0</v>
      </c>
      <c r="AN1064" s="34">
        <v>21</v>
      </c>
      <c r="AO1064" s="34">
        <f>J1064*0.627247058823529</f>
        <v>0</v>
      </c>
      <c r="AP1064" s="34">
        <f>J1064*(1-0.627247058823529)</f>
        <v>0</v>
      </c>
      <c r="AQ1064" s="28" t="s">
        <v>7</v>
      </c>
      <c r="AV1064" s="34">
        <f>AW1064+AX1064</f>
        <v>0</v>
      </c>
      <c r="AW1064" s="34">
        <f>I1064*AO1064</f>
        <v>0</v>
      </c>
      <c r="AX1064" s="34">
        <f>I1064*AP1064</f>
        <v>0</v>
      </c>
      <c r="AY1064" s="35" t="s">
        <v>3699</v>
      </c>
      <c r="AZ1064" s="35" t="s">
        <v>3722</v>
      </c>
      <c r="BA1064" s="27" t="s">
        <v>3730</v>
      </c>
      <c r="BC1064" s="34">
        <f>AW1064+AX1064</f>
        <v>0</v>
      </c>
      <c r="BD1064" s="34">
        <f>J1064/(100-BE1064)*100</f>
        <v>0</v>
      </c>
      <c r="BE1064" s="34">
        <v>0</v>
      </c>
      <c r="BF1064" s="34">
        <f>1063</f>
        <v>1063</v>
      </c>
      <c r="BH1064" s="18">
        <f>I1064*AO1064</f>
        <v>0</v>
      </c>
      <c r="BI1064" s="18">
        <f>I1064*AP1064</f>
        <v>0</v>
      </c>
      <c r="BJ1064" s="18">
        <f>I1064*J1064</f>
        <v>0</v>
      </c>
    </row>
    <row r="1065" spans="1:62" x14ac:dyDescent="0.2">
      <c r="A1065" s="74" t="s">
        <v>1004</v>
      </c>
      <c r="B1065" s="5" t="s">
        <v>2176</v>
      </c>
      <c r="C1065" s="135" t="s">
        <v>3382</v>
      </c>
      <c r="D1065" s="136"/>
      <c r="E1065" s="136"/>
      <c r="F1065" s="136"/>
      <c r="G1065" s="136"/>
      <c r="H1065" s="5" t="s">
        <v>3614</v>
      </c>
      <c r="I1065" s="18">
        <v>46</v>
      </c>
      <c r="J1065" s="18">
        <v>0</v>
      </c>
      <c r="K1065" s="18">
        <f>I1065*J1065</f>
        <v>0</v>
      </c>
      <c r="L1065" s="28" t="s">
        <v>3635</v>
      </c>
      <c r="Z1065" s="34">
        <f>IF(AQ1065="5",BJ1065,0)</f>
        <v>0</v>
      </c>
      <c r="AB1065" s="34">
        <f>IF(AQ1065="1",BH1065,0)</f>
        <v>0</v>
      </c>
      <c r="AC1065" s="34">
        <f>IF(AQ1065="1",BI1065,0)</f>
        <v>0</v>
      </c>
      <c r="AD1065" s="34">
        <f>IF(AQ1065="7",BH1065,0)</f>
        <v>0</v>
      </c>
      <c r="AE1065" s="34">
        <f>IF(AQ1065="7",BI1065,0)</f>
        <v>0</v>
      </c>
      <c r="AF1065" s="34">
        <f>IF(AQ1065="2",BH1065,0)</f>
        <v>0</v>
      </c>
      <c r="AG1065" s="34">
        <f>IF(AQ1065="2",BI1065,0)</f>
        <v>0</v>
      </c>
      <c r="AH1065" s="34">
        <f>IF(AQ1065="0",BJ1065,0)</f>
        <v>0</v>
      </c>
      <c r="AI1065" s="27" t="s">
        <v>3646</v>
      </c>
      <c r="AJ1065" s="18">
        <f>IF(AN1065=0,K1065,0)</f>
        <v>0</v>
      </c>
      <c r="AK1065" s="18">
        <f>IF(AN1065=15,K1065,0)</f>
        <v>0</v>
      </c>
      <c r="AL1065" s="18">
        <f>IF(AN1065=21,K1065,0)</f>
        <v>0</v>
      </c>
      <c r="AN1065" s="34">
        <v>21</v>
      </c>
      <c r="AO1065" s="34">
        <f>J1065*0.774459797829917</f>
        <v>0</v>
      </c>
      <c r="AP1065" s="34">
        <f>J1065*(1-0.774459797829917)</f>
        <v>0</v>
      </c>
      <c r="AQ1065" s="28" t="s">
        <v>7</v>
      </c>
      <c r="AV1065" s="34">
        <f>AW1065+AX1065</f>
        <v>0</v>
      </c>
      <c r="AW1065" s="34">
        <f>I1065*AO1065</f>
        <v>0</v>
      </c>
      <c r="AX1065" s="34">
        <f>I1065*AP1065</f>
        <v>0</v>
      </c>
      <c r="AY1065" s="35" t="s">
        <v>3699</v>
      </c>
      <c r="AZ1065" s="35" t="s">
        <v>3722</v>
      </c>
      <c r="BA1065" s="27" t="s">
        <v>3730</v>
      </c>
      <c r="BC1065" s="34">
        <f>AW1065+AX1065</f>
        <v>0</v>
      </c>
      <c r="BD1065" s="34">
        <f>J1065/(100-BE1065)*100</f>
        <v>0</v>
      </c>
      <c r="BE1065" s="34">
        <v>0</v>
      </c>
      <c r="BF1065" s="34">
        <f>1064</f>
        <v>1064</v>
      </c>
      <c r="BH1065" s="18">
        <f>I1065*AO1065</f>
        <v>0</v>
      </c>
      <c r="BI1065" s="18">
        <f>I1065*AP1065</f>
        <v>0</v>
      </c>
      <c r="BJ1065" s="18">
        <f>I1065*J1065</f>
        <v>0</v>
      </c>
    </row>
    <row r="1066" spans="1:62" x14ac:dyDescent="0.2">
      <c r="A1066" s="74" t="s">
        <v>1005</v>
      </c>
      <c r="B1066" s="5" t="s">
        <v>2177</v>
      </c>
      <c r="C1066" s="135" t="s">
        <v>3383</v>
      </c>
      <c r="D1066" s="136"/>
      <c r="E1066" s="136"/>
      <c r="F1066" s="136"/>
      <c r="G1066" s="136"/>
      <c r="H1066" s="5" t="s">
        <v>3614</v>
      </c>
      <c r="I1066" s="18">
        <v>15</v>
      </c>
      <c r="J1066" s="18">
        <v>0</v>
      </c>
      <c r="K1066" s="18">
        <f>I1066*J1066</f>
        <v>0</v>
      </c>
      <c r="L1066" s="28" t="s">
        <v>3635</v>
      </c>
      <c r="Z1066" s="34">
        <f>IF(AQ1066="5",BJ1066,0)</f>
        <v>0</v>
      </c>
      <c r="AB1066" s="34">
        <f>IF(AQ1066="1",BH1066,0)</f>
        <v>0</v>
      </c>
      <c r="AC1066" s="34">
        <f>IF(AQ1066="1",BI1066,0)</f>
        <v>0</v>
      </c>
      <c r="AD1066" s="34">
        <f>IF(AQ1066="7",BH1066,0)</f>
        <v>0</v>
      </c>
      <c r="AE1066" s="34">
        <f>IF(AQ1066="7",BI1066,0)</f>
        <v>0</v>
      </c>
      <c r="AF1066" s="34">
        <f>IF(AQ1066="2",BH1066,0)</f>
        <v>0</v>
      </c>
      <c r="AG1066" s="34">
        <f>IF(AQ1066="2",BI1066,0)</f>
        <v>0</v>
      </c>
      <c r="AH1066" s="34">
        <f>IF(AQ1066="0",BJ1066,0)</f>
        <v>0</v>
      </c>
      <c r="AI1066" s="27" t="s">
        <v>3646</v>
      </c>
      <c r="AJ1066" s="18">
        <f>IF(AN1066=0,K1066,0)</f>
        <v>0</v>
      </c>
      <c r="AK1066" s="18">
        <f>IF(AN1066=15,K1066,0)</f>
        <v>0</v>
      </c>
      <c r="AL1066" s="18">
        <f>IF(AN1066=21,K1066,0)</f>
        <v>0</v>
      </c>
      <c r="AN1066" s="34">
        <v>21</v>
      </c>
      <c r="AO1066" s="34">
        <f>J1066*0.635181759087954</f>
        <v>0</v>
      </c>
      <c r="AP1066" s="34">
        <f>J1066*(1-0.635181759087954)</f>
        <v>0</v>
      </c>
      <c r="AQ1066" s="28" t="s">
        <v>7</v>
      </c>
      <c r="AV1066" s="34">
        <f>AW1066+AX1066</f>
        <v>0</v>
      </c>
      <c r="AW1066" s="34">
        <f>I1066*AO1066</f>
        <v>0</v>
      </c>
      <c r="AX1066" s="34">
        <f>I1066*AP1066</f>
        <v>0</v>
      </c>
      <c r="AY1066" s="35" t="s">
        <v>3699</v>
      </c>
      <c r="AZ1066" s="35" t="s">
        <v>3722</v>
      </c>
      <c r="BA1066" s="27" t="s">
        <v>3730</v>
      </c>
      <c r="BC1066" s="34">
        <f>AW1066+AX1066</f>
        <v>0</v>
      </c>
      <c r="BD1066" s="34">
        <f>J1066/(100-BE1066)*100</f>
        <v>0</v>
      </c>
      <c r="BE1066" s="34">
        <v>0</v>
      </c>
      <c r="BF1066" s="34">
        <f>1065</f>
        <v>1065</v>
      </c>
      <c r="BH1066" s="18">
        <f>I1066*AO1066</f>
        <v>0</v>
      </c>
      <c r="BI1066" s="18">
        <f>I1066*AP1066</f>
        <v>0</v>
      </c>
      <c r="BJ1066" s="18">
        <f>I1066*J1066</f>
        <v>0</v>
      </c>
    </row>
    <row r="1067" spans="1:62" x14ac:dyDescent="0.2">
      <c r="A1067" s="74" t="s">
        <v>1006</v>
      </c>
      <c r="B1067" s="5" t="s">
        <v>2178</v>
      </c>
      <c r="C1067" s="135" t="s">
        <v>3384</v>
      </c>
      <c r="D1067" s="136"/>
      <c r="E1067" s="136"/>
      <c r="F1067" s="136"/>
      <c r="G1067" s="136"/>
      <c r="H1067" s="5" t="s">
        <v>3614</v>
      </c>
      <c r="I1067" s="18">
        <v>7</v>
      </c>
      <c r="J1067" s="18">
        <v>0</v>
      </c>
      <c r="K1067" s="18">
        <f>I1067*J1067</f>
        <v>0</v>
      </c>
      <c r="L1067" s="28" t="s">
        <v>3635</v>
      </c>
      <c r="Z1067" s="34">
        <f>IF(AQ1067="5",BJ1067,0)</f>
        <v>0</v>
      </c>
      <c r="AB1067" s="34">
        <f>IF(AQ1067="1",BH1067,0)</f>
        <v>0</v>
      </c>
      <c r="AC1067" s="34">
        <f>IF(AQ1067="1",BI1067,0)</f>
        <v>0</v>
      </c>
      <c r="AD1067" s="34">
        <f>IF(AQ1067="7",BH1067,0)</f>
        <v>0</v>
      </c>
      <c r="AE1067" s="34">
        <f>IF(AQ1067="7",BI1067,0)</f>
        <v>0</v>
      </c>
      <c r="AF1067" s="34">
        <f>IF(AQ1067="2",BH1067,0)</f>
        <v>0</v>
      </c>
      <c r="AG1067" s="34">
        <f>IF(AQ1067="2",BI1067,0)</f>
        <v>0</v>
      </c>
      <c r="AH1067" s="34">
        <f>IF(AQ1067="0",BJ1067,0)</f>
        <v>0</v>
      </c>
      <c r="AI1067" s="27" t="s">
        <v>3646</v>
      </c>
      <c r="AJ1067" s="18">
        <f>IF(AN1067=0,K1067,0)</f>
        <v>0</v>
      </c>
      <c r="AK1067" s="18">
        <f>IF(AN1067=15,K1067,0)</f>
        <v>0</v>
      </c>
      <c r="AL1067" s="18">
        <f>IF(AN1067=21,K1067,0)</f>
        <v>0</v>
      </c>
      <c r="AN1067" s="34">
        <v>21</v>
      </c>
      <c r="AO1067" s="34">
        <f>J1067*0.688929457857275</f>
        <v>0</v>
      </c>
      <c r="AP1067" s="34">
        <f>J1067*(1-0.688929457857275)</f>
        <v>0</v>
      </c>
      <c r="AQ1067" s="28" t="s">
        <v>7</v>
      </c>
      <c r="AV1067" s="34">
        <f>AW1067+AX1067</f>
        <v>0</v>
      </c>
      <c r="AW1067" s="34">
        <f>I1067*AO1067</f>
        <v>0</v>
      </c>
      <c r="AX1067" s="34">
        <f>I1067*AP1067</f>
        <v>0</v>
      </c>
      <c r="AY1067" s="35" t="s">
        <v>3699</v>
      </c>
      <c r="AZ1067" s="35" t="s">
        <v>3722</v>
      </c>
      <c r="BA1067" s="27" t="s">
        <v>3730</v>
      </c>
      <c r="BC1067" s="34">
        <f>AW1067+AX1067</f>
        <v>0</v>
      </c>
      <c r="BD1067" s="34">
        <f>J1067/(100-BE1067)*100</f>
        <v>0</v>
      </c>
      <c r="BE1067" s="34">
        <v>0</v>
      </c>
      <c r="BF1067" s="34">
        <f>1066</f>
        <v>1066</v>
      </c>
      <c r="BH1067" s="18">
        <f>I1067*AO1067</f>
        <v>0</v>
      </c>
      <c r="BI1067" s="18">
        <f>I1067*AP1067</f>
        <v>0</v>
      </c>
      <c r="BJ1067" s="18">
        <f>I1067*J1067</f>
        <v>0</v>
      </c>
    </row>
    <row r="1068" spans="1:62" x14ac:dyDescent="0.2">
      <c r="A1068" s="4"/>
      <c r="B1068" s="14" t="s">
        <v>102</v>
      </c>
      <c r="C1068" s="133" t="s">
        <v>2575</v>
      </c>
      <c r="D1068" s="134"/>
      <c r="E1068" s="134"/>
      <c r="F1068" s="134"/>
      <c r="G1068" s="134"/>
      <c r="H1068" s="4" t="s">
        <v>6</v>
      </c>
      <c r="I1068" s="4" t="s">
        <v>6</v>
      </c>
      <c r="J1068" s="4" t="s">
        <v>6</v>
      </c>
      <c r="K1068" s="37">
        <f>SUM(K1069:K1069)</f>
        <v>0</v>
      </c>
      <c r="L1068" s="27"/>
      <c r="AI1068" s="27" t="s">
        <v>3646</v>
      </c>
      <c r="AS1068" s="37">
        <f>SUM(AJ1069:AJ1069)</f>
        <v>0</v>
      </c>
      <c r="AT1068" s="37">
        <f>SUM(AK1069:AK1069)</f>
        <v>0</v>
      </c>
      <c r="AU1068" s="37">
        <f>SUM(AL1069:AL1069)</f>
        <v>0</v>
      </c>
    </row>
    <row r="1069" spans="1:62" x14ac:dyDescent="0.2">
      <c r="A1069" s="74" t="s">
        <v>1007</v>
      </c>
      <c r="B1069" s="5" t="s">
        <v>2179</v>
      </c>
      <c r="C1069" s="135" t="s">
        <v>3385</v>
      </c>
      <c r="D1069" s="136"/>
      <c r="E1069" s="136"/>
      <c r="F1069" s="136"/>
      <c r="G1069" s="136"/>
      <c r="H1069" s="5" t="s">
        <v>3618</v>
      </c>
      <c r="I1069" s="18">
        <v>1</v>
      </c>
      <c r="J1069" s="18">
        <v>0</v>
      </c>
      <c r="K1069" s="18">
        <f>I1069*J1069</f>
        <v>0</v>
      </c>
      <c r="L1069" s="28" t="s">
        <v>3635</v>
      </c>
      <c r="Z1069" s="34">
        <f>IF(AQ1069="5",BJ1069,0)</f>
        <v>0</v>
      </c>
      <c r="AB1069" s="34">
        <f>IF(AQ1069="1",BH1069,0)</f>
        <v>0</v>
      </c>
      <c r="AC1069" s="34">
        <f>IF(AQ1069="1",BI1069,0)</f>
        <v>0</v>
      </c>
      <c r="AD1069" s="34">
        <f>IF(AQ1069="7",BH1069,0)</f>
        <v>0</v>
      </c>
      <c r="AE1069" s="34">
        <f>IF(AQ1069="7",BI1069,0)</f>
        <v>0</v>
      </c>
      <c r="AF1069" s="34">
        <f>IF(AQ1069="2",BH1069,0)</f>
        <v>0</v>
      </c>
      <c r="AG1069" s="34">
        <f>IF(AQ1069="2",BI1069,0)</f>
        <v>0</v>
      </c>
      <c r="AH1069" s="34">
        <f>IF(AQ1069="0",BJ1069,0)</f>
        <v>0</v>
      </c>
      <c r="AI1069" s="27" t="s">
        <v>3646</v>
      </c>
      <c r="AJ1069" s="18">
        <f>IF(AN1069=0,K1069,0)</f>
        <v>0</v>
      </c>
      <c r="AK1069" s="18">
        <f>IF(AN1069=15,K1069,0)</f>
        <v>0</v>
      </c>
      <c r="AL1069" s="18">
        <f>IF(AN1069=21,K1069,0)</f>
        <v>0</v>
      </c>
      <c r="AN1069" s="34">
        <v>21</v>
      </c>
      <c r="AO1069" s="34">
        <f>J1069*0</f>
        <v>0</v>
      </c>
      <c r="AP1069" s="34">
        <f>J1069*(1-0)</f>
        <v>0</v>
      </c>
      <c r="AQ1069" s="28" t="s">
        <v>7</v>
      </c>
      <c r="AV1069" s="34">
        <f>AW1069+AX1069</f>
        <v>0</v>
      </c>
      <c r="AW1069" s="34">
        <f>I1069*AO1069</f>
        <v>0</v>
      </c>
      <c r="AX1069" s="34">
        <f>I1069*AP1069</f>
        <v>0</v>
      </c>
      <c r="AY1069" s="35" t="s">
        <v>3670</v>
      </c>
      <c r="AZ1069" s="35" t="s">
        <v>3722</v>
      </c>
      <c r="BA1069" s="27" t="s">
        <v>3730</v>
      </c>
      <c r="BC1069" s="34">
        <f>AW1069+AX1069</f>
        <v>0</v>
      </c>
      <c r="BD1069" s="34">
        <f>J1069/(100-BE1069)*100</f>
        <v>0</v>
      </c>
      <c r="BE1069" s="34">
        <v>0</v>
      </c>
      <c r="BF1069" s="34">
        <f>1068</f>
        <v>1068</v>
      </c>
      <c r="BH1069" s="18">
        <f>I1069*AO1069</f>
        <v>0</v>
      </c>
      <c r="BI1069" s="18">
        <f>I1069*AP1069</f>
        <v>0</v>
      </c>
      <c r="BJ1069" s="18">
        <f>I1069*J1069</f>
        <v>0</v>
      </c>
    </row>
    <row r="1070" spans="1:62" x14ac:dyDescent="0.2">
      <c r="A1070" s="4"/>
      <c r="B1070" s="14" t="s">
        <v>2180</v>
      </c>
      <c r="C1070" s="133" t="s">
        <v>3386</v>
      </c>
      <c r="D1070" s="134"/>
      <c r="E1070" s="134"/>
      <c r="F1070" s="134"/>
      <c r="G1070" s="134"/>
      <c r="H1070" s="4" t="s">
        <v>6</v>
      </c>
      <c r="I1070" s="4" t="s">
        <v>6</v>
      </c>
      <c r="J1070" s="4" t="s">
        <v>6</v>
      </c>
      <c r="K1070" s="37">
        <f>SUM(K1071:K1071)</f>
        <v>0</v>
      </c>
      <c r="L1070" s="27"/>
      <c r="AI1070" s="27" t="s">
        <v>3646</v>
      </c>
      <c r="AS1070" s="37">
        <f>SUM(AJ1071:AJ1071)</f>
        <v>0</v>
      </c>
      <c r="AT1070" s="37">
        <f>SUM(AK1071:AK1071)</f>
        <v>0</v>
      </c>
      <c r="AU1070" s="37">
        <f>SUM(AL1071:AL1071)</f>
        <v>0</v>
      </c>
    </row>
    <row r="1071" spans="1:62" x14ac:dyDescent="0.2">
      <c r="A1071" s="74" t="s">
        <v>1008</v>
      </c>
      <c r="B1071" s="5" t="s">
        <v>2181</v>
      </c>
      <c r="C1071" s="135" t="s">
        <v>3387</v>
      </c>
      <c r="D1071" s="136"/>
      <c r="E1071" s="136"/>
      <c r="F1071" s="136"/>
      <c r="G1071" s="136"/>
      <c r="H1071" s="5" t="s">
        <v>3616</v>
      </c>
      <c r="I1071" s="18">
        <v>430.6377</v>
      </c>
      <c r="J1071" s="18">
        <v>0</v>
      </c>
      <c r="K1071" s="18">
        <f>I1071*J1071</f>
        <v>0</v>
      </c>
      <c r="L1071" s="28" t="s">
        <v>3635</v>
      </c>
      <c r="Z1071" s="34">
        <f>IF(AQ1071="5",BJ1071,0)</f>
        <v>0</v>
      </c>
      <c r="AB1071" s="34">
        <f>IF(AQ1071="1",BH1071,0)</f>
        <v>0</v>
      </c>
      <c r="AC1071" s="34">
        <f>IF(AQ1071="1",BI1071,0)</f>
        <v>0</v>
      </c>
      <c r="AD1071" s="34">
        <f>IF(AQ1071="7",BH1071,0)</f>
        <v>0</v>
      </c>
      <c r="AE1071" s="34">
        <f>IF(AQ1071="7",BI1071,0)</f>
        <v>0</v>
      </c>
      <c r="AF1071" s="34">
        <f>IF(AQ1071="2",BH1071,0)</f>
        <v>0</v>
      </c>
      <c r="AG1071" s="34">
        <f>IF(AQ1071="2",BI1071,0)</f>
        <v>0</v>
      </c>
      <c r="AH1071" s="34">
        <f>IF(AQ1071="0",BJ1071,0)</f>
        <v>0</v>
      </c>
      <c r="AI1071" s="27" t="s">
        <v>3646</v>
      </c>
      <c r="AJ1071" s="18">
        <f>IF(AN1071=0,K1071,0)</f>
        <v>0</v>
      </c>
      <c r="AK1071" s="18">
        <f>IF(AN1071=15,K1071,0)</f>
        <v>0</v>
      </c>
      <c r="AL1071" s="18">
        <f>IF(AN1071=21,K1071,0)</f>
        <v>0</v>
      </c>
      <c r="AN1071" s="34">
        <v>21</v>
      </c>
      <c r="AO1071" s="34">
        <f>J1071*0</f>
        <v>0</v>
      </c>
      <c r="AP1071" s="34">
        <f>J1071*(1-0)</f>
        <v>0</v>
      </c>
      <c r="AQ1071" s="28" t="s">
        <v>11</v>
      </c>
      <c r="AV1071" s="34">
        <f>AW1071+AX1071</f>
        <v>0</v>
      </c>
      <c r="AW1071" s="34">
        <f>I1071*AO1071</f>
        <v>0</v>
      </c>
      <c r="AX1071" s="34">
        <f>I1071*AP1071</f>
        <v>0</v>
      </c>
      <c r="AY1071" s="35" t="s">
        <v>3700</v>
      </c>
      <c r="AZ1071" s="35" t="s">
        <v>3722</v>
      </c>
      <c r="BA1071" s="27" t="s">
        <v>3730</v>
      </c>
      <c r="BC1071" s="34">
        <f>AW1071+AX1071</f>
        <v>0</v>
      </c>
      <c r="BD1071" s="34">
        <f>J1071/(100-BE1071)*100</f>
        <v>0</v>
      </c>
      <c r="BE1071" s="34">
        <v>0</v>
      </c>
      <c r="BF1071" s="34">
        <f>1070</f>
        <v>1070</v>
      </c>
      <c r="BH1071" s="18">
        <f>I1071*AO1071</f>
        <v>0</v>
      </c>
      <c r="BI1071" s="18">
        <f>I1071*AP1071</f>
        <v>0</v>
      </c>
      <c r="BJ1071" s="18">
        <f>I1071*J1071</f>
        <v>0</v>
      </c>
    </row>
    <row r="1072" spans="1:62" x14ac:dyDescent="0.2">
      <c r="A1072" s="7"/>
      <c r="B1072" s="15"/>
      <c r="C1072" s="131" t="s">
        <v>3388</v>
      </c>
      <c r="D1072" s="132"/>
      <c r="E1072" s="132"/>
      <c r="F1072" s="132"/>
      <c r="G1072" s="132"/>
      <c r="H1072" s="7" t="s">
        <v>6</v>
      </c>
      <c r="I1072" s="7" t="s">
        <v>6</v>
      </c>
      <c r="J1072" s="7" t="s">
        <v>6</v>
      </c>
      <c r="K1072" s="38">
        <f>K1073+K1154</f>
        <v>0</v>
      </c>
      <c r="L1072" s="30"/>
    </row>
    <row r="1073" spans="1:62" x14ac:dyDescent="0.2">
      <c r="A1073" s="4"/>
      <c r="B1073" s="14" t="s">
        <v>737</v>
      </c>
      <c r="C1073" s="133" t="s">
        <v>2951</v>
      </c>
      <c r="D1073" s="134"/>
      <c r="E1073" s="134"/>
      <c r="F1073" s="134"/>
      <c r="G1073" s="134"/>
      <c r="H1073" s="4" t="s">
        <v>6</v>
      </c>
      <c r="I1073" s="4" t="s">
        <v>6</v>
      </c>
      <c r="J1073" s="4" t="s">
        <v>6</v>
      </c>
      <c r="K1073" s="37">
        <f>SUM(K1074:K1153)</f>
        <v>0</v>
      </c>
      <c r="L1073" s="27"/>
      <c r="AI1073" s="27" t="s">
        <v>3647</v>
      </c>
      <c r="AS1073" s="37">
        <f>SUM(AJ1074:AJ1153)</f>
        <v>0</v>
      </c>
      <c r="AT1073" s="37">
        <f>SUM(AK1074:AK1153)</f>
        <v>0</v>
      </c>
      <c r="AU1073" s="37">
        <f>SUM(AL1074:AL1153)</f>
        <v>0</v>
      </c>
    </row>
    <row r="1074" spans="1:62" x14ac:dyDescent="0.2">
      <c r="A1074" s="74" t="s">
        <v>1009</v>
      </c>
      <c r="B1074" s="5" t="s">
        <v>2182</v>
      </c>
      <c r="C1074" s="135" t="s">
        <v>3389</v>
      </c>
      <c r="D1074" s="136"/>
      <c r="E1074" s="136"/>
      <c r="F1074" s="136"/>
      <c r="G1074" s="136"/>
      <c r="H1074" s="5" t="s">
        <v>3614</v>
      </c>
      <c r="I1074" s="18">
        <v>20</v>
      </c>
      <c r="J1074" s="18">
        <v>0</v>
      </c>
      <c r="K1074" s="18">
        <f t="shared" ref="K1074:K1105" si="894">I1074*J1074</f>
        <v>0</v>
      </c>
      <c r="L1074" s="28" t="s">
        <v>3635</v>
      </c>
      <c r="Z1074" s="34">
        <f t="shared" ref="Z1074:Z1105" si="895">IF(AQ1074="5",BJ1074,0)</f>
        <v>0</v>
      </c>
      <c r="AB1074" s="34">
        <f t="shared" ref="AB1074:AB1105" si="896">IF(AQ1074="1",BH1074,0)</f>
        <v>0</v>
      </c>
      <c r="AC1074" s="34">
        <f t="shared" ref="AC1074:AC1105" si="897">IF(AQ1074="1",BI1074,0)</f>
        <v>0</v>
      </c>
      <c r="AD1074" s="34">
        <f t="shared" ref="AD1074:AD1105" si="898">IF(AQ1074="7",BH1074,0)</f>
        <v>0</v>
      </c>
      <c r="AE1074" s="34">
        <f t="shared" ref="AE1074:AE1105" si="899">IF(AQ1074="7",BI1074,0)</f>
        <v>0</v>
      </c>
      <c r="AF1074" s="34">
        <f t="shared" ref="AF1074:AF1105" si="900">IF(AQ1074="2",BH1074,0)</f>
        <v>0</v>
      </c>
      <c r="AG1074" s="34">
        <f t="shared" ref="AG1074:AG1105" si="901">IF(AQ1074="2",BI1074,0)</f>
        <v>0</v>
      </c>
      <c r="AH1074" s="34">
        <f t="shared" ref="AH1074:AH1105" si="902">IF(AQ1074="0",BJ1074,0)</f>
        <v>0</v>
      </c>
      <c r="AI1074" s="27" t="s">
        <v>3647</v>
      </c>
      <c r="AJ1074" s="18">
        <f t="shared" ref="AJ1074:AJ1105" si="903">IF(AN1074=0,K1074,0)</f>
        <v>0</v>
      </c>
      <c r="AK1074" s="18">
        <f t="shared" ref="AK1074:AK1105" si="904">IF(AN1074=15,K1074,0)</f>
        <v>0</v>
      </c>
      <c r="AL1074" s="18">
        <f t="shared" ref="AL1074:AL1105" si="905">IF(AN1074=21,K1074,0)</f>
        <v>0</v>
      </c>
      <c r="AN1074" s="34">
        <v>21</v>
      </c>
      <c r="AO1074" s="34">
        <f t="shared" ref="AO1074:AO1105" si="906">J1074*0</f>
        <v>0</v>
      </c>
      <c r="AP1074" s="34">
        <f t="shared" ref="AP1074:AP1105" si="907">J1074*(1-0)</f>
        <v>0</v>
      </c>
      <c r="AQ1074" s="28" t="s">
        <v>13</v>
      </c>
      <c r="AV1074" s="34">
        <f t="shared" ref="AV1074:AV1105" si="908">AW1074+AX1074</f>
        <v>0</v>
      </c>
      <c r="AW1074" s="34">
        <f t="shared" ref="AW1074:AW1105" si="909">I1074*AO1074</f>
        <v>0</v>
      </c>
      <c r="AX1074" s="34">
        <f t="shared" ref="AX1074:AX1105" si="910">I1074*AP1074</f>
        <v>0</v>
      </c>
      <c r="AY1074" s="35" t="s">
        <v>3681</v>
      </c>
      <c r="AZ1074" s="35" t="s">
        <v>3723</v>
      </c>
      <c r="BA1074" s="27" t="s">
        <v>3731</v>
      </c>
      <c r="BC1074" s="34">
        <f t="shared" ref="BC1074:BC1105" si="911">AW1074+AX1074</f>
        <v>0</v>
      </c>
      <c r="BD1074" s="34">
        <f t="shared" ref="BD1074:BD1105" si="912">J1074/(100-BE1074)*100</f>
        <v>0</v>
      </c>
      <c r="BE1074" s="34">
        <v>0</v>
      </c>
      <c r="BF1074" s="34">
        <f>1073</f>
        <v>1073</v>
      </c>
      <c r="BH1074" s="18">
        <f t="shared" ref="BH1074:BH1105" si="913">I1074*AO1074</f>
        <v>0</v>
      </c>
      <c r="BI1074" s="18">
        <f t="shared" ref="BI1074:BI1105" si="914">I1074*AP1074</f>
        <v>0</v>
      </c>
      <c r="BJ1074" s="18">
        <f t="shared" ref="BJ1074:BJ1105" si="915">I1074*J1074</f>
        <v>0</v>
      </c>
    </row>
    <row r="1075" spans="1:62" x14ac:dyDescent="0.2">
      <c r="A1075" s="74" t="s">
        <v>1010</v>
      </c>
      <c r="B1075" s="5" t="s">
        <v>2183</v>
      </c>
      <c r="C1075" s="135" t="s">
        <v>3390</v>
      </c>
      <c r="D1075" s="136"/>
      <c r="E1075" s="136"/>
      <c r="F1075" s="136"/>
      <c r="G1075" s="136"/>
      <c r="H1075" s="5" t="s">
        <v>3612</v>
      </c>
      <c r="I1075" s="18">
        <v>2</v>
      </c>
      <c r="J1075" s="18">
        <v>0</v>
      </c>
      <c r="K1075" s="18">
        <f t="shared" si="894"/>
        <v>0</v>
      </c>
      <c r="L1075" s="28" t="s">
        <v>3635</v>
      </c>
      <c r="Z1075" s="34">
        <f t="shared" si="895"/>
        <v>0</v>
      </c>
      <c r="AB1075" s="34">
        <f t="shared" si="896"/>
        <v>0</v>
      </c>
      <c r="AC1075" s="34">
        <f t="shared" si="897"/>
        <v>0</v>
      </c>
      <c r="AD1075" s="34">
        <f t="shared" si="898"/>
        <v>0</v>
      </c>
      <c r="AE1075" s="34">
        <f t="shared" si="899"/>
        <v>0</v>
      </c>
      <c r="AF1075" s="34">
        <f t="shared" si="900"/>
        <v>0</v>
      </c>
      <c r="AG1075" s="34">
        <f t="shared" si="901"/>
        <v>0</v>
      </c>
      <c r="AH1075" s="34">
        <f t="shared" si="902"/>
        <v>0</v>
      </c>
      <c r="AI1075" s="27" t="s">
        <v>3647</v>
      </c>
      <c r="AJ1075" s="18">
        <f t="shared" si="903"/>
        <v>0</v>
      </c>
      <c r="AK1075" s="18">
        <f t="shared" si="904"/>
        <v>0</v>
      </c>
      <c r="AL1075" s="18">
        <f t="shared" si="905"/>
        <v>0</v>
      </c>
      <c r="AN1075" s="34">
        <v>21</v>
      </c>
      <c r="AO1075" s="34">
        <f t="shared" si="906"/>
        <v>0</v>
      </c>
      <c r="AP1075" s="34">
        <f t="shared" si="907"/>
        <v>0</v>
      </c>
      <c r="AQ1075" s="28" t="s">
        <v>13</v>
      </c>
      <c r="AV1075" s="34">
        <f t="shared" si="908"/>
        <v>0</v>
      </c>
      <c r="AW1075" s="34">
        <f t="shared" si="909"/>
        <v>0</v>
      </c>
      <c r="AX1075" s="34">
        <f t="shared" si="910"/>
        <v>0</v>
      </c>
      <c r="AY1075" s="35" t="s">
        <v>3681</v>
      </c>
      <c r="AZ1075" s="35" t="s">
        <v>3723</v>
      </c>
      <c r="BA1075" s="27" t="s">
        <v>3731</v>
      </c>
      <c r="BC1075" s="34">
        <f t="shared" si="911"/>
        <v>0</v>
      </c>
      <c r="BD1075" s="34">
        <f t="shared" si="912"/>
        <v>0</v>
      </c>
      <c r="BE1075" s="34">
        <v>0</v>
      </c>
      <c r="BF1075" s="34">
        <f>1074</f>
        <v>1074</v>
      </c>
      <c r="BH1075" s="18">
        <f t="shared" si="913"/>
        <v>0</v>
      </c>
      <c r="BI1075" s="18">
        <f t="shared" si="914"/>
        <v>0</v>
      </c>
      <c r="BJ1075" s="18">
        <f t="shared" si="915"/>
        <v>0</v>
      </c>
    </row>
    <row r="1076" spans="1:62" x14ac:dyDescent="0.2">
      <c r="A1076" s="74" t="s">
        <v>1011</v>
      </c>
      <c r="B1076" s="5" t="s">
        <v>2184</v>
      </c>
      <c r="C1076" s="135" t="s">
        <v>3391</v>
      </c>
      <c r="D1076" s="136"/>
      <c r="E1076" s="136"/>
      <c r="F1076" s="136"/>
      <c r="G1076" s="136"/>
      <c r="H1076" s="5" t="s">
        <v>3612</v>
      </c>
      <c r="I1076" s="18">
        <v>2</v>
      </c>
      <c r="J1076" s="18">
        <v>0</v>
      </c>
      <c r="K1076" s="18">
        <f t="shared" si="894"/>
        <v>0</v>
      </c>
      <c r="L1076" s="28" t="s">
        <v>3635</v>
      </c>
      <c r="Z1076" s="34">
        <f t="shared" si="895"/>
        <v>0</v>
      </c>
      <c r="AB1076" s="34">
        <f t="shared" si="896"/>
        <v>0</v>
      </c>
      <c r="AC1076" s="34">
        <f t="shared" si="897"/>
        <v>0</v>
      </c>
      <c r="AD1076" s="34">
        <f t="shared" si="898"/>
        <v>0</v>
      </c>
      <c r="AE1076" s="34">
        <f t="shared" si="899"/>
        <v>0</v>
      </c>
      <c r="AF1076" s="34">
        <f t="shared" si="900"/>
        <v>0</v>
      </c>
      <c r="AG1076" s="34">
        <f t="shared" si="901"/>
        <v>0</v>
      </c>
      <c r="AH1076" s="34">
        <f t="shared" si="902"/>
        <v>0</v>
      </c>
      <c r="AI1076" s="27" t="s">
        <v>3647</v>
      </c>
      <c r="AJ1076" s="18">
        <f t="shared" si="903"/>
        <v>0</v>
      </c>
      <c r="AK1076" s="18">
        <f t="shared" si="904"/>
        <v>0</v>
      </c>
      <c r="AL1076" s="18">
        <f t="shared" si="905"/>
        <v>0</v>
      </c>
      <c r="AN1076" s="34">
        <v>21</v>
      </c>
      <c r="AO1076" s="34">
        <f t="shared" si="906"/>
        <v>0</v>
      </c>
      <c r="AP1076" s="34">
        <f t="shared" si="907"/>
        <v>0</v>
      </c>
      <c r="AQ1076" s="28" t="s">
        <v>13</v>
      </c>
      <c r="AV1076" s="34">
        <f t="shared" si="908"/>
        <v>0</v>
      </c>
      <c r="AW1076" s="34">
        <f t="shared" si="909"/>
        <v>0</v>
      </c>
      <c r="AX1076" s="34">
        <f t="shared" si="910"/>
        <v>0</v>
      </c>
      <c r="AY1076" s="35" t="s">
        <v>3681</v>
      </c>
      <c r="AZ1076" s="35" t="s">
        <v>3723</v>
      </c>
      <c r="BA1076" s="27" t="s">
        <v>3731</v>
      </c>
      <c r="BC1076" s="34">
        <f t="shared" si="911"/>
        <v>0</v>
      </c>
      <c r="BD1076" s="34">
        <f t="shared" si="912"/>
        <v>0</v>
      </c>
      <c r="BE1076" s="34">
        <v>0</v>
      </c>
      <c r="BF1076" s="34">
        <f>1075</f>
        <v>1075</v>
      </c>
      <c r="BH1076" s="18">
        <f t="shared" si="913"/>
        <v>0</v>
      </c>
      <c r="BI1076" s="18">
        <f t="shared" si="914"/>
        <v>0</v>
      </c>
      <c r="BJ1076" s="18">
        <f t="shared" si="915"/>
        <v>0</v>
      </c>
    </row>
    <row r="1077" spans="1:62" x14ac:dyDescent="0.2">
      <c r="A1077" s="74" t="s">
        <v>1012</v>
      </c>
      <c r="B1077" s="5" t="s">
        <v>2185</v>
      </c>
      <c r="C1077" s="135" t="s">
        <v>3392</v>
      </c>
      <c r="D1077" s="136"/>
      <c r="E1077" s="136"/>
      <c r="F1077" s="136"/>
      <c r="G1077" s="136"/>
      <c r="H1077" s="5" t="s">
        <v>3612</v>
      </c>
      <c r="I1077" s="18">
        <v>2</v>
      </c>
      <c r="J1077" s="18">
        <v>0</v>
      </c>
      <c r="K1077" s="18">
        <f t="shared" si="894"/>
        <v>0</v>
      </c>
      <c r="L1077" s="28" t="s">
        <v>3635</v>
      </c>
      <c r="Z1077" s="34">
        <f t="shared" si="895"/>
        <v>0</v>
      </c>
      <c r="AB1077" s="34">
        <f t="shared" si="896"/>
        <v>0</v>
      </c>
      <c r="AC1077" s="34">
        <f t="shared" si="897"/>
        <v>0</v>
      </c>
      <c r="AD1077" s="34">
        <f t="shared" si="898"/>
        <v>0</v>
      </c>
      <c r="AE1077" s="34">
        <f t="shared" si="899"/>
        <v>0</v>
      </c>
      <c r="AF1077" s="34">
        <f t="shared" si="900"/>
        <v>0</v>
      </c>
      <c r="AG1077" s="34">
        <f t="shared" si="901"/>
        <v>0</v>
      </c>
      <c r="AH1077" s="34">
        <f t="shared" si="902"/>
        <v>0</v>
      </c>
      <c r="AI1077" s="27" t="s">
        <v>3647</v>
      </c>
      <c r="AJ1077" s="18">
        <f t="shared" si="903"/>
        <v>0</v>
      </c>
      <c r="AK1077" s="18">
        <f t="shared" si="904"/>
        <v>0</v>
      </c>
      <c r="AL1077" s="18">
        <f t="shared" si="905"/>
        <v>0</v>
      </c>
      <c r="AN1077" s="34">
        <v>21</v>
      </c>
      <c r="AO1077" s="34">
        <f t="shared" si="906"/>
        <v>0</v>
      </c>
      <c r="AP1077" s="34">
        <f t="shared" si="907"/>
        <v>0</v>
      </c>
      <c r="AQ1077" s="28" t="s">
        <v>13</v>
      </c>
      <c r="AV1077" s="34">
        <f t="shared" si="908"/>
        <v>0</v>
      </c>
      <c r="AW1077" s="34">
        <f t="shared" si="909"/>
        <v>0</v>
      </c>
      <c r="AX1077" s="34">
        <f t="shared" si="910"/>
        <v>0</v>
      </c>
      <c r="AY1077" s="35" t="s">
        <v>3681</v>
      </c>
      <c r="AZ1077" s="35" t="s">
        <v>3723</v>
      </c>
      <c r="BA1077" s="27" t="s">
        <v>3731</v>
      </c>
      <c r="BC1077" s="34">
        <f t="shared" si="911"/>
        <v>0</v>
      </c>
      <c r="BD1077" s="34">
        <f t="shared" si="912"/>
        <v>0</v>
      </c>
      <c r="BE1077" s="34">
        <v>0</v>
      </c>
      <c r="BF1077" s="34">
        <f>1076</f>
        <v>1076</v>
      </c>
      <c r="BH1077" s="18">
        <f t="shared" si="913"/>
        <v>0</v>
      </c>
      <c r="BI1077" s="18">
        <f t="shared" si="914"/>
        <v>0</v>
      </c>
      <c r="BJ1077" s="18">
        <f t="shared" si="915"/>
        <v>0</v>
      </c>
    </row>
    <row r="1078" spans="1:62" x14ac:dyDescent="0.2">
      <c r="A1078" s="74" t="s">
        <v>1013</v>
      </c>
      <c r="B1078" s="5" t="s">
        <v>2186</v>
      </c>
      <c r="C1078" s="135" t="s">
        <v>3393</v>
      </c>
      <c r="D1078" s="136"/>
      <c r="E1078" s="136"/>
      <c r="F1078" s="136"/>
      <c r="G1078" s="136"/>
      <c r="H1078" s="5" t="s">
        <v>3612</v>
      </c>
      <c r="I1078" s="18">
        <v>6</v>
      </c>
      <c r="J1078" s="18">
        <v>0</v>
      </c>
      <c r="K1078" s="18">
        <f t="shared" si="894"/>
        <v>0</v>
      </c>
      <c r="L1078" s="28" t="s">
        <v>3635</v>
      </c>
      <c r="Z1078" s="34">
        <f t="shared" si="895"/>
        <v>0</v>
      </c>
      <c r="AB1078" s="34">
        <f t="shared" si="896"/>
        <v>0</v>
      </c>
      <c r="AC1078" s="34">
        <f t="shared" si="897"/>
        <v>0</v>
      </c>
      <c r="AD1078" s="34">
        <f t="shared" si="898"/>
        <v>0</v>
      </c>
      <c r="AE1078" s="34">
        <f t="shared" si="899"/>
        <v>0</v>
      </c>
      <c r="AF1078" s="34">
        <f t="shared" si="900"/>
        <v>0</v>
      </c>
      <c r="AG1078" s="34">
        <f t="shared" si="901"/>
        <v>0</v>
      </c>
      <c r="AH1078" s="34">
        <f t="shared" si="902"/>
        <v>0</v>
      </c>
      <c r="AI1078" s="27" t="s">
        <v>3647</v>
      </c>
      <c r="AJ1078" s="18">
        <f t="shared" si="903"/>
        <v>0</v>
      </c>
      <c r="AK1078" s="18">
        <f t="shared" si="904"/>
        <v>0</v>
      </c>
      <c r="AL1078" s="18">
        <f t="shared" si="905"/>
        <v>0</v>
      </c>
      <c r="AN1078" s="34">
        <v>21</v>
      </c>
      <c r="AO1078" s="34">
        <f t="shared" si="906"/>
        <v>0</v>
      </c>
      <c r="AP1078" s="34">
        <f t="shared" si="907"/>
        <v>0</v>
      </c>
      <c r="AQ1078" s="28" t="s">
        <v>13</v>
      </c>
      <c r="AV1078" s="34">
        <f t="shared" si="908"/>
        <v>0</v>
      </c>
      <c r="AW1078" s="34">
        <f t="shared" si="909"/>
        <v>0</v>
      </c>
      <c r="AX1078" s="34">
        <f t="shared" si="910"/>
        <v>0</v>
      </c>
      <c r="AY1078" s="35" t="s">
        <v>3681</v>
      </c>
      <c r="AZ1078" s="35" t="s">
        <v>3723</v>
      </c>
      <c r="BA1078" s="27" t="s">
        <v>3731</v>
      </c>
      <c r="BC1078" s="34">
        <f t="shared" si="911"/>
        <v>0</v>
      </c>
      <c r="BD1078" s="34">
        <f t="shared" si="912"/>
        <v>0</v>
      </c>
      <c r="BE1078" s="34">
        <v>0</v>
      </c>
      <c r="BF1078" s="34">
        <f>1077</f>
        <v>1077</v>
      </c>
      <c r="BH1078" s="18">
        <f t="shared" si="913"/>
        <v>0</v>
      </c>
      <c r="BI1078" s="18">
        <f t="shared" si="914"/>
        <v>0</v>
      </c>
      <c r="BJ1078" s="18">
        <f t="shared" si="915"/>
        <v>0</v>
      </c>
    </row>
    <row r="1079" spans="1:62" x14ac:dyDescent="0.2">
      <c r="A1079" s="74" t="s">
        <v>1014</v>
      </c>
      <c r="B1079" s="5" t="s">
        <v>2187</v>
      </c>
      <c r="C1079" s="135" t="s">
        <v>3394</v>
      </c>
      <c r="D1079" s="136"/>
      <c r="E1079" s="136"/>
      <c r="F1079" s="136"/>
      <c r="G1079" s="136"/>
      <c r="H1079" s="5" t="s">
        <v>3612</v>
      </c>
      <c r="I1079" s="18">
        <v>2</v>
      </c>
      <c r="J1079" s="18">
        <v>0</v>
      </c>
      <c r="K1079" s="18">
        <f t="shared" si="894"/>
        <v>0</v>
      </c>
      <c r="L1079" s="28" t="s">
        <v>3635</v>
      </c>
      <c r="Z1079" s="34">
        <f t="shared" si="895"/>
        <v>0</v>
      </c>
      <c r="AB1079" s="34">
        <f t="shared" si="896"/>
        <v>0</v>
      </c>
      <c r="AC1079" s="34">
        <f t="shared" si="897"/>
        <v>0</v>
      </c>
      <c r="AD1079" s="34">
        <f t="shared" si="898"/>
        <v>0</v>
      </c>
      <c r="AE1079" s="34">
        <f t="shared" si="899"/>
        <v>0</v>
      </c>
      <c r="AF1079" s="34">
        <f t="shared" si="900"/>
        <v>0</v>
      </c>
      <c r="AG1079" s="34">
        <f t="shared" si="901"/>
        <v>0</v>
      </c>
      <c r="AH1079" s="34">
        <f t="shared" si="902"/>
        <v>0</v>
      </c>
      <c r="AI1079" s="27" t="s">
        <v>3647</v>
      </c>
      <c r="AJ1079" s="18">
        <f t="shared" si="903"/>
        <v>0</v>
      </c>
      <c r="AK1079" s="18">
        <f t="shared" si="904"/>
        <v>0</v>
      </c>
      <c r="AL1079" s="18">
        <f t="shared" si="905"/>
        <v>0</v>
      </c>
      <c r="AN1079" s="34">
        <v>21</v>
      </c>
      <c r="AO1079" s="34">
        <f t="shared" si="906"/>
        <v>0</v>
      </c>
      <c r="AP1079" s="34">
        <f t="shared" si="907"/>
        <v>0</v>
      </c>
      <c r="AQ1079" s="28" t="s">
        <v>13</v>
      </c>
      <c r="AV1079" s="34">
        <f t="shared" si="908"/>
        <v>0</v>
      </c>
      <c r="AW1079" s="34">
        <f t="shared" si="909"/>
        <v>0</v>
      </c>
      <c r="AX1079" s="34">
        <f t="shared" si="910"/>
        <v>0</v>
      </c>
      <c r="AY1079" s="35" t="s">
        <v>3681</v>
      </c>
      <c r="AZ1079" s="35" t="s">
        <v>3723</v>
      </c>
      <c r="BA1079" s="27" t="s">
        <v>3731</v>
      </c>
      <c r="BC1079" s="34">
        <f t="shared" si="911"/>
        <v>0</v>
      </c>
      <c r="BD1079" s="34">
        <f t="shared" si="912"/>
        <v>0</v>
      </c>
      <c r="BE1079" s="34">
        <v>0</v>
      </c>
      <c r="BF1079" s="34">
        <f>1078</f>
        <v>1078</v>
      </c>
      <c r="BH1079" s="18">
        <f t="shared" si="913"/>
        <v>0</v>
      </c>
      <c r="BI1079" s="18">
        <f t="shared" si="914"/>
        <v>0</v>
      </c>
      <c r="BJ1079" s="18">
        <f t="shared" si="915"/>
        <v>0</v>
      </c>
    </row>
    <row r="1080" spans="1:62" x14ac:dyDescent="0.2">
      <c r="A1080" s="74" t="s">
        <v>1015</v>
      </c>
      <c r="B1080" s="5" t="s">
        <v>2188</v>
      </c>
      <c r="C1080" s="135" t="s">
        <v>3395</v>
      </c>
      <c r="D1080" s="136"/>
      <c r="E1080" s="136"/>
      <c r="F1080" s="136"/>
      <c r="G1080" s="136"/>
      <c r="H1080" s="5" t="s">
        <v>3612</v>
      </c>
      <c r="I1080" s="18">
        <v>2</v>
      </c>
      <c r="J1080" s="18">
        <v>0</v>
      </c>
      <c r="K1080" s="18">
        <f t="shared" si="894"/>
        <v>0</v>
      </c>
      <c r="L1080" s="28" t="s">
        <v>3635</v>
      </c>
      <c r="Z1080" s="34">
        <f t="shared" si="895"/>
        <v>0</v>
      </c>
      <c r="AB1080" s="34">
        <f t="shared" si="896"/>
        <v>0</v>
      </c>
      <c r="AC1080" s="34">
        <f t="shared" si="897"/>
        <v>0</v>
      </c>
      <c r="AD1080" s="34">
        <f t="shared" si="898"/>
        <v>0</v>
      </c>
      <c r="AE1080" s="34">
        <f t="shared" si="899"/>
        <v>0</v>
      </c>
      <c r="AF1080" s="34">
        <f t="shared" si="900"/>
        <v>0</v>
      </c>
      <c r="AG1080" s="34">
        <f t="shared" si="901"/>
        <v>0</v>
      </c>
      <c r="AH1080" s="34">
        <f t="shared" si="902"/>
        <v>0</v>
      </c>
      <c r="AI1080" s="27" t="s">
        <v>3647</v>
      </c>
      <c r="AJ1080" s="18">
        <f t="shared" si="903"/>
        <v>0</v>
      </c>
      <c r="AK1080" s="18">
        <f t="shared" si="904"/>
        <v>0</v>
      </c>
      <c r="AL1080" s="18">
        <f t="shared" si="905"/>
        <v>0</v>
      </c>
      <c r="AN1080" s="34">
        <v>21</v>
      </c>
      <c r="AO1080" s="34">
        <f t="shared" si="906"/>
        <v>0</v>
      </c>
      <c r="AP1080" s="34">
        <f t="shared" si="907"/>
        <v>0</v>
      </c>
      <c r="AQ1080" s="28" t="s">
        <v>13</v>
      </c>
      <c r="AV1080" s="34">
        <f t="shared" si="908"/>
        <v>0</v>
      </c>
      <c r="AW1080" s="34">
        <f t="shared" si="909"/>
        <v>0</v>
      </c>
      <c r="AX1080" s="34">
        <f t="shared" si="910"/>
        <v>0</v>
      </c>
      <c r="AY1080" s="35" t="s">
        <v>3681</v>
      </c>
      <c r="AZ1080" s="35" t="s">
        <v>3723</v>
      </c>
      <c r="BA1080" s="27" t="s">
        <v>3731</v>
      </c>
      <c r="BC1080" s="34">
        <f t="shared" si="911"/>
        <v>0</v>
      </c>
      <c r="BD1080" s="34">
        <f t="shared" si="912"/>
        <v>0</v>
      </c>
      <c r="BE1080" s="34">
        <v>0</v>
      </c>
      <c r="BF1080" s="34">
        <f>1079</f>
        <v>1079</v>
      </c>
      <c r="BH1080" s="18">
        <f t="shared" si="913"/>
        <v>0</v>
      </c>
      <c r="BI1080" s="18">
        <f t="shared" si="914"/>
        <v>0</v>
      </c>
      <c r="BJ1080" s="18">
        <f t="shared" si="915"/>
        <v>0</v>
      </c>
    </row>
    <row r="1081" spans="1:62" x14ac:dyDescent="0.2">
      <c r="A1081" s="74" t="s">
        <v>1016</v>
      </c>
      <c r="B1081" s="5" t="s">
        <v>2189</v>
      </c>
      <c r="C1081" s="135" t="s">
        <v>3396</v>
      </c>
      <c r="D1081" s="136"/>
      <c r="E1081" s="136"/>
      <c r="F1081" s="136"/>
      <c r="G1081" s="136"/>
      <c r="H1081" s="5" t="s">
        <v>3612</v>
      </c>
      <c r="I1081" s="18">
        <v>12</v>
      </c>
      <c r="J1081" s="18">
        <v>0</v>
      </c>
      <c r="K1081" s="18">
        <f t="shared" si="894"/>
        <v>0</v>
      </c>
      <c r="L1081" s="28" t="s">
        <v>3635</v>
      </c>
      <c r="Z1081" s="34">
        <f t="shared" si="895"/>
        <v>0</v>
      </c>
      <c r="AB1081" s="34">
        <f t="shared" si="896"/>
        <v>0</v>
      </c>
      <c r="AC1081" s="34">
        <f t="shared" si="897"/>
        <v>0</v>
      </c>
      <c r="AD1081" s="34">
        <f t="shared" si="898"/>
        <v>0</v>
      </c>
      <c r="AE1081" s="34">
        <f t="shared" si="899"/>
        <v>0</v>
      </c>
      <c r="AF1081" s="34">
        <f t="shared" si="900"/>
        <v>0</v>
      </c>
      <c r="AG1081" s="34">
        <f t="shared" si="901"/>
        <v>0</v>
      </c>
      <c r="AH1081" s="34">
        <f t="shared" si="902"/>
        <v>0</v>
      </c>
      <c r="AI1081" s="27" t="s">
        <v>3647</v>
      </c>
      <c r="AJ1081" s="18">
        <f t="shared" si="903"/>
        <v>0</v>
      </c>
      <c r="AK1081" s="18">
        <f t="shared" si="904"/>
        <v>0</v>
      </c>
      <c r="AL1081" s="18">
        <f t="shared" si="905"/>
        <v>0</v>
      </c>
      <c r="AN1081" s="34">
        <v>21</v>
      </c>
      <c r="AO1081" s="34">
        <f t="shared" si="906"/>
        <v>0</v>
      </c>
      <c r="AP1081" s="34">
        <f t="shared" si="907"/>
        <v>0</v>
      </c>
      <c r="AQ1081" s="28" t="s">
        <v>13</v>
      </c>
      <c r="AV1081" s="34">
        <f t="shared" si="908"/>
        <v>0</v>
      </c>
      <c r="AW1081" s="34">
        <f t="shared" si="909"/>
        <v>0</v>
      </c>
      <c r="AX1081" s="34">
        <f t="shared" si="910"/>
        <v>0</v>
      </c>
      <c r="AY1081" s="35" t="s">
        <v>3681</v>
      </c>
      <c r="AZ1081" s="35" t="s">
        <v>3723</v>
      </c>
      <c r="BA1081" s="27" t="s">
        <v>3731</v>
      </c>
      <c r="BC1081" s="34">
        <f t="shared" si="911"/>
        <v>0</v>
      </c>
      <c r="BD1081" s="34">
        <f t="shared" si="912"/>
        <v>0</v>
      </c>
      <c r="BE1081" s="34">
        <v>0</v>
      </c>
      <c r="BF1081" s="34">
        <f>1080</f>
        <v>1080</v>
      </c>
      <c r="BH1081" s="18">
        <f t="shared" si="913"/>
        <v>0</v>
      </c>
      <c r="BI1081" s="18">
        <f t="shared" si="914"/>
        <v>0</v>
      </c>
      <c r="BJ1081" s="18">
        <f t="shared" si="915"/>
        <v>0</v>
      </c>
    </row>
    <row r="1082" spans="1:62" x14ac:dyDescent="0.2">
      <c r="A1082" s="74" t="s">
        <v>1017</v>
      </c>
      <c r="B1082" s="5" t="s">
        <v>2190</v>
      </c>
      <c r="C1082" s="135" t="s">
        <v>3397</v>
      </c>
      <c r="D1082" s="136"/>
      <c r="E1082" s="136"/>
      <c r="F1082" s="136"/>
      <c r="G1082" s="136"/>
      <c r="H1082" s="5" t="s">
        <v>3612</v>
      </c>
      <c r="I1082" s="18">
        <v>12</v>
      </c>
      <c r="J1082" s="18">
        <v>0</v>
      </c>
      <c r="K1082" s="18">
        <f t="shared" si="894"/>
        <v>0</v>
      </c>
      <c r="L1082" s="28" t="s">
        <v>3635</v>
      </c>
      <c r="Z1082" s="34">
        <f t="shared" si="895"/>
        <v>0</v>
      </c>
      <c r="AB1082" s="34">
        <f t="shared" si="896"/>
        <v>0</v>
      </c>
      <c r="AC1082" s="34">
        <f t="shared" si="897"/>
        <v>0</v>
      </c>
      <c r="AD1082" s="34">
        <f t="shared" si="898"/>
        <v>0</v>
      </c>
      <c r="AE1082" s="34">
        <f t="shared" si="899"/>
        <v>0</v>
      </c>
      <c r="AF1082" s="34">
        <f t="shared" si="900"/>
        <v>0</v>
      </c>
      <c r="AG1082" s="34">
        <f t="shared" si="901"/>
        <v>0</v>
      </c>
      <c r="AH1082" s="34">
        <f t="shared" si="902"/>
        <v>0</v>
      </c>
      <c r="AI1082" s="27" t="s">
        <v>3647</v>
      </c>
      <c r="AJ1082" s="18">
        <f t="shared" si="903"/>
        <v>0</v>
      </c>
      <c r="AK1082" s="18">
        <f t="shared" si="904"/>
        <v>0</v>
      </c>
      <c r="AL1082" s="18">
        <f t="shared" si="905"/>
        <v>0</v>
      </c>
      <c r="AN1082" s="34">
        <v>21</v>
      </c>
      <c r="AO1082" s="34">
        <f t="shared" si="906"/>
        <v>0</v>
      </c>
      <c r="AP1082" s="34">
        <f t="shared" si="907"/>
        <v>0</v>
      </c>
      <c r="AQ1082" s="28" t="s">
        <v>13</v>
      </c>
      <c r="AV1082" s="34">
        <f t="shared" si="908"/>
        <v>0</v>
      </c>
      <c r="AW1082" s="34">
        <f t="shared" si="909"/>
        <v>0</v>
      </c>
      <c r="AX1082" s="34">
        <f t="shared" si="910"/>
        <v>0</v>
      </c>
      <c r="AY1082" s="35" t="s">
        <v>3681</v>
      </c>
      <c r="AZ1082" s="35" t="s">
        <v>3723</v>
      </c>
      <c r="BA1082" s="27" t="s">
        <v>3731</v>
      </c>
      <c r="BC1082" s="34">
        <f t="shared" si="911"/>
        <v>0</v>
      </c>
      <c r="BD1082" s="34">
        <f t="shared" si="912"/>
        <v>0</v>
      </c>
      <c r="BE1082" s="34">
        <v>0</v>
      </c>
      <c r="BF1082" s="34">
        <f>1081</f>
        <v>1081</v>
      </c>
      <c r="BH1082" s="18">
        <f t="shared" si="913"/>
        <v>0</v>
      </c>
      <c r="BI1082" s="18">
        <f t="shared" si="914"/>
        <v>0</v>
      </c>
      <c r="BJ1082" s="18">
        <f t="shared" si="915"/>
        <v>0</v>
      </c>
    </row>
    <row r="1083" spans="1:62" x14ac:dyDescent="0.2">
      <c r="A1083" s="74" t="s">
        <v>1018</v>
      </c>
      <c r="B1083" s="5" t="s">
        <v>2191</v>
      </c>
      <c r="C1083" s="135" t="s">
        <v>3398</v>
      </c>
      <c r="D1083" s="136"/>
      <c r="E1083" s="136"/>
      <c r="F1083" s="136"/>
      <c r="G1083" s="136"/>
      <c r="H1083" s="5" t="s">
        <v>3626</v>
      </c>
      <c r="I1083" s="18">
        <v>1</v>
      </c>
      <c r="J1083" s="18">
        <v>0</v>
      </c>
      <c r="K1083" s="18">
        <f t="shared" si="894"/>
        <v>0</v>
      </c>
      <c r="L1083" s="28" t="s">
        <v>3635</v>
      </c>
      <c r="Z1083" s="34">
        <f t="shared" si="895"/>
        <v>0</v>
      </c>
      <c r="AB1083" s="34">
        <f t="shared" si="896"/>
        <v>0</v>
      </c>
      <c r="AC1083" s="34">
        <f t="shared" si="897"/>
        <v>0</v>
      </c>
      <c r="AD1083" s="34">
        <f t="shared" si="898"/>
        <v>0</v>
      </c>
      <c r="AE1083" s="34">
        <f t="shared" si="899"/>
        <v>0</v>
      </c>
      <c r="AF1083" s="34">
        <f t="shared" si="900"/>
        <v>0</v>
      </c>
      <c r="AG1083" s="34">
        <f t="shared" si="901"/>
        <v>0</v>
      </c>
      <c r="AH1083" s="34">
        <f t="shared" si="902"/>
        <v>0</v>
      </c>
      <c r="AI1083" s="27" t="s">
        <v>3647</v>
      </c>
      <c r="AJ1083" s="18">
        <f t="shared" si="903"/>
        <v>0</v>
      </c>
      <c r="AK1083" s="18">
        <f t="shared" si="904"/>
        <v>0</v>
      </c>
      <c r="AL1083" s="18">
        <f t="shared" si="905"/>
        <v>0</v>
      </c>
      <c r="AN1083" s="34">
        <v>21</v>
      </c>
      <c r="AO1083" s="34">
        <f t="shared" si="906"/>
        <v>0</v>
      </c>
      <c r="AP1083" s="34">
        <f t="shared" si="907"/>
        <v>0</v>
      </c>
      <c r="AQ1083" s="28" t="s">
        <v>13</v>
      </c>
      <c r="AV1083" s="34">
        <f t="shared" si="908"/>
        <v>0</v>
      </c>
      <c r="AW1083" s="34">
        <f t="shared" si="909"/>
        <v>0</v>
      </c>
      <c r="AX1083" s="34">
        <f t="shared" si="910"/>
        <v>0</v>
      </c>
      <c r="AY1083" s="35" t="s">
        <v>3681</v>
      </c>
      <c r="AZ1083" s="35" t="s">
        <v>3723</v>
      </c>
      <c r="BA1083" s="27" t="s">
        <v>3731</v>
      </c>
      <c r="BC1083" s="34">
        <f t="shared" si="911"/>
        <v>0</v>
      </c>
      <c r="BD1083" s="34">
        <f t="shared" si="912"/>
        <v>0</v>
      </c>
      <c r="BE1083" s="34">
        <v>0</v>
      </c>
      <c r="BF1083" s="34">
        <f>1082</f>
        <v>1082</v>
      </c>
      <c r="BH1083" s="18">
        <f t="shared" si="913"/>
        <v>0</v>
      </c>
      <c r="BI1083" s="18">
        <f t="shared" si="914"/>
        <v>0</v>
      </c>
      <c r="BJ1083" s="18">
        <f t="shared" si="915"/>
        <v>0</v>
      </c>
    </row>
    <row r="1084" spans="1:62" x14ac:dyDescent="0.2">
      <c r="A1084" s="74" t="s">
        <v>1019</v>
      </c>
      <c r="B1084" s="5" t="s">
        <v>2192</v>
      </c>
      <c r="C1084" s="135" t="s">
        <v>3399</v>
      </c>
      <c r="D1084" s="136"/>
      <c r="E1084" s="136"/>
      <c r="F1084" s="136"/>
      <c r="G1084" s="136"/>
      <c r="H1084" s="5" t="s">
        <v>3612</v>
      </c>
      <c r="I1084" s="18">
        <v>1</v>
      </c>
      <c r="J1084" s="18">
        <v>0</v>
      </c>
      <c r="K1084" s="18">
        <f t="shared" si="894"/>
        <v>0</v>
      </c>
      <c r="L1084" s="28" t="s">
        <v>3635</v>
      </c>
      <c r="Z1084" s="34">
        <f t="shared" si="895"/>
        <v>0</v>
      </c>
      <c r="AB1084" s="34">
        <f t="shared" si="896"/>
        <v>0</v>
      </c>
      <c r="AC1084" s="34">
        <f t="shared" si="897"/>
        <v>0</v>
      </c>
      <c r="AD1084" s="34">
        <f t="shared" si="898"/>
        <v>0</v>
      </c>
      <c r="AE1084" s="34">
        <f t="shared" si="899"/>
        <v>0</v>
      </c>
      <c r="AF1084" s="34">
        <f t="shared" si="900"/>
        <v>0</v>
      </c>
      <c r="AG1084" s="34">
        <f t="shared" si="901"/>
        <v>0</v>
      </c>
      <c r="AH1084" s="34">
        <f t="shared" si="902"/>
        <v>0</v>
      </c>
      <c r="AI1084" s="27" t="s">
        <v>3647</v>
      </c>
      <c r="AJ1084" s="18">
        <f t="shared" si="903"/>
        <v>0</v>
      </c>
      <c r="AK1084" s="18">
        <f t="shared" si="904"/>
        <v>0</v>
      </c>
      <c r="AL1084" s="18">
        <f t="shared" si="905"/>
        <v>0</v>
      </c>
      <c r="AN1084" s="34">
        <v>21</v>
      </c>
      <c r="AO1084" s="34">
        <f t="shared" si="906"/>
        <v>0</v>
      </c>
      <c r="AP1084" s="34">
        <f t="shared" si="907"/>
        <v>0</v>
      </c>
      <c r="AQ1084" s="28" t="s">
        <v>13</v>
      </c>
      <c r="AV1084" s="34">
        <f t="shared" si="908"/>
        <v>0</v>
      </c>
      <c r="AW1084" s="34">
        <f t="shared" si="909"/>
        <v>0</v>
      </c>
      <c r="AX1084" s="34">
        <f t="shared" si="910"/>
        <v>0</v>
      </c>
      <c r="AY1084" s="35" t="s">
        <v>3681</v>
      </c>
      <c r="AZ1084" s="35" t="s">
        <v>3723</v>
      </c>
      <c r="BA1084" s="27" t="s">
        <v>3731</v>
      </c>
      <c r="BC1084" s="34">
        <f t="shared" si="911"/>
        <v>0</v>
      </c>
      <c r="BD1084" s="34">
        <f t="shared" si="912"/>
        <v>0</v>
      </c>
      <c r="BE1084" s="34">
        <v>0</v>
      </c>
      <c r="BF1084" s="34">
        <f>1083</f>
        <v>1083</v>
      </c>
      <c r="BH1084" s="18">
        <f t="shared" si="913"/>
        <v>0</v>
      </c>
      <c r="BI1084" s="18">
        <f t="shared" si="914"/>
        <v>0</v>
      </c>
      <c r="BJ1084" s="18">
        <f t="shared" si="915"/>
        <v>0</v>
      </c>
    </row>
    <row r="1085" spans="1:62" x14ac:dyDescent="0.2">
      <c r="A1085" s="74" t="s">
        <v>1020</v>
      </c>
      <c r="B1085" s="5" t="s">
        <v>2193</v>
      </c>
      <c r="C1085" s="135" t="s">
        <v>3400</v>
      </c>
      <c r="D1085" s="136"/>
      <c r="E1085" s="136"/>
      <c r="F1085" s="136"/>
      <c r="G1085" s="136"/>
      <c r="H1085" s="5" t="s">
        <v>3612</v>
      </c>
      <c r="I1085" s="18">
        <v>1</v>
      </c>
      <c r="J1085" s="18">
        <v>0</v>
      </c>
      <c r="K1085" s="18">
        <f t="shared" si="894"/>
        <v>0</v>
      </c>
      <c r="L1085" s="28" t="s">
        <v>3635</v>
      </c>
      <c r="Z1085" s="34">
        <f t="shared" si="895"/>
        <v>0</v>
      </c>
      <c r="AB1085" s="34">
        <f t="shared" si="896"/>
        <v>0</v>
      </c>
      <c r="AC1085" s="34">
        <f t="shared" si="897"/>
        <v>0</v>
      </c>
      <c r="AD1085" s="34">
        <f t="shared" si="898"/>
        <v>0</v>
      </c>
      <c r="AE1085" s="34">
        <f t="shared" si="899"/>
        <v>0</v>
      </c>
      <c r="AF1085" s="34">
        <f t="shared" si="900"/>
        <v>0</v>
      </c>
      <c r="AG1085" s="34">
        <f t="shared" si="901"/>
        <v>0</v>
      </c>
      <c r="AH1085" s="34">
        <f t="shared" si="902"/>
        <v>0</v>
      </c>
      <c r="AI1085" s="27" t="s">
        <v>3647</v>
      </c>
      <c r="AJ1085" s="18">
        <f t="shared" si="903"/>
        <v>0</v>
      </c>
      <c r="AK1085" s="18">
        <f t="shared" si="904"/>
        <v>0</v>
      </c>
      <c r="AL1085" s="18">
        <f t="shared" si="905"/>
        <v>0</v>
      </c>
      <c r="AN1085" s="34">
        <v>21</v>
      </c>
      <c r="AO1085" s="34">
        <f t="shared" si="906"/>
        <v>0</v>
      </c>
      <c r="AP1085" s="34">
        <f t="shared" si="907"/>
        <v>0</v>
      </c>
      <c r="AQ1085" s="28" t="s">
        <v>13</v>
      </c>
      <c r="AV1085" s="34">
        <f t="shared" si="908"/>
        <v>0</v>
      </c>
      <c r="AW1085" s="34">
        <f t="shared" si="909"/>
        <v>0</v>
      </c>
      <c r="AX1085" s="34">
        <f t="shared" si="910"/>
        <v>0</v>
      </c>
      <c r="AY1085" s="35" t="s">
        <v>3681</v>
      </c>
      <c r="AZ1085" s="35" t="s">
        <v>3723</v>
      </c>
      <c r="BA1085" s="27" t="s">
        <v>3731</v>
      </c>
      <c r="BC1085" s="34">
        <f t="shared" si="911"/>
        <v>0</v>
      </c>
      <c r="BD1085" s="34">
        <f t="shared" si="912"/>
        <v>0</v>
      </c>
      <c r="BE1085" s="34">
        <v>0</v>
      </c>
      <c r="BF1085" s="34">
        <f>1084</f>
        <v>1084</v>
      </c>
      <c r="BH1085" s="18">
        <f t="shared" si="913"/>
        <v>0</v>
      </c>
      <c r="BI1085" s="18">
        <f t="shared" si="914"/>
        <v>0</v>
      </c>
      <c r="BJ1085" s="18">
        <f t="shared" si="915"/>
        <v>0</v>
      </c>
    </row>
    <row r="1086" spans="1:62" x14ac:dyDescent="0.2">
      <c r="A1086" s="74" t="s">
        <v>1021</v>
      </c>
      <c r="B1086" s="5" t="s">
        <v>2194</v>
      </c>
      <c r="C1086" s="135" t="s">
        <v>3401</v>
      </c>
      <c r="D1086" s="136"/>
      <c r="E1086" s="136"/>
      <c r="F1086" s="136"/>
      <c r="G1086" s="136"/>
      <c r="H1086" s="5" t="s">
        <v>3612</v>
      </c>
      <c r="I1086" s="18">
        <v>1</v>
      </c>
      <c r="J1086" s="18">
        <v>0</v>
      </c>
      <c r="K1086" s="18">
        <f t="shared" si="894"/>
        <v>0</v>
      </c>
      <c r="L1086" s="28" t="s">
        <v>3635</v>
      </c>
      <c r="Z1086" s="34">
        <f t="shared" si="895"/>
        <v>0</v>
      </c>
      <c r="AB1086" s="34">
        <f t="shared" si="896"/>
        <v>0</v>
      </c>
      <c r="AC1086" s="34">
        <f t="shared" si="897"/>
        <v>0</v>
      </c>
      <c r="AD1086" s="34">
        <f t="shared" si="898"/>
        <v>0</v>
      </c>
      <c r="AE1086" s="34">
        <f t="shared" si="899"/>
        <v>0</v>
      </c>
      <c r="AF1086" s="34">
        <f t="shared" si="900"/>
        <v>0</v>
      </c>
      <c r="AG1086" s="34">
        <f t="shared" si="901"/>
        <v>0</v>
      </c>
      <c r="AH1086" s="34">
        <f t="shared" si="902"/>
        <v>0</v>
      </c>
      <c r="AI1086" s="27" t="s">
        <v>3647</v>
      </c>
      <c r="AJ1086" s="18">
        <f t="shared" si="903"/>
        <v>0</v>
      </c>
      <c r="AK1086" s="18">
        <f t="shared" si="904"/>
        <v>0</v>
      </c>
      <c r="AL1086" s="18">
        <f t="shared" si="905"/>
        <v>0</v>
      </c>
      <c r="AN1086" s="34">
        <v>21</v>
      </c>
      <c r="AO1086" s="34">
        <f t="shared" si="906"/>
        <v>0</v>
      </c>
      <c r="AP1086" s="34">
        <f t="shared" si="907"/>
        <v>0</v>
      </c>
      <c r="AQ1086" s="28" t="s">
        <v>13</v>
      </c>
      <c r="AV1086" s="34">
        <f t="shared" si="908"/>
        <v>0</v>
      </c>
      <c r="AW1086" s="34">
        <f t="shared" si="909"/>
        <v>0</v>
      </c>
      <c r="AX1086" s="34">
        <f t="shared" si="910"/>
        <v>0</v>
      </c>
      <c r="AY1086" s="35" t="s">
        <v>3681</v>
      </c>
      <c r="AZ1086" s="35" t="s">
        <v>3723</v>
      </c>
      <c r="BA1086" s="27" t="s">
        <v>3731</v>
      </c>
      <c r="BC1086" s="34">
        <f t="shared" si="911"/>
        <v>0</v>
      </c>
      <c r="BD1086" s="34">
        <f t="shared" si="912"/>
        <v>0</v>
      </c>
      <c r="BE1086" s="34">
        <v>0</v>
      </c>
      <c r="BF1086" s="34">
        <f>1085</f>
        <v>1085</v>
      </c>
      <c r="BH1086" s="18">
        <f t="shared" si="913"/>
        <v>0</v>
      </c>
      <c r="BI1086" s="18">
        <f t="shared" si="914"/>
        <v>0</v>
      </c>
      <c r="BJ1086" s="18">
        <f t="shared" si="915"/>
        <v>0</v>
      </c>
    </row>
    <row r="1087" spans="1:62" x14ac:dyDescent="0.2">
      <c r="A1087" s="74" t="s">
        <v>1022</v>
      </c>
      <c r="B1087" s="5" t="s">
        <v>2195</v>
      </c>
      <c r="C1087" s="135" t="s">
        <v>3402</v>
      </c>
      <c r="D1087" s="136"/>
      <c r="E1087" s="136"/>
      <c r="F1087" s="136"/>
      <c r="G1087" s="136"/>
      <c r="H1087" s="5" t="s">
        <v>3612</v>
      </c>
      <c r="I1087" s="18">
        <v>1</v>
      </c>
      <c r="J1087" s="18">
        <v>0</v>
      </c>
      <c r="K1087" s="18">
        <f t="shared" si="894"/>
        <v>0</v>
      </c>
      <c r="L1087" s="28" t="s">
        <v>3635</v>
      </c>
      <c r="Z1087" s="34">
        <f t="shared" si="895"/>
        <v>0</v>
      </c>
      <c r="AB1087" s="34">
        <f t="shared" si="896"/>
        <v>0</v>
      </c>
      <c r="AC1087" s="34">
        <f t="shared" si="897"/>
        <v>0</v>
      </c>
      <c r="AD1087" s="34">
        <f t="shared" si="898"/>
        <v>0</v>
      </c>
      <c r="AE1087" s="34">
        <f t="shared" si="899"/>
        <v>0</v>
      </c>
      <c r="AF1087" s="34">
        <f t="shared" si="900"/>
        <v>0</v>
      </c>
      <c r="AG1087" s="34">
        <f t="shared" si="901"/>
        <v>0</v>
      </c>
      <c r="AH1087" s="34">
        <f t="shared" si="902"/>
        <v>0</v>
      </c>
      <c r="AI1087" s="27" t="s">
        <v>3647</v>
      </c>
      <c r="AJ1087" s="18">
        <f t="shared" si="903"/>
        <v>0</v>
      </c>
      <c r="AK1087" s="18">
        <f t="shared" si="904"/>
        <v>0</v>
      </c>
      <c r="AL1087" s="18">
        <f t="shared" si="905"/>
        <v>0</v>
      </c>
      <c r="AN1087" s="34">
        <v>21</v>
      </c>
      <c r="AO1087" s="34">
        <f t="shared" si="906"/>
        <v>0</v>
      </c>
      <c r="AP1087" s="34">
        <f t="shared" si="907"/>
        <v>0</v>
      </c>
      <c r="AQ1087" s="28" t="s">
        <v>13</v>
      </c>
      <c r="AV1087" s="34">
        <f t="shared" si="908"/>
        <v>0</v>
      </c>
      <c r="AW1087" s="34">
        <f t="shared" si="909"/>
        <v>0</v>
      </c>
      <c r="AX1087" s="34">
        <f t="shared" si="910"/>
        <v>0</v>
      </c>
      <c r="AY1087" s="35" t="s">
        <v>3681</v>
      </c>
      <c r="AZ1087" s="35" t="s">
        <v>3723</v>
      </c>
      <c r="BA1087" s="27" t="s">
        <v>3731</v>
      </c>
      <c r="BC1087" s="34">
        <f t="shared" si="911"/>
        <v>0</v>
      </c>
      <c r="BD1087" s="34">
        <f t="shared" si="912"/>
        <v>0</v>
      </c>
      <c r="BE1087" s="34">
        <v>0</v>
      </c>
      <c r="BF1087" s="34">
        <f>1086</f>
        <v>1086</v>
      </c>
      <c r="BH1087" s="18">
        <f t="shared" si="913"/>
        <v>0</v>
      </c>
      <c r="BI1087" s="18">
        <f t="shared" si="914"/>
        <v>0</v>
      </c>
      <c r="BJ1087" s="18">
        <f t="shared" si="915"/>
        <v>0</v>
      </c>
    </row>
    <row r="1088" spans="1:62" x14ac:dyDescent="0.2">
      <c r="A1088" s="74" t="s">
        <v>1023</v>
      </c>
      <c r="B1088" s="5" t="s">
        <v>2196</v>
      </c>
      <c r="C1088" s="135" t="s">
        <v>3403</v>
      </c>
      <c r="D1088" s="136"/>
      <c r="E1088" s="136"/>
      <c r="F1088" s="136"/>
      <c r="G1088" s="136"/>
      <c r="H1088" s="5" t="s">
        <v>3626</v>
      </c>
      <c r="I1088" s="18">
        <v>3</v>
      </c>
      <c r="J1088" s="18">
        <v>0</v>
      </c>
      <c r="K1088" s="18">
        <f t="shared" si="894"/>
        <v>0</v>
      </c>
      <c r="L1088" s="28" t="s">
        <v>3635</v>
      </c>
      <c r="Z1088" s="34">
        <f t="shared" si="895"/>
        <v>0</v>
      </c>
      <c r="AB1088" s="34">
        <f t="shared" si="896"/>
        <v>0</v>
      </c>
      <c r="AC1088" s="34">
        <f t="shared" si="897"/>
        <v>0</v>
      </c>
      <c r="AD1088" s="34">
        <f t="shared" si="898"/>
        <v>0</v>
      </c>
      <c r="AE1088" s="34">
        <f t="shared" si="899"/>
        <v>0</v>
      </c>
      <c r="AF1088" s="34">
        <f t="shared" si="900"/>
        <v>0</v>
      </c>
      <c r="AG1088" s="34">
        <f t="shared" si="901"/>
        <v>0</v>
      </c>
      <c r="AH1088" s="34">
        <f t="shared" si="902"/>
        <v>0</v>
      </c>
      <c r="AI1088" s="27" t="s">
        <v>3647</v>
      </c>
      <c r="AJ1088" s="18">
        <f t="shared" si="903"/>
        <v>0</v>
      </c>
      <c r="AK1088" s="18">
        <f t="shared" si="904"/>
        <v>0</v>
      </c>
      <c r="AL1088" s="18">
        <f t="shared" si="905"/>
        <v>0</v>
      </c>
      <c r="AN1088" s="34">
        <v>21</v>
      </c>
      <c r="AO1088" s="34">
        <f t="shared" si="906"/>
        <v>0</v>
      </c>
      <c r="AP1088" s="34">
        <f t="shared" si="907"/>
        <v>0</v>
      </c>
      <c r="AQ1088" s="28" t="s">
        <v>13</v>
      </c>
      <c r="AV1088" s="34">
        <f t="shared" si="908"/>
        <v>0</v>
      </c>
      <c r="AW1088" s="34">
        <f t="shared" si="909"/>
        <v>0</v>
      </c>
      <c r="AX1088" s="34">
        <f t="shared" si="910"/>
        <v>0</v>
      </c>
      <c r="AY1088" s="35" t="s">
        <v>3681</v>
      </c>
      <c r="AZ1088" s="35" t="s">
        <v>3723</v>
      </c>
      <c r="BA1088" s="27" t="s">
        <v>3731</v>
      </c>
      <c r="BC1088" s="34">
        <f t="shared" si="911"/>
        <v>0</v>
      </c>
      <c r="BD1088" s="34">
        <f t="shared" si="912"/>
        <v>0</v>
      </c>
      <c r="BE1088" s="34">
        <v>0</v>
      </c>
      <c r="BF1088" s="34">
        <f>1087</f>
        <v>1087</v>
      </c>
      <c r="BH1088" s="18">
        <f t="shared" si="913"/>
        <v>0</v>
      </c>
      <c r="BI1088" s="18">
        <f t="shared" si="914"/>
        <v>0</v>
      </c>
      <c r="BJ1088" s="18">
        <f t="shared" si="915"/>
        <v>0</v>
      </c>
    </row>
    <row r="1089" spans="1:62" x14ac:dyDescent="0.2">
      <c r="A1089" s="74" t="s">
        <v>1024</v>
      </c>
      <c r="B1089" s="5" t="s">
        <v>2197</v>
      </c>
      <c r="C1089" s="135" t="s">
        <v>3404</v>
      </c>
      <c r="D1089" s="136"/>
      <c r="E1089" s="136"/>
      <c r="F1089" s="136"/>
      <c r="G1089" s="136"/>
      <c r="H1089" s="5" t="s">
        <v>3626</v>
      </c>
      <c r="I1089" s="18">
        <v>1</v>
      </c>
      <c r="J1089" s="18">
        <v>0</v>
      </c>
      <c r="K1089" s="18">
        <f t="shared" si="894"/>
        <v>0</v>
      </c>
      <c r="L1089" s="28" t="s">
        <v>3635</v>
      </c>
      <c r="Z1089" s="34">
        <f t="shared" si="895"/>
        <v>0</v>
      </c>
      <c r="AB1089" s="34">
        <f t="shared" si="896"/>
        <v>0</v>
      </c>
      <c r="AC1089" s="34">
        <f t="shared" si="897"/>
        <v>0</v>
      </c>
      <c r="AD1089" s="34">
        <f t="shared" si="898"/>
        <v>0</v>
      </c>
      <c r="AE1089" s="34">
        <f t="shared" si="899"/>
        <v>0</v>
      </c>
      <c r="AF1089" s="34">
        <f t="shared" si="900"/>
        <v>0</v>
      </c>
      <c r="AG1089" s="34">
        <f t="shared" si="901"/>
        <v>0</v>
      </c>
      <c r="AH1089" s="34">
        <f t="shared" si="902"/>
        <v>0</v>
      </c>
      <c r="AI1089" s="27" t="s">
        <v>3647</v>
      </c>
      <c r="AJ1089" s="18">
        <f t="shared" si="903"/>
        <v>0</v>
      </c>
      <c r="AK1089" s="18">
        <f t="shared" si="904"/>
        <v>0</v>
      </c>
      <c r="AL1089" s="18">
        <f t="shared" si="905"/>
        <v>0</v>
      </c>
      <c r="AN1089" s="34">
        <v>21</v>
      </c>
      <c r="AO1089" s="34">
        <f t="shared" si="906"/>
        <v>0</v>
      </c>
      <c r="AP1089" s="34">
        <f t="shared" si="907"/>
        <v>0</v>
      </c>
      <c r="AQ1089" s="28" t="s">
        <v>13</v>
      </c>
      <c r="AV1089" s="34">
        <f t="shared" si="908"/>
        <v>0</v>
      </c>
      <c r="AW1089" s="34">
        <f t="shared" si="909"/>
        <v>0</v>
      </c>
      <c r="AX1089" s="34">
        <f t="shared" si="910"/>
        <v>0</v>
      </c>
      <c r="AY1089" s="35" t="s">
        <v>3681</v>
      </c>
      <c r="AZ1089" s="35" t="s">
        <v>3723</v>
      </c>
      <c r="BA1089" s="27" t="s">
        <v>3731</v>
      </c>
      <c r="BC1089" s="34">
        <f t="shared" si="911"/>
        <v>0</v>
      </c>
      <c r="BD1089" s="34">
        <f t="shared" si="912"/>
        <v>0</v>
      </c>
      <c r="BE1089" s="34">
        <v>0</v>
      </c>
      <c r="BF1089" s="34">
        <f>1088</f>
        <v>1088</v>
      </c>
      <c r="BH1089" s="18">
        <f t="shared" si="913"/>
        <v>0</v>
      </c>
      <c r="BI1089" s="18">
        <f t="shared" si="914"/>
        <v>0</v>
      </c>
      <c r="BJ1089" s="18">
        <f t="shared" si="915"/>
        <v>0</v>
      </c>
    </row>
    <row r="1090" spans="1:62" x14ac:dyDescent="0.2">
      <c r="A1090" s="74" t="s">
        <v>1025</v>
      </c>
      <c r="B1090" s="5" t="s">
        <v>2198</v>
      </c>
      <c r="C1090" s="135" t="s">
        <v>3405</v>
      </c>
      <c r="D1090" s="136"/>
      <c r="E1090" s="136"/>
      <c r="F1090" s="136"/>
      <c r="G1090" s="136"/>
      <c r="H1090" s="5" t="s">
        <v>3626</v>
      </c>
      <c r="I1090" s="18">
        <v>1</v>
      </c>
      <c r="J1090" s="18">
        <v>0</v>
      </c>
      <c r="K1090" s="18">
        <f t="shared" si="894"/>
        <v>0</v>
      </c>
      <c r="L1090" s="28" t="s">
        <v>3635</v>
      </c>
      <c r="Z1090" s="34">
        <f t="shared" si="895"/>
        <v>0</v>
      </c>
      <c r="AB1090" s="34">
        <f t="shared" si="896"/>
        <v>0</v>
      </c>
      <c r="AC1090" s="34">
        <f t="shared" si="897"/>
        <v>0</v>
      </c>
      <c r="AD1090" s="34">
        <f t="shared" si="898"/>
        <v>0</v>
      </c>
      <c r="AE1090" s="34">
        <f t="shared" si="899"/>
        <v>0</v>
      </c>
      <c r="AF1090" s="34">
        <f t="shared" si="900"/>
        <v>0</v>
      </c>
      <c r="AG1090" s="34">
        <f t="shared" si="901"/>
        <v>0</v>
      </c>
      <c r="AH1090" s="34">
        <f t="shared" si="902"/>
        <v>0</v>
      </c>
      <c r="AI1090" s="27" t="s">
        <v>3647</v>
      </c>
      <c r="AJ1090" s="18">
        <f t="shared" si="903"/>
        <v>0</v>
      </c>
      <c r="AK1090" s="18">
        <f t="shared" si="904"/>
        <v>0</v>
      </c>
      <c r="AL1090" s="18">
        <f t="shared" si="905"/>
        <v>0</v>
      </c>
      <c r="AN1090" s="34">
        <v>21</v>
      </c>
      <c r="AO1090" s="34">
        <f t="shared" si="906"/>
        <v>0</v>
      </c>
      <c r="AP1090" s="34">
        <f t="shared" si="907"/>
        <v>0</v>
      </c>
      <c r="AQ1090" s="28" t="s">
        <v>13</v>
      </c>
      <c r="AV1090" s="34">
        <f t="shared" si="908"/>
        <v>0</v>
      </c>
      <c r="AW1090" s="34">
        <f t="shared" si="909"/>
        <v>0</v>
      </c>
      <c r="AX1090" s="34">
        <f t="shared" si="910"/>
        <v>0</v>
      </c>
      <c r="AY1090" s="35" t="s">
        <v>3681</v>
      </c>
      <c r="AZ1090" s="35" t="s">
        <v>3723</v>
      </c>
      <c r="BA1090" s="27" t="s">
        <v>3731</v>
      </c>
      <c r="BC1090" s="34">
        <f t="shared" si="911"/>
        <v>0</v>
      </c>
      <c r="BD1090" s="34">
        <f t="shared" si="912"/>
        <v>0</v>
      </c>
      <c r="BE1090" s="34">
        <v>0</v>
      </c>
      <c r="BF1090" s="34">
        <f>1089</f>
        <v>1089</v>
      </c>
      <c r="BH1090" s="18">
        <f t="shared" si="913"/>
        <v>0</v>
      </c>
      <c r="BI1090" s="18">
        <f t="shared" si="914"/>
        <v>0</v>
      </c>
      <c r="BJ1090" s="18">
        <f t="shared" si="915"/>
        <v>0</v>
      </c>
    </row>
    <row r="1091" spans="1:62" x14ac:dyDescent="0.2">
      <c r="A1091" s="74" t="s">
        <v>1026</v>
      </c>
      <c r="B1091" s="5" t="s">
        <v>2199</v>
      </c>
      <c r="C1091" s="135" t="s">
        <v>3406</v>
      </c>
      <c r="D1091" s="136"/>
      <c r="E1091" s="136"/>
      <c r="F1091" s="136"/>
      <c r="G1091" s="136"/>
      <c r="H1091" s="5" t="s">
        <v>3614</v>
      </c>
      <c r="I1091" s="18">
        <v>10</v>
      </c>
      <c r="J1091" s="18">
        <v>0</v>
      </c>
      <c r="K1091" s="18">
        <f t="shared" si="894"/>
        <v>0</v>
      </c>
      <c r="L1091" s="28" t="s">
        <v>3635</v>
      </c>
      <c r="Z1091" s="34">
        <f t="shared" si="895"/>
        <v>0</v>
      </c>
      <c r="AB1091" s="34">
        <f t="shared" si="896"/>
        <v>0</v>
      </c>
      <c r="AC1091" s="34">
        <f t="shared" si="897"/>
        <v>0</v>
      </c>
      <c r="AD1091" s="34">
        <f t="shared" si="898"/>
        <v>0</v>
      </c>
      <c r="AE1091" s="34">
        <f t="shared" si="899"/>
        <v>0</v>
      </c>
      <c r="AF1091" s="34">
        <f t="shared" si="900"/>
        <v>0</v>
      </c>
      <c r="AG1091" s="34">
        <f t="shared" si="901"/>
        <v>0</v>
      </c>
      <c r="AH1091" s="34">
        <f t="shared" si="902"/>
        <v>0</v>
      </c>
      <c r="AI1091" s="27" t="s">
        <v>3647</v>
      </c>
      <c r="AJ1091" s="18">
        <f t="shared" si="903"/>
        <v>0</v>
      </c>
      <c r="AK1091" s="18">
        <f t="shared" si="904"/>
        <v>0</v>
      </c>
      <c r="AL1091" s="18">
        <f t="shared" si="905"/>
        <v>0</v>
      </c>
      <c r="AN1091" s="34">
        <v>21</v>
      </c>
      <c r="AO1091" s="34">
        <f t="shared" si="906"/>
        <v>0</v>
      </c>
      <c r="AP1091" s="34">
        <f t="shared" si="907"/>
        <v>0</v>
      </c>
      <c r="AQ1091" s="28" t="s">
        <v>13</v>
      </c>
      <c r="AV1091" s="34">
        <f t="shared" si="908"/>
        <v>0</v>
      </c>
      <c r="AW1091" s="34">
        <f t="shared" si="909"/>
        <v>0</v>
      </c>
      <c r="AX1091" s="34">
        <f t="shared" si="910"/>
        <v>0</v>
      </c>
      <c r="AY1091" s="35" t="s">
        <v>3681</v>
      </c>
      <c r="AZ1091" s="35" t="s">
        <v>3723</v>
      </c>
      <c r="BA1091" s="27" t="s">
        <v>3731</v>
      </c>
      <c r="BC1091" s="34">
        <f t="shared" si="911"/>
        <v>0</v>
      </c>
      <c r="BD1091" s="34">
        <f t="shared" si="912"/>
        <v>0</v>
      </c>
      <c r="BE1091" s="34">
        <v>0</v>
      </c>
      <c r="BF1091" s="34">
        <f>1090</f>
        <v>1090</v>
      </c>
      <c r="BH1091" s="18">
        <f t="shared" si="913"/>
        <v>0</v>
      </c>
      <c r="BI1091" s="18">
        <f t="shared" si="914"/>
        <v>0</v>
      </c>
      <c r="BJ1091" s="18">
        <f t="shared" si="915"/>
        <v>0</v>
      </c>
    </row>
    <row r="1092" spans="1:62" x14ac:dyDescent="0.2">
      <c r="A1092" s="74" t="s">
        <v>1027</v>
      </c>
      <c r="B1092" s="5" t="s">
        <v>2200</v>
      </c>
      <c r="C1092" s="135" t="s">
        <v>3407</v>
      </c>
      <c r="D1092" s="136"/>
      <c r="E1092" s="136"/>
      <c r="F1092" s="136"/>
      <c r="G1092" s="136"/>
      <c r="H1092" s="5" t="s">
        <v>3614</v>
      </c>
      <c r="I1092" s="18">
        <v>5</v>
      </c>
      <c r="J1092" s="18">
        <v>0</v>
      </c>
      <c r="K1092" s="18">
        <f t="shared" si="894"/>
        <v>0</v>
      </c>
      <c r="L1092" s="28" t="s">
        <v>3635</v>
      </c>
      <c r="Z1092" s="34">
        <f t="shared" si="895"/>
        <v>0</v>
      </c>
      <c r="AB1092" s="34">
        <f t="shared" si="896"/>
        <v>0</v>
      </c>
      <c r="AC1092" s="34">
        <f t="shared" si="897"/>
        <v>0</v>
      </c>
      <c r="AD1092" s="34">
        <f t="shared" si="898"/>
        <v>0</v>
      </c>
      <c r="AE1092" s="34">
        <f t="shared" si="899"/>
        <v>0</v>
      </c>
      <c r="AF1092" s="34">
        <f t="shared" si="900"/>
        <v>0</v>
      </c>
      <c r="AG1092" s="34">
        <f t="shared" si="901"/>
        <v>0</v>
      </c>
      <c r="AH1092" s="34">
        <f t="shared" si="902"/>
        <v>0</v>
      </c>
      <c r="AI1092" s="27" t="s">
        <v>3647</v>
      </c>
      <c r="AJ1092" s="18">
        <f t="shared" si="903"/>
        <v>0</v>
      </c>
      <c r="AK1092" s="18">
        <f t="shared" si="904"/>
        <v>0</v>
      </c>
      <c r="AL1092" s="18">
        <f t="shared" si="905"/>
        <v>0</v>
      </c>
      <c r="AN1092" s="34">
        <v>21</v>
      </c>
      <c r="AO1092" s="34">
        <f t="shared" si="906"/>
        <v>0</v>
      </c>
      <c r="AP1092" s="34">
        <f t="shared" si="907"/>
        <v>0</v>
      </c>
      <c r="AQ1092" s="28" t="s">
        <v>13</v>
      </c>
      <c r="AV1092" s="34">
        <f t="shared" si="908"/>
        <v>0</v>
      </c>
      <c r="AW1092" s="34">
        <f t="shared" si="909"/>
        <v>0</v>
      </c>
      <c r="AX1092" s="34">
        <f t="shared" si="910"/>
        <v>0</v>
      </c>
      <c r="AY1092" s="35" t="s">
        <v>3681</v>
      </c>
      <c r="AZ1092" s="35" t="s">
        <v>3723</v>
      </c>
      <c r="BA1092" s="27" t="s">
        <v>3731</v>
      </c>
      <c r="BC1092" s="34">
        <f t="shared" si="911"/>
        <v>0</v>
      </c>
      <c r="BD1092" s="34">
        <f t="shared" si="912"/>
        <v>0</v>
      </c>
      <c r="BE1092" s="34">
        <v>0</v>
      </c>
      <c r="BF1092" s="34">
        <f>1091</f>
        <v>1091</v>
      </c>
      <c r="BH1092" s="18">
        <f t="shared" si="913"/>
        <v>0</v>
      </c>
      <c r="BI1092" s="18">
        <f t="shared" si="914"/>
        <v>0</v>
      </c>
      <c r="BJ1092" s="18">
        <f t="shared" si="915"/>
        <v>0</v>
      </c>
    </row>
    <row r="1093" spans="1:62" x14ac:dyDescent="0.2">
      <c r="A1093" s="74" t="s">
        <v>1028</v>
      </c>
      <c r="B1093" s="5" t="s">
        <v>2201</v>
      </c>
      <c r="C1093" s="135" t="s">
        <v>3408</v>
      </c>
      <c r="D1093" s="136"/>
      <c r="E1093" s="136"/>
      <c r="F1093" s="136"/>
      <c r="G1093" s="136"/>
      <c r="H1093" s="5" t="s">
        <v>3614</v>
      </c>
      <c r="I1093" s="18">
        <v>1</v>
      </c>
      <c r="J1093" s="18">
        <v>0</v>
      </c>
      <c r="K1093" s="18">
        <f t="shared" si="894"/>
        <v>0</v>
      </c>
      <c r="L1093" s="28" t="s">
        <v>3635</v>
      </c>
      <c r="Z1093" s="34">
        <f t="shared" si="895"/>
        <v>0</v>
      </c>
      <c r="AB1093" s="34">
        <f t="shared" si="896"/>
        <v>0</v>
      </c>
      <c r="AC1093" s="34">
        <f t="shared" si="897"/>
        <v>0</v>
      </c>
      <c r="AD1093" s="34">
        <f t="shared" si="898"/>
        <v>0</v>
      </c>
      <c r="AE1093" s="34">
        <f t="shared" si="899"/>
        <v>0</v>
      </c>
      <c r="AF1093" s="34">
        <f t="shared" si="900"/>
        <v>0</v>
      </c>
      <c r="AG1093" s="34">
        <f t="shared" si="901"/>
        <v>0</v>
      </c>
      <c r="AH1093" s="34">
        <f t="shared" si="902"/>
        <v>0</v>
      </c>
      <c r="AI1093" s="27" t="s">
        <v>3647</v>
      </c>
      <c r="AJ1093" s="18">
        <f t="shared" si="903"/>
        <v>0</v>
      </c>
      <c r="AK1093" s="18">
        <f t="shared" si="904"/>
        <v>0</v>
      </c>
      <c r="AL1093" s="18">
        <f t="shared" si="905"/>
        <v>0</v>
      </c>
      <c r="AN1093" s="34">
        <v>21</v>
      </c>
      <c r="AO1093" s="34">
        <f t="shared" si="906"/>
        <v>0</v>
      </c>
      <c r="AP1093" s="34">
        <f t="shared" si="907"/>
        <v>0</v>
      </c>
      <c r="AQ1093" s="28" t="s">
        <v>13</v>
      </c>
      <c r="AV1093" s="34">
        <f t="shared" si="908"/>
        <v>0</v>
      </c>
      <c r="AW1093" s="34">
        <f t="shared" si="909"/>
        <v>0</v>
      </c>
      <c r="AX1093" s="34">
        <f t="shared" si="910"/>
        <v>0</v>
      </c>
      <c r="AY1093" s="35" t="s">
        <v>3681</v>
      </c>
      <c r="AZ1093" s="35" t="s">
        <v>3723</v>
      </c>
      <c r="BA1093" s="27" t="s">
        <v>3731</v>
      </c>
      <c r="BC1093" s="34">
        <f t="shared" si="911"/>
        <v>0</v>
      </c>
      <c r="BD1093" s="34">
        <f t="shared" si="912"/>
        <v>0</v>
      </c>
      <c r="BE1093" s="34">
        <v>0</v>
      </c>
      <c r="BF1093" s="34">
        <f>1092</f>
        <v>1092</v>
      </c>
      <c r="BH1093" s="18">
        <f t="shared" si="913"/>
        <v>0</v>
      </c>
      <c r="BI1093" s="18">
        <f t="shared" si="914"/>
        <v>0</v>
      </c>
      <c r="BJ1093" s="18">
        <f t="shared" si="915"/>
        <v>0</v>
      </c>
    </row>
    <row r="1094" spans="1:62" x14ac:dyDescent="0.2">
      <c r="A1094" s="74" t="s">
        <v>1029</v>
      </c>
      <c r="B1094" s="5" t="s">
        <v>2202</v>
      </c>
      <c r="C1094" s="135" t="s">
        <v>3409</v>
      </c>
      <c r="D1094" s="136"/>
      <c r="E1094" s="136"/>
      <c r="F1094" s="136"/>
      <c r="G1094" s="136"/>
      <c r="H1094" s="5" t="s">
        <v>3614</v>
      </c>
      <c r="I1094" s="18">
        <v>30</v>
      </c>
      <c r="J1094" s="18">
        <v>0</v>
      </c>
      <c r="K1094" s="18">
        <f t="shared" si="894"/>
        <v>0</v>
      </c>
      <c r="L1094" s="28" t="s">
        <v>3635</v>
      </c>
      <c r="Z1094" s="34">
        <f t="shared" si="895"/>
        <v>0</v>
      </c>
      <c r="AB1094" s="34">
        <f t="shared" si="896"/>
        <v>0</v>
      </c>
      <c r="AC1094" s="34">
        <f t="shared" si="897"/>
        <v>0</v>
      </c>
      <c r="AD1094" s="34">
        <f t="shared" si="898"/>
        <v>0</v>
      </c>
      <c r="AE1094" s="34">
        <f t="shared" si="899"/>
        <v>0</v>
      </c>
      <c r="AF1094" s="34">
        <f t="shared" si="900"/>
        <v>0</v>
      </c>
      <c r="AG1094" s="34">
        <f t="shared" si="901"/>
        <v>0</v>
      </c>
      <c r="AH1094" s="34">
        <f t="shared" si="902"/>
        <v>0</v>
      </c>
      <c r="AI1094" s="27" t="s">
        <v>3647</v>
      </c>
      <c r="AJ1094" s="18">
        <f t="shared" si="903"/>
        <v>0</v>
      </c>
      <c r="AK1094" s="18">
        <f t="shared" si="904"/>
        <v>0</v>
      </c>
      <c r="AL1094" s="18">
        <f t="shared" si="905"/>
        <v>0</v>
      </c>
      <c r="AN1094" s="34">
        <v>21</v>
      </c>
      <c r="AO1094" s="34">
        <f t="shared" si="906"/>
        <v>0</v>
      </c>
      <c r="AP1094" s="34">
        <f t="shared" si="907"/>
        <v>0</v>
      </c>
      <c r="AQ1094" s="28" t="s">
        <v>13</v>
      </c>
      <c r="AV1094" s="34">
        <f t="shared" si="908"/>
        <v>0</v>
      </c>
      <c r="AW1094" s="34">
        <f t="shared" si="909"/>
        <v>0</v>
      </c>
      <c r="AX1094" s="34">
        <f t="shared" si="910"/>
        <v>0</v>
      </c>
      <c r="AY1094" s="35" t="s">
        <v>3681</v>
      </c>
      <c r="AZ1094" s="35" t="s">
        <v>3723</v>
      </c>
      <c r="BA1094" s="27" t="s">
        <v>3731</v>
      </c>
      <c r="BC1094" s="34">
        <f t="shared" si="911"/>
        <v>0</v>
      </c>
      <c r="BD1094" s="34">
        <f t="shared" si="912"/>
        <v>0</v>
      </c>
      <c r="BE1094" s="34">
        <v>0</v>
      </c>
      <c r="BF1094" s="34">
        <f>1093</f>
        <v>1093</v>
      </c>
      <c r="BH1094" s="18">
        <f t="shared" si="913"/>
        <v>0</v>
      </c>
      <c r="BI1094" s="18">
        <f t="shared" si="914"/>
        <v>0</v>
      </c>
      <c r="BJ1094" s="18">
        <f t="shared" si="915"/>
        <v>0</v>
      </c>
    </row>
    <row r="1095" spans="1:62" x14ac:dyDescent="0.2">
      <c r="A1095" s="74" t="s">
        <v>1030</v>
      </c>
      <c r="B1095" s="5" t="s">
        <v>2203</v>
      </c>
      <c r="C1095" s="135" t="s">
        <v>3410</v>
      </c>
      <c r="D1095" s="136"/>
      <c r="E1095" s="136"/>
      <c r="F1095" s="136"/>
      <c r="G1095" s="136"/>
      <c r="H1095" s="5" t="s">
        <v>3614</v>
      </c>
      <c r="I1095" s="18">
        <v>26</v>
      </c>
      <c r="J1095" s="18">
        <v>0</v>
      </c>
      <c r="K1095" s="18">
        <f t="shared" si="894"/>
        <v>0</v>
      </c>
      <c r="L1095" s="28" t="s">
        <v>3635</v>
      </c>
      <c r="Z1095" s="34">
        <f t="shared" si="895"/>
        <v>0</v>
      </c>
      <c r="AB1095" s="34">
        <f t="shared" si="896"/>
        <v>0</v>
      </c>
      <c r="AC1095" s="34">
        <f t="shared" si="897"/>
        <v>0</v>
      </c>
      <c r="AD1095" s="34">
        <f t="shared" si="898"/>
        <v>0</v>
      </c>
      <c r="AE1095" s="34">
        <f t="shared" si="899"/>
        <v>0</v>
      </c>
      <c r="AF1095" s="34">
        <f t="shared" si="900"/>
        <v>0</v>
      </c>
      <c r="AG1095" s="34">
        <f t="shared" si="901"/>
        <v>0</v>
      </c>
      <c r="AH1095" s="34">
        <f t="shared" si="902"/>
        <v>0</v>
      </c>
      <c r="AI1095" s="27" t="s">
        <v>3647</v>
      </c>
      <c r="AJ1095" s="18">
        <f t="shared" si="903"/>
        <v>0</v>
      </c>
      <c r="AK1095" s="18">
        <f t="shared" si="904"/>
        <v>0</v>
      </c>
      <c r="AL1095" s="18">
        <f t="shared" si="905"/>
        <v>0</v>
      </c>
      <c r="AN1095" s="34">
        <v>21</v>
      </c>
      <c r="AO1095" s="34">
        <f t="shared" si="906"/>
        <v>0</v>
      </c>
      <c r="AP1095" s="34">
        <f t="shared" si="907"/>
        <v>0</v>
      </c>
      <c r="AQ1095" s="28" t="s">
        <v>13</v>
      </c>
      <c r="AV1095" s="34">
        <f t="shared" si="908"/>
        <v>0</v>
      </c>
      <c r="AW1095" s="34">
        <f t="shared" si="909"/>
        <v>0</v>
      </c>
      <c r="AX1095" s="34">
        <f t="shared" si="910"/>
        <v>0</v>
      </c>
      <c r="AY1095" s="35" t="s">
        <v>3681</v>
      </c>
      <c r="AZ1095" s="35" t="s">
        <v>3723</v>
      </c>
      <c r="BA1095" s="27" t="s">
        <v>3731</v>
      </c>
      <c r="BC1095" s="34">
        <f t="shared" si="911"/>
        <v>0</v>
      </c>
      <c r="BD1095" s="34">
        <f t="shared" si="912"/>
        <v>0</v>
      </c>
      <c r="BE1095" s="34">
        <v>0</v>
      </c>
      <c r="BF1095" s="34">
        <f>1094</f>
        <v>1094</v>
      </c>
      <c r="BH1095" s="18">
        <f t="shared" si="913"/>
        <v>0</v>
      </c>
      <c r="BI1095" s="18">
        <f t="shared" si="914"/>
        <v>0</v>
      </c>
      <c r="BJ1095" s="18">
        <f t="shared" si="915"/>
        <v>0</v>
      </c>
    </row>
    <row r="1096" spans="1:62" x14ac:dyDescent="0.2">
      <c r="A1096" s="74" t="s">
        <v>1031</v>
      </c>
      <c r="B1096" s="5" t="s">
        <v>2204</v>
      </c>
      <c r="C1096" s="135" t="s">
        <v>3411</v>
      </c>
      <c r="D1096" s="136"/>
      <c r="E1096" s="136"/>
      <c r="F1096" s="136"/>
      <c r="G1096" s="136"/>
      <c r="H1096" s="5" t="s">
        <v>3612</v>
      </c>
      <c r="I1096" s="18">
        <v>2</v>
      </c>
      <c r="J1096" s="18">
        <v>0</v>
      </c>
      <c r="K1096" s="18">
        <f t="shared" si="894"/>
        <v>0</v>
      </c>
      <c r="L1096" s="28" t="s">
        <v>3635</v>
      </c>
      <c r="Z1096" s="34">
        <f t="shared" si="895"/>
        <v>0</v>
      </c>
      <c r="AB1096" s="34">
        <f t="shared" si="896"/>
        <v>0</v>
      </c>
      <c r="AC1096" s="34">
        <f t="shared" si="897"/>
        <v>0</v>
      </c>
      <c r="AD1096" s="34">
        <f t="shared" si="898"/>
        <v>0</v>
      </c>
      <c r="AE1096" s="34">
        <f t="shared" si="899"/>
        <v>0</v>
      </c>
      <c r="AF1096" s="34">
        <f t="shared" si="900"/>
        <v>0</v>
      </c>
      <c r="AG1096" s="34">
        <f t="shared" si="901"/>
        <v>0</v>
      </c>
      <c r="AH1096" s="34">
        <f t="shared" si="902"/>
        <v>0</v>
      </c>
      <c r="AI1096" s="27" t="s">
        <v>3647</v>
      </c>
      <c r="AJ1096" s="18">
        <f t="shared" si="903"/>
        <v>0</v>
      </c>
      <c r="AK1096" s="18">
        <f t="shared" si="904"/>
        <v>0</v>
      </c>
      <c r="AL1096" s="18">
        <f t="shared" si="905"/>
        <v>0</v>
      </c>
      <c r="AN1096" s="34">
        <v>21</v>
      </c>
      <c r="AO1096" s="34">
        <f t="shared" si="906"/>
        <v>0</v>
      </c>
      <c r="AP1096" s="34">
        <f t="shared" si="907"/>
        <v>0</v>
      </c>
      <c r="AQ1096" s="28" t="s">
        <v>13</v>
      </c>
      <c r="AV1096" s="34">
        <f t="shared" si="908"/>
        <v>0</v>
      </c>
      <c r="AW1096" s="34">
        <f t="shared" si="909"/>
        <v>0</v>
      </c>
      <c r="AX1096" s="34">
        <f t="shared" si="910"/>
        <v>0</v>
      </c>
      <c r="AY1096" s="35" t="s">
        <v>3681</v>
      </c>
      <c r="AZ1096" s="35" t="s">
        <v>3723</v>
      </c>
      <c r="BA1096" s="27" t="s">
        <v>3731</v>
      </c>
      <c r="BC1096" s="34">
        <f t="shared" si="911"/>
        <v>0</v>
      </c>
      <c r="BD1096" s="34">
        <f t="shared" si="912"/>
        <v>0</v>
      </c>
      <c r="BE1096" s="34">
        <v>0</v>
      </c>
      <c r="BF1096" s="34">
        <f>1095</f>
        <v>1095</v>
      </c>
      <c r="BH1096" s="18">
        <f t="shared" si="913"/>
        <v>0</v>
      </c>
      <c r="BI1096" s="18">
        <f t="shared" si="914"/>
        <v>0</v>
      </c>
      <c r="BJ1096" s="18">
        <f t="shared" si="915"/>
        <v>0</v>
      </c>
    </row>
    <row r="1097" spans="1:62" x14ac:dyDescent="0.2">
      <c r="A1097" s="74" t="s">
        <v>1032</v>
      </c>
      <c r="B1097" s="5" t="s">
        <v>2205</v>
      </c>
      <c r="C1097" s="135" t="s">
        <v>3412</v>
      </c>
      <c r="D1097" s="136"/>
      <c r="E1097" s="136"/>
      <c r="F1097" s="136"/>
      <c r="G1097" s="136"/>
      <c r="H1097" s="5" t="s">
        <v>3612</v>
      </c>
      <c r="I1097" s="18">
        <v>2</v>
      </c>
      <c r="J1097" s="18">
        <v>0</v>
      </c>
      <c r="K1097" s="18">
        <f t="shared" si="894"/>
        <v>0</v>
      </c>
      <c r="L1097" s="28" t="s">
        <v>3635</v>
      </c>
      <c r="Z1097" s="34">
        <f t="shared" si="895"/>
        <v>0</v>
      </c>
      <c r="AB1097" s="34">
        <f t="shared" si="896"/>
        <v>0</v>
      </c>
      <c r="AC1097" s="34">
        <f t="shared" si="897"/>
        <v>0</v>
      </c>
      <c r="AD1097" s="34">
        <f t="shared" si="898"/>
        <v>0</v>
      </c>
      <c r="AE1097" s="34">
        <f t="shared" si="899"/>
        <v>0</v>
      </c>
      <c r="AF1097" s="34">
        <f t="shared" si="900"/>
        <v>0</v>
      </c>
      <c r="AG1097" s="34">
        <f t="shared" si="901"/>
        <v>0</v>
      </c>
      <c r="AH1097" s="34">
        <f t="shared" si="902"/>
        <v>0</v>
      </c>
      <c r="AI1097" s="27" t="s">
        <v>3647</v>
      </c>
      <c r="AJ1097" s="18">
        <f t="shared" si="903"/>
        <v>0</v>
      </c>
      <c r="AK1097" s="18">
        <f t="shared" si="904"/>
        <v>0</v>
      </c>
      <c r="AL1097" s="18">
        <f t="shared" si="905"/>
        <v>0</v>
      </c>
      <c r="AN1097" s="34">
        <v>21</v>
      </c>
      <c r="AO1097" s="34">
        <f t="shared" si="906"/>
        <v>0</v>
      </c>
      <c r="AP1097" s="34">
        <f t="shared" si="907"/>
        <v>0</v>
      </c>
      <c r="AQ1097" s="28" t="s">
        <v>13</v>
      </c>
      <c r="AV1097" s="34">
        <f t="shared" si="908"/>
        <v>0</v>
      </c>
      <c r="AW1097" s="34">
        <f t="shared" si="909"/>
        <v>0</v>
      </c>
      <c r="AX1097" s="34">
        <f t="shared" si="910"/>
        <v>0</v>
      </c>
      <c r="AY1097" s="35" t="s">
        <v>3681</v>
      </c>
      <c r="AZ1097" s="35" t="s">
        <v>3723</v>
      </c>
      <c r="BA1097" s="27" t="s">
        <v>3731</v>
      </c>
      <c r="BC1097" s="34">
        <f t="shared" si="911"/>
        <v>0</v>
      </c>
      <c r="BD1097" s="34">
        <f t="shared" si="912"/>
        <v>0</v>
      </c>
      <c r="BE1097" s="34">
        <v>0</v>
      </c>
      <c r="BF1097" s="34">
        <f>1096</f>
        <v>1096</v>
      </c>
      <c r="BH1097" s="18">
        <f t="shared" si="913"/>
        <v>0</v>
      </c>
      <c r="BI1097" s="18">
        <f t="shared" si="914"/>
        <v>0</v>
      </c>
      <c r="BJ1097" s="18">
        <f t="shared" si="915"/>
        <v>0</v>
      </c>
    </row>
    <row r="1098" spans="1:62" x14ac:dyDescent="0.2">
      <c r="A1098" s="74" t="s">
        <v>1033</v>
      </c>
      <c r="B1098" s="5" t="s">
        <v>2206</v>
      </c>
      <c r="C1098" s="135" t="s">
        <v>3413</v>
      </c>
      <c r="D1098" s="136"/>
      <c r="E1098" s="136"/>
      <c r="F1098" s="136"/>
      <c r="G1098" s="136"/>
      <c r="H1098" s="5" t="s">
        <v>3612</v>
      </c>
      <c r="I1098" s="18">
        <v>10</v>
      </c>
      <c r="J1098" s="18">
        <v>0</v>
      </c>
      <c r="K1098" s="18">
        <f t="shared" si="894"/>
        <v>0</v>
      </c>
      <c r="L1098" s="28" t="s">
        <v>3635</v>
      </c>
      <c r="Z1098" s="34">
        <f t="shared" si="895"/>
        <v>0</v>
      </c>
      <c r="AB1098" s="34">
        <f t="shared" si="896"/>
        <v>0</v>
      </c>
      <c r="AC1098" s="34">
        <f t="shared" si="897"/>
        <v>0</v>
      </c>
      <c r="AD1098" s="34">
        <f t="shared" si="898"/>
        <v>0</v>
      </c>
      <c r="AE1098" s="34">
        <f t="shared" si="899"/>
        <v>0</v>
      </c>
      <c r="AF1098" s="34">
        <f t="shared" si="900"/>
        <v>0</v>
      </c>
      <c r="AG1098" s="34">
        <f t="shared" si="901"/>
        <v>0</v>
      </c>
      <c r="AH1098" s="34">
        <f t="shared" si="902"/>
        <v>0</v>
      </c>
      <c r="AI1098" s="27" t="s">
        <v>3647</v>
      </c>
      <c r="AJ1098" s="18">
        <f t="shared" si="903"/>
        <v>0</v>
      </c>
      <c r="AK1098" s="18">
        <f t="shared" si="904"/>
        <v>0</v>
      </c>
      <c r="AL1098" s="18">
        <f t="shared" si="905"/>
        <v>0</v>
      </c>
      <c r="AN1098" s="34">
        <v>21</v>
      </c>
      <c r="AO1098" s="34">
        <f t="shared" si="906"/>
        <v>0</v>
      </c>
      <c r="AP1098" s="34">
        <f t="shared" si="907"/>
        <v>0</v>
      </c>
      <c r="AQ1098" s="28" t="s">
        <v>13</v>
      </c>
      <c r="AV1098" s="34">
        <f t="shared" si="908"/>
        <v>0</v>
      </c>
      <c r="AW1098" s="34">
        <f t="shared" si="909"/>
        <v>0</v>
      </c>
      <c r="AX1098" s="34">
        <f t="shared" si="910"/>
        <v>0</v>
      </c>
      <c r="AY1098" s="35" t="s">
        <v>3681</v>
      </c>
      <c r="AZ1098" s="35" t="s">
        <v>3723</v>
      </c>
      <c r="BA1098" s="27" t="s">
        <v>3731</v>
      </c>
      <c r="BC1098" s="34">
        <f t="shared" si="911"/>
        <v>0</v>
      </c>
      <c r="BD1098" s="34">
        <f t="shared" si="912"/>
        <v>0</v>
      </c>
      <c r="BE1098" s="34">
        <v>0</v>
      </c>
      <c r="BF1098" s="34">
        <f>1097</f>
        <v>1097</v>
      </c>
      <c r="BH1098" s="18">
        <f t="shared" si="913"/>
        <v>0</v>
      </c>
      <c r="BI1098" s="18">
        <f t="shared" si="914"/>
        <v>0</v>
      </c>
      <c r="BJ1098" s="18">
        <f t="shared" si="915"/>
        <v>0</v>
      </c>
    </row>
    <row r="1099" spans="1:62" x14ac:dyDescent="0.2">
      <c r="A1099" s="74" t="s">
        <v>1034</v>
      </c>
      <c r="B1099" s="5" t="s">
        <v>2207</v>
      </c>
      <c r="C1099" s="135" t="s">
        <v>3414</v>
      </c>
      <c r="D1099" s="136"/>
      <c r="E1099" s="136"/>
      <c r="F1099" s="136"/>
      <c r="G1099" s="136"/>
      <c r="H1099" s="5" t="s">
        <v>3614</v>
      </c>
      <c r="I1099" s="18">
        <v>72</v>
      </c>
      <c r="J1099" s="18">
        <v>0</v>
      </c>
      <c r="K1099" s="18">
        <f t="shared" si="894"/>
        <v>0</v>
      </c>
      <c r="L1099" s="28" t="s">
        <v>3635</v>
      </c>
      <c r="Z1099" s="34">
        <f t="shared" si="895"/>
        <v>0</v>
      </c>
      <c r="AB1099" s="34">
        <f t="shared" si="896"/>
        <v>0</v>
      </c>
      <c r="AC1099" s="34">
        <f t="shared" si="897"/>
        <v>0</v>
      </c>
      <c r="AD1099" s="34">
        <f t="shared" si="898"/>
        <v>0</v>
      </c>
      <c r="AE1099" s="34">
        <f t="shared" si="899"/>
        <v>0</v>
      </c>
      <c r="AF1099" s="34">
        <f t="shared" si="900"/>
        <v>0</v>
      </c>
      <c r="AG1099" s="34">
        <f t="shared" si="901"/>
        <v>0</v>
      </c>
      <c r="AH1099" s="34">
        <f t="shared" si="902"/>
        <v>0</v>
      </c>
      <c r="AI1099" s="27" t="s">
        <v>3647</v>
      </c>
      <c r="AJ1099" s="18">
        <f t="shared" si="903"/>
        <v>0</v>
      </c>
      <c r="AK1099" s="18">
        <f t="shared" si="904"/>
        <v>0</v>
      </c>
      <c r="AL1099" s="18">
        <f t="shared" si="905"/>
        <v>0</v>
      </c>
      <c r="AN1099" s="34">
        <v>21</v>
      </c>
      <c r="AO1099" s="34">
        <f t="shared" si="906"/>
        <v>0</v>
      </c>
      <c r="AP1099" s="34">
        <f t="shared" si="907"/>
        <v>0</v>
      </c>
      <c r="AQ1099" s="28" t="s">
        <v>13</v>
      </c>
      <c r="AV1099" s="34">
        <f t="shared" si="908"/>
        <v>0</v>
      </c>
      <c r="AW1099" s="34">
        <f t="shared" si="909"/>
        <v>0</v>
      </c>
      <c r="AX1099" s="34">
        <f t="shared" si="910"/>
        <v>0</v>
      </c>
      <c r="AY1099" s="35" t="s">
        <v>3681</v>
      </c>
      <c r="AZ1099" s="35" t="s">
        <v>3723</v>
      </c>
      <c r="BA1099" s="27" t="s">
        <v>3731</v>
      </c>
      <c r="BC1099" s="34">
        <f t="shared" si="911"/>
        <v>0</v>
      </c>
      <c r="BD1099" s="34">
        <f t="shared" si="912"/>
        <v>0</v>
      </c>
      <c r="BE1099" s="34">
        <v>0</v>
      </c>
      <c r="BF1099" s="34">
        <f>1098</f>
        <v>1098</v>
      </c>
      <c r="BH1099" s="18">
        <f t="shared" si="913"/>
        <v>0</v>
      </c>
      <c r="BI1099" s="18">
        <f t="shared" si="914"/>
        <v>0</v>
      </c>
      <c r="BJ1099" s="18">
        <f t="shared" si="915"/>
        <v>0</v>
      </c>
    </row>
    <row r="1100" spans="1:62" x14ac:dyDescent="0.2">
      <c r="A1100" s="74" t="s">
        <v>1035</v>
      </c>
      <c r="B1100" s="5" t="s">
        <v>2208</v>
      </c>
      <c r="C1100" s="135" t="s">
        <v>3415</v>
      </c>
      <c r="D1100" s="136"/>
      <c r="E1100" s="136"/>
      <c r="F1100" s="136"/>
      <c r="G1100" s="136"/>
      <c r="H1100" s="5" t="s">
        <v>3612</v>
      </c>
      <c r="I1100" s="18">
        <v>2</v>
      </c>
      <c r="J1100" s="18">
        <v>0</v>
      </c>
      <c r="K1100" s="18">
        <f t="shared" si="894"/>
        <v>0</v>
      </c>
      <c r="L1100" s="28" t="s">
        <v>3635</v>
      </c>
      <c r="Z1100" s="34">
        <f t="shared" si="895"/>
        <v>0</v>
      </c>
      <c r="AB1100" s="34">
        <f t="shared" si="896"/>
        <v>0</v>
      </c>
      <c r="AC1100" s="34">
        <f t="shared" si="897"/>
        <v>0</v>
      </c>
      <c r="AD1100" s="34">
        <f t="shared" si="898"/>
        <v>0</v>
      </c>
      <c r="AE1100" s="34">
        <f t="shared" si="899"/>
        <v>0</v>
      </c>
      <c r="AF1100" s="34">
        <f t="shared" si="900"/>
        <v>0</v>
      </c>
      <c r="AG1100" s="34">
        <f t="shared" si="901"/>
        <v>0</v>
      </c>
      <c r="AH1100" s="34">
        <f t="shared" si="902"/>
        <v>0</v>
      </c>
      <c r="AI1100" s="27" t="s">
        <v>3647</v>
      </c>
      <c r="AJ1100" s="18">
        <f t="shared" si="903"/>
        <v>0</v>
      </c>
      <c r="AK1100" s="18">
        <f t="shared" si="904"/>
        <v>0</v>
      </c>
      <c r="AL1100" s="18">
        <f t="shared" si="905"/>
        <v>0</v>
      </c>
      <c r="AN1100" s="34">
        <v>21</v>
      </c>
      <c r="AO1100" s="34">
        <f t="shared" si="906"/>
        <v>0</v>
      </c>
      <c r="AP1100" s="34">
        <f t="shared" si="907"/>
        <v>0</v>
      </c>
      <c r="AQ1100" s="28" t="s">
        <v>13</v>
      </c>
      <c r="AV1100" s="34">
        <f t="shared" si="908"/>
        <v>0</v>
      </c>
      <c r="AW1100" s="34">
        <f t="shared" si="909"/>
        <v>0</v>
      </c>
      <c r="AX1100" s="34">
        <f t="shared" si="910"/>
        <v>0</v>
      </c>
      <c r="AY1100" s="35" t="s">
        <v>3681</v>
      </c>
      <c r="AZ1100" s="35" t="s">
        <v>3723</v>
      </c>
      <c r="BA1100" s="27" t="s">
        <v>3731</v>
      </c>
      <c r="BC1100" s="34">
        <f t="shared" si="911"/>
        <v>0</v>
      </c>
      <c r="BD1100" s="34">
        <f t="shared" si="912"/>
        <v>0</v>
      </c>
      <c r="BE1100" s="34">
        <v>0</v>
      </c>
      <c r="BF1100" s="34">
        <f>1099</f>
        <v>1099</v>
      </c>
      <c r="BH1100" s="18">
        <f t="shared" si="913"/>
        <v>0</v>
      </c>
      <c r="BI1100" s="18">
        <f t="shared" si="914"/>
        <v>0</v>
      </c>
      <c r="BJ1100" s="18">
        <f t="shared" si="915"/>
        <v>0</v>
      </c>
    </row>
    <row r="1101" spans="1:62" x14ac:dyDescent="0.2">
      <c r="A1101" s="74" t="s">
        <v>1036</v>
      </c>
      <c r="B1101" s="5" t="s">
        <v>2209</v>
      </c>
      <c r="C1101" s="135" t="s">
        <v>3416</v>
      </c>
      <c r="D1101" s="136"/>
      <c r="E1101" s="136"/>
      <c r="F1101" s="136"/>
      <c r="G1101" s="136"/>
      <c r="H1101" s="5" t="s">
        <v>3626</v>
      </c>
      <c r="I1101" s="18">
        <v>1</v>
      </c>
      <c r="J1101" s="18">
        <v>0</v>
      </c>
      <c r="K1101" s="18">
        <f t="shared" si="894"/>
        <v>0</v>
      </c>
      <c r="L1101" s="28" t="s">
        <v>3635</v>
      </c>
      <c r="Z1101" s="34">
        <f t="shared" si="895"/>
        <v>0</v>
      </c>
      <c r="AB1101" s="34">
        <f t="shared" si="896"/>
        <v>0</v>
      </c>
      <c r="AC1101" s="34">
        <f t="shared" si="897"/>
        <v>0</v>
      </c>
      <c r="AD1101" s="34">
        <f t="shared" si="898"/>
        <v>0</v>
      </c>
      <c r="AE1101" s="34">
        <f t="shared" si="899"/>
        <v>0</v>
      </c>
      <c r="AF1101" s="34">
        <f t="shared" si="900"/>
        <v>0</v>
      </c>
      <c r="AG1101" s="34">
        <f t="shared" si="901"/>
        <v>0</v>
      </c>
      <c r="AH1101" s="34">
        <f t="shared" si="902"/>
        <v>0</v>
      </c>
      <c r="AI1101" s="27" t="s">
        <v>3647</v>
      </c>
      <c r="AJ1101" s="18">
        <f t="shared" si="903"/>
        <v>0</v>
      </c>
      <c r="AK1101" s="18">
        <f t="shared" si="904"/>
        <v>0</v>
      </c>
      <c r="AL1101" s="18">
        <f t="shared" si="905"/>
        <v>0</v>
      </c>
      <c r="AN1101" s="34">
        <v>21</v>
      </c>
      <c r="AO1101" s="34">
        <f t="shared" si="906"/>
        <v>0</v>
      </c>
      <c r="AP1101" s="34">
        <f t="shared" si="907"/>
        <v>0</v>
      </c>
      <c r="AQ1101" s="28" t="s">
        <v>13</v>
      </c>
      <c r="AV1101" s="34">
        <f t="shared" si="908"/>
        <v>0</v>
      </c>
      <c r="AW1101" s="34">
        <f t="shared" si="909"/>
        <v>0</v>
      </c>
      <c r="AX1101" s="34">
        <f t="shared" si="910"/>
        <v>0</v>
      </c>
      <c r="AY1101" s="35" t="s">
        <v>3681</v>
      </c>
      <c r="AZ1101" s="35" t="s">
        <v>3723</v>
      </c>
      <c r="BA1101" s="27" t="s">
        <v>3731</v>
      </c>
      <c r="BC1101" s="34">
        <f t="shared" si="911"/>
        <v>0</v>
      </c>
      <c r="BD1101" s="34">
        <f t="shared" si="912"/>
        <v>0</v>
      </c>
      <c r="BE1101" s="34">
        <v>0</v>
      </c>
      <c r="BF1101" s="34">
        <f>1100</f>
        <v>1100</v>
      </c>
      <c r="BH1101" s="18">
        <f t="shared" si="913"/>
        <v>0</v>
      </c>
      <c r="BI1101" s="18">
        <f t="shared" si="914"/>
        <v>0</v>
      </c>
      <c r="BJ1101" s="18">
        <f t="shared" si="915"/>
        <v>0</v>
      </c>
    </row>
    <row r="1102" spans="1:62" x14ac:dyDescent="0.2">
      <c r="A1102" s="74" t="s">
        <v>1037</v>
      </c>
      <c r="B1102" s="5" t="s">
        <v>2210</v>
      </c>
      <c r="C1102" s="135" t="s">
        <v>3417</v>
      </c>
      <c r="D1102" s="136"/>
      <c r="E1102" s="136"/>
      <c r="F1102" s="136"/>
      <c r="G1102" s="136"/>
      <c r="H1102" s="5" t="s">
        <v>3612</v>
      </c>
      <c r="I1102" s="18">
        <v>2</v>
      </c>
      <c r="J1102" s="18">
        <v>0</v>
      </c>
      <c r="K1102" s="18">
        <f t="shared" si="894"/>
        <v>0</v>
      </c>
      <c r="L1102" s="28" t="s">
        <v>3635</v>
      </c>
      <c r="Z1102" s="34">
        <f t="shared" si="895"/>
        <v>0</v>
      </c>
      <c r="AB1102" s="34">
        <f t="shared" si="896"/>
        <v>0</v>
      </c>
      <c r="AC1102" s="34">
        <f t="shared" si="897"/>
        <v>0</v>
      </c>
      <c r="AD1102" s="34">
        <f t="shared" si="898"/>
        <v>0</v>
      </c>
      <c r="AE1102" s="34">
        <f t="shared" si="899"/>
        <v>0</v>
      </c>
      <c r="AF1102" s="34">
        <f t="shared" si="900"/>
        <v>0</v>
      </c>
      <c r="AG1102" s="34">
        <f t="shared" si="901"/>
        <v>0</v>
      </c>
      <c r="AH1102" s="34">
        <f t="shared" si="902"/>
        <v>0</v>
      </c>
      <c r="AI1102" s="27" t="s">
        <v>3647</v>
      </c>
      <c r="AJ1102" s="18">
        <f t="shared" si="903"/>
        <v>0</v>
      </c>
      <c r="AK1102" s="18">
        <f t="shared" si="904"/>
        <v>0</v>
      </c>
      <c r="AL1102" s="18">
        <f t="shared" si="905"/>
        <v>0</v>
      </c>
      <c r="AN1102" s="34">
        <v>21</v>
      </c>
      <c r="AO1102" s="34">
        <f t="shared" si="906"/>
        <v>0</v>
      </c>
      <c r="AP1102" s="34">
        <f t="shared" si="907"/>
        <v>0</v>
      </c>
      <c r="AQ1102" s="28" t="s">
        <v>13</v>
      </c>
      <c r="AV1102" s="34">
        <f t="shared" si="908"/>
        <v>0</v>
      </c>
      <c r="AW1102" s="34">
        <f t="shared" si="909"/>
        <v>0</v>
      </c>
      <c r="AX1102" s="34">
        <f t="shared" si="910"/>
        <v>0</v>
      </c>
      <c r="AY1102" s="35" t="s">
        <v>3681</v>
      </c>
      <c r="AZ1102" s="35" t="s">
        <v>3723</v>
      </c>
      <c r="BA1102" s="27" t="s">
        <v>3731</v>
      </c>
      <c r="BC1102" s="34">
        <f t="shared" si="911"/>
        <v>0</v>
      </c>
      <c r="BD1102" s="34">
        <f t="shared" si="912"/>
        <v>0</v>
      </c>
      <c r="BE1102" s="34">
        <v>0</v>
      </c>
      <c r="BF1102" s="34">
        <f>1101</f>
        <v>1101</v>
      </c>
      <c r="BH1102" s="18">
        <f t="shared" si="913"/>
        <v>0</v>
      </c>
      <c r="BI1102" s="18">
        <f t="shared" si="914"/>
        <v>0</v>
      </c>
      <c r="BJ1102" s="18">
        <f t="shared" si="915"/>
        <v>0</v>
      </c>
    </row>
    <row r="1103" spans="1:62" x14ac:dyDescent="0.2">
      <c r="A1103" s="74" t="s">
        <v>1038</v>
      </c>
      <c r="B1103" s="5" t="s">
        <v>2211</v>
      </c>
      <c r="C1103" s="135" t="s">
        <v>3418</v>
      </c>
      <c r="D1103" s="136"/>
      <c r="E1103" s="136"/>
      <c r="F1103" s="136"/>
      <c r="G1103" s="136"/>
      <c r="H1103" s="5" t="s">
        <v>3612</v>
      </c>
      <c r="I1103" s="18">
        <v>1</v>
      </c>
      <c r="J1103" s="18">
        <v>0</v>
      </c>
      <c r="K1103" s="18">
        <f t="shared" si="894"/>
        <v>0</v>
      </c>
      <c r="L1103" s="28" t="s">
        <v>3635</v>
      </c>
      <c r="Z1103" s="34">
        <f t="shared" si="895"/>
        <v>0</v>
      </c>
      <c r="AB1103" s="34">
        <f t="shared" si="896"/>
        <v>0</v>
      </c>
      <c r="AC1103" s="34">
        <f t="shared" si="897"/>
        <v>0</v>
      </c>
      <c r="AD1103" s="34">
        <f t="shared" si="898"/>
        <v>0</v>
      </c>
      <c r="AE1103" s="34">
        <f t="shared" si="899"/>
        <v>0</v>
      </c>
      <c r="AF1103" s="34">
        <f t="shared" si="900"/>
        <v>0</v>
      </c>
      <c r="AG1103" s="34">
        <f t="shared" si="901"/>
        <v>0</v>
      </c>
      <c r="AH1103" s="34">
        <f t="shared" si="902"/>
        <v>0</v>
      </c>
      <c r="AI1103" s="27" t="s">
        <v>3647</v>
      </c>
      <c r="AJ1103" s="18">
        <f t="shared" si="903"/>
        <v>0</v>
      </c>
      <c r="AK1103" s="18">
        <f t="shared" si="904"/>
        <v>0</v>
      </c>
      <c r="AL1103" s="18">
        <f t="shared" si="905"/>
        <v>0</v>
      </c>
      <c r="AN1103" s="34">
        <v>21</v>
      </c>
      <c r="AO1103" s="34">
        <f t="shared" si="906"/>
        <v>0</v>
      </c>
      <c r="AP1103" s="34">
        <f t="shared" si="907"/>
        <v>0</v>
      </c>
      <c r="AQ1103" s="28" t="s">
        <v>13</v>
      </c>
      <c r="AV1103" s="34">
        <f t="shared" si="908"/>
        <v>0</v>
      </c>
      <c r="AW1103" s="34">
        <f t="shared" si="909"/>
        <v>0</v>
      </c>
      <c r="AX1103" s="34">
        <f t="shared" si="910"/>
        <v>0</v>
      </c>
      <c r="AY1103" s="35" t="s">
        <v>3681</v>
      </c>
      <c r="AZ1103" s="35" t="s">
        <v>3723</v>
      </c>
      <c r="BA1103" s="27" t="s">
        <v>3731</v>
      </c>
      <c r="BC1103" s="34">
        <f t="shared" si="911"/>
        <v>0</v>
      </c>
      <c r="BD1103" s="34">
        <f t="shared" si="912"/>
        <v>0</v>
      </c>
      <c r="BE1103" s="34">
        <v>0</v>
      </c>
      <c r="BF1103" s="34">
        <f>1102</f>
        <v>1102</v>
      </c>
      <c r="BH1103" s="18">
        <f t="shared" si="913"/>
        <v>0</v>
      </c>
      <c r="BI1103" s="18">
        <f t="shared" si="914"/>
        <v>0</v>
      </c>
      <c r="BJ1103" s="18">
        <f t="shared" si="915"/>
        <v>0</v>
      </c>
    </row>
    <row r="1104" spans="1:62" x14ac:dyDescent="0.2">
      <c r="A1104" s="74" t="s">
        <v>1039</v>
      </c>
      <c r="B1104" s="5" t="s">
        <v>2212</v>
      </c>
      <c r="C1104" s="135" t="s">
        <v>3419</v>
      </c>
      <c r="D1104" s="136"/>
      <c r="E1104" s="136"/>
      <c r="F1104" s="136"/>
      <c r="G1104" s="136"/>
      <c r="H1104" s="5" t="s">
        <v>3612</v>
      </c>
      <c r="I1104" s="18">
        <v>1</v>
      </c>
      <c r="J1104" s="18">
        <v>0</v>
      </c>
      <c r="K1104" s="18">
        <f t="shared" si="894"/>
        <v>0</v>
      </c>
      <c r="L1104" s="28" t="s">
        <v>3635</v>
      </c>
      <c r="Z1104" s="34">
        <f t="shared" si="895"/>
        <v>0</v>
      </c>
      <c r="AB1104" s="34">
        <f t="shared" si="896"/>
        <v>0</v>
      </c>
      <c r="AC1104" s="34">
        <f t="shared" si="897"/>
        <v>0</v>
      </c>
      <c r="AD1104" s="34">
        <f t="shared" si="898"/>
        <v>0</v>
      </c>
      <c r="AE1104" s="34">
        <f t="shared" si="899"/>
        <v>0</v>
      </c>
      <c r="AF1104" s="34">
        <f t="shared" si="900"/>
        <v>0</v>
      </c>
      <c r="AG1104" s="34">
        <f t="shared" si="901"/>
        <v>0</v>
      </c>
      <c r="AH1104" s="34">
        <f t="shared" si="902"/>
        <v>0</v>
      </c>
      <c r="AI1104" s="27" t="s">
        <v>3647</v>
      </c>
      <c r="AJ1104" s="18">
        <f t="shared" si="903"/>
        <v>0</v>
      </c>
      <c r="AK1104" s="18">
        <f t="shared" si="904"/>
        <v>0</v>
      </c>
      <c r="AL1104" s="18">
        <f t="shared" si="905"/>
        <v>0</v>
      </c>
      <c r="AN1104" s="34">
        <v>21</v>
      </c>
      <c r="AO1104" s="34">
        <f t="shared" si="906"/>
        <v>0</v>
      </c>
      <c r="AP1104" s="34">
        <f t="shared" si="907"/>
        <v>0</v>
      </c>
      <c r="AQ1104" s="28" t="s">
        <v>13</v>
      </c>
      <c r="AV1104" s="34">
        <f t="shared" si="908"/>
        <v>0</v>
      </c>
      <c r="AW1104" s="34">
        <f t="shared" si="909"/>
        <v>0</v>
      </c>
      <c r="AX1104" s="34">
        <f t="shared" si="910"/>
        <v>0</v>
      </c>
      <c r="AY1104" s="35" t="s">
        <v>3681</v>
      </c>
      <c r="AZ1104" s="35" t="s">
        <v>3723</v>
      </c>
      <c r="BA1104" s="27" t="s">
        <v>3731</v>
      </c>
      <c r="BC1104" s="34">
        <f t="shared" si="911"/>
        <v>0</v>
      </c>
      <c r="BD1104" s="34">
        <f t="shared" si="912"/>
        <v>0</v>
      </c>
      <c r="BE1104" s="34">
        <v>0</v>
      </c>
      <c r="BF1104" s="34">
        <f>1103</f>
        <v>1103</v>
      </c>
      <c r="BH1104" s="18">
        <f t="shared" si="913"/>
        <v>0</v>
      </c>
      <c r="BI1104" s="18">
        <f t="shared" si="914"/>
        <v>0</v>
      </c>
      <c r="BJ1104" s="18">
        <f t="shared" si="915"/>
        <v>0</v>
      </c>
    </row>
    <row r="1105" spans="1:62" x14ac:dyDescent="0.2">
      <c r="A1105" s="74" t="s">
        <v>1040</v>
      </c>
      <c r="B1105" s="5" t="s">
        <v>2213</v>
      </c>
      <c r="C1105" s="135" t="s">
        <v>3420</v>
      </c>
      <c r="D1105" s="136"/>
      <c r="E1105" s="136"/>
      <c r="F1105" s="136"/>
      <c r="G1105" s="136"/>
      <c r="H1105" s="5" t="s">
        <v>3612</v>
      </c>
      <c r="I1105" s="18">
        <v>4</v>
      </c>
      <c r="J1105" s="18">
        <v>0</v>
      </c>
      <c r="K1105" s="18">
        <f t="shared" si="894"/>
        <v>0</v>
      </c>
      <c r="L1105" s="28" t="s">
        <v>3635</v>
      </c>
      <c r="Z1105" s="34">
        <f t="shared" si="895"/>
        <v>0</v>
      </c>
      <c r="AB1105" s="34">
        <f t="shared" si="896"/>
        <v>0</v>
      </c>
      <c r="AC1105" s="34">
        <f t="shared" si="897"/>
        <v>0</v>
      </c>
      <c r="AD1105" s="34">
        <f t="shared" si="898"/>
        <v>0</v>
      </c>
      <c r="AE1105" s="34">
        <f t="shared" si="899"/>
        <v>0</v>
      </c>
      <c r="AF1105" s="34">
        <f t="shared" si="900"/>
        <v>0</v>
      </c>
      <c r="AG1105" s="34">
        <f t="shared" si="901"/>
        <v>0</v>
      </c>
      <c r="AH1105" s="34">
        <f t="shared" si="902"/>
        <v>0</v>
      </c>
      <c r="AI1105" s="27" t="s">
        <v>3647</v>
      </c>
      <c r="AJ1105" s="18">
        <f t="shared" si="903"/>
        <v>0</v>
      </c>
      <c r="AK1105" s="18">
        <f t="shared" si="904"/>
        <v>0</v>
      </c>
      <c r="AL1105" s="18">
        <f t="shared" si="905"/>
        <v>0</v>
      </c>
      <c r="AN1105" s="34">
        <v>21</v>
      </c>
      <c r="AO1105" s="34">
        <f t="shared" si="906"/>
        <v>0</v>
      </c>
      <c r="AP1105" s="34">
        <f t="shared" si="907"/>
        <v>0</v>
      </c>
      <c r="AQ1105" s="28" t="s">
        <v>13</v>
      </c>
      <c r="AV1105" s="34">
        <f t="shared" si="908"/>
        <v>0</v>
      </c>
      <c r="AW1105" s="34">
        <f t="shared" si="909"/>
        <v>0</v>
      </c>
      <c r="AX1105" s="34">
        <f t="shared" si="910"/>
        <v>0</v>
      </c>
      <c r="AY1105" s="35" t="s">
        <v>3681</v>
      </c>
      <c r="AZ1105" s="35" t="s">
        <v>3723</v>
      </c>
      <c r="BA1105" s="27" t="s">
        <v>3731</v>
      </c>
      <c r="BC1105" s="34">
        <f t="shared" si="911"/>
        <v>0</v>
      </c>
      <c r="BD1105" s="34">
        <f t="shared" si="912"/>
        <v>0</v>
      </c>
      <c r="BE1105" s="34">
        <v>0</v>
      </c>
      <c r="BF1105" s="34">
        <f>1104</f>
        <v>1104</v>
      </c>
      <c r="BH1105" s="18">
        <f t="shared" si="913"/>
        <v>0</v>
      </c>
      <c r="BI1105" s="18">
        <f t="shared" si="914"/>
        <v>0</v>
      </c>
      <c r="BJ1105" s="18">
        <f t="shared" si="915"/>
        <v>0</v>
      </c>
    </row>
    <row r="1106" spans="1:62" x14ac:dyDescent="0.2">
      <c r="A1106" s="74" t="s">
        <v>1041</v>
      </c>
      <c r="B1106" s="5" t="s">
        <v>2214</v>
      </c>
      <c r="C1106" s="135" t="s">
        <v>3421</v>
      </c>
      <c r="D1106" s="136"/>
      <c r="E1106" s="136"/>
      <c r="F1106" s="136"/>
      <c r="G1106" s="136"/>
      <c r="H1106" s="5" t="s">
        <v>3612</v>
      </c>
      <c r="I1106" s="18">
        <v>2</v>
      </c>
      <c r="J1106" s="18">
        <v>0</v>
      </c>
      <c r="K1106" s="18">
        <f t="shared" ref="K1106:K1137" si="916">I1106*J1106</f>
        <v>0</v>
      </c>
      <c r="L1106" s="28" t="s">
        <v>3635</v>
      </c>
      <c r="Z1106" s="34">
        <f t="shared" ref="Z1106:Z1137" si="917">IF(AQ1106="5",BJ1106,0)</f>
        <v>0</v>
      </c>
      <c r="AB1106" s="34">
        <f t="shared" ref="AB1106:AB1137" si="918">IF(AQ1106="1",BH1106,0)</f>
        <v>0</v>
      </c>
      <c r="AC1106" s="34">
        <f t="shared" ref="AC1106:AC1137" si="919">IF(AQ1106="1",BI1106,0)</f>
        <v>0</v>
      </c>
      <c r="AD1106" s="34">
        <f t="shared" ref="AD1106:AD1137" si="920">IF(AQ1106="7",BH1106,0)</f>
        <v>0</v>
      </c>
      <c r="AE1106" s="34">
        <f t="shared" ref="AE1106:AE1137" si="921">IF(AQ1106="7",BI1106,0)</f>
        <v>0</v>
      </c>
      <c r="AF1106" s="34">
        <f t="shared" ref="AF1106:AF1137" si="922">IF(AQ1106="2",BH1106,0)</f>
        <v>0</v>
      </c>
      <c r="AG1106" s="34">
        <f t="shared" ref="AG1106:AG1137" si="923">IF(AQ1106="2",BI1106,0)</f>
        <v>0</v>
      </c>
      <c r="AH1106" s="34">
        <f t="shared" ref="AH1106:AH1137" si="924">IF(AQ1106="0",BJ1106,0)</f>
        <v>0</v>
      </c>
      <c r="AI1106" s="27" t="s">
        <v>3647</v>
      </c>
      <c r="AJ1106" s="18">
        <f t="shared" ref="AJ1106:AJ1137" si="925">IF(AN1106=0,K1106,0)</f>
        <v>0</v>
      </c>
      <c r="AK1106" s="18">
        <f t="shared" ref="AK1106:AK1137" si="926">IF(AN1106=15,K1106,0)</f>
        <v>0</v>
      </c>
      <c r="AL1106" s="18">
        <f t="shared" ref="AL1106:AL1137" si="927">IF(AN1106=21,K1106,0)</f>
        <v>0</v>
      </c>
      <c r="AN1106" s="34">
        <v>21</v>
      </c>
      <c r="AO1106" s="34">
        <f t="shared" ref="AO1106:AO1137" si="928">J1106*0</f>
        <v>0</v>
      </c>
      <c r="AP1106" s="34">
        <f t="shared" ref="AP1106:AP1137" si="929">J1106*(1-0)</f>
        <v>0</v>
      </c>
      <c r="AQ1106" s="28" t="s">
        <v>13</v>
      </c>
      <c r="AV1106" s="34">
        <f t="shared" ref="AV1106:AV1137" si="930">AW1106+AX1106</f>
        <v>0</v>
      </c>
      <c r="AW1106" s="34">
        <f t="shared" ref="AW1106:AW1137" si="931">I1106*AO1106</f>
        <v>0</v>
      </c>
      <c r="AX1106" s="34">
        <f t="shared" ref="AX1106:AX1137" si="932">I1106*AP1106</f>
        <v>0</v>
      </c>
      <c r="AY1106" s="35" t="s">
        <v>3681</v>
      </c>
      <c r="AZ1106" s="35" t="s">
        <v>3723</v>
      </c>
      <c r="BA1106" s="27" t="s">
        <v>3731</v>
      </c>
      <c r="BC1106" s="34">
        <f t="shared" ref="BC1106:BC1137" si="933">AW1106+AX1106</f>
        <v>0</v>
      </c>
      <c r="BD1106" s="34">
        <f t="shared" ref="BD1106:BD1137" si="934">J1106/(100-BE1106)*100</f>
        <v>0</v>
      </c>
      <c r="BE1106" s="34">
        <v>0</v>
      </c>
      <c r="BF1106" s="34">
        <f>1105</f>
        <v>1105</v>
      </c>
      <c r="BH1106" s="18">
        <f t="shared" ref="BH1106:BH1137" si="935">I1106*AO1106</f>
        <v>0</v>
      </c>
      <c r="BI1106" s="18">
        <f t="shared" ref="BI1106:BI1137" si="936">I1106*AP1106</f>
        <v>0</v>
      </c>
      <c r="BJ1106" s="18">
        <f t="shared" ref="BJ1106:BJ1137" si="937">I1106*J1106</f>
        <v>0</v>
      </c>
    </row>
    <row r="1107" spans="1:62" x14ac:dyDescent="0.2">
      <c r="A1107" s="74" t="s">
        <v>1042</v>
      </c>
      <c r="B1107" s="5" t="s">
        <v>2215</v>
      </c>
      <c r="C1107" s="135" t="s">
        <v>3422</v>
      </c>
      <c r="D1107" s="136"/>
      <c r="E1107" s="136"/>
      <c r="F1107" s="136"/>
      <c r="G1107" s="136"/>
      <c r="H1107" s="5" t="s">
        <v>3614</v>
      </c>
      <c r="I1107" s="18">
        <v>7</v>
      </c>
      <c r="J1107" s="18">
        <v>0</v>
      </c>
      <c r="K1107" s="18">
        <f t="shared" si="916"/>
        <v>0</v>
      </c>
      <c r="L1107" s="28" t="s">
        <v>3635</v>
      </c>
      <c r="Z1107" s="34">
        <f t="shared" si="917"/>
        <v>0</v>
      </c>
      <c r="AB1107" s="34">
        <f t="shared" si="918"/>
        <v>0</v>
      </c>
      <c r="AC1107" s="34">
        <f t="shared" si="919"/>
        <v>0</v>
      </c>
      <c r="AD1107" s="34">
        <f t="shared" si="920"/>
        <v>0</v>
      </c>
      <c r="AE1107" s="34">
        <f t="shared" si="921"/>
        <v>0</v>
      </c>
      <c r="AF1107" s="34">
        <f t="shared" si="922"/>
        <v>0</v>
      </c>
      <c r="AG1107" s="34">
        <f t="shared" si="923"/>
        <v>0</v>
      </c>
      <c r="AH1107" s="34">
        <f t="shared" si="924"/>
        <v>0</v>
      </c>
      <c r="AI1107" s="27" t="s">
        <v>3647</v>
      </c>
      <c r="AJ1107" s="18">
        <f t="shared" si="925"/>
        <v>0</v>
      </c>
      <c r="AK1107" s="18">
        <f t="shared" si="926"/>
        <v>0</v>
      </c>
      <c r="AL1107" s="18">
        <f t="shared" si="927"/>
        <v>0</v>
      </c>
      <c r="AN1107" s="34">
        <v>21</v>
      </c>
      <c r="AO1107" s="34">
        <f t="shared" si="928"/>
        <v>0</v>
      </c>
      <c r="AP1107" s="34">
        <f t="shared" si="929"/>
        <v>0</v>
      </c>
      <c r="AQ1107" s="28" t="s">
        <v>13</v>
      </c>
      <c r="AV1107" s="34">
        <f t="shared" si="930"/>
        <v>0</v>
      </c>
      <c r="AW1107" s="34">
        <f t="shared" si="931"/>
        <v>0</v>
      </c>
      <c r="AX1107" s="34">
        <f t="shared" si="932"/>
        <v>0</v>
      </c>
      <c r="AY1107" s="35" t="s">
        <v>3681</v>
      </c>
      <c r="AZ1107" s="35" t="s">
        <v>3723</v>
      </c>
      <c r="BA1107" s="27" t="s">
        <v>3731</v>
      </c>
      <c r="BC1107" s="34">
        <f t="shared" si="933"/>
        <v>0</v>
      </c>
      <c r="BD1107" s="34">
        <f t="shared" si="934"/>
        <v>0</v>
      </c>
      <c r="BE1107" s="34">
        <v>0</v>
      </c>
      <c r="BF1107" s="34">
        <f>1106</f>
        <v>1106</v>
      </c>
      <c r="BH1107" s="18">
        <f t="shared" si="935"/>
        <v>0</v>
      </c>
      <c r="BI1107" s="18">
        <f t="shared" si="936"/>
        <v>0</v>
      </c>
      <c r="BJ1107" s="18">
        <f t="shared" si="937"/>
        <v>0</v>
      </c>
    </row>
    <row r="1108" spans="1:62" x14ac:dyDescent="0.2">
      <c r="A1108" s="74" t="s">
        <v>1043</v>
      </c>
      <c r="B1108" s="5" t="s">
        <v>2216</v>
      </c>
      <c r="C1108" s="135" t="s">
        <v>3423</v>
      </c>
      <c r="D1108" s="136"/>
      <c r="E1108" s="136"/>
      <c r="F1108" s="136"/>
      <c r="G1108" s="136"/>
      <c r="H1108" s="5" t="s">
        <v>3626</v>
      </c>
      <c r="I1108" s="18">
        <v>1</v>
      </c>
      <c r="J1108" s="18">
        <v>0</v>
      </c>
      <c r="K1108" s="18">
        <f t="shared" si="916"/>
        <v>0</v>
      </c>
      <c r="L1108" s="28" t="s">
        <v>3635</v>
      </c>
      <c r="Z1108" s="34">
        <f t="shared" si="917"/>
        <v>0</v>
      </c>
      <c r="AB1108" s="34">
        <f t="shared" si="918"/>
        <v>0</v>
      </c>
      <c r="AC1108" s="34">
        <f t="shared" si="919"/>
        <v>0</v>
      </c>
      <c r="AD1108" s="34">
        <f t="shared" si="920"/>
        <v>0</v>
      </c>
      <c r="AE1108" s="34">
        <f t="shared" si="921"/>
        <v>0</v>
      </c>
      <c r="AF1108" s="34">
        <f t="shared" si="922"/>
        <v>0</v>
      </c>
      <c r="AG1108" s="34">
        <f t="shared" si="923"/>
        <v>0</v>
      </c>
      <c r="AH1108" s="34">
        <f t="shared" si="924"/>
        <v>0</v>
      </c>
      <c r="AI1108" s="27" t="s">
        <v>3647</v>
      </c>
      <c r="AJ1108" s="18">
        <f t="shared" si="925"/>
        <v>0</v>
      </c>
      <c r="AK1108" s="18">
        <f t="shared" si="926"/>
        <v>0</v>
      </c>
      <c r="AL1108" s="18">
        <f t="shared" si="927"/>
        <v>0</v>
      </c>
      <c r="AN1108" s="34">
        <v>21</v>
      </c>
      <c r="AO1108" s="34">
        <f t="shared" si="928"/>
        <v>0</v>
      </c>
      <c r="AP1108" s="34">
        <f t="shared" si="929"/>
        <v>0</v>
      </c>
      <c r="AQ1108" s="28" t="s">
        <v>13</v>
      </c>
      <c r="AV1108" s="34">
        <f t="shared" si="930"/>
        <v>0</v>
      </c>
      <c r="AW1108" s="34">
        <f t="shared" si="931"/>
        <v>0</v>
      </c>
      <c r="AX1108" s="34">
        <f t="shared" si="932"/>
        <v>0</v>
      </c>
      <c r="AY1108" s="35" t="s">
        <v>3681</v>
      </c>
      <c r="AZ1108" s="35" t="s">
        <v>3723</v>
      </c>
      <c r="BA1108" s="27" t="s">
        <v>3731</v>
      </c>
      <c r="BC1108" s="34">
        <f t="shared" si="933"/>
        <v>0</v>
      </c>
      <c r="BD1108" s="34">
        <f t="shared" si="934"/>
        <v>0</v>
      </c>
      <c r="BE1108" s="34">
        <v>0</v>
      </c>
      <c r="BF1108" s="34">
        <f>1107</f>
        <v>1107</v>
      </c>
      <c r="BH1108" s="18">
        <f t="shared" si="935"/>
        <v>0</v>
      </c>
      <c r="BI1108" s="18">
        <f t="shared" si="936"/>
        <v>0</v>
      </c>
      <c r="BJ1108" s="18">
        <f t="shared" si="937"/>
        <v>0</v>
      </c>
    </row>
    <row r="1109" spans="1:62" x14ac:dyDescent="0.2">
      <c r="A1109" s="74" t="s">
        <v>1044</v>
      </c>
      <c r="B1109" s="5" t="s">
        <v>2217</v>
      </c>
      <c r="C1109" s="135" t="s">
        <v>3424</v>
      </c>
      <c r="D1109" s="136"/>
      <c r="E1109" s="136"/>
      <c r="F1109" s="136"/>
      <c r="G1109" s="136"/>
      <c r="H1109" s="5" t="s">
        <v>3612</v>
      </c>
      <c r="I1109" s="18">
        <v>10</v>
      </c>
      <c r="J1109" s="18">
        <v>0</v>
      </c>
      <c r="K1109" s="18">
        <f t="shared" si="916"/>
        <v>0</v>
      </c>
      <c r="L1109" s="28" t="s">
        <v>3635</v>
      </c>
      <c r="Z1109" s="34">
        <f t="shared" si="917"/>
        <v>0</v>
      </c>
      <c r="AB1109" s="34">
        <f t="shared" si="918"/>
        <v>0</v>
      </c>
      <c r="AC1109" s="34">
        <f t="shared" si="919"/>
        <v>0</v>
      </c>
      <c r="AD1109" s="34">
        <f t="shared" si="920"/>
        <v>0</v>
      </c>
      <c r="AE1109" s="34">
        <f t="shared" si="921"/>
        <v>0</v>
      </c>
      <c r="AF1109" s="34">
        <f t="shared" si="922"/>
        <v>0</v>
      </c>
      <c r="AG1109" s="34">
        <f t="shared" si="923"/>
        <v>0</v>
      </c>
      <c r="AH1109" s="34">
        <f t="shared" si="924"/>
        <v>0</v>
      </c>
      <c r="AI1109" s="27" t="s">
        <v>3647</v>
      </c>
      <c r="AJ1109" s="18">
        <f t="shared" si="925"/>
        <v>0</v>
      </c>
      <c r="AK1109" s="18">
        <f t="shared" si="926"/>
        <v>0</v>
      </c>
      <c r="AL1109" s="18">
        <f t="shared" si="927"/>
        <v>0</v>
      </c>
      <c r="AN1109" s="34">
        <v>21</v>
      </c>
      <c r="AO1109" s="34">
        <f t="shared" si="928"/>
        <v>0</v>
      </c>
      <c r="AP1109" s="34">
        <f t="shared" si="929"/>
        <v>0</v>
      </c>
      <c r="AQ1109" s="28" t="s">
        <v>13</v>
      </c>
      <c r="AV1109" s="34">
        <f t="shared" si="930"/>
        <v>0</v>
      </c>
      <c r="AW1109" s="34">
        <f t="shared" si="931"/>
        <v>0</v>
      </c>
      <c r="AX1109" s="34">
        <f t="shared" si="932"/>
        <v>0</v>
      </c>
      <c r="AY1109" s="35" t="s">
        <v>3681</v>
      </c>
      <c r="AZ1109" s="35" t="s">
        <v>3723</v>
      </c>
      <c r="BA1109" s="27" t="s">
        <v>3731</v>
      </c>
      <c r="BC1109" s="34">
        <f t="shared" si="933"/>
        <v>0</v>
      </c>
      <c r="BD1109" s="34">
        <f t="shared" si="934"/>
        <v>0</v>
      </c>
      <c r="BE1109" s="34">
        <v>0</v>
      </c>
      <c r="BF1109" s="34">
        <f>1108</f>
        <v>1108</v>
      </c>
      <c r="BH1109" s="18">
        <f t="shared" si="935"/>
        <v>0</v>
      </c>
      <c r="BI1109" s="18">
        <f t="shared" si="936"/>
        <v>0</v>
      </c>
      <c r="BJ1109" s="18">
        <f t="shared" si="937"/>
        <v>0</v>
      </c>
    </row>
    <row r="1110" spans="1:62" x14ac:dyDescent="0.2">
      <c r="A1110" s="74" t="s">
        <v>1045</v>
      </c>
      <c r="B1110" s="5" t="s">
        <v>2218</v>
      </c>
      <c r="C1110" s="135" t="s">
        <v>3425</v>
      </c>
      <c r="D1110" s="136"/>
      <c r="E1110" s="136"/>
      <c r="F1110" s="136"/>
      <c r="G1110" s="136"/>
      <c r="H1110" s="5" t="s">
        <v>3612</v>
      </c>
      <c r="I1110" s="18">
        <v>11</v>
      </c>
      <c r="J1110" s="18">
        <v>0</v>
      </c>
      <c r="K1110" s="18">
        <f t="shared" si="916"/>
        <v>0</v>
      </c>
      <c r="L1110" s="28" t="s">
        <v>3635</v>
      </c>
      <c r="Z1110" s="34">
        <f t="shared" si="917"/>
        <v>0</v>
      </c>
      <c r="AB1110" s="34">
        <f t="shared" si="918"/>
        <v>0</v>
      </c>
      <c r="AC1110" s="34">
        <f t="shared" si="919"/>
        <v>0</v>
      </c>
      <c r="AD1110" s="34">
        <f t="shared" si="920"/>
        <v>0</v>
      </c>
      <c r="AE1110" s="34">
        <f t="shared" si="921"/>
        <v>0</v>
      </c>
      <c r="AF1110" s="34">
        <f t="shared" si="922"/>
        <v>0</v>
      </c>
      <c r="AG1110" s="34">
        <f t="shared" si="923"/>
        <v>0</v>
      </c>
      <c r="AH1110" s="34">
        <f t="shared" si="924"/>
        <v>0</v>
      </c>
      <c r="AI1110" s="27" t="s">
        <v>3647</v>
      </c>
      <c r="AJ1110" s="18">
        <f t="shared" si="925"/>
        <v>0</v>
      </c>
      <c r="AK1110" s="18">
        <f t="shared" si="926"/>
        <v>0</v>
      </c>
      <c r="AL1110" s="18">
        <f t="shared" si="927"/>
        <v>0</v>
      </c>
      <c r="AN1110" s="34">
        <v>21</v>
      </c>
      <c r="AO1110" s="34">
        <f t="shared" si="928"/>
        <v>0</v>
      </c>
      <c r="AP1110" s="34">
        <f t="shared" si="929"/>
        <v>0</v>
      </c>
      <c r="AQ1110" s="28" t="s">
        <v>13</v>
      </c>
      <c r="AV1110" s="34">
        <f t="shared" si="930"/>
        <v>0</v>
      </c>
      <c r="AW1110" s="34">
        <f t="shared" si="931"/>
        <v>0</v>
      </c>
      <c r="AX1110" s="34">
        <f t="shared" si="932"/>
        <v>0</v>
      </c>
      <c r="AY1110" s="35" t="s">
        <v>3681</v>
      </c>
      <c r="AZ1110" s="35" t="s">
        <v>3723</v>
      </c>
      <c r="BA1110" s="27" t="s">
        <v>3731</v>
      </c>
      <c r="BC1110" s="34">
        <f t="shared" si="933"/>
        <v>0</v>
      </c>
      <c r="BD1110" s="34">
        <f t="shared" si="934"/>
        <v>0</v>
      </c>
      <c r="BE1110" s="34">
        <v>0</v>
      </c>
      <c r="BF1110" s="34">
        <f>1109</f>
        <v>1109</v>
      </c>
      <c r="BH1110" s="18">
        <f t="shared" si="935"/>
        <v>0</v>
      </c>
      <c r="BI1110" s="18">
        <f t="shared" si="936"/>
        <v>0</v>
      </c>
      <c r="BJ1110" s="18">
        <f t="shared" si="937"/>
        <v>0</v>
      </c>
    </row>
    <row r="1111" spans="1:62" x14ac:dyDescent="0.2">
      <c r="A1111" s="74" t="s">
        <v>1046</v>
      </c>
      <c r="B1111" s="5" t="s">
        <v>2219</v>
      </c>
      <c r="C1111" s="135" t="s">
        <v>3426</v>
      </c>
      <c r="D1111" s="136"/>
      <c r="E1111" s="136"/>
      <c r="F1111" s="136"/>
      <c r="G1111" s="136"/>
      <c r="H1111" s="5" t="s">
        <v>3612</v>
      </c>
      <c r="I1111" s="18">
        <v>4</v>
      </c>
      <c r="J1111" s="18">
        <v>0</v>
      </c>
      <c r="K1111" s="18">
        <f t="shared" si="916"/>
        <v>0</v>
      </c>
      <c r="L1111" s="28" t="s">
        <v>3635</v>
      </c>
      <c r="Z1111" s="34">
        <f t="shared" si="917"/>
        <v>0</v>
      </c>
      <c r="AB1111" s="34">
        <f t="shared" si="918"/>
        <v>0</v>
      </c>
      <c r="AC1111" s="34">
        <f t="shared" si="919"/>
        <v>0</v>
      </c>
      <c r="AD1111" s="34">
        <f t="shared" si="920"/>
        <v>0</v>
      </c>
      <c r="AE1111" s="34">
        <f t="shared" si="921"/>
        <v>0</v>
      </c>
      <c r="AF1111" s="34">
        <f t="shared" si="922"/>
        <v>0</v>
      </c>
      <c r="AG1111" s="34">
        <f t="shared" si="923"/>
        <v>0</v>
      </c>
      <c r="AH1111" s="34">
        <f t="shared" si="924"/>
        <v>0</v>
      </c>
      <c r="AI1111" s="27" t="s">
        <v>3647</v>
      </c>
      <c r="AJ1111" s="18">
        <f t="shared" si="925"/>
        <v>0</v>
      </c>
      <c r="AK1111" s="18">
        <f t="shared" si="926"/>
        <v>0</v>
      </c>
      <c r="AL1111" s="18">
        <f t="shared" si="927"/>
        <v>0</v>
      </c>
      <c r="AN1111" s="34">
        <v>21</v>
      </c>
      <c r="AO1111" s="34">
        <f t="shared" si="928"/>
        <v>0</v>
      </c>
      <c r="AP1111" s="34">
        <f t="shared" si="929"/>
        <v>0</v>
      </c>
      <c r="AQ1111" s="28" t="s">
        <v>13</v>
      </c>
      <c r="AV1111" s="34">
        <f t="shared" si="930"/>
        <v>0</v>
      </c>
      <c r="AW1111" s="34">
        <f t="shared" si="931"/>
        <v>0</v>
      </c>
      <c r="AX1111" s="34">
        <f t="shared" si="932"/>
        <v>0</v>
      </c>
      <c r="AY1111" s="35" t="s">
        <v>3681</v>
      </c>
      <c r="AZ1111" s="35" t="s">
        <v>3723</v>
      </c>
      <c r="BA1111" s="27" t="s">
        <v>3731</v>
      </c>
      <c r="BC1111" s="34">
        <f t="shared" si="933"/>
        <v>0</v>
      </c>
      <c r="BD1111" s="34">
        <f t="shared" si="934"/>
        <v>0</v>
      </c>
      <c r="BE1111" s="34">
        <v>0</v>
      </c>
      <c r="BF1111" s="34">
        <f>1110</f>
        <v>1110</v>
      </c>
      <c r="BH1111" s="18">
        <f t="shared" si="935"/>
        <v>0</v>
      </c>
      <c r="BI1111" s="18">
        <f t="shared" si="936"/>
        <v>0</v>
      </c>
      <c r="BJ1111" s="18">
        <f t="shared" si="937"/>
        <v>0</v>
      </c>
    </row>
    <row r="1112" spans="1:62" x14ac:dyDescent="0.2">
      <c r="A1112" s="74" t="s">
        <v>1047</v>
      </c>
      <c r="B1112" s="5" t="s">
        <v>2220</v>
      </c>
      <c r="C1112" s="135" t="s">
        <v>3427</v>
      </c>
      <c r="D1112" s="136"/>
      <c r="E1112" s="136"/>
      <c r="F1112" s="136"/>
      <c r="G1112" s="136"/>
      <c r="H1112" s="5" t="s">
        <v>3612</v>
      </c>
      <c r="I1112" s="18">
        <v>5</v>
      </c>
      <c r="J1112" s="18">
        <v>0</v>
      </c>
      <c r="K1112" s="18">
        <f t="shared" si="916"/>
        <v>0</v>
      </c>
      <c r="L1112" s="28" t="s">
        <v>3635</v>
      </c>
      <c r="Z1112" s="34">
        <f t="shared" si="917"/>
        <v>0</v>
      </c>
      <c r="AB1112" s="34">
        <f t="shared" si="918"/>
        <v>0</v>
      </c>
      <c r="AC1112" s="34">
        <f t="shared" si="919"/>
        <v>0</v>
      </c>
      <c r="AD1112" s="34">
        <f t="shared" si="920"/>
        <v>0</v>
      </c>
      <c r="AE1112" s="34">
        <f t="shared" si="921"/>
        <v>0</v>
      </c>
      <c r="AF1112" s="34">
        <f t="shared" si="922"/>
        <v>0</v>
      </c>
      <c r="AG1112" s="34">
        <f t="shared" si="923"/>
        <v>0</v>
      </c>
      <c r="AH1112" s="34">
        <f t="shared" si="924"/>
        <v>0</v>
      </c>
      <c r="AI1112" s="27" t="s">
        <v>3647</v>
      </c>
      <c r="AJ1112" s="18">
        <f t="shared" si="925"/>
        <v>0</v>
      </c>
      <c r="AK1112" s="18">
        <f t="shared" si="926"/>
        <v>0</v>
      </c>
      <c r="AL1112" s="18">
        <f t="shared" si="927"/>
        <v>0</v>
      </c>
      <c r="AN1112" s="34">
        <v>21</v>
      </c>
      <c r="AO1112" s="34">
        <f t="shared" si="928"/>
        <v>0</v>
      </c>
      <c r="AP1112" s="34">
        <f t="shared" si="929"/>
        <v>0</v>
      </c>
      <c r="AQ1112" s="28" t="s">
        <v>13</v>
      </c>
      <c r="AV1112" s="34">
        <f t="shared" si="930"/>
        <v>0</v>
      </c>
      <c r="AW1112" s="34">
        <f t="shared" si="931"/>
        <v>0</v>
      </c>
      <c r="AX1112" s="34">
        <f t="shared" si="932"/>
        <v>0</v>
      </c>
      <c r="AY1112" s="35" t="s">
        <v>3681</v>
      </c>
      <c r="AZ1112" s="35" t="s">
        <v>3723</v>
      </c>
      <c r="BA1112" s="27" t="s">
        <v>3731</v>
      </c>
      <c r="BC1112" s="34">
        <f t="shared" si="933"/>
        <v>0</v>
      </c>
      <c r="BD1112" s="34">
        <f t="shared" si="934"/>
        <v>0</v>
      </c>
      <c r="BE1112" s="34">
        <v>0</v>
      </c>
      <c r="BF1112" s="34">
        <f>1111</f>
        <v>1111</v>
      </c>
      <c r="BH1112" s="18">
        <f t="shared" si="935"/>
        <v>0</v>
      </c>
      <c r="BI1112" s="18">
        <f t="shared" si="936"/>
        <v>0</v>
      </c>
      <c r="BJ1112" s="18">
        <f t="shared" si="937"/>
        <v>0</v>
      </c>
    </row>
    <row r="1113" spans="1:62" x14ac:dyDescent="0.2">
      <c r="A1113" s="74" t="s">
        <v>1048</v>
      </c>
      <c r="B1113" s="5" t="s">
        <v>2221</v>
      </c>
      <c r="C1113" s="135" t="s">
        <v>3428</v>
      </c>
      <c r="D1113" s="136"/>
      <c r="E1113" s="136"/>
      <c r="F1113" s="136"/>
      <c r="G1113" s="136"/>
      <c r="H1113" s="5" t="s">
        <v>3612</v>
      </c>
      <c r="I1113" s="18">
        <v>21</v>
      </c>
      <c r="J1113" s="18">
        <v>0</v>
      </c>
      <c r="K1113" s="18">
        <f t="shared" si="916"/>
        <v>0</v>
      </c>
      <c r="L1113" s="28" t="s">
        <v>3635</v>
      </c>
      <c r="Z1113" s="34">
        <f t="shared" si="917"/>
        <v>0</v>
      </c>
      <c r="AB1113" s="34">
        <f t="shared" si="918"/>
        <v>0</v>
      </c>
      <c r="AC1113" s="34">
        <f t="shared" si="919"/>
        <v>0</v>
      </c>
      <c r="AD1113" s="34">
        <f t="shared" si="920"/>
        <v>0</v>
      </c>
      <c r="AE1113" s="34">
        <f t="shared" si="921"/>
        <v>0</v>
      </c>
      <c r="AF1113" s="34">
        <f t="shared" si="922"/>
        <v>0</v>
      </c>
      <c r="AG1113" s="34">
        <f t="shared" si="923"/>
        <v>0</v>
      </c>
      <c r="AH1113" s="34">
        <f t="shared" si="924"/>
        <v>0</v>
      </c>
      <c r="AI1113" s="27" t="s">
        <v>3647</v>
      </c>
      <c r="AJ1113" s="18">
        <f t="shared" si="925"/>
        <v>0</v>
      </c>
      <c r="AK1113" s="18">
        <f t="shared" si="926"/>
        <v>0</v>
      </c>
      <c r="AL1113" s="18">
        <f t="shared" si="927"/>
        <v>0</v>
      </c>
      <c r="AN1113" s="34">
        <v>21</v>
      </c>
      <c r="AO1113" s="34">
        <f t="shared" si="928"/>
        <v>0</v>
      </c>
      <c r="AP1113" s="34">
        <f t="shared" si="929"/>
        <v>0</v>
      </c>
      <c r="AQ1113" s="28" t="s">
        <v>13</v>
      </c>
      <c r="AV1113" s="34">
        <f t="shared" si="930"/>
        <v>0</v>
      </c>
      <c r="AW1113" s="34">
        <f t="shared" si="931"/>
        <v>0</v>
      </c>
      <c r="AX1113" s="34">
        <f t="shared" si="932"/>
        <v>0</v>
      </c>
      <c r="AY1113" s="35" t="s">
        <v>3681</v>
      </c>
      <c r="AZ1113" s="35" t="s">
        <v>3723</v>
      </c>
      <c r="BA1113" s="27" t="s">
        <v>3731</v>
      </c>
      <c r="BC1113" s="34">
        <f t="shared" si="933"/>
        <v>0</v>
      </c>
      <c r="BD1113" s="34">
        <f t="shared" si="934"/>
        <v>0</v>
      </c>
      <c r="BE1113" s="34">
        <v>0</v>
      </c>
      <c r="BF1113" s="34">
        <f>1112</f>
        <v>1112</v>
      </c>
      <c r="BH1113" s="18">
        <f t="shared" si="935"/>
        <v>0</v>
      </c>
      <c r="BI1113" s="18">
        <f t="shared" si="936"/>
        <v>0</v>
      </c>
      <c r="BJ1113" s="18">
        <f t="shared" si="937"/>
        <v>0</v>
      </c>
    </row>
    <row r="1114" spans="1:62" x14ac:dyDescent="0.2">
      <c r="A1114" s="74" t="s">
        <v>1049</v>
      </c>
      <c r="B1114" s="5" t="s">
        <v>2222</v>
      </c>
      <c r="C1114" s="135" t="s">
        <v>3429</v>
      </c>
      <c r="D1114" s="136"/>
      <c r="E1114" s="136"/>
      <c r="F1114" s="136"/>
      <c r="G1114" s="136"/>
      <c r="H1114" s="5" t="s">
        <v>3612</v>
      </c>
      <c r="I1114" s="18">
        <v>7</v>
      </c>
      <c r="J1114" s="18">
        <v>0</v>
      </c>
      <c r="K1114" s="18">
        <f t="shared" si="916"/>
        <v>0</v>
      </c>
      <c r="L1114" s="28" t="s">
        <v>3635</v>
      </c>
      <c r="Z1114" s="34">
        <f t="shared" si="917"/>
        <v>0</v>
      </c>
      <c r="AB1114" s="34">
        <f t="shared" si="918"/>
        <v>0</v>
      </c>
      <c r="AC1114" s="34">
        <f t="shared" si="919"/>
        <v>0</v>
      </c>
      <c r="AD1114" s="34">
        <f t="shared" si="920"/>
        <v>0</v>
      </c>
      <c r="AE1114" s="34">
        <f t="shared" si="921"/>
        <v>0</v>
      </c>
      <c r="AF1114" s="34">
        <f t="shared" si="922"/>
        <v>0</v>
      </c>
      <c r="AG1114" s="34">
        <f t="shared" si="923"/>
        <v>0</v>
      </c>
      <c r="AH1114" s="34">
        <f t="shared" si="924"/>
        <v>0</v>
      </c>
      <c r="AI1114" s="27" t="s">
        <v>3647</v>
      </c>
      <c r="AJ1114" s="18">
        <f t="shared" si="925"/>
        <v>0</v>
      </c>
      <c r="AK1114" s="18">
        <f t="shared" si="926"/>
        <v>0</v>
      </c>
      <c r="AL1114" s="18">
        <f t="shared" si="927"/>
        <v>0</v>
      </c>
      <c r="AN1114" s="34">
        <v>21</v>
      </c>
      <c r="AO1114" s="34">
        <f t="shared" si="928"/>
        <v>0</v>
      </c>
      <c r="AP1114" s="34">
        <f t="shared" si="929"/>
        <v>0</v>
      </c>
      <c r="AQ1114" s="28" t="s">
        <v>13</v>
      </c>
      <c r="AV1114" s="34">
        <f t="shared" si="930"/>
        <v>0</v>
      </c>
      <c r="AW1114" s="34">
        <f t="shared" si="931"/>
        <v>0</v>
      </c>
      <c r="AX1114" s="34">
        <f t="shared" si="932"/>
        <v>0</v>
      </c>
      <c r="AY1114" s="35" t="s">
        <v>3681</v>
      </c>
      <c r="AZ1114" s="35" t="s">
        <v>3723</v>
      </c>
      <c r="BA1114" s="27" t="s">
        <v>3731</v>
      </c>
      <c r="BC1114" s="34">
        <f t="shared" si="933"/>
        <v>0</v>
      </c>
      <c r="BD1114" s="34">
        <f t="shared" si="934"/>
        <v>0</v>
      </c>
      <c r="BE1114" s="34">
        <v>0</v>
      </c>
      <c r="BF1114" s="34">
        <f>1113</f>
        <v>1113</v>
      </c>
      <c r="BH1114" s="18">
        <f t="shared" si="935"/>
        <v>0</v>
      </c>
      <c r="BI1114" s="18">
        <f t="shared" si="936"/>
        <v>0</v>
      </c>
      <c r="BJ1114" s="18">
        <f t="shared" si="937"/>
        <v>0</v>
      </c>
    </row>
    <row r="1115" spans="1:62" x14ac:dyDescent="0.2">
      <c r="A1115" s="74" t="s">
        <v>1050</v>
      </c>
      <c r="B1115" s="5" t="s">
        <v>2223</v>
      </c>
      <c r="C1115" s="135" t="s">
        <v>3430</v>
      </c>
      <c r="D1115" s="136"/>
      <c r="E1115" s="136"/>
      <c r="F1115" s="136"/>
      <c r="G1115" s="136"/>
      <c r="H1115" s="5" t="s">
        <v>3612</v>
      </c>
      <c r="I1115" s="18">
        <v>1</v>
      </c>
      <c r="J1115" s="18">
        <v>0</v>
      </c>
      <c r="K1115" s="18">
        <f t="shared" si="916"/>
        <v>0</v>
      </c>
      <c r="L1115" s="28" t="s">
        <v>3635</v>
      </c>
      <c r="Z1115" s="34">
        <f t="shared" si="917"/>
        <v>0</v>
      </c>
      <c r="AB1115" s="34">
        <f t="shared" si="918"/>
        <v>0</v>
      </c>
      <c r="AC1115" s="34">
        <f t="shared" si="919"/>
        <v>0</v>
      </c>
      <c r="AD1115" s="34">
        <f t="shared" si="920"/>
        <v>0</v>
      </c>
      <c r="AE1115" s="34">
        <f t="shared" si="921"/>
        <v>0</v>
      </c>
      <c r="AF1115" s="34">
        <f t="shared" si="922"/>
        <v>0</v>
      </c>
      <c r="AG1115" s="34">
        <f t="shared" si="923"/>
        <v>0</v>
      </c>
      <c r="AH1115" s="34">
        <f t="shared" si="924"/>
        <v>0</v>
      </c>
      <c r="AI1115" s="27" t="s">
        <v>3647</v>
      </c>
      <c r="AJ1115" s="18">
        <f t="shared" si="925"/>
        <v>0</v>
      </c>
      <c r="AK1115" s="18">
        <f t="shared" si="926"/>
        <v>0</v>
      </c>
      <c r="AL1115" s="18">
        <f t="shared" si="927"/>
        <v>0</v>
      </c>
      <c r="AN1115" s="34">
        <v>21</v>
      </c>
      <c r="AO1115" s="34">
        <f t="shared" si="928"/>
        <v>0</v>
      </c>
      <c r="AP1115" s="34">
        <f t="shared" si="929"/>
        <v>0</v>
      </c>
      <c r="AQ1115" s="28" t="s">
        <v>13</v>
      </c>
      <c r="AV1115" s="34">
        <f t="shared" si="930"/>
        <v>0</v>
      </c>
      <c r="AW1115" s="34">
        <f t="shared" si="931"/>
        <v>0</v>
      </c>
      <c r="AX1115" s="34">
        <f t="shared" si="932"/>
        <v>0</v>
      </c>
      <c r="AY1115" s="35" t="s">
        <v>3681</v>
      </c>
      <c r="AZ1115" s="35" t="s">
        <v>3723</v>
      </c>
      <c r="BA1115" s="27" t="s">
        <v>3731</v>
      </c>
      <c r="BC1115" s="34">
        <f t="shared" si="933"/>
        <v>0</v>
      </c>
      <c r="BD1115" s="34">
        <f t="shared" si="934"/>
        <v>0</v>
      </c>
      <c r="BE1115" s="34">
        <v>0</v>
      </c>
      <c r="BF1115" s="34">
        <f>1114</f>
        <v>1114</v>
      </c>
      <c r="BH1115" s="18">
        <f t="shared" si="935"/>
        <v>0</v>
      </c>
      <c r="BI1115" s="18">
        <f t="shared" si="936"/>
        <v>0</v>
      </c>
      <c r="BJ1115" s="18">
        <f t="shared" si="937"/>
        <v>0</v>
      </c>
    </row>
    <row r="1116" spans="1:62" x14ac:dyDescent="0.2">
      <c r="A1116" s="74" t="s">
        <v>1051</v>
      </c>
      <c r="B1116" s="5" t="s">
        <v>2224</v>
      </c>
      <c r="C1116" s="135" t="s">
        <v>3431</v>
      </c>
      <c r="D1116" s="136"/>
      <c r="E1116" s="136"/>
      <c r="F1116" s="136"/>
      <c r="G1116" s="136"/>
      <c r="H1116" s="5" t="s">
        <v>3612</v>
      </c>
      <c r="I1116" s="18">
        <v>1</v>
      </c>
      <c r="J1116" s="18">
        <v>0</v>
      </c>
      <c r="K1116" s="18">
        <f t="shared" si="916"/>
        <v>0</v>
      </c>
      <c r="L1116" s="28" t="s">
        <v>3635</v>
      </c>
      <c r="Z1116" s="34">
        <f t="shared" si="917"/>
        <v>0</v>
      </c>
      <c r="AB1116" s="34">
        <f t="shared" si="918"/>
        <v>0</v>
      </c>
      <c r="AC1116" s="34">
        <f t="shared" si="919"/>
        <v>0</v>
      </c>
      <c r="AD1116" s="34">
        <f t="shared" si="920"/>
        <v>0</v>
      </c>
      <c r="AE1116" s="34">
        <f t="shared" si="921"/>
        <v>0</v>
      </c>
      <c r="AF1116" s="34">
        <f t="shared" si="922"/>
        <v>0</v>
      </c>
      <c r="AG1116" s="34">
        <f t="shared" si="923"/>
        <v>0</v>
      </c>
      <c r="AH1116" s="34">
        <f t="shared" si="924"/>
        <v>0</v>
      </c>
      <c r="AI1116" s="27" t="s">
        <v>3647</v>
      </c>
      <c r="AJ1116" s="18">
        <f t="shared" si="925"/>
        <v>0</v>
      </c>
      <c r="AK1116" s="18">
        <f t="shared" si="926"/>
        <v>0</v>
      </c>
      <c r="AL1116" s="18">
        <f t="shared" si="927"/>
        <v>0</v>
      </c>
      <c r="AN1116" s="34">
        <v>21</v>
      </c>
      <c r="AO1116" s="34">
        <f t="shared" si="928"/>
        <v>0</v>
      </c>
      <c r="AP1116" s="34">
        <f t="shared" si="929"/>
        <v>0</v>
      </c>
      <c r="AQ1116" s="28" t="s">
        <v>13</v>
      </c>
      <c r="AV1116" s="34">
        <f t="shared" si="930"/>
        <v>0</v>
      </c>
      <c r="AW1116" s="34">
        <f t="shared" si="931"/>
        <v>0</v>
      </c>
      <c r="AX1116" s="34">
        <f t="shared" si="932"/>
        <v>0</v>
      </c>
      <c r="AY1116" s="35" t="s">
        <v>3681</v>
      </c>
      <c r="AZ1116" s="35" t="s">
        <v>3723</v>
      </c>
      <c r="BA1116" s="27" t="s">
        <v>3731</v>
      </c>
      <c r="BC1116" s="34">
        <f t="shared" si="933"/>
        <v>0</v>
      </c>
      <c r="BD1116" s="34">
        <f t="shared" si="934"/>
        <v>0</v>
      </c>
      <c r="BE1116" s="34">
        <v>0</v>
      </c>
      <c r="BF1116" s="34">
        <f>1115</f>
        <v>1115</v>
      </c>
      <c r="BH1116" s="18">
        <f t="shared" si="935"/>
        <v>0</v>
      </c>
      <c r="BI1116" s="18">
        <f t="shared" si="936"/>
        <v>0</v>
      </c>
      <c r="BJ1116" s="18">
        <f t="shared" si="937"/>
        <v>0</v>
      </c>
    </row>
    <row r="1117" spans="1:62" x14ac:dyDescent="0.2">
      <c r="A1117" s="74" t="s">
        <v>1052</v>
      </c>
      <c r="B1117" s="5" t="s">
        <v>2225</v>
      </c>
      <c r="C1117" s="135" t="s">
        <v>3432</v>
      </c>
      <c r="D1117" s="136"/>
      <c r="E1117" s="136"/>
      <c r="F1117" s="136"/>
      <c r="G1117" s="136"/>
      <c r="H1117" s="5" t="s">
        <v>3612</v>
      </c>
      <c r="I1117" s="18">
        <v>10</v>
      </c>
      <c r="J1117" s="18">
        <v>0</v>
      </c>
      <c r="K1117" s="18">
        <f t="shared" si="916"/>
        <v>0</v>
      </c>
      <c r="L1117" s="28" t="s">
        <v>3635</v>
      </c>
      <c r="Z1117" s="34">
        <f t="shared" si="917"/>
        <v>0</v>
      </c>
      <c r="AB1117" s="34">
        <f t="shared" si="918"/>
        <v>0</v>
      </c>
      <c r="AC1117" s="34">
        <f t="shared" si="919"/>
        <v>0</v>
      </c>
      <c r="AD1117" s="34">
        <f t="shared" si="920"/>
        <v>0</v>
      </c>
      <c r="AE1117" s="34">
        <f t="shared" si="921"/>
        <v>0</v>
      </c>
      <c r="AF1117" s="34">
        <f t="shared" si="922"/>
        <v>0</v>
      </c>
      <c r="AG1117" s="34">
        <f t="shared" si="923"/>
        <v>0</v>
      </c>
      <c r="AH1117" s="34">
        <f t="shared" si="924"/>
        <v>0</v>
      </c>
      <c r="AI1117" s="27" t="s">
        <v>3647</v>
      </c>
      <c r="AJ1117" s="18">
        <f t="shared" si="925"/>
        <v>0</v>
      </c>
      <c r="AK1117" s="18">
        <f t="shared" si="926"/>
        <v>0</v>
      </c>
      <c r="AL1117" s="18">
        <f t="shared" si="927"/>
        <v>0</v>
      </c>
      <c r="AN1117" s="34">
        <v>21</v>
      </c>
      <c r="AO1117" s="34">
        <f t="shared" si="928"/>
        <v>0</v>
      </c>
      <c r="AP1117" s="34">
        <f t="shared" si="929"/>
        <v>0</v>
      </c>
      <c r="AQ1117" s="28" t="s">
        <v>13</v>
      </c>
      <c r="AV1117" s="34">
        <f t="shared" si="930"/>
        <v>0</v>
      </c>
      <c r="AW1117" s="34">
        <f t="shared" si="931"/>
        <v>0</v>
      </c>
      <c r="AX1117" s="34">
        <f t="shared" si="932"/>
        <v>0</v>
      </c>
      <c r="AY1117" s="35" t="s">
        <v>3681</v>
      </c>
      <c r="AZ1117" s="35" t="s">
        <v>3723</v>
      </c>
      <c r="BA1117" s="27" t="s">
        <v>3731</v>
      </c>
      <c r="BC1117" s="34">
        <f t="shared" si="933"/>
        <v>0</v>
      </c>
      <c r="BD1117" s="34">
        <f t="shared" si="934"/>
        <v>0</v>
      </c>
      <c r="BE1117" s="34">
        <v>0</v>
      </c>
      <c r="BF1117" s="34">
        <f>1116</f>
        <v>1116</v>
      </c>
      <c r="BH1117" s="18">
        <f t="shared" si="935"/>
        <v>0</v>
      </c>
      <c r="BI1117" s="18">
        <f t="shared" si="936"/>
        <v>0</v>
      </c>
      <c r="BJ1117" s="18">
        <f t="shared" si="937"/>
        <v>0</v>
      </c>
    </row>
    <row r="1118" spans="1:62" x14ac:dyDescent="0.2">
      <c r="A1118" s="74" t="s">
        <v>1053</v>
      </c>
      <c r="B1118" s="5" t="s">
        <v>2226</v>
      </c>
      <c r="C1118" s="135" t="s">
        <v>3433</v>
      </c>
      <c r="D1118" s="136"/>
      <c r="E1118" s="136"/>
      <c r="F1118" s="136"/>
      <c r="G1118" s="136"/>
      <c r="H1118" s="5" t="s">
        <v>3612</v>
      </c>
      <c r="I1118" s="18">
        <v>1</v>
      </c>
      <c r="J1118" s="18">
        <v>0</v>
      </c>
      <c r="K1118" s="18">
        <f t="shared" si="916"/>
        <v>0</v>
      </c>
      <c r="L1118" s="28" t="s">
        <v>3635</v>
      </c>
      <c r="Z1118" s="34">
        <f t="shared" si="917"/>
        <v>0</v>
      </c>
      <c r="AB1118" s="34">
        <f t="shared" si="918"/>
        <v>0</v>
      </c>
      <c r="AC1118" s="34">
        <f t="shared" si="919"/>
        <v>0</v>
      </c>
      <c r="AD1118" s="34">
        <f t="shared" si="920"/>
        <v>0</v>
      </c>
      <c r="AE1118" s="34">
        <f t="shared" si="921"/>
        <v>0</v>
      </c>
      <c r="AF1118" s="34">
        <f t="shared" si="922"/>
        <v>0</v>
      </c>
      <c r="AG1118" s="34">
        <f t="shared" si="923"/>
        <v>0</v>
      </c>
      <c r="AH1118" s="34">
        <f t="shared" si="924"/>
        <v>0</v>
      </c>
      <c r="AI1118" s="27" t="s">
        <v>3647</v>
      </c>
      <c r="AJ1118" s="18">
        <f t="shared" si="925"/>
        <v>0</v>
      </c>
      <c r="AK1118" s="18">
        <f t="shared" si="926"/>
        <v>0</v>
      </c>
      <c r="AL1118" s="18">
        <f t="shared" si="927"/>
        <v>0</v>
      </c>
      <c r="AN1118" s="34">
        <v>21</v>
      </c>
      <c r="AO1118" s="34">
        <f t="shared" si="928"/>
        <v>0</v>
      </c>
      <c r="AP1118" s="34">
        <f t="shared" si="929"/>
        <v>0</v>
      </c>
      <c r="AQ1118" s="28" t="s">
        <v>13</v>
      </c>
      <c r="AV1118" s="34">
        <f t="shared" si="930"/>
        <v>0</v>
      </c>
      <c r="AW1118" s="34">
        <f t="shared" si="931"/>
        <v>0</v>
      </c>
      <c r="AX1118" s="34">
        <f t="shared" si="932"/>
        <v>0</v>
      </c>
      <c r="AY1118" s="35" t="s">
        <v>3681</v>
      </c>
      <c r="AZ1118" s="35" t="s">
        <v>3723</v>
      </c>
      <c r="BA1118" s="27" t="s">
        <v>3731</v>
      </c>
      <c r="BC1118" s="34">
        <f t="shared" si="933"/>
        <v>0</v>
      </c>
      <c r="BD1118" s="34">
        <f t="shared" si="934"/>
        <v>0</v>
      </c>
      <c r="BE1118" s="34">
        <v>0</v>
      </c>
      <c r="BF1118" s="34">
        <f>1117</f>
        <v>1117</v>
      </c>
      <c r="BH1118" s="18">
        <f t="shared" si="935"/>
        <v>0</v>
      </c>
      <c r="BI1118" s="18">
        <f t="shared" si="936"/>
        <v>0</v>
      </c>
      <c r="BJ1118" s="18">
        <f t="shared" si="937"/>
        <v>0</v>
      </c>
    </row>
    <row r="1119" spans="1:62" x14ac:dyDescent="0.2">
      <c r="A1119" s="74" t="s">
        <v>1054</v>
      </c>
      <c r="B1119" s="5" t="s">
        <v>2227</v>
      </c>
      <c r="C1119" s="135" t="s">
        <v>3434</v>
      </c>
      <c r="D1119" s="136"/>
      <c r="E1119" s="136"/>
      <c r="F1119" s="136"/>
      <c r="G1119" s="136"/>
      <c r="H1119" s="5" t="s">
        <v>3612</v>
      </c>
      <c r="I1119" s="18">
        <v>1</v>
      </c>
      <c r="J1119" s="18">
        <v>0</v>
      </c>
      <c r="K1119" s="18">
        <f t="shared" si="916"/>
        <v>0</v>
      </c>
      <c r="L1119" s="28" t="s">
        <v>3635</v>
      </c>
      <c r="Z1119" s="34">
        <f t="shared" si="917"/>
        <v>0</v>
      </c>
      <c r="AB1119" s="34">
        <f t="shared" si="918"/>
        <v>0</v>
      </c>
      <c r="AC1119" s="34">
        <f t="shared" si="919"/>
        <v>0</v>
      </c>
      <c r="AD1119" s="34">
        <f t="shared" si="920"/>
        <v>0</v>
      </c>
      <c r="AE1119" s="34">
        <f t="shared" si="921"/>
        <v>0</v>
      </c>
      <c r="AF1119" s="34">
        <f t="shared" si="922"/>
        <v>0</v>
      </c>
      <c r="AG1119" s="34">
        <f t="shared" si="923"/>
        <v>0</v>
      </c>
      <c r="AH1119" s="34">
        <f t="shared" si="924"/>
        <v>0</v>
      </c>
      <c r="AI1119" s="27" t="s">
        <v>3647</v>
      </c>
      <c r="AJ1119" s="18">
        <f t="shared" si="925"/>
        <v>0</v>
      </c>
      <c r="AK1119" s="18">
        <f t="shared" si="926"/>
        <v>0</v>
      </c>
      <c r="AL1119" s="18">
        <f t="shared" si="927"/>
        <v>0</v>
      </c>
      <c r="AN1119" s="34">
        <v>21</v>
      </c>
      <c r="AO1119" s="34">
        <f t="shared" si="928"/>
        <v>0</v>
      </c>
      <c r="AP1119" s="34">
        <f t="shared" si="929"/>
        <v>0</v>
      </c>
      <c r="AQ1119" s="28" t="s">
        <v>13</v>
      </c>
      <c r="AV1119" s="34">
        <f t="shared" si="930"/>
        <v>0</v>
      </c>
      <c r="AW1119" s="34">
        <f t="shared" si="931"/>
        <v>0</v>
      </c>
      <c r="AX1119" s="34">
        <f t="shared" si="932"/>
        <v>0</v>
      </c>
      <c r="AY1119" s="35" t="s">
        <v>3681</v>
      </c>
      <c r="AZ1119" s="35" t="s">
        <v>3723</v>
      </c>
      <c r="BA1119" s="27" t="s">
        <v>3731</v>
      </c>
      <c r="BC1119" s="34">
        <f t="shared" si="933"/>
        <v>0</v>
      </c>
      <c r="BD1119" s="34">
        <f t="shared" si="934"/>
        <v>0</v>
      </c>
      <c r="BE1119" s="34">
        <v>0</v>
      </c>
      <c r="BF1119" s="34">
        <f>1118</f>
        <v>1118</v>
      </c>
      <c r="BH1119" s="18">
        <f t="shared" si="935"/>
        <v>0</v>
      </c>
      <c r="BI1119" s="18">
        <f t="shared" si="936"/>
        <v>0</v>
      </c>
      <c r="BJ1119" s="18">
        <f t="shared" si="937"/>
        <v>0</v>
      </c>
    </row>
    <row r="1120" spans="1:62" x14ac:dyDescent="0.2">
      <c r="A1120" s="74" t="s">
        <v>1055</v>
      </c>
      <c r="B1120" s="5" t="s">
        <v>2228</v>
      </c>
      <c r="C1120" s="135" t="s">
        <v>3435</v>
      </c>
      <c r="D1120" s="136"/>
      <c r="E1120" s="136"/>
      <c r="F1120" s="136"/>
      <c r="G1120" s="136"/>
      <c r="H1120" s="5" t="s">
        <v>3612</v>
      </c>
      <c r="I1120" s="18">
        <v>3</v>
      </c>
      <c r="J1120" s="18">
        <v>0</v>
      </c>
      <c r="K1120" s="18">
        <f t="shared" si="916"/>
        <v>0</v>
      </c>
      <c r="L1120" s="28" t="s">
        <v>3635</v>
      </c>
      <c r="Z1120" s="34">
        <f t="shared" si="917"/>
        <v>0</v>
      </c>
      <c r="AB1120" s="34">
        <f t="shared" si="918"/>
        <v>0</v>
      </c>
      <c r="AC1120" s="34">
        <f t="shared" si="919"/>
        <v>0</v>
      </c>
      <c r="AD1120" s="34">
        <f t="shared" si="920"/>
        <v>0</v>
      </c>
      <c r="AE1120" s="34">
        <f t="shared" si="921"/>
        <v>0</v>
      </c>
      <c r="AF1120" s="34">
        <f t="shared" si="922"/>
        <v>0</v>
      </c>
      <c r="AG1120" s="34">
        <f t="shared" si="923"/>
        <v>0</v>
      </c>
      <c r="AH1120" s="34">
        <f t="shared" si="924"/>
        <v>0</v>
      </c>
      <c r="AI1120" s="27" t="s">
        <v>3647</v>
      </c>
      <c r="AJ1120" s="18">
        <f t="shared" si="925"/>
        <v>0</v>
      </c>
      <c r="AK1120" s="18">
        <f t="shared" si="926"/>
        <v>0</v>
      </c>
      <c r="AL1120" s="18">
        <f t="shared" si="927"/>
        <v>0</v>
      </c>
      <c r="AN1120" s="34">
        <v>21</v>
      </c>
      <c r="AO1120" s="34">
        <f t="shared" si="928"/>
        <v>0</v>
      </c>
      <c r="AP1120" s="34">
        <f t="shared" si="929"/>
        <v>0</v>
      </c>
      <c r="AQ1120" s="28" t="s">
        <v>13</v>
      </c>
      <c r="AV1120" s="34">
        <f t="shared" si="930"/>
        <v>0</v>
      </c>
      <c r="AW1120" s="34">
        <f t="shared" si="931"/>
        <v>0</v>
      </c>
      <c r="AX1120" s="34">
        <f t="shared" si="932"/>
        <v>0</v>
      </c>
      <c r="AY1120" s="35" t="s">
        <v>3681</v>
      </c>
      <c r="AZ1120" s="35" t="s">
        <v>3723</v>
      </c>
      <c r="BA1120" s="27" t="s">
        <v>3731</v>
      </c>
      <c r="BC1120" s="34">
        <f t="shared" si="933"/>
        <v>0</v>
      </c>
      <c r="BD1120" s="34">
        <f t="shared" si="934"/>
        <v>0</v>
      </c>
      <c r="BE1120" s="34">
        <v>0</v>
      </c>
      <c r="BF1120" s="34">
        <f>1119</f>
        <v>1119</v>
      </c>
      <c r="BH1120" s="18">
        <f t="shared" si="935"/>
        <v>0</v>
      </c>
      <c r="BI1120" s="18">
        <f t="shared" si="936"/>
        <v>0</v>
      </c>
      <c r="BJ1120" s="18">
        <f t="shared" si="937"/>
        <v>0</v>
      </c>
    </row>
    <row r="1121" spans="1:62" x14ac:dyDescent="0.2">
      <c r="A1121" s="74" t="s">
        <v>1056</v>
      </c>
      <c r="B1121" s="5" t="s">
        <v>2229</v>
      </c>
      <c r="C1121" s="135" t="s">
        <v>3436</v>
      </c>
      <c r="D1121" s="136"/>
      <c r="E1121" s="136"/>
      <c r="F1121" s="136"/>
      <c r="G1121" s="136"/>
      <c r="H1121" s="5" t="s">
        <v>3612</v>
      </c>
      <c r="I1121" s="18">
        <v>3</v>
      </c>
      <c r="J1121" s="18">
        <v>0</v>
      </c>
      <c r="K1121" s="18">
        <f t="shared" si="916"/>
        <v>0</v>
      </c>
      <c r="L1121" s="28" t="s">
        <v>3635</v>
      </c>
      <c r="Z1121" s="34">
        <f t="shared" si="917"/>
        <v>0</v>
      </c>
      <c r="AB1121" s="34">
        <f t="shared" si="918"/>
        <v>0</v>
      </c>
      <c r="AC1121" s="34">
        <f t="shared" si="919"/>
        <v>0</v>
      </c>
      <c r="AD1121" s="34">
        <f t="shared" si="920"/>
        <v>0</v>
      </c>
      <c r="AE1121" s="34">
        <f t="shared" si="921"/>
        <v>0</v>
      </c>
      <c r="AF1121" s="34">
        <f t="shared" si="922"/>
        <v>0</v>
      </c>
      <c r="AG1121" s="34">
        <f t="shared" si="923"/>
        <v>0</v>
      </c>
      <c r="AH1121" s="34">
        <f t="shared" si="924"/>
        <v>0</v>
      </c>
      <c r="AI1121" s="27" t="s">
        <v>3647</v>
      </c>
      <c r="AJ1121" s="18">
        <f t="shared" si="925"/>
        <v>0</v>
      </c>
      <c r="AK1121" s="18">
        <f t="shared" si="926"/>
        <v>0</v>
      </c>
      <c r="AL1121" s="18">
        <f t="shared" si="927"/>
        <v>0</v>
      </c>
      <c r="AN1121" s="34">
        <v>21</v>
      </c>
      <c r="AO1121" s="34">
        <f t="shared" si="928"/>
        <v>0</v>
      </c>
      <c r="AP1121" s="34">
        <f t="shared" si="929"/>
        <v>0</v>
      </c>
      <c r="AQ1121" s="28" t="s">
        <v>13</v>
      </c>
      <c r="AV1121" s="34">
        <f t="shared" si="930"/>
        <v>0</v>
      </c>
      <c r="AW1121" s="34">
        <f t="shared" si="931"/>
        <v>0</v>
      </c>
      <c r="AX1121" s="34">
        <f t="shared" si="932"/>
        <v>0</v>
      </c>
      <c r="AY1121" s="35" t="s">
        <v>3681</v>
      </c>
      <c r="AZ1121" s="35" t="s">
        <v>3723</v>
      </c>
      <c r="BA1121" s="27" t="s">
        <v>3731</v>
      </c>
      <c r="BC1121" s="34">
        <f t="shared" si="933"/>
        <v>0</v>
      </c>
      <c r="BD1121" s="34">
        <f t="shared" si="934"/>
        <v>0</v>
      </c>
      <c r="BE1121" s="34">
        <v>0</v>
      </c>
      <c r="BF1121" s="34">
        <f>1120</f>
        <v>1120</v>
      </c>
      <c r="BH1121" s="18">
        <f t="shared" si="935"/>
        <v>0</v>
      </c>
      <c r="BI1121" s="18">
        <f t="shared" si="936"/>
        <v>0</v>
      </c>
      <c r="BJ1121" s="18">
        <f t="shared" si="937"/>
        <v>0</v>
      </c>
    </row>
    <row r="1122" spans="1:62" x14ac:dyDescent="0.2">
      <c r="A1122" s="74" t="s">
        <v>1057</v>
      </c>
      <c r="B1122" s="5" t="s">
        <v>2230</v>
      </c>
      <c r="C1122" s="135" t="s">
        <v>3437</v>
      </c>
      <c r="D1122" s="136"/>
      <c r="E1122" s="136"/>
      <c r="F1122" s="136"/>
      <c r="G1122" s="136"/>
      <c r="H1122" s="5" t="s">
        <v>3612</v>
      </c>
      <c r="I1122" s="18">
        <v>5</v>
      </c>
      <c r="J1122" s="18">
        <v>0</v>
      </c>
      <c r="K1122" s="18">
        <f t="shared" si="916"/>
        <v>0</v>
      </c>
      <c r="L1122" s="28" t="s">
        <v>3635</v>
      </c>
      <c r="Z1122" s="34">
        <f t="shared" si="917"/>
        <v>0</v>
      </c>
      <c r="AB1122" s="34">
        <f t="shared" si="918"/>
        <v>0</v>
      </c>
      <c r="AC1122" s="34">
        <f t="shared" si="919"/>
        <v>0</v>
      </c>
      <c r="AD1122" s="34">
        <f t="shared" si="920"/>
        <v>0</v>
      </c>
      <c r="AE1122" s="34">
        <f t="shared" si="921"/>
        <v>0</v>
      </c>
      <c r="AF1122" s="34">
        <f t="shared" si="922"/>
        <v>0</v>
      </c>
      <c r="AG1122" s="34">
        <f t="shared" si="923"/>
        <v>0</v>
      </c>
      <c r="AH1122" s="34">
        <f t="shared" si="924"/>
        <v>0</v>
      </c>
      <c r="AI1122" s="27" t="s">
        <v>3647</v>
      </c>
      <c r="AJ1122" s="18">
        <f t="shared" si="925"/>
        <v>0</v>
      </c>
      <c r="AK1122" s="18">
        <f t="shared" si="926"/>
        <v>0</v>
      </c>
      <c r="AL1122" s="18">
        <f t="shared" si="927"/>
        <v>0</v>
      </c>
      <c r="AN1122" s="34">
        <v>21</v>
      </c>
      <c r="AO1122" s="34">
        <f t="shared" si="928"/>
        <v>0</v>
      </c>
      <c r="AP1122" s="34">
        <f t="shared" si="929"/>
        <v>0</v>
      </c>
      <c r="AQ1122" s="28" t="s">
        <v>13</v>
      </c>
      <c r="AV1122" s="34">
        <f t="shared" si="930"/>
        <v>0</v>
      </c>
      <c r="AW1122" s="34">
        <f t="shared" si="931"/>
        <v>0</v>
      </c>
      <c r="AX1122" s="34">
        <f t="shared" si="932"/>
        <v>0</v>
      </c>
      <c r="AY1122" s="35" t="s">
        <v>3681</v>
      </c>
      <c r="AZ1122" s="35" t="s">
        <v>3723</v>
      </c>
      <c r="BA1122" s="27" t="s">
        <v>3731</v>
      </c>
      <c r="BC1122" s="34">
        <f t="shared" si="933"/>
        <v>0</v>
      </c>
      <c r="BD1122" s="34">
        <f t="shared" si="934"/>
        <v>0</v>
      </c>
      <c r="BE1122" s="34">
        <v>0</v>
      </c>
      <c r="BF1122" s="34">
        <f>1121</f>
        <v>1121</v>
      </c>
      <c r="BH1122" s="18">
        <f t="shared" si="935"/>
        <v>0</v>
      </c>
      <c r="BI1122" s="18">
        <f t="shared" si="936"/>
        <v>0</v>
      </c>
      <c r="BJ1122" s="18">
        <f t="shared" si="937"/>
        <v>0</v>
      </c>
    </row>
    <row r="1123" spans="1:62" x14ac:dyDescent="0.2">
      <c r="A1123" s="74" t="s">
        <v>1058</v>
      </c>
      <c r="B1123" s="5" t="s">
        <v>2231</v>
      </c>
      <c r="C1123" s="135" t="s">
        <v>3438</v>
      </c>
      <c r="D1123" s="136"/>
      <c r="E1123" s="136"/>
      <c r="F1123" s="136"/>
      <c r="G1123" s="136"/>
      <c r="H1123" s="5" t="s">
        <v>3612</v>
      </c>
      <c r="I1123" s="18">
        <v>11</v>
      </c>
      <c r="J1123" s="18">
        <v>0</v>
      </c>
      <c r="K1123" s="18">
        <f t="shared" si="916"/>
        <v>0</v>
      </c>
      <c r="L1123" s="28" t="s">
        <v>3635</v>
      </c>
      <c r="Z1123" s="34">
        <f t="shared" si="917"/>
        <v>0</v>
      </c>
      <c r="AB1123" s="34">
        <f t="shared" si="918"/>
        <v>0</v>
      </c>
      <c r="AC1123" s="34">
        <f t="shared" si="919"/>
        <v>0</v>
      </c>
      <c r="AD1123" s="34">
        <f t="shared" si="920"/>
        <v>0</v>
      </c>
      <c r="AE1123" s="34">
        <f t="shared" si="921"/>
        <v>0</v>
      </c>
      <c r="AF1123" s="34">
        <f t="shared" si="922"/>
        <v>0</v>
      </c>
      <c r="AG1123" s="34">
        <f t="shared" si="923"/>
        <v>0</v>
      </c>
      <c r="AH1123" s="34">
        <f t="shared" si="924"/>
        <v>0</v>
      </c>
      <c r="AI1123" s="27" t="s">
        <v>3647</v>
      </c>
      <c r="AJ1123" s="18">
        <f t="shared" si="925"/>
        <v>0</v>
      </c>
      <c r="AK1123" s="18">
        <f t="shared" si="926"/>
        <v>0</v>
      </c>
      <c r="AL1123" s="18">
        <f t="shared" si="927"/>
        <v>0</v>
      </c>
      <c r="AN1123" s="34">
        <v>21</v>
      </c>
      <c r="AO1123" s="34">
        <f t="shared" si="928"/>
        <v>0</v>
      </c>
      <c r="AP1123" s="34">
        <f t="shared" si="929"/>
        <v>0</v>
      </c>
      <c r="AQ1123" s="28" t="s">
        <v>13</v>
      </c>
      <c r="AV1123" s="34">
        <f t="shared" si="930"/>
        <v>0</v>
      </c>
      <c r="AW1123" s="34">
        <f t="shared" si="931"/>
        <v>0</v>
      </c>
      <c r="AX1123" s="34">
        <f t="shared" si="932"/>
        <v>0</v>
      </c>
      <c r="AY1123" s="35" t="s">
        <v>3681</v>
      </c>
      <c r="AZ1123" s="35" t="s">
        <v>3723</v>
      </c>
      <c r="BA1123" s="27" t="s">
        <v>3731</v>
      </c>
      <c r="BC1123" s="34">
        <f t="shared" si="933"/>
        <v>0</v>
      </c>
      <c r="BD1123" s="34">
        <f t="shared" si="934"/>
        <v>0</v>
      </c>
      <c r="BE1123" s="34">
        <v>0</v>
      </c>
      <c r="BF1123" s="34">
        <f>1122</f>
        <v>1122</v>
      </c>
      <c r="BH1123" s="18">
        <f t="shared" si="935"/>
        <v>0</v>
      </c>
      <c r="BI1123" s="18">
        <f t="shared" si="936"/>
        <v>0</v>
      </c>
      <c r="BJ1123" s="18">
        <f t="shared" si="937"/>
        <v>0</v>
      </c>
    </row>
    <row r="1124" spans="1:62" x14ac:dyDescent="0.2">
      <c r="A1124" s="74" t="s">
        <v>1059</v>
      </c>
      <c r="B1124" s="5" t="s">
        <v>2232</v>
      </c>
      <c r="C1124" s="135" t="s">
        <v>3438</v>
      </c>
      <c r="D1124" s="136"/>
      <c r="E1124" s="136"/>
      <c r="F1124" s="136"/>
      <c r="G1124" s="136"/>
      <c r="H1124" s="5" t="s">
        <v>3612</v>
      </c>
      <c r="I1124" s="18">
        <v>4</v>
      </c>
      <c r="J1124" s="18">
        <v>0</v>
      </c>
      <c r="K1124" s="18">
        <f t="shared" si="916"/>
        <v>0</v>
      </c>
      <c r="L1124" s="28" t="s">
        <v>3635</v>
      </c>
      <c r="Z1124" s="34">
        <f t="shared" si="917"/>
        <v>0</v>
      </c>
      <c r="AB1124" s="34">
        <f t="shared" si="918"/>
        <v>0</v>
      </c>
      <c r="AC1124" s="34">
        <f t="shared" si="919"/>
        <v>0</v>
      </c>
      <c r="AD1124" s="34">
        <f t="shared" si="920"/>
        <v>0</v>
      </c>
      <c r="AE1124" s="34">
        <f t="shared" si="921"/>
        <v>0</v>
      </c>
      <c r="AF1124" s="34">
        <f t="shared" si="922"/>
        <v>0</v>
      </c>
      <c r="AG1124" s="34">
        <f t="shared" si="923"/>
        <v>0</v>
      </c>
      <c r="AH1124" s="34">
        <f t="shared" si="924"/>
        <v>0</v>
      </c>
      <c r="AI1124" s="27" t="s">
        <v>3647</v>
      </c>
      <c r="AJ1124" s="18">
        <f t="shared" si="925"/>
        <v>0</v>
      </c>
      <c r="AK1124" s="18">
        <f t="shared" si="926"/>
        <v>0</v>
      </c>
      <c r="AL1124" s="18">
        <f t="shared" si="927"/>
        <v>0</v>
      </c>
      <c r="AN1124" s="34">
        <v>21</v>
      </c>
      <c r="AO1124" s="34">
        <f t="shared" si="928"/>
        <v>0</v>
      </c>
      <c r="AP1124" s="34">
        <f t="shared" si="929"/>
        <v>0</v>
      </c>
      <c r="AQ1124" s="28" t="s">
        <v>13</v>
      </c>
      <c r="AV1124" s="34">
        <f t="shared" si="930"/>
        <v>0</v>
      </c>
      <c r="AW1124" s="34">
        <f t="shared" si="931"/>
        <v>0</v>
      </c>
      <c r="AX1124" s="34">
        <f t="shared" si="932"/>
        <v>0</v>
      </c>
      <c r="AY1124" s="35" t="s">
        <v>3681</v>
      </c>
      <c r="AZ1124" s="35" t="s">
        <v>3723</v>
      </c>
      <c r="BA1124" s="27" t="s">
        <v>3731</v>
      </c>
      <c r="BC1124" s="34">
        <f t="shared" si="933"/>
        <v>0</v>
      </c>
      <c r="BD1124" s="34">
        <f t="shared" si="934"/>
        <v>0</v>
      </c>
      <c r="BE1124" s="34">
        <v>0</v>
      </c>
      <c r="BF1124" s="34">
        <f>1123</f>
        <v>1123</v>
      </c>
      <c r="BH1124" s="18">
        <f t="shared" si="935"/>
        <v>0</v>
      </c>
      <c r="BI1124" s="18">
        <f t="shared" si="936"/>
        <v>0</v>
      </c>
      <c r="BJ1124" s="18">
        <f t="shared" si="937"/>
        <v>0</v>
      </c>
    </row>
    <row r="1125" spans="1:62" x14ac:dyDescent="0.2">
      <c r="A1125" s="74" t="s">
        <v>1060</v>
      </c>
      <c r="B1125" s="5" t="s">
        <v>2233</v>
      </c>
      <c r="C1125" s="135" t="s">
        <v>3439</v>
      </c>
      <c r="D1125" s="136"/>
      <c r="E1125" s="136"/>
      <c r="F1125" s="136"/>
      <c r="G1125" s="136"/>
      <c r="H1125" s="5" t="s">
        <v>3612</v>
      </c>
      <c r="I1125" s="18">
        <v>1</v>
      </c>
      <c r="J1125" s="18">
        <v>0</v>
      </c>
      <c r="K1125" s="18">
        <f t="shared" si="916"/>
        <v>0</v>
      </c>
      <c r="L1125" s="28" t="s">
        <v>3635</v>
      </c>
      <c r="Z1125" s="34">
        <f t="shared" si="917"/>
        <v>0</v>
      </c>
      <c r="AB1125" s="34">
        <f t="shared" si="918"/>
        <v>0</v>
      </c>
      <c r="AC1125" s="34">
        <f t="shared" si="919"/>
        <v>0</v>
      </c>
      <c r="AD1125" s="34">
        <f t="shared" si="920"/>
        <v>0</v>
      </c>
      <c r="AE1125" s="34">
        <f t="shared" si="921"/>
        <v>0</v>
      </c>
      <c r="AF1125" s="34">
        <f t="shared" si="922"/>
        <v>0</v>
      </c>
      <c r="AG1125" s="34">
        <f t="shared" si="923"/>
        <v>0</v>
      </c>
      <c r="AH1125" s="34">
        <f t="shared" si="924"/>
        <v>0</v>
      </c>
      <c r="AI1125" s="27" t="s">
        <v>3647</v>
      </c>
      <c r="AJ1125" s="18">
        <f t="shared" si="925"/>
        <v>0</v>
      </c>
      <c r="AK1125" s="18">
        <f t="shared" si="926"/>
        <v>0</v>
      </c>
      <c r="AL1125" s="18">
        <f t="shared" si="927"/>
        <v>0</v>
      </c>
      <c r="AN1125" s="34">
        <v>21</v>
      </c>
      <c r="AO1125" s="34">
        <f t="shared" si="928"/>
        <v>0</v>
      </c>
      <c r="AP1125" s="34">
        <f t="shared" si="929"/>
        <v>0</v>
      </c>
      <c r="AQ1125" s="28" t="s">
        <v>13</v>
      </c>
      <c r="AV1125" s="34">
        <f t="shared" si="930"/>
        <v>0</v>
      </c>
      <c r="AW1125" s="34">
        <f t="shared" si="931"/>
        <v>0</v>
      </c>
      <c r="AX1125" s="34">
        <f t="shared" si="932"/>
        <v>0</v>
      </c>
      <c r="AY1125" s="35" t="s">
        <v>3681</v>
      </c>
      <c r="AZ1125" s="35" t="s">
        <v>3723</v>
      </c>
      <c r="BA1125" s="27" t="s">
        <v>3731</v>
      </c>
      <c r="BC1125" s="34">
        <f t="shared" si="933"/>
        <v>0</v>
      </c>
      <c r="BD1125" s="34">
        <f t="shared" si="934"/>
        <v>0</v>
      </c>
      <c r="BE1125" s="34">
        <v>0</v>
      </c>
      <c r="BF1125" s="34">
        <f>1124</f>
        <v>1124</v>
      </c>
      <c r="BH1125" s="18">
        <f t="shared" si="935"/>
        <v>0</v>
      </c>
      <c r="BI1125" s="18">
        <f t="shared" si="936"/>
        <v>0</v>
      </c>
      <c r="BJ1125" s="18">
        <f t="shared" si="937"/>
        <v>0</v>
      </c>
    </row>
    <row r="1126" spans="1:62" x14ac:dyDescent="0.2">
      <c r="A1126" s="74" t="s">
        <v>1061</v>
      </c>
      <c r="B1126" s="5" t="s">
        <v>2234</v>
      </c>
      <c r="C1126" s="135" t="s">
        <v>3440</v>
      </c>
      <c r="D1126" s="136"/>
      <c r="E1126" s="136"/>
      <c r="F1126" s="136"/>
      <c r="G1126" s="136"/>
      <c r="H1126" s="5" t="s">
        <v>3612</v>
      </c>
      <c r="I1126" s="18">
        <v>3</v>
      </c>
      <c r="J1126" s="18">
        <v>0</v>
      </c>
      <c r="K1126" s="18">
        <f t="shared" si="916"/>
        <v>0</v>
      </c>
      <c r="L1126" s="28" t="s">
        <v>3635</v>
      </c>
      <c r="Z1126" s="34">
        <f t="shared" si="917"/>
        <v>0</v>
      </c>
      <c r="AB1126" s="34">
        <f t="shared" si="918"/>
        <v>0</v>
      </c>
      <c r="AC1126" s="34">
        <f t="shared" si="919"/>
        <v>0</v>
      </c>
      <c r="AD1126" s="34">
        <f t="shared" si="920"/>
        <v>0</v>
      </c>
      <c r="AE1126" s="34">
        <f t="shared" si="921"/>
        <v>0</v>
      </c>
      <c r="AF1126" s="34">
        <f t="shared" si="922"/>
        <v>0</v>
      </c>
      <c r="AG1126" s="34">
        <f t="shared" si="923"/>
        <v>0</v>
      </c>
      <c r="AH1126" s="34">
        <f t="shared" si="924"/>
        <v>0</v>
      </c>
      <c r="AI1126" s="27" t="s">
        <v>3647</v>
      </c>
      <c r="AJ1126" s="18">
        <f t="shared" si="925"/>
        <v>0</v>
      </c>
      <c r="AK1126" s="18">
        <f t="shared" si="926"/>
        <v>0</v>
      </c>
      <c r="AL1126" s="18">
        <f t="shared" si="927"/>
        <v>0</v>
      </c>
      <c r="AN1126" s="34">
        <v>21</v>
      </c>
      <c r="AO1126" s="34">
        <f t="shared" si="928"/>
        <v>0</v>
      </c>
      <c r="AP1126" s="34">
        <f t="shared" si="929"/>
        <v>0</v>
      </c>
      <c r="AQ1126" s="28" t="s">
        <v>13</v>
      </c>
      <c r="AV1126" s="34">
        <f t="shared" si="930"/>
        <v>0</v>
      </c>
      <c r="AW1126" s="34">
        <f t="shared" si="931"/>
        <v>0</v>
      </c>
      <c r="AX1126" s="34">
        <f t="shared" si="932"/>
        <v>0</v>
      </c>
      <c r="AY1126" s="35" t="s">
        <v>3681</v>
      </c>
      <c r="AZ1126" s="35" t="s">
        <v>3723</v>
      </c>
      <c r="BA1126" s="27" t="s">
        <v>3731</v>
      </c>
      <c r="BC1126" s="34">
        <f t="shared" si="933"/>
        <v>0</v>
      </c>
      <c r="BD1126" s="34">
        <f t="shared" si="934"/>
        <v>0</v>
      </c>
      <c r="BE1126" s="34">
        <v>0</v>
      </c>
      <c r="BF1126" s="34">
        <f>1125</f>
        <v>1125</v>
      </c>
      <c r="BH1126" s="18">
        <f t="shared" si="935"/>
        <v>0</v>
      </c>
      <c r="BI1126" s="18">
        <f t="shared" si="936"/>
        <v>0</v>
      </c>
      <c r="BJ1126" s="18">
        <f t="shared" si="937"/>
        <v>0</v>
      </c>
    </row>
    <row r="1127" spans="1:62" x14ac:dyDescent="0.2">
      <c r="A1127" s="74" t="s">
        <v>1062</v>
      </c>
      <c r="B1127" s="5" t="s">
        <v>2235</v>
      </c>
      <c r="C1127" s="135" t="s">
        <v>3441</v>
      </c>
      <c r="D1127" s="136"/>
      <c r="E1127" s="136"/>
      <c r="F1127" s="136"/>
      <c r="G1127" s="136"/>
      <c r="H1127" s="5" t="s">
        <v>3612</v>
      </c>
      <c r="I1127" s="18">
        <v>1</v>
      </c>
      <c r="J1127" s="18">
        <v>0</v>
      </c>
      <c r="K1127" s="18">
        <f t="shared" si="916"/>
        <v>0</v>
      </c>
      <c r="L1127" s="28" t="s">
        <v>3635</v>
      </c>
      <c r="Z1127" s="34">
        <f t="shared" si="917"/>
        <v>0</v>
      </c>
      <c r="AB1127" s="34">
        <f t="shared" si="918"/>
        <v>0</v>
      </c>
      <c r="AC1127" s="34">
        <f t="shared" si="919"/>
        <v>0</v>
      </c>
      <c r="AD1127" s="34">
        <f t="shared" si="920"/>
        <v>0</v>
      </c>
      <c r="AE1127" s="34">
        <f t="shared" si="921"/>
        <v>0</v>
      </c>
      <c r="AF1127" s="34">
        <f t="shared" si="922"/>
        <v>0</v>
      </c>
      <c r="AG1127" s="34">
        <f t="shared" si="923"/>
        <v>0</v>
      </c>
      <c r="AH1127" s="34">
        <f t="shared" si="924"/>
        <v>0</v>
      </c>
      <c r="AI1127" s="27" t="s">
        <v>3647</v>
      </c>
      <c r="AJ1127" s="18">
        <f t="shared" si="925"/>
        <v>0</v>
      </c>
      <c r="AK1127" s="18">
        <f t="shared" si="926"/>
        <v>0</v>
      </c>
      <c r="AL1127" s="18">
        <f t="shared" si="927"/>
        <v>0</v>
      </c>
      <c r="AN1127" s="34">
        <v>21</v>
      </c>
      <c r="AO1127" s="34">
        <f t="shared" si="928"/>
        <v>0</v>
      </c>
      <c r="AP1127" s="34">
        <f t="shared" si="929"/>
        <v>0</v>
      </c>
      <c r="AQ1127" s="28" t="s">
        <v>13</v>
      </c>
      <c r="AV1127" s="34">
        <f t="shared" si="930"/>
        <v>0</v>
      </c>
      <c r="AW1127" s="34">
        <f t="shared" si="931"/>
        <v>0</v>
      </c>
      <c r="AX1127" s="34">
        <f t="shared" si="932"/>
        <v>0</v>
      </c>
      <c r="AY1127" s="35" t="s">
        <v>3681</v>
      </c>
      <c r="AZ1127" s="35" t="s">
        <v>3723</v>
      </c>
      <c r="BA1127" s="27" t="s">
        <v>3731</v>
      </c>
      <c r="BC1127" s="34">
        <f t="shared" si="933"/>
        <v>0</v>
      </c>
      <c r="BD1127" s="34">
        <f t="shared" si="934"/>
        <v>0</v>
      </c>
      <c r="BE1127" s="34">
        <v>0</v>
      </c>
      <c r="BF1127" s="34">
        <f>1126</f>
        <v>1126</v>
      </c>
      <c r="BH1127" s="18">
        <f t="shared" si="935"/>
        <v>0</v>
      </c>
      <c r="BI1127" s="18">
        <f t="shared" si="936"/>
        <v>0</v>
      </c>
      <c r="BJ1127" s="18">
        <f t="shared" si="937"/>
        <v>0</v>
      </c>
    </row>
    <row r="1128" spans="1:62" x14ac:dyDescent="0.2">
      <c r="A1128" s="74" t="s">
        <v>1063</v>
      </c>
      <c r="B1128" s="5" t="s">
        <v>2236</v>
      </c>
      <c r="C1128" s="135" t="s">
        <v>3442</v>
      </c>
      <c r="D1128" s="136"/>
      <c r="E1128" s="136"/>
      <c r="F1128" s="136"/>
      <c r="G1128" s="136"/>
      <c r="H1128" s="5" t="s">
        <v>3612</v>
      </c>
      <c r="I1128" s="18">
        <v>3</v>
      </c>
      <c r="J1128" s="18">
        <v>0</v>
      </c>
      <c r="K1128" s="18">
        <f t="shared" si="916"/>
        <v>0</v>
      </c>
      <c r="L1128" s="28" t="s">
        <v>3635</v>
      </c>
      <c r="Z1128" s="34">
        <f t="shared" si="917"/>
        <v>0</v>
      </c>
      <c r="AB1128" s="34">
        <f t="shared" si="918"/>
        <v>0</v>
      </c>
      <c r="AC1128" s="34">
        <f t="shared" si="919"/>
        <v>0</v>
      </c>
      <c r="AD1128" s="34">
        <f t="shared" si="920"/>
        <v>0</v>
      </c>
      <c r="AE1128" s="34">
        <f t="shared" si="921"/>
        <v>0</v>
      </c>
      <c r="AF1128" s="34">
        <f t="shared" si="922"/>
        <v>0</v>
      </c>
      <c r="AG1128" s="34">
        <f t="shared" si="923"/>
        <v>0</v>
      </c>
      <c r="AH1128" s="34">
        <f t="shared" si="924"/>
        <v>0</v>
      </c>
      <c r="AI1128" s="27" t="s">
        <v>3647</v>
      </c>
      <c r="AJ1128" s="18">
        <f t="shared" si="925"/>
        <v>0</v>
      </c>
      <c r="AK1128" s="18">
        <f t="shared" si="926"/>
        <v>0</v>
      </c>
      <c r="AL1128" s="18">
        <f t="shared" si="927"/>
        <v>0</v>
      </c>
      <c r="AN1128" s="34">
        <v>21</v>
      </c>
      <c r="AO1128" s="34">
        <f t="shared" si="928"/>
        <v>0</v>
      </c>
      <c r="AP1128" s="34">
        <f t="shared" si="929"/>
        <v>0</v>
      </c>
      <c r="AQ1128" s="28" t="s">
        <v>13</v>
      </c>
      <c r="AV1128" s="34">
        <f t="shared" si="930"/>
        <v>0</v>
      </c>
      <c r="AW1128" s="34">
        <f t="shared" si="931"/>
        <v>0</v>
      </c>
      <c r="AX1128" s="34">
        <f t="shared" si="932"/>
        <v>0</v>
      </c>
      <c r="AY1128" s="35" t="s">
        <v>3681</v>
      </c>
      <c r="AZ1128" s="35" t="s">
        <v>3723</v>
      </c>
      <c r="BA1128" s="27" t="s">
        <v>3731</v>
      </c>
      <c r="BC1128" s="34">
        <f t="shared" si="933"/>
        <v>0</v>
      </c>
      <c r="BD1128" s="34">
        <f t="shared" si="934"/>
        <v>0</v>
      </c>
      <c r="BE1128" s="34">
        <v>0</v>
      </c>
      <c r="BF1128" s="34">
        <f>1127</f>
        <v>1127</v>
      </c>
      <c r="BH1128" s="18">
        <f t="shared" si="935"/>
        <v>0</v>
      </c>
      <c r="BI1128" s="18">
        <f t="shared" si="936"/>
        <v>0</v>
      </c>
      <c r="BJ1128" s="18">
        <f t="shared" si="937"/>
        <v>0</v>
      </c>
    </row>
    <row r="1129" spans="1:62" x14ac:dyDescent="0.2">
      <c r="A1129" s="74" t="s">
        <v>1064</v>
      </c>
      <c r="B1129" s="5" t="s">
        <v>2237</v>
      </c>
      <c r="C1129" s="135" t="s">
        <v>3443</v>
      </c>
      <c r="D1129" s="136"/>
      <c r="E1129" s="136"/>
      <c r="F1129" s="136"/>
      <c r="G1129" s="136"/>
      <c r="H1129" s="5" t="s">
        <v>3612</v>
      </c>
      <c r="I1129" s="18">
        <v>14</v>
      </c>
      <c r="J1129" s="18">
        <v>0</v>
      </c>
      <c r="K1129" s="18">
        <f t="shared" si="916"/>
        <v>0</v>
      </c>
      <c r="L1129" s="28" t="s">
        <v>3635</v>
      </c>
      <c r="Z1129" s="34">
        <f t="shared" si="917"/>
        <v>0</v>
      </c>
      <c r="AB1129" s="34">
        <f t="shared" si="918"/>
        <v>0</v>
      </c>
      <c r="AC1129" s="34">
        <f t="shared" si="919"/>
        <v>0</v>
      </c>
      <c r="AD1129" s="34">
        <f t="shared" si="920"/>
        <v>0</v>
      </c>
      <c r="AE1129" s="34">
        <f t="shared" si="921"/>
        <v>0</v>
      </c>
      <c r="AF1129" s="34">
        <f t="shared" si="922"/>
        <v>0</v>
      </c>
      <c r="AG1129" s="34">
        <f t="shared" si="923"/>
        <v>0</v>
      </c>
      <c r="AH1129" s="34">
        <f t="shared" si="924"/>
        <v>0</v>
      </c>
      <c r="AI1129" s="27" t="s">
        <v>3647</v>
      </c>
      <c r="AJ1129" s="18">
        <f t="shared" si="925"/>
        <v>0</v>
      </c>
      <c r="AK1129" s="18">
        <f t="shared" si="926"/>
        <v>0</v>
      </c>
      <c r="AL1129" s="18">
        <f t="shared" si="927"/>
        <v>0</v>
      </c>
      <c r="AN1129" s="34">
        <v>21</v>
      </c>
      <c r="AO1129" s="34">
        <f t="shared" si="928"/>
        <v>0</v>
      </c>
      <c r="AP1129" s="34">
        <f t="shared" si="929"/>
        <v>0</v>
      </c>
      <c r="AQ1129" s="28" t="s">
        <v>13</v>
      </c>
      <c r="AV1129" s="34">
        <f t="shared" si="930"/>
        <v>0</v>
      </c>
      <c r="AW1129" s="34">
        <f t="shared" si="931"/>
        <v>0</v>
      </c>
      <c r="AX1129" s="34">
        <f t="shared" si="932"/>
        <v>0</v>
      </c>
      <c r="AY1129" s="35" t="s">
        <v>3681</v>
      </c>
      <c r="AZ1129" s="35" t="s">
        <v>3723</v>
      </c>
      <c r="BA1129" s="27" t="s">
        <v>3731</v>
      </c>
      <c r="BC1129" s="34">
        <f t="shared" si="933"/>
        <v>0</v>
      </c>
      <c r="BD1129" s="34">
        <f t="shared" si="934"/>
        <v>0</v>
      </c>
      <c r="BE1129" s="34">
        <v>0</v>
      </c>
      <c r="BF1129" s="34">
        <f>1128</f>
        <v>1128</v>
      </c>
      <c r="BH1129" s="18">
        <f t="shared" si="935"/>
        <v>0</v>
      </c>
      <c r="BI1129" s="18">
        <f t="shared" si="936"/>
        <v>0</v>
      </c>
      <c r="BJ1129" s="18">
        <f t="shared" si="937"/>
        <v>0</v>
      </c>
    </row>
    <row r="1130" spans="1:62" x14ac:dyDescent="0.2">
      <c r="A1130" s="74" t="s">
        <v>1065</v>
      </c>
      <c r="B1130" s="5" t="s">
        <v>2238</v>
      </c>
      <c r="C1130" s="135" t="s">
        <v>3444</v>
      </c>
      <c r="D1130" s="136"/>
      <c r="E1130" s="136"/>
      <c r="F1130" s="136"/>
      <c r="G1130" s="136"/>
      <c r="H1130" s="5" t="s">
        <v>3612</v>
      </c>
      <c r="I1130" s="18">
        <v>6</v>
      </c>
      <c r="J1130" s="18">
        <v>0</v>
      </c>
      <c r="K1130" s="18">
        <f t="shared" si="916"/>
        <v>0</v>
      </c>
      <c r="L1130" s="28" t="s">
        <v>3635</v>
      </c>
      <c r="Z1130" s="34">
        <f t="shared" si="917"/>
        <v>0</v>
      </c>
      <c r="AB1130" s="34">
        <f t="shared" si="918"/>
        <v>0</v>
      </c>
      <c r="AC1130" s="34">
        <f t="shared" si="919"/>
        <v>0</v>
      </c>
      <c r="AD1130" s="34">
        <f t="shared" si="920"/>
        <v>0</v>
      </c>
      <c r="AE1130" s="34">
        <f t="shared" si="921"/>
        <v>0</v>
      </c>
      <c r="AF1130" s="34">
        <f t="shared" si="922"/>
        <v>0</v>
      </c>
      <c r="AG1130" s="34">
        <f t="shared" si="923"/>
        <v>0</v>
      </c>
      <c r="AH1130" s="34">
        <f t="shared" si="924"/>
        <v>0</v>
      </c>
      <c r="AI1130" s="27" t="s">
        <v>3647</v>
      </c>
      <c r="AJ1130" s="18">
        <f t="shared" si="925"/>
        <v>0</v>
      </c>
      <c r="AK1130" s="18">
        <f t="shared" si="926"/>
        <v>0</v>
      </c>
      <c r="AL1130" s="18">
        <f t="shared" si="927"/>
        <v>0</v>
      </c>
      <c r="AN1130" s="34">
        <v>21</v>
      </c>
      <c r="AO1130" s="34">
        <f t="shared" si="928"/>
        <v>0</v>
      </c>
      <c r="AP1130" s="34">
        <f t="shared" si="929"/>
        <v>0</v>
      </c>
      <c r="AQ1130" s="28" t="s">
        <v>13</v>
      </c>
      <c r="AV1130" s="34">
        <f t="shared" si="930"/>
        <v>0</v>
      </c>
      <c r="AW1130" s="34">
        <f t="shared" si="931"/>
        <v>0</v>
      </c>
      <c r="AX1130" s="34">
        <f t="shared" si="932"/>
        <v>0</v>
      </c>
      <c r="AY1130" s="35" t="s">
        <v>3681</v>
      </c>
      <c r="AZ1130" s="35" t="s">
        <v>3723</v>
      </c>
      <c r="BA1130" s="27" t="s">
        <v>3731</v>
      </c>
      <c r="BC1130" s="34">
        <f t="shared" si="933"/>
        <v>0</v>
      </c>
      <c r="BD1130" s="34">
        <f t="shared" si="934"/>
        <v>0</v>
      </c>
      <c r="BE1130" s="34">
        <v>0</v>
      </c>
      <c r="BF1130" s="34">
        <f>1129</f>
        <v>1129</v>
      </c>
      <c r="BH1130" s="18">
        <f t="shared" si="935"/>
        <v>0</v>
      </c>
      <c r="BI1130" s="18">
        <f t="shared" si="936"/>
        <v>0</v>
      </c>
      <c r="BJ1130" s="18">
        <f t="shared" si="937"/>
        <v>0</v>
      </c>
    </row>
    <row r="1131" spans="1:62" x14ac:dyDescent="0.2">
      <c r="A1131" s="74" t="s">
        <v>1066</v>
      </c>
      <c r="B1131" s="5" t="s">
        <v>2239</v>
      </c>
      <c r="C1131" s="135" t="s">
        <v>3445</v>
      </c>
      <c r="D1131" s="136"/>
      <c r="E1131" s="136"/>
      <c r="F1131" s="136"/>
      <c r="G1131" s="136"/>
      <c r="H1131" s="5" t="s">
        <v>3612</v>
      </c>
      <c r="I1131" s="18">
        <v>10</v>
      </c>
      <c r="J1131" s="18">
        <v>0</v>
      </c>
      <c r="K1131" s="18">
        <f t="shared" si="916"/>
        <v>0</v>
      </c>
      <c r="L1131" s="28" t="s">
        <v>3635</v>
      </c>
      <c r="Z1131" s="34">
        <f t="shared" si="917"/>
        <v>0</v>
      </c>
      <c r="AB1131" s="34">
        <f t="shared" si="918"/>
        <v>0</v>
      </c>
      <c r="AC1131" s="34">
        <f t="shared" si="919"/>
        <v>0</v>
      </c>
      <c r="AD1131" s="34">
        <f t="shared" si="920"/>
        <v>0</v>
      </c>
      <c r="AE1131" s="34">
        <f t="shared" si="921"/>
        <v>0</v>
      </c>
      <c r="AF1131" s="34">
        <f t="shared" si="922"/>
        <v>0</v>
      </c>
      <c r="AG1131" s="34">
        <f t="shared" si="923"/>
        <v>0</v>
      </c>
      <c r="AH1131" s="34">
        <f t="shared" si="924"/>
        <v>0</v>
      </c>
      <c r="AI1131" s="27" t="s">
        <v>3647</v>
      </c>
      <c r="AJ1131" s="18">
        <f t="shared" si="925"/>
        <v>0</v>
      </c>
      <c r="AK1131" s="18">
        <f t="shared" si="926"/>
        <v>0</v>
      </c>
      <c r="AL1131" s="18">
        <f t="shared" si="927"/>
        <v>0</v>
      </c>
      <c r="AN1131" s="34">
        <v>21</v>
      </c>
      <c r="AO1131" s="34">
        <f t="shared" si="928"/>
        <v>0</v>
      </c>
      <c r="AP1131" s="34">
        <f t="shared" si="929"/>
        <v>0</v>
      </c>
      <c r="AQ1131" s="28" t="s">
        <v>13</v>
      </c>
      <c r="AV1131" s="34">
        <f t="shared" si="930"/>
        <v>0</v>
      </c>
      <c r="AW1131" s="34">
        <f t="shared" si="931"/>
        <v>0</v>
      </c>
      <c r="AX1131" s="34">
        <f t="shared" si="932"/>
        <v>0</v>
      </c>
      <c r="AY1131" s="35" t="s">
        <v>3681</v>
      </c>
      <c r="AZ1131" s="35" t="s">
        <v>3723</v>
      </c>
      <c r="BA1131" s="27" t="s">
        <v>3731</v>
      </c>
      <c r="BC1131" s="34">
        <f t="shared" si="933"/>
        <v>0</v>
      </c>
      <c r="BD1131" s="34">
        <f t="shared" si="934"/>
        <v>0</v>
      </c>
      <c r="BE1131" s="34">
        <v>0</v>
      </c>
      <c r="BF1131" s="34">
        <f>1130</f>
        <v>1130</v>
      </c>
      <c r="BH1131" s="18">
        <f t="shared" si="935"/>
        <v>0</v>
      </c>
      <c r="BI1131" s="18">
        <f t="shared" si="936"/>
        <v>0</v>
      </c>
      <c r="BJ1131" s="18">
        <f t="shared" si="937"/>
        <v>0</v>
      </c>
    </row>
    <row r="1132" spans="1:62" x14ac:dyDescent="0.2">
      <c r="A1132" s="74" t="s">
        <v>1067</v>
      </c>
      <c r="B1132" s="5" t="s">
        <v>2240</v>
      </c>
      <c r="C1132" s="135" t="s">
        <v>3446</v>
      </c>
      <c r="D1132" s="136"/>
      <c r="E1132" s="136"/>
      <c r="F1132" s="136"/>
      <c r="G1132" s="136"/>
      <c r="H1132" s="5" t="s">
        <v>3612</v>
      </c>
      <c r="I1132" s="18">
        <v>1</v>
      </c>
      <c r="J1132" s="18">
        <v>0</v>
      </c>
      <c r="K1132" s="18">
        <f t="shared" si="916"/>
        <v>0</v>
      </c>
      <c r="L1132" s="28" t="s">
        <v>3635</v>
      </c>
      <c r="Z1132" s="34">
        <f t="shared" si="917"/>
        <v>0</v>
      </c>
      <c r="AB1132" s="34">
        <f t="shared" si="918"/>
        <v>0</v>
      </c>
      <c r="AC1132" s="34">
        <f t="shared" si="919"/>
        <v>0</v>
      </c>
      <c r="AD1132" s="34">
        <f t="shared" si="920"/>
        <v>0</v>
      </c>
      <c r="AE1132" s="34">
        <f t="shared" si="921"/>
        <v>0</v>
      </c>
      <c r="AF1132" s="34">
        <f t="shared" si="922"/>
        <v>0</v>
      </c>
      <c r="AG1132" s="34">
        <f t="shared" si="923"/>
        <v>0</v>
      </c>
      <c r="AH1132" s="34">
        <f t="shared" si="924"/>
        <v>0</v>
      </c>
      <c r="AI1132" s="27" t="s">
        <v>3647</v>
      </c>
      <c r="AJ1132" s="18">
        <f t="shared" si="925"/>
        <v>0</v>
      </c>
      <c r="AK1132" s="18">
        <f t="shared" si="926"/>
        <v>0</v>
      </c>
      <c r="AL1132" s="18">
        <f t="shared" si="927"/>
        <v>0</v>
      </c>
      <c r="AN1132" s="34">
        <v>21</v>
      </c>
      <c r="AO1132" s="34">
        <f t="shared" si="928"/>
        <v>0</v>
      </c>
      <c r="AP1132" s="34">
        <f t="shared" si="929"/>
        <v>0</v>
      </c>
      <c r="AQ1132" s="28" t="s">
        <v>13</v>
      </c>
      <c r="AV1132" s="34">
        <f t="shared" si="930"/>
        <v>0</v>
      </c>
      <c r="AW1132" s="34">
        <f t="shared" si="931"/>
        <v>0</v>
      </c>
      <c r="AX1132" s="34">
        <f t="shared" si="932"/>
        <v>0</v>
      </c>
      <c r="AY1132" s="35" t="s">
        <v>3681</v>
      </c>
      <c r="AZ1132" s="35" t="s">
        <v>3723</v>
      </c>
      <c r="BA1132" s="27" t="s">
        <v>3731</v>
      </c>
      <c r="BC1132" s="34">
        <f t="shared" si="933"/>
        <v>0</v>
      </c>
      <c r="BD1132" s="34">
        <f t="shared" si="934"/>
        <v>0</v>
      </c>
      <c r="BE1132" s="34">
        <v>0</v>
      </c>
      <c r="BF1132" s="34">
        <f>1131</f>
        <v>1131</v>
      </c>
      <c r="BH1132" s="18">
        <f t="shared" si="935"/>
        <v>0</v>
      </c>
      <c r="BI1132" s="18">
        <f t="shared" si="936"/>
        <v>0</v>
      </c>
      <c r="BJ1132" s="18">
        <f t="shared" si="937"/>
        <v>0</v>
      </c>
    </row>
    <row r="1133" spans="1:62" x14ac:dyDescent="0.2">
      <c r="A1133" s="74" t="s">
        <v>1068</v>
      </c>
      <c r="B1133" s="5" t="s">
        <v>2241</v>
      </c>
      <c r="C1133" s="135" t="s">
        <v>3447</v>
      </c>
      <c r="D1133" s="136"/>
      <c r="E1133" s="136"/>
      <c r="F1133" s="136"/>
      <c r="G1133" s="136"/>
      <c r="H1133" s="5" t="s">
        <v>3612</v>
      </c>
      <c r="I1133" s="18">
        <v>2</v>
      </c>
      <c r="J1133" s="18">
        <v>0</v>
      </c>
      <c r="K1133" s="18">
        <f t="shared" si="916"/>
        <v>0</v>
      </c>
      <c r="L1133" s="28" t="s">
        <v>3635</v>
      </c>
      <c r="Z1133" s="34">
        <f t="shared" si="917"/>
        <v>0</v>
      </c>
      <c r="AB1133" s="34">
        <f t="shared" si="918"/>
        <v>0</v>
      </c>
      <c r="AC1133" s="34">
        <f t="shared" si="919"/>
        <v>0</v>
      </c>
      <c r="AD1133" s="34">
        <f t="shared" si="920"/>
        <v>0</v>
      </c>
      <c r="AE1133" s="34">
        <f t="shared" si="921"/>
        <v>0</v>
      </c>
      <c r="AF1133" s="34">
        <f t="shared" si="922"/>
        <v>0</v>
      </c>
      <c r="AG1133" s="34">
        <f t="shared" si="923"/>
        <v>0</v>
      </c>
      <c r="AH1133" s="34">
        <f t="shared" si="924"/>
        <v>0</v>
      </c>
      <c r="AI1133" s="27" t="s">
        <v>3647</v>
      </c>
      <c r="AJ1133" s="18">
        <f t="shared" si="925"/>
        <v>0</v>
      </c>
      <c r="AK1133" s="18">
        <f t="shared" si="926"/>
        <v>0</v>
      </c>
      <c r="AL1133" s="18">
        <f t="shared" si="927"/>
        <v>0</v>
      </c>
      <c r="AN1133" s="34">
        <v>21</v>
      </c>
      <c r="AO1133" s="34">
        <f t="shared" si="928"/>
        <v>0</v>
      </c>
      <c r="AP1133" s="34">
        <f t="shared" si="929"/>
        <v>0</v>
      </c>
      <c r="AQ1133" s="28" t="s">
        <v>13</v>
      </c>
      <c r="AV1133" s="34">
        <f t="shared" si="930"/>
        <v>0</v>
      </c>
      <c r="AW1133" s="34">
        <f t="shared" si="931"/>
        <v>0</v>
      </c>
      <c r="AX1133" s="34">
        <f t="shared" si="932"/>
        <v>0</v>
      </c>
      <c r="AY1133" s="35" t="s">
        <v>3681</v>
      </c>
      <c r="AZ1133" s="35" t="s">
        <v>3723</v>
      </c>
      <c r="BA1133" s="27" t="s">
        <v>3731</v>
      </c>
      <c r="BC1133" s="34">
        <f t="shared" si="933"/>
        <v>0</v>
      </c>
      <c r="BD1133" s="34">
        <f t="shared" si="934"/>
        <v>0</v>
      </c>
      <c r="BE1133" s="34">
        <v>0</v>
      </c>
      <c r="BF1133" s="34">
        <f>1132</f>
        <v>1132</v>
      </c>
      <c r="BH1133" s="18">
        <f t="shared" si="935"/>
        <v>0</v>
      </c>
      <c r="BI1133" s="18">
        <f t="shared" si="936"/>
        <v>0</v>
      </c>
      <c r="BJ1133" s="18">
        <f t="shared" si="937"/>
        <v>0</v>
      </c>
    </row>
    <row r="1134" spans="1:62" x14ac:dyDescent="0.2">
      <c r="A1134" s="74" t="s">
        <v>1069</v>
      </c>
      <c r="B1134" s="5" t="s">
        <v>2242</v>
      </c>
      <c r="C1134" s="135" t="s">
        <v>3448</v>
      </c>
      <c r="D1134" s="136"/>
      <c r="E1134" s="136"/>
      <c r="F1134" s="136"/>
      <c r="G1134" s="136"/>
      <c r="H1134" s="5" t="s">
        <v>3612</v>
      </c>
      <c r="I1134" s="18">
        <v>3</v>
      </c>
      <c r="J1134" s="18">
        <v>0</v>
      </c>
      <c r="K1134" s="18">
        <f t="shared" si="916"/>
        <v>0</v>
      </c>
      <c r="L1134" s="28" t="s">
        <v>3635</v>
      </c>
      <c r="Z1134" s="34">
        <f t="shared" si="917"/>
        <v>0</v>
      </c>
      <c r="AB1134" s="34">
        <f t="shared" si="918"/>
        <v>0</v>
      </c>
      <c r="AC1134" s="34">
        <f t="shared" si="919"/>
        <v>0</v>
      </c>
      <c r="AD1134" s="34">
        <f t="shared" si="920"/>
        <v>0</v>
      </c>
      <c r="AE1134" s="34">
        <f t="shared" si="921"/>
        <v>0</v>
      </c>
      <c r="AF1134" s="34">
        <f t="shared" si="922"/>
        <v>0</v>
      </c>
      <c r="AG1134" s="34">
        <f t="shared" si="923"/>
        <v>0</v>
      </c>
      <c r="AH1134" s="34">
        <f t="shared" si="924"/>
        <v>0</v>
      </c>
      <c r="AI1134" s="27" t="s">
        <v>3647</v>
      </c>
      <c r="AJ1134" s="18">
        <f t="shared" si="925"/>
        <v>0</v>
      </c>
      <c r="AK1134" s="18">
        <f t="shared" si="926"/>
        <v>0</v>
      </c>
      <c r="AL1134" s="18">
        <f t="shared" si="927"/>
        <v>0</v>
      </c>
      <c r="AN1134" s="34">
        <v>21</v>
      </c>
      <c r="AO1134" s="34">
        <f t="shared" si="928"/>
        <v>0</v>
      </c>
      <c r="AP1134" s="34">
        <f t="shared" si="929"/>
        <v>0</v>
      </c>
      <c r="AQ1134" s="28" t="s">
        <v>13</v>
      </c>
      <c r="AV1134" s="34">
        <f t="shared" si="930"/>
        <v>0</v>
      </c>
      <c r="AW1134" s="34">
        <f t="shared" si="931"/>
        <v>0</v>
      </c>
      <c r="AX1134" s="34">
        <f t="shared" si="932"/>
        <v>0</v>
      </c>
      <c r="AY1134" s="35" t="s">
        <v>3681</v>
      </c>
      <c r="AZ1134" s="35" t="s">
        <v>3723</v>
      </c>
      <c r="BA1134" s="27" t="s">
        <v>3731</v>
      </c>
      <c r="BC1134" s="34">
        <f t="shared" si="933"/>
        <v>0</v>
      </c>
      <c r="BD1134" s="34">
        <f t="shared" si="934"/>
        <v>0</v>
      </c>
      <c r="BE1134" s="34">
        <v>0</v>
      </c>
      <c r="BF1134" s="34">
        <f>1133</f>
        <v>1133</v>
      </c>
      <c r="BH1134" s="18">
        <f t="shared" si="935"/>
        <v>0</v>
      </c>
      <c r="BI1134" s="18">
        <f t="shared" si="936"/>
        <v>0</v>
      </c>
      <c r="BJ1134" s="18">
        <f t="shared" si="937"/>
        <v>0</v>
      </c>
    </row>
    <row r="1135" spans="1:62" x14ac:dyDescent="0.2">
      <c r="A1135" s="74" t="s">
        <v>1070</v>
      </c>
      <c r="B1135" s="5" t="s">
        <v>2243</v>
      </c>
      <c r="C1135" s="135" t="s">
        <v>3449</v>
      </c>
      <c r="D1135" s="136"/>
      <c r="E1135" s="136"/>
      <c r="F1135" s="136"/>
      <c r="G1135" s="136"/>
      <c r="H1135" s="5" t="s">
        <v>3612</v>
      </c>
      <c r="I1135" s="18">
        <v>3</v>
      </c>
      <c r="J1135" s="18">
        <v>0</v>
      </c>
      <c r="K1135" s="18">
        <f t="shared" si="916"/>
        <v>0</v>
      </c>
      <c r="L1135" s="28" t="s">
        <v>3635</v>
      </c>
      <c r="Z1135" s="34">
        <f t="shared" si="917"/>
        <v>0</v>
      </c>
      <c r="AB1135" s="34">
        <f t="shared" si="918"/>
        <v>0</v>
      </c>
      <c r="AC1135" s="34">
        <f t="shared" si="919"/>
        <v>0</v>
      </c>
      <c r="AD1135" s="34">
        <f t="shared" si="920"/>
        <v>0</v>
      </c>
      <c r="AE1135" s="34">
        <f t="shared" si="921"/>
        <v>0</v>
      </c>
      <c r="AF1135" s="34">
        <f t="shared" si="922"/>
        <v>0</v>
      </c>
      <c r="AG1135" s="34">
        <f t="shared" si="923"/>
        <v>0</v>
      </c>
      <c r="AH1135" s="34">
        <f t="shared" si="924"/>
        <v>0</v>
      </c>
      <c r="AI1135" s="27" t="s">
        <v>3647</v>
      </c>
      <c r="AJ1135" s="18">
        <f t="shared" si="925"/>
        <v>0</v>
      </c>
      <c r="AK1135" s="18">
        <f t="shared" si="926"/>
        <v>0</v>
      </c>
      <c r="AL1135" s="18">
        <f t="shared" si="927"/>
        <v>0</v>
      </c>
      <c r="AN1135" s="34">
        <v>21</v>
      </c>
      <c r="AO1135" s="34">
        <f t="shared" si="928"/>
        <v>0</v>
      </c>
      <c r="AP1135" s="34">
        <f t="shared" si="929"/>
        <v>0</v>
      </c>
      <c r="AQ1135" s="28" t="s">
        <v>13</v>
      </c>
      <c r="AV1135" s="34">
        <f t="shared" si="930"/>
        <v>0</v>
      </c>
      <c r="AW1135" s="34">
        <f t="shared" si="931"/>
        <v>0</v>
      </c>
      <c r="AX1135" s="34">
        <f t="shared" si="932"/>
        <v>0</v>
      </c>
      <c r="AY1135" s="35" t="s">
        <v>3681</v>
      </c>
      <c r="AZ1135" s="35" t="s">
        <v>3723</v>
      </c>
      <c r="BA1135" s="27" t="s">
        <v>3731</v>
      </c>
      <c r="BC1135" s="34">
        <f t="shared" si="933"/>
        <v>0</v>
      </c>
      <c r="BD1135" s="34">
        <f t="shared" si="934"/>
        <v>0</v>
      </c>
      <c r="BE1135" s="34">
        <v>0</v>
      </c>
      <c r="BF1135" s="34">
        <f>1134</f>
        <v>1134</v>
      </c>
      <c r="BH1135" s="18">
        <f t="shared" si="935"/>
        <v>0</v>
      </c>
      <c r="BI1135" s="18">
        <f t="shared" si="936"/>
        <v>0</v>
      </c>
      <c r="BJ1135" s="18">
        <f t="shared" si="937"/>
        <v>0</v>
      </c>
    </row>
    <row r="1136" spans="1:62" x14ac:dyDescent="0.2">
      <c r="A1136" s="74" t="s">
        <v>1071</v>
      </c>
      <c r="B1136" s="5" t="s">
        <v>2244</v>
      </c>
      <c r="C1136" s="135" t="s">
        <v>3450</v>
      </c>
      <c r="D1136" s="136"/>
      <c r="E1136" s="136"/>
      <c r="F1136" s="136"/>
      <c r="G1136" s="136"/>
      <c r="H1136" s="5" t="s">
        <v>3612</v>
      </c>
      <c r="I1136" s="18">
        <v>2</v>
      </c>
      <c r="J1136" s="18">
        <v>0</v>
      </c>
      <c r="K1136" s="18">
        <f t="shared" si="916"/>
        <v>0</v>
      </c>
      <c r="L1136" s="28" t="s">
        <v>3635</v>
      </c>
      <c r="Z1136" s="34">
        <f t="shared" si="917"/>
        <v>0</v>
      </c>
      <c r="AB1136" s="34">
        <f t="shared" si="918"/>
        <v>0</v>
      </c>
      <c r="AC1136" s="34">
        <f t="shared" si="919"/>
        <v>0</v>
      </c>
      <c r="AD1136" s="34">
        <f t="shared" si="920"/>
        <v>0</v>
      </c>
      <c r="AE1136" s="34">
        <f t="shared" si="921"/>
        <v>0</v>
      </c>
      <c r="AF1136" s="34">
        <f t="shared" si="922"/>
        <v>0</v>
      </c>
      <c r="AG1136" s="34">
        <f t="shared" si="923"/>
        <v>0</v>
      </c>
      <c r="AH1136" s="34">
        <f t="shared" si="924"/>
        <v>0</v>
      </c>
      <c r="AI1136" s="27" t="s">
        <v>3647</v>
      </c>
      <c r="AJ1136" s="18">
        <f t="shared" si="925"/>
        <v>0</v>
      </c>
      <c r="AK1136" s="18">
        <f t="shared" si="926"/>
        <v>0</v>
      </c>
      <c r="AL1136" s="18">
        <f t="shared" si="927"/>
        <v>0</v>
      </c>
      <c r="AN1136" s="34">
        <v>21</v>
      </c>
      <c r="AO1136" s="34">
        <f t="shared" si="928"/>
        <v>0</v>
      </c>
      <c r="AP1136" s="34">
        <f t="shared" si="929"/>
        <v>0</v>
      </c>
      <c r="AQ1136" s="28" t="s">
        <v>13</v>
      </c>
      <c r="AV1136" s="34">
        <f t="shared" si="930"/>
        <v>0</v>
      </c>
      <c r="AW1136" s="34">
        <f t="shared" si="931"/>
        <v>0</v>
      </c>
      <c r="AX1136" s="34">
        <f t="shared" si="932"/>
        <v>0</v>
      </c>
      <c r="AY1136" s="35" t="s">
        <v>3681</v>
      </c>
      <c r="AZ1136" s="35" t="s">
        <v>3723</v>
      </c>
      <c r="BA1136" s="27" t="s">
        <v>3731</v>
      </c>
      <c r="BC1136" s="34">
        <f t="shared" si="933"/>
        <v>0</v>
      </c>
      <c r="BD1136" s="34">
        <f t="shared" si="934"/>
        <v>0</v>
      </c>
      <c r="BE1136" s="34">
        <v>0</v>
      </c>
      <c r="BF1136" s="34">
        <f>1135</f>
        <v>1135</v>
      </c>
      <c r="BH1136" s="18">
        <f t="shared" si="935"/>
        <v>0</v>
      </c>
      <c r="BI1136" s="18">
        <f t="shared" si="936"/>
        <v>0</v>
      </c>
      <c r="BJ1136" s="18">
        <f t="shared" si="937"/>
        <v>0</v>
      </c>
    </row>
    <row r="1137" spans="1:62" x14ac:dyDescent="0.2">
      <c r="A1137" s="74" t="s">
        <v>1072</v>
      </c>
      <c r="B1137" s="5" t="s">
        <v>2245</v>
      </c>
      <c r="C1137" s="135" t="s">
        <v>3451</v>
      </c>
      <c r="D1137" s="136"/>
      <c r="E1137" s="136"/>
      <c r="F1137" s="136"/>
      <c r="G1137" s="136"/>
      <c r="H1137" s="5" t="s">
        <v>3612</v>
      </c>
      <c r="I1137" s="18">
        <v>16</v>
      </c>
      <c r="J1137" s="18">
        <v>0</v>
      </c>
      <c r="K1137" s="18">
        <f t="shared" si="916"/>
        <v>0</v>
      </c>
      <c r="L1137" s="28" t="s">
        <v>3635</v>
      </c>
      <c r="Z1137" s="34">
        <f t="shared" si="917"/>
        <v>0</v>
      </c>
      <c r="AB1137" s="34">
        <f t="shared" si="918"/>
        <v>0</v>
      </c>
      <c r="AC1137" s="34">
        <f t="shared" si="919"/>
        <v>0</v>
      </c>
      <c r="AD1137" s="34">
        <f t="shared" si="920"/>
        <v>0</v>
      </c>
      <c r="AE1137" s="34">
        <f t="shared" si="921"/>
        <v>0</v>
      </c>
      <c r="AF1137" s="34">
        <f t="shared" si="922"/>
        <v>0</v>
      </c>
      <c r="AG1137" s="34">
        <f t="shared" si="923"/>
        <v>0</v>
      </c>
      <c r="AH1137" s="34">
        <f t="shared" si="924"/>
        <v>0</v>
      </c>
      <c r="AI1137" s="27" t="s">
        <v>3647</v>
      </c>
      <c r="AJ1137" s="18">
        <f t="shared" si="925"/>
        <v>0</v>
      </c>
      <c r="AK1137" s="18">
        <f t="shared" si="926"/>
        <v>0</v>
      </c>
      <c r="AL1137" s="18">
        <f t="shared" si="927"/>
        <v>0</v>
      </c>
      <c r="AN1137" s="34">
        <v>21</v>
      </c>
      <c r="AO1137" s="34">
        <f t="shared" si="928"/>
        <v>0</v>
      </c>
      <c r="AP1137" s="34">
        <f t="shared" si="929"/>
        <v>0</v>
      </c>
      <c r="AQ1137" s="28" t="s">
        <v>13</v>
      </c>
      <c r="AV1137" s="34">
        <f t="shared" si="930"/>
        <v>0</v>
      </c>
      <c r="AW1137" s="34">
        <f t="shared" si="931"/>
        <v>0</v>
      </c>
      <c r="AX1137" s="34">
        <f t="shared" si="932"/>
        <v>0</v>
      </c>
      <c r="AY1137" s="35" t="s">
        <v>3681</v>
      </c>
      <c r="AZ1137" s="35" t="s">
        <v>3723</v>
      </c>
      <c r="BA1137" s="27" t="s">
        <v>3731</v>
      </c>
      <c r="BC1137" s="34">
        <f t="shared" si="933"/>
        <v>0</v>
      </c>
      <c r="BD1137" s="34">
        <f t="shared" si="934"/>
        <v>0</v>
      </c>
      <c r="BE1137" s="34">
        <v>0</v>
      </c>
      <c r="BF1137" s="34">
        <f>1136</f>
        <v>1136</v>
      </c>
      <c r="BH1137" s="18">
        <f t="shared" si="935"/>
        <v>0</v>
      </c>
      <c r="BI1137" s="18">
        <f t="shared" si="936"/>
        <v>0</v>
      </c>
      <c r="BJ1137" s="18">
        <f t="shared" si="937"/>
        <v>0</v>
      </c>
    </row>
    <row r="1138" spans="1:62" x14ac:dyDescent="0.2">
      <c r="A1138" s="74" t="s">
        <v>1073</v>
      </c>
      <c r="B1138" s="5" t="s">
        <v>2246</v>
      </c>
      <c r="C1138" s="135" t="s">
        <v>3452</v>
      </c>
      <c r="D1138" s="136"/>
      <c r="E1138" s="136"/>
      <c r="F1138" s="136"/>
      <c r="G1138" s="136"/>
      <c r="H1138" s="5" t="s">
        <v>3612</v>
      </c>
      <c r="I1138" s="18">
        <v>11</v>
      </c>
      <c r="J1138" s="18">
        <v>0</v>
      </c>
      <c r="K1138" s="18">
        <f t="shared" ref="K1138:K1153" si="938">I1138*J1138</f>
        <v>0</v>
      </c>
      <c r="L1138" s="28" t="s">
        <v>3635</v>
      </c>
      <c r="Z1138" s="34">
        <f t="shared" ref="Z1138:Z1153" si="939">IF(AQ1138="5",BJ1138,0)</f>
        <v>0</v>
      </c>
      <c r="AB1138" s="34">
        <f t="shared" ref="AB1138:AB1153" si="940">IF(AQ1138="1",BH1138,0)</f>
        <v>0</v>
      </c>
      <c r="AC1138" s="34">
        <f t="shared" ref="AC1138:AC1153" si="941">IF(AQ1138="1",BI1138,0)</f>
        <v>0</v>
      </c>
      <c r="AD1138" s="34">
        <f t="shared" ref="AD1138:AD1153" si="942">IF(AQ1138="7",BH1138,0)</f>
        <v>0</v>
      </c>
      <c r="AE1138" s="34">
        <f t="shared" ref="AE1138:AE1153" si="943">IF(AQ1138="7",BI1138,0)</f>
        <v>0</v>
      </c>
      <c r="AF1138" s="34">
        <f t="shared" ref="AF1138:AF1153" si="944">IF(AQ1138="2",BH1138,0)</f>
        <v>0</v>
      </c>
      <c r="AG1138" s="34">
        <f t="shared" ref="AG1138:AG1153" si="945">IF(AQ1138="2",BI1138,0)</f>
        <v>0</v>
      </c>
      <c r="AH1138" s="34">
        <f t="shared" ref="AH1138:AH1153" si="946">IF(AQ1138="0",BJ1138,0)</f>
        <v>0</v>
      </c>
      <c r="AI1138" s="27" t="s">
        <v>3647</v>
      </c>
      <c r="AJ1138" s="18">
        <f t="shared" ref="AJ1138:AJ1153" si="947">IF(AN1138=0,K1138,0)</f>
        <v>0</v>
      </c>
      <c r="AK1138" s="18">
        <f t="shared" ref="AK1138:AK1153" si="948">IF(AN1138=15,K1138,0)</f>
        <v>0</v>
      </c>
      <c r="AL1138" s="18">
        <f t="shared" ref="AL1138:AL1153" si="949">IF(AN1138=21,K1138,0)</f>
        <v>0</v>
      </c>
      <c r="AN1138" s="34">
        <v>21</v>
      </c>
      <c r="AO1138" s="34">
        <f t="shared" ref="AO1138:AO1153" si="950">J1138*0</f>
        <v>0</v>
      </c>
      <c r="AP1138" s="34">
        <f t="shared" ref="AP1138:AP1153" si="951">J1138*(1-0)</f>
        <v>0</v>
      </c>
      <c r="AQ1138" s="28" t="s">
        <v>13</v>
      </c>
      <c r="AV1138" s="34">
        <f t="shared" ref="AV1138:AV1153" si="952">AW1138+AX1138</f>
        <v>0</v>
      </c>
      <c r="AW1138" s="34">
        <f t="shared" ref="AW1138:AW1153" si="953">I1138*AO1138</f>
        <v>0</v>
      </c>
      <c r="AX1138" s="34">
        <f t="shared" ref="AX1138:AX1153" si="954">I1138*AP1138</f>
        <v>0</v>
      </c>
      <c r="AY1138" s="35" t="s">
        <v>3681</v>
      </c>
      <c r="AZ1138" s="35" t="s">
        <v>3723</v>
      </c>
      <c r="BA1138" s="27" t="s">
        <v>3731</v>
      </c>
      <c r="BC1138" s="34">
        <f t="shared" ref="BC1138:BC1153" si="955">AW1138+AX1138</f>
        <v>0</v>
      </c>
      <c r="BD1138" s="34">
        <f t="shared" ref="BD1138:BD1153" si="956">J1138/(100-BE1138)*100</f>
        <v>0</v>
      </c>
      <c r="BE1138" s="34">
        <v>0</v>
      </c>
      <c r="BF1138" s="34">
        <f>1137</f>
        <v>1137</v>
      </c>
      <c r="BH1138" s="18">
        <f t="shared" ref="BH1138:BH1153" si="957">I1138*AO1138</f>
        <v>0</v>
      </c>
      <c r="BI1138" s="18">
        <f t="shared" ref="BI1138:BI1153" si="958">I1138*AP1138</f>
        <v>0</v>
      </c>
      <c r="BJ1138" s="18">
        <f t="shared" ref="BJ1138:BJ1153" si="959">I1138*J1138</f>
        <v>0</v>
      </c>
    </row>
    <row r="1139" spans="1:62" x14ac:dyDescent="0.2">
      <c r="A1139" s="74" t="s">
        <v>1074</v>
      </c>
      <c r="B1139" s="5" t="s">
        <v>2247</v>
      </c>
      <c r="C1139" s="135" t="s">
        <v>3453</v>
      </c>
      <c r="D1139" s="136"/>
      <c r="E1139" s="136"/>
      <c r="F1139" s="136"/>
      <c r="G1139" s="136"/>
      <c r="H1139" s="5" t="s">
        <v>3612</v>
      </c>
      <c r="I1139" s="18">
        <v>4</v>
      </c>
      <c r="J1139" s="18">
        <v>0</v>
      </c>
      <c r="K1139" s="18">
        <f t="shared" si="938"/>
        <v>0</v>
      </c>
      <c r="L1139" s="28" t="s">
        <v>3635</v>
      </c>
      <c r="Z1139" s="34">
        <f t="shared" si="939"/>
        <v>0</v>
      </c>
      <c r="AB1139" s="34">
        <f t="shared" si="940"/>
        <v>0</v>
      </c>
      <c r="AC1139" s="34">
        <f t="shared" si="941"/>
        <v>0</v>
      </c>
      <c r="AD1139" s="34">
        <f t="shared" si="942"/>
        <v>0</v>
      </c>
      <c r="AE1139" s="34">
        <f t="shared" si="943"/>
        <v>0</v>
      </c>
      <c r="AF1139" s="34">
        <f t="shared" si="944"/>
        <v>0</v>
      </c>
      <c r="AG1139" s="34">
        <f t="shared" si="945"/>
        <v>0</v>
      </c>
      <c r="AH1139" s="34">
        <f t="shared" si="946"/>
        <v>0</v>
      </c>
      <c r="AI1139" s="27" t="s">
        <v>3647</v>
      </c>
      <c r="AJ1139" s="18">
        <f t="shared" si="947"/>
        <v>0</v>
      </c>
      <c r="AK1139" s="18">
        <f t="shared" si="948"/>
        <v>0</v>
      </c>
      <c r="AL1139" s="18">
        <f t="shared" si="949"/>
        <v>0</v>
      </c>
      <c r="AN1139" s="34">
        <v>21</v>
      </c>
      <c r="AO1139" s="34">
        <f t="shared" si="950"/>
        <v>0</v>
      </c>
      <c r="AP1139" s="34">
        <f t="shared" si="951"/>
        <v>0</v>
      </c>
      <c r="AQ1139" s="28" t="s">
        <v>13</v>
      </c>
      <c r="AV1139" s="34">
        <f t="shared" si="952"/>
        <v>0</v>
      </c>
      <c r="AW1139" s="34">
        <f t="shared" si="953"/>
        <v>0</v>
      </c>
      <c r="AX1139" s="34">
        <f t="shared" si="954"/>
        <v>0</v>
      </c>
      <c r="AY1139" s="35" t="s">
        <v>3681</v>
      </c>
      <c r="AZ1139" s="35" t="s">
        <v>3723</v>
      </c>
      <c r="BA1139" s="27" t="s">
        <v>3731</v>
      </c>
      <c r="BC1139" s="34">
        <f t="shared" si="955"/>
        <v>0</v>
      </c>
      <c r="BD1139" s="34">
        <f t="shared" si="956"/>
        <v>0</v>
      </c>
      <c r="BE1139" s="34">
        <v>0</v>
      </c>
      <c r="BF1139" s="34">
        <f>1138</f>
        <v>1138</v>
      </c>
      <c r="BH1139" s="18">
        <f t="shared" si="957"/>
        <v>0</v>
      </c>
      <c r="BI1139" s="18">
        <f t="shared" si="958"/>
        <v>0</v>
      </c>
      <c r="BJ1139" s="18">
        <f t="shared" si="959"/>
        <v>0</v>
      </c>
    </row>
    <row r="1140" spans="1:62" x14ac:dyDescent="0.2">
      <c r="A1140" s="74" t="s">
        <v>1075</v>
      </c>
      <c r="B1140" s="5" t="s">
        <v>2248</v>
      </c>
      <c r="C1140" s="135" t="s">
        <v>3454</v>
      </c>
      <c r="D1140" s="136"/>
      <c r="E1140" s="136"/>
      <c r="F1140" s="136"/>
      <c r="G1140" s="136"/>
      <c r="H1140" s="5" t="s">
        <v>3612</v>
      </c>
      <c r="I1140" s="18">
        <v>33</v>
      </c>
      <c r="J1140" s="18">
        <v>0</v>
      </c>
      <c r="K1140" s="18">
        <f t="shared" si="938"/>
        <v>0</v>
      </c>
      <c r="L1140" s="28" t="s">
        <v>3635</v>
      </c>
      <c r="Z1140" s="34">
        <f t="shared" si="939"/>
        <v>0</v>
      </c>
      <c r="AB1140" s="34">
        <f t="shared" si="940"/>
        <v>0</v>
      </c>
      <c r="AC1140" s="34">
        <f t="shared" si="941"/>
        <v>0</v>
      </c>
      <c r="AD1140" s="34">
        <f t="shared" si="942"/>
        <v>0</v>
      </c>
      <c r="AE1140" s="34">
        <f t="shared" si="943"/>
        <v>0</v>
      </c>
      <c r="AF1140" s="34">
        <f t="shared" si="944"/>
        <v>0</v>
      </c>
      <c r="AG1140" s="34">
        <f t="shared" si="945"/>
        <v>0</v>
      </c>
      <c r="AH1140" s="34">
        <f t="shared" si="946"/>
        <v>0</v>
      </c>
      <c r="AI1140" s="27" t="s">
        <v>3647</v>
      </c>
      <c r="AJ1140" s="18">
        <f t="shared" si="947"/>
        <v>0</v>
      </c>
      <c r="AK1140" s="18">
        <f t="shared" si="948"/>
        <v>0</v>
      </c>
      <c r="AL1140" s="18">
        <f t="shared" si="949"/>
        <v>0</v>
      </c>
      <c r="AN1140" s="34">
        <v>21</v>
      </c>
      <c r="AO1140" s="34">
        <f t="shared" si="950"/>
        <v>0</v>
      </c>
      <c r="AP1140" s="34">
        <f t="shared" si="951"/>
        <v>0</v>
      </c>
      <c r="AQ1140" s="28" t="s">
        <v>13</v>
      </c>
      <c r="AV1140" s="34">
        <f t="shared" si="952"/>
        <v>0</v>
      </c>
      <c r="AW1140" s="34">
        <f t="shared" si="953"/>
        <v>0</v>
      </c>
      <c r="AX1140" s="34">
        <f t="shared" si="954"/>
        <v>0</v>
      </c>
      <c r="AY1140" s="35" t="s">
        <v>3681</v>
      </c>
      <c r="AZ1140" s="35" t="s">
        <v>3723</v>
      </c>
      <c r="BA1140" s="27" t="s">
        <v>3731</v>
      </c>
      <c r="BC1140" s="34">
        <f t="shared" si="955"/>
        <v>0</v>
      </c>
      <c r="BD1140" s="34">
        <f t="shared" si="956"/>
        <v>0</v>
      </c>
      <c r="BE1140" s="34">
        <v>0</v>
      </c>
      <c r="BF1140" s="34">
        <f>1139</f>
        <v>1139</v>
      </c>
      <c r="BH1140" s="18">
        <f t="shared" si="957"/>
        <v>0</v>
      </c>
      <c r="BI1140" s="18">
        <f t="shared" si="958"/>
        <v>0</v>
      </c>
      <c r="BJ1140" s="18">
        <f t="shared" si="959"/>
        <v>0</v>
      </c>
    </row>
    <row r="1141" spans="1:62" x14ac:dyDescent="0.2">
      <c r="A1141" s="74" t="s">
        <v>1076</v>
      </c>
      <c r="B1141" s="5" t="s">
        <v>2249</v>
      </c>
      <c r="C1141" s="135" t="s">
        <v>3455</v>
      </c>
      <c r="D1141" s="136"/>
      <c r="E1141" s="136"/>
      <c r="F1141" s="136"/>
      <c r="G1141" s="136"/>
      <c r="H1141" s="5" t="s">
        <v>3614</v>
      </c>
      <c r="I1141" s="18">
        <v>6</v>
      </c>
      <c r="J1141" s="18">
        <v>0</v>
      </c>
      <c r="K1141" s="18">
        <f t="shared" si="938"/>
        <v>0</v>
      </c>
      <c r="L1141" s="28" t="s">
        <v>3635</v>
      </c>
      <c r="Z1141" s="34">
        <f t="shared" si="939"/>
        <v>0</v>
      </c>
      <c r="AB1141" s="34">
        <f t="shared" si="940"/>
        <v>0</v>
      </c>
      <c r="AC1141" s="34">
        <f t="shared" si="941"/>
        <v>0</v>
      </c>
      <c r="AD1141" s="34">
        <f t="shared" si="942"/>
        <v>0</v>
      </c>
      <c r="AE1141" s="34">
        <f t="shared" si="943"/>
        <v>0</v>
      </c>
      <c r="AF1141" s="34">
        <f t="shared" si="944"/>
        <v>0</v>
      </c>
      <c r="AG1141" s="34">
        <f t="shared" si="945"/>
        <v>0</v>
      </c>
      <c r="AH1141" s="34">
        <f t="shared" si="946"/>
        <v>0</v>
      </c>
      <c r="AI1141" s="27" t="s">
        <v>3647</v>
      </c>
      <c r="AJ1141" s="18">
        <f t="shared" si="947"/>
        <v>0</v>
      </c>
      <c r="AK1141" s="18">
        <f t="shared" si="948"/>
        <v>0</v>
      </c>
      <c r="AL1141" s="18">
        <f t="shared" si="949"/>
        <v>0</v>
      </c>
      <c r="AN1141" s="34">
        <v>21</v>
      </c>
      <c r="AO1141" s="34">
        <f t="shared" si="950"/>
        <v>0</v>
      </c>
      <c r="AP1141" s="34">
        <f t="shared" si="951"/>
        <v>0</v>
      </c>
      <c r="AQ1141" s="28" t="s">
        <v>13</v>
      </c>
      <c r="AV1141" s="34">
        <f t="shared" si="952"/>
        <v>0</v>
      </c>
      <c r="AW1141" s="34">
        <f t="shared" si="953"/>
        <v>0</v>
      </c>
      <c r="AX1141" s="34">
        <f t="shared" si="954"/>
        <v>0</v>
      </c>
      <c r="AY1141" s="35" t="s">
        <v>3681</v>
      </c>
      <c r="AZ1141" s="35" t="s">
        <v>3723</v>
      </c>
      <c r="BA1141" s="27" t="s">
        <v>3731</v>
      </c>
      <c r="BC1141" s="34">
        <f t="shared" si="955"/>
        <v>0</v>
      </c>
      <c r="BD1141" s="34">
        <f t="shared" si="956"/>
        <v>0</v>
      </c>
      <c r="BE1141" s="34">
        <v>0</v>
      </c>
      <c r="BF1141" s="34">
        <f>1140</f>
        <v>1140</v>
      </c>
      <c r="BH1141" s="18">
        <f t="shared" si="957"/>
        <v>0</v>
      </c>
      <c r="BI1141" s="18">
        <f t="shared" si="958"/>
        <v>0</v>
      </c>
      <c r="BJ1141" s="18">
        <f t="shared" si="959"/>
        <v>0</v>
      </c>
    </row>
    <row r="1142" spans="1:62" x14ac:dyDescent="0.2">
      <c r="A1142" s="74" t="s">
        <v>1077</v>
      </c>
      <c r="B1142" s="5" t="s">
        <v>2249</v>
      </c>
      <c r="C1142" s="135" t="s">
        <v>3456</v>
      </c>
      <c r="D1142" s="136"/>
      <c r="E1142" s="136"/>
      <c r="F1142" s="136"/>
      <c r="G1142" s="136"/>
      <c r="H1142" s="5" t="s">
        <v>3614</v>
      </c>
      <c r="I1142" s="18">
        <v>30</v>
      </c>
      <c r="J1142" s="18">
        <v>0</v>
      </c>
      <c r="K1142" s="18">
        <f t="shared" si="938"/>
        <v>0</v>
      </c>
      <c r="L1142" s="28" t="s">
        <v>3635</v>
      </c>
      <c r="Z1142" s="34">
        <f t="shared" si="939"/>
        <v>0</v>
      </c>
      <c r="AB1142" s="34">
        <f t="shared" si="940"/>
        <v>0</v>
      </c>
      <c r="AC1142" s="34">
        <f t="shared" si="941"/>
        <v>0</v>
      </c>
      <c r="AD1142" s="34">
        <f t="shared" si="942"/>
        <v>0</v>
      </c>
      <c r="AE1142" s="34">
        <f t="shared" si="943"/>
        <v>0</v>
      </c>
      <c r="AF1142" s="34">
        <f t="shared" si="944"/>
        <v>0</v>
      </c>
      <c r="AG1142" s="34">
        <f t="shared" si="945"/>
        <v>0</v>
      </c>
      <c r="AH1142" s="34">
        <f t="shared" si="946"/>
        <v>0</v>
      </c>
      <c r="AI1142" s="27" t="s">
        <v>3647</v>
      </c>
      <c r="AJ1142" s="18">
        <f t="shared" si="947"/>
        <v>0</v>
      </c>
      <c r="AK1142" s="18">
        <f t="shared" si="948"/>
        <v>0</v>
      </c>
      <c r="AL1142" s="18">
        <f t="shared" si="949"/>
        <v>0</v>
      </c>
      <c r="AN1142" s="34">
        <v>21</v>
      </c>
      <c r="AO1142" s="34">
        <f t="shared" si="950"/>
        <v>0</v>
      </c>
      <c r="AP1142" s="34">
        <f t="shared" si="951"/>
        <v>0</v>
      </c>
      <c r="AQ1142" s="28" t="s">
        <v>13</v>
      </c>
      <c r="AV1142" s="34">
        <f t="shared" si="952"/>
        <v>0</v>
      </c>
      <c r="AW1142" s="34">
        <f t="shared" si="953"/>
        <v>0</v>
      </c>
      <c r="AX1142" s="34">
        <f t="shared" si="954"/>
        <v>0</v>
      </c>
      <c r="AY1142" s="35" t="s">
        <v>3681</v>
      </c>
      <c r="AZ1142" s="35" t="s">
        <v>3723</v>
      </c>
      <c r="BA1142" s="27" t="s">
        <v>3731</v>
      </c>
      <c r="BC1142" s="34">
        <f t="shared" si="955"/>
        <v>0</v>
      </c>
      <c r="BD1142" s="34">
        <f t="shared" si="956"/>
        <v>0</v>
      </c>
      <c r="BE1142" s="34">
        <v>0</v>
      </c>
      <c r="BF1142" s="34">
        <f>1141</f>
        <v>1141</v>
      </c>
      <c r="BH1142" s="18">
        <f t="shared" si="957"/>
        <v>0</v>
      </c>
      <c r="BI1142" s="18">
        <f t="shared" si="958"/>
        <v>0</v>
      </c>
      <c r="BJ1142" s="18">
        <f t="shared" si="959"/>
        <v>0</v>
      </c>
    </row>
    <row r="1143" spans="1:62" x14ac:dyDescent="0.2">
      <c r="A1143" s="74" t="s">
        <v>1078</v>
      </c>
      <c r="B1143" s="5" t="s">
        <v>2249</v>
      </c>
      <c r="C1143" s="135" t="s">
        <v>3457</v>
      </c>
      <c r="D1143" s="136"/>
      <c r="E1143" s="136"/>
      <c r="F1143" s="136"/>
      <c r="G1143" s="136"/>
      <c r="H1143" s="5" t="s">
        <v>3614</v>
      </c>
      <c r="I1143" s="18">
        <v>26</v>
      </c>
      <c r="J1143" s="18">
        <v>0</v>
      </c>
      <c r="K1143" s="18">
        <f t="shared" si="938"/>
        <v>0</v>
      </c>
      <c r="L1143" s="28" t="s">
        <v>3635</v>
      </c>
      <c r="Z1143" s="34">
        <f t="shared" si="939"/>
        <v>0</v>
      </c>
      <c r="AB1143" s="34">
        <f t="shared" si="940"/>
        <v>0</v>
      </c>
      <c r="AC1143" s="34">
        <f t="shared" si="941"/>
        <v>0</v>
      </c>
      <c r="AD1143" s="34">
        <f t="shared" si="942"/>
        <v>0</v>
      </c>
      <c r="AE1143" s="34">
        <f t="shared" si="943"/>
        <v>0</v>
      </c>
      <c r="AF1143" s="34">
        <f t="shared" si="944"/>
        <v>0</v>
      </c>
      <c r="AG1143" s="34">
        <f t="shared" si="945"/>
        <v>0</v>
      </c>
      <c r="AH1143" s="34">
        <f t="shared" si="946"/>
        <v>0</v>
      </c>
      <c r="AI1143" s="27" t="s">
        <v>3647</v>
      </c>
      <c r="AJ1143" s="18">
        <f t="shared" si="947"/>
        <v>0</v>
      </c>
      <c r="AK1143" s="18">
        <f t="shared" si="948"/>
        <v>0</v>
      </c>
      <c r="AL1143" s="18">
        <f t="shared" si="949"/>
        <v>0</v>
      </c>
      <c r="AN1143" s="34">
        <v>21</v>
      </c>
      <c r="AO1143" s="34">
        <f t="shared" si="950"/>
        <v>0</v>
      </c>
      <c r="AP1143" s="34">
        <f t="shared" si="951"/>
        <v>0</v>
      </c>
      <c r="AQ1143" s="28" t="s">
        <v>13</v>
      </c>
      <c r="AV1143" s="34">
        <f t="shared" si="952"/>
        <v>0</v>
      </c>
      <c r="AW1143" s="34">
        <f t="shared" si="953"/>
        <v>0</v>
      </c>
      <c r="AX1143" s="34">
        <f t="shared" si="954"/>
        <v>0</v>
      </c>
      <c r="AY1143" s="35" t="s">
        <v>3681</v>
      </c>
      <c r="AZ1143" s="35" t="s">
        <v>3723</v>
      </c>
      <c r="BA1143" s="27" t="s">
        <v>3731</v>
      </c>
      <c r="BC1143" s="34">
        <f t="shared" si="955"/>
        <v>0</v>
      </c>
      <c r="BD1143" s="34">
        <f t="shared" si="956"/>
        <v>0</v>
      </c>
      <c r="BE1143" s="34">
        <v>0</v>
      </c>
      <c r="BF1143" s="34">
        <f>1142</f>
        <v>1142</v>
      </c>
      <c r="BH1143" s="18">
        <f t="shared" si="957"/>
        <v>0</v>
      </c>
      <c r="BI1143" s="18">
        <f t="shared" si="958"/>
        <v>0</v>
      </c>
      <c r="BJ1143" s="18">
        <f t="shared" si="959"/>
        <v>0</v>
      </c>
    </row>
    <row r="1144" spans="1:62" x14ac:dyDescent="0.2">
      <c r="A1144" s="74" t="s">
        <v>1079</v>
      </c>
      <c r="B1144" s="5" t="s">
        <v>2250</v>
      </c>
      <c r="C1144" s="135" t="s">
        <v>3458</v>
      </c>
      <c r="D1144" s="136"/>
      <c r="E1144" s="136"/>
      <c r="F1144" s="136"/>
      <c r="G1144" s="136"/>
      <c r="H1144" s="5" t="s">
        <v>3627</v>
      </c>
      <c r="I1144" s="18">
        <v>1</v>
      </c>
      <c r="J1144" s="18">
        <v>0</v>
      </c>
      <c r="K1144" s="18">
        <f t="shared" si="938"/>
        <v>0</v>
      </c>
      <c r="L1144" s="28" t="s">
        <v>3635</v>
      </c>
      <c r="Z1144" s="34">
        <f t="shared" si="939"/>
        <v>0</v>
      </c>
      <c r="AB1144" s="34">
        <f t="shared" si="940"/>
        <v>0</v>
      </c>
      <c r="AC1144" s="34">
        <f t="shared" si="941"/>
        <v>0</v>
      </c>
      <c r="AD1144" s="34">
        <f t="shared" si="942"/>
        <v>0</v>
      </c>
      <c r="AE1144" s="34">
        <f t="shared" si="943"/>
        <v>0</v>
      </c>
      <c r="AF1144" s="34">
        <f t="shared" si="944"/>
        <v>0</v>
      </c>
      <c r="AG1144" s="34">
        <f t="shared" si="945"/>
        <v>0</v>
      </c>
      <c r="AH1144" s="34">
        <f t="shared" si="946"/>
        <v>0</v>
      </c>
      <c r="AI1144" s="27" t="s">
        <v>3647</v>
      </c>
      <c r="AJ1144" s="18">
        <f t="shared" si="947"/>
        <v>0</v>
      </c>
      <c r="AK1144" s="18">
        <f t="shared" si="948"/>
        <v>0</v>
      </c>
      <c r="AL1144" s="18">
        <f t="shared" si="949"/>
        <v>0</v>
      </c>
      <c r="AN1144" s="34">
        <v>21</v>
      </c>
      <c r="AO1144" s="34">
        <f t="shared" si="950"/>
        <v>0</v>
      </c>
      <c r="AP1144" s="34">
        <f t="shared" si="951"/>
        <v>0</v>
      </c>
      <c r="AQ1144" s="28" t="s">
        <v>13</v>
      </c>
      <c r="AV1144" s="34">
        <f t="shared" si="952"/>
        <v>0</v>
      </c>
      <c r="AW1144" s="34">
        <f t="shared" si="953"/>
        <v>0</v>
      </c>
      <c r="AX1144" s="34">
        <f t="shared" si="954"/>
        <v>0</v>
      </c>
      <c r="AY1144" s="35" t="s">
        <v>3681</v>
      </c>
      <c r="AZ1144" s="35" t="s">
        <v>3723</v>
      </c>
      <c r="BA1144" s="27" t="s">
        <v>3731</v>
      </c>
      <c r="BC1144" s="34">
        <f t="shared" si="955"/>
        <v>0</v>
      </c>
      <c r="BD1144" s="34">
        <f t="shared" si="956"/>
        <v>0</v>
      </c>
      <c r="BE1144" s="34">
        <v>0</v>
      </c>
      <c r="BF1144" s="34">
        <f>1143</f>
        <v>1143</v>
      </c>
      <c r="BH1144" s="18">
        <f t="shared" si="957"/>
        <v>0</v>
      </c>
      <c r="BI1144" s="18">
        <f t="shared" si="958"/>
        <v>0</v>
      </c>
      <c r="BJ1144" s="18">
        <f t="shared" si="959"/>
        <v>0</v>
      </c>
    </row>
    <row r="1145" spans="1:62" x14ac:dyDescent="0.2">
      <c r="A1145" s="74" t="s">
        <v>1080</v>
      </c>
      <c r="B1145" s="5" t="s">
        <v>2251</v>
      </c>
      <c r="C1145" s="135" t="s">
        <v>3459</v>
      </c>
      <c r="D1145" s="136"/>
      <c r="E1145" s="136"/>
      <c r="F1145" s="136"/>
      <c r="G1145" s="136"/>
      <c r="H1145" s="5" t="s">
        <v>3615</v>
      </c>
      <c r="I1145" s="18">
        <v>5.4</v>
      </c>
      <c r="J1145" s="18">
        <v>0</v>
      </c>
      <c r="K1145" s="18">
        <f t="shared" si="938"/>
        <v>0</v>
      </c>
      <c r="L1145" s="28" t="s">
        <v>3635</v>
      </c>
      <c r="Z1145" s="34">
        <f t="shared" si="939"/>
        <v>0</v>
      </c>
      <c r="AB1145" s="34">
        <f t="shared" si="940"/>
        <v>0</v>
      </c>
      <c r="AC1145" s="34">
        <f t="shared" si="941"/>
        <v>0</v>
      </c>
      <c r="AD1145" s="34">
        <f t="shared" si="942"/>
        <v>0</v>
      </c>
      <c r="AE1145" s="34">
        <f t="shared" si="943"/>
        <v>0</v>
      </c>
      <c r="AF1145" s="34">
        <f t="shared" si="944"/>
        <v>0</v>
      </c>
      <c r="AG1145" s="34">
        <f t="shared" si="945"/>
        <v>0</v>
      </c>
      <c r="AH1145" s="34">
        <f t="shared" si="946"/>
        <v>0</v>
      </c>
      <c r="AI1145" s="27" t="s">
        <v>3647</v>
      </c>
      <c r="AJ1145" s="18">
        <f t="shared" si="947"/>
        <v>0</v>
      </c>
      <c r="AK1145" s="18">
        <f t="shared" si="948"/>
        <v>0</v>
      </c>
      <c r="AL1145" s="18">
        <f t="shared" si="949"/>
        <v>0</v>
      </c>
      <c r="AN1145" s="34">
        <v>21</v>
      </c>
      <c r="AO1145" s="34">
        <f t="shared" si="950"/>
        <v>0</v>
      </c>
      <c r="AP1145" s="34">
        <f t="shared" si="951"/>
        <v>0</v>
      </c>
      <c r="AQ1145" s="28" t="s">
        <v>13</v>
      </c>
      <c r="AV1145" s="34">
        <f t="shared" si="952"/>
        <v>0</v>
      </c>
      <c r="AW1145" s="34">
        <f t="shared" si="953"/>
        <v>0</v>
      </c>
      <c r="AX1145" s="34">
        <f t="shared" si="954"/>
        <v>0</v>
      </c>
      <c r="AY1145" s="35" t="s">
        <v>3681</v>
      </c>
      <c r="AZ1145" s="35" t="s">
        <v>3723</v>
      </c>
      <c r="BA1145" s="27" t="s">
        <v>3731</v>
      </c>
      <c r="BC1145" s="34">
        <f t="shared" si="955"/>
        <v>0</v>
      </c>
      <c r="BD1145" s="34">
        <f t="shared" si="956"/>
        <v>0</v>
      </c>
      <c r="BE1145" s="34">
        <v>0</v>
      </c>
      <c r="BF1145" s="34">
        <f>1144</f>
        <v>1144</v>
      </c>
      <c r="BH1145" s="18">
        <f t="shared" si="957"/>
        <v>0</v>
      </c>
      <c r="BI1145" s="18">
        <f t="shared" si="958"/>
        <v>0</v>
      </c>
      <c r="BJ1145" s="18">
        <f t="shared" si="959"/>
        <v>0</v>
      </c>
    </row>
    <row r="1146" spans="1:62" x14ac:dyDescent="0.2">
      <c r="A1146" s="74" t="s">
        <v>1081</v>
      </c>
      <c r="B1146" s="5" t="s">
        <v>2252</v>
      </c>
      <c r="C1146" s="135" t="s">
        <v>3460</v>
      </c>
      <c r="D1146" s="136"/>
      <c r="E1146" s="136"/>
      <c r="F1146" s="136"/>
      <c r="G1146" s="136"/>
      <c r="H1146" s="5" t="s">
        <v>3620</v>
      </c>
      <c r="I1146" s="18">
        <v>8.6999999999999993</v>
      </c>
      <c r="J1146" s="18">
        <v>0</v>
      </c>
      <c r="K1146" s="18">
        <f t="shared" si="938"/>
        <v>0</v>
      </c>
      <c r="L1146" s="28" t="s">
        <v>3635</v>
      </c>
      <c r="Z1146" s="34">
        <f t="shared" si="939"/>
        <v>0</v>
      </c>
      <c r="AB1146" s="34">
        <f t="shared" si="940"/>
        <v>0</v>
      </c>
      <c r="AC1146" s="34">
        <f t="shared" si="941"/>
        <v>0</v>
      </c>
      <c r="AD1146" s="34">
        <f t="shared" si="942"/>
        <v>0</v>
      </c>
      <c r="AE1146" s="34">
        <f t="shared" si="943"/>
        <v>0</v>
      </c>
      <c r="AF1146" s="34">
        <f t="shared" si="944"/>
        <v>0</v>
      </c>
      <c r="AG1146" s="34">
        <f t="shared" si="945"/>
        <v>0</v>
      </c>
      <c r="AH1146" s="34">
        <f t="shared" si="946"/>
        <v>0</v>
      </c>
      <c r="AI1146" s="27" t="s">
        <v>3647</v>
      </c>
      <c r="AJ1146" s="18">
        <f t="shared" si="947"/>
        <v>0</v>
      </c>
      <c r="AK1146" s="18">
        <f t="shared" si="948"/>
        <v>0</v>
      </c>
      <c r="AL1146" s="18">
        <f t="shared" si="949"/>
        <v>0</v>
      </c>
      <c r="AN1146" s="34">
        <v>21</v>
      </c>
      <c r="AO1146" s="34">
        <f t="shared" si="950"/>
        <v>0</v>
      </c>
      <c r="AP1146" s="34">
        <f t="shared" si="951"/>
        <v>0</v>
      </c>
      <c r="AQ1146" s="28" t="s">
        <v>13</v>
      </c>
      <c r="AV1146" s="34">
        <f t="shared" si="952"/>
        <v>0</v>
      </c>
      <c r="AW1146" s="34">
        <f t="shared" si="953"/>
        <v>0</v>
      </c>
      <c r="AX1146" s="34">
        <f t="shared" si="954"/>
        <v>0</v>
      </c>
      <c r="AY1146" s="35" t="s">
        <v>3681</v>
      </c>
      <c r="AZ1146" s="35" t="s">
        <v>3723</v>
      </c>
      <c r="BA1146" s="27" t="s">
        <v>3731</v>
      </c>
      <c r="BC1146" s="34">
        <f t="shared" si="955"/>
        <v>0</v>
      </c>
      <c r="BD1146" s="34">
        <f t="shared" si="956"/>
        <v>0</v>
      </c>
      <c r="BE1146" s="34">
        <v>0</v>
      </c>
      <c r="BF1146" s="34">
        <f>1145</f>
        <v>1145</v>
      </c>
      <c r="BH1146" s="18">
        <f t="shared" si="957"/>
        <v>0</v>
      </c>
      <c r="BI1146" s="18">
        <f t="shared" si="958"/>
        <v>0</v>
      </c>
      <c r="BJ1146" s="18">
        <f t="shared" si="959"/>
        <v>0</v>
      </c>
    </row>
    <row r="1147" spans="1:62" x14ac:dyDescent="0.2">
      <c r="A1147" s="74" t="s">
        <v>1082</v>
      </c>
      <c r="B1147" s="5" t="s">
        <v>2253</v>
      </c>
      <c r="C1147" s="135" t="s">
        <v>3461</v>
      </c>
      <c r="D1147" s="136"/>
      <c r="E1147" s="136"/>
      <c r="F1147" s="136"/>
      <c r="G1147" s="136"/>
      <c r="H1147" s="5" t="s">
        <v>3615</v>
      </c>
      <c r="I1147" s="18">
        <v>3.3</v>
      </c>
      <c r="J1147" s="18">
        <v>0</v>
      </c>
      <c r="K1147" s="18">
        <f t="shared" si="938"/>
        <v>0</v>
      </c>
      <c r="L1147" s="28" t="s">
        <v>3635</v>
      </c>
      <c r="Z1147" s="34">
        <f t="shared" si="939"/>
        <v>0</v>
      </c>
      <c r="AB1147" s="34">
        <f t="shared" si="940"/>
        <v>0</v>
      </c>
      <c r="AC1147" s="34">
        <f t="shared" si="941"/>
        <v>0</v>
      </c>
      <c r="AD1147" s="34">
        <f t="shared" si="942"/>
        <v>0</v>
      </c>
      <c r="AE1147" s="34">
        <f t="shared" si="943"/>
        <v>0</v>
      </c>
      <c r="AF1147" s="34">
        <f t="shared" si="944"/>
        <v>0</v>
      </c>
      <c r="AG1147" s="34">
        <f t="shared" si="945"/>
        <v>0</v>
      </c>
      <c r="AH1147" s="34">
        <f t="shared" si="946"/>
        <v>0</v>
      </c>
      <c r="AI1147" s="27" t="s">
        <v>3647</v>
      </c>
      <c r="AJ1147" s="18">
        <f t="shared" si="947"/>
        <v>0</v>
      </c>
      <c r="AK1147" s="18">
        <f t="shared" si="948"/>
        <v>0</v>
      </c>
      <c r="AL1147" s="18">
        <f t="shared" si="949"/>
        <v>0</v>
      </c>
      <c r="AN1147" s="34">
        <v>21</v>
      </c>
      <c r="AO1147" s="34">
        <f t="shared" si="950"/>
        <v>0</v>
      </c>
      <c r="AP1147" s="34">
        <f t="shared" si="951"/>
        <v>0</v>
      </c>
      <c r="AQ1147" s="28" t="s">
        <v>13</v>
      </c>
      <c r="AV1147" s="34">
        <f t="shared" si="952"/>
        <v>0</v>
      </c>
      <c r="AW1147" s="34">
        <f t="shared" si="953"/>
        <v>0</v>
      </c>
      <c r="AX1147" s="34">
        <f t="shared" si="954"/>
        <v>0</v>
      </c>
      <c r="AY1147" s="35" t="s">
        <v>3681</v>
      </c>
      <c r="AZ1147" s="35" t="s">
        <v>3723</v>
      </c>
      <c r="BA1147" s="27" t="s">
        <v>3731</v>
      </c>
      <c r="BC1147" s="34">
        <f t="shared" si="955"/>
        <v>0</v>
      </c>
      <c r="BD1147" s="34">
        <f t="shared" si="956"/>
        <v>0</v>
      </c>
      <c r="BE1147" s="34">
        <v>0</v>
      </c>
      <c r="BF1147" s="34">
        <f>1146</f>
        <v>1146</v>
      </c>
      <c r="BH1147" s="18">
        <f t="shared" si="957"/>
        <v>0</v>
      </c>
      <c r="BI1147" s="18">
        <f t="shared" si="958"/>
        <v>0</v>
      </c>
      <c r="BJ1147" s="18">
        <f t="shared" si="959"/>
        <v>0</v>
      </c>
    </row>
    <row r="1148" spans="1:62" x14ac:dyDescent="0.2">
      <c r="A1148" s="74" t="s">
        <v>1083</v>
      </c>
      <c r="B1148" s="5" t="s">
        <v>2254</v>
      </c>
      <c r="C1148" s="135" t="s">
        <v>3462</v>
      </c>
      <c r="D1148" s="136"/>
      <c r="E1148" s="136"/>
      <c r="F1148" s="136"/>
      <c r="G1148" s="136"/>
      <c r="H1148" s="5" t="s">
        <v>3615</v>
      </c>
      <c r="I1148" s="18">
        <v>3.3</v>
      </c>
      <c r="J1148" s="18">
        <v>0</v>
      </c>
      <c r="K1148" s="18">
        <f t="shared" si="938"/>
        <v>0</v>
      </c>
      <c r="L1148" s="28" t="s">
        <v>3635</v>
      </c>
      <c r="Z1148" s="34">
        <f t="shared" si="939"/>
        <v>0</v>
      </c>
      <c r="AB1148" s="34">
        <f t="shared" si="940"/>
        <v>0</v>
      </c>
      <c r="AC1148" s="34">
        <f t="shared" si="941"/>
        <v>0</v>
      </c>
      <c r="AD1148" s="34">
        <f t="shared" si="942"/>
        <v>0</v>
      </c>
      <c r="AE1148" s="34">
        <f t="shared" si="943"/>
        <v>0</v>
      </c>
      <c r="AF1148" s="34">
        <f t="shared" si="944"/>
        <v>0</v>
      </c>
      <c r="AG1148" s="34">
        <f t="shared" si="945"/>
        <v>0</v>
      </c>
      <c r="AH1148" s="34">
        <f t="shared" si="946"/>
        <v>0</v>
      </c>
      <c r="AI1148" s="27" t="s">
        <v>3647</v>
      </c>
      <c r="AJ1148" s="18">
        <f t="shared" si="947"/>
        <v>0</v>
      </c>
      <c r="AK1148" s="18">
        <f t="shared" si="948"/>
        <v>0</v>
      </c>
      <c r="AL1148" s="18">
        <f t="shared" si="949"/>
        <v>0</v>
      </c>
      <c r="AN1148" s="34">
        <v>21</v>
      </c>
      <c r="AO1148" s="34">
        <f t="shared" si="950"/>
        <v>0</v>
      </c>
      <c r="AP1148" s="34">
        <f t="shared" si="951"/>
        <v>0</v>
      </c>
      <c r="AQ1148" s="28" t="s">
        <v>13</v>
      </c>
      <c r="AV1148" s="34">
        <f t="shared" si="952"/>
        <v>0</v>
      </c>
      <c r="AW1148" s="34">
        <f t="shared" si="953"/>
        <v>0</v>
      </c>
      <c r="AX1148" s="34">
        <f t="shared" si="954"/>
        <v>0</v>
      </c>
      <c r="AY1148" s="35" t="s">
        <v>3681</v>
      </c>
      <c r="AZ1148" s="35" t="s">
        <v>3723</v>
      </c>
      <c r="BA1148" s="27" t="s">
        <v>3731</v>
      </c>
      <c r="BC1148" s="34">
        <f t="shared" si="955"/>
        <v>0</v>
      </c>
      <c r="BD1148" s="34">
        <f t="shared" si="956"/>
        <v>0</v>
      </c>
      <c r="BE1148" s="34">
        <v>0</v>
      </c>
      <c r="BF1148" s="34">
        <f>1147</f>
        <v>1147</v>
      </c>
      <c r="BH1148" s="18">
        <f t="shared" si="957"/>
        <v>0</v>
      </c>
      <c r="BI1148" s="18">
        <f t="shared" si="958"/>
        <v>0</v>
      </c>
      <c r="BJ1148" s="18">
        <f t="shared" si="959"/>
        <v>0</v>
      </c>
    </row>
    <row r="1149" spans="1:62" x14ac:dyDescent="0.2">
      <c r="A1149" s="74" t="s">
        <v>1084</v>
      </c>
      <c r="B1149" s="5" t="s">
        <v>2255</v>
      </c>
      <c r="C1149" s="135" t="s">
        <v>3463</v>
      </c>
      <c r="D1149" s="136"/>
      <c r="E1149" s="136"/>
      <c r="F1149" s="136"/>
      <c r="G1149" s="136"/>
      <c r="H1149" s="5" t="s">
        <v>3614</v>
      </c>
      <c r="I1149" s="18">
        <v>62</v>
      </c>
      <c r="J1149" s="18">
        <v>0</v>
      </c>
      <c r="K1149" s="18">
        <f t="shared" si="938"/>
        <v>0</v>
      </c>
      <c r="L1149" s="28" t="s">
        <v>3635</v>
      </c>
      <c r="Z1149" s="34">
        <f t="shared" si="939"/>
        <v>0</v>
      </c>
      <c r="AB1149" s="34">
        <f t="shared" si="940"/>
        <v>0</v>
      </c>
      <c r="AC1149" s="34">
        <f t="shared" si="941"/>
        <v>0</v>
      </c>
      <c r="AD1149" s="34">
        <f t="shared" si="942"/>
        <v>0</v>
      </c>
      <c r="AE1149" s="34">
        <f t="shared" si="943"/>
        <v>0</v>
      </c>
      <c r="AF1149" s="34">
        <f t="shared" si="944"/>
        <v>0</v>
      </c>
      <c r="AG1149" s="34">
        <f t="shared" si="945"/>
        <v>0</v>
      </c>
      <c r="AH1149" s="34">
        <f t="shared" si="946"/>
        <v>0</v>
      </c>
      <c r="AI1149" s="27" t="s">
        <v>3647</v>
      </c>
      <c r="AJ1149" s="18">
        <f t="shared" si="947"/>
        <v>0</v>
      </c>
      <c r="AK1149" s="18">
        <f t="shared" si="948"/>
        <v>0</v>
      </c>
      <c r="AL1149" s="18">
        <f t="shared" si="949"/>
        <v>0</v>
      </c>
      <c r="AN1149" s="34">
        <v>21</v>
      </c>
      <c r="AO1149" s="34">
        <f t="shared" si="950"/>
        <v>0</v>
      </c>
      <c r="AP1149" s="34">
        <f t="shared" si="951"/>
        <v>0</v>
      </c>
      <c r="AQ1149" s="28" t="s">
        <v>13</v>
      </c>
      <c r="AV1149" s="34">
        <f t="shared" si="952"/>
        <v>0</v>
      </c>
      <c r="AW1149" s="34">
        <f t="shared" si="953"/>
        <v>0</v>
      </c>
      <c r="AX1149" s="34">
        <f t="shared" si="954"/>
        <v>0</v>
      </c>
      <c r="AY1149" s="35" t="s">
        <v>3681</v>
      </c>
      <c r="AZ1149" s="35" t="s">
        <v>3723</v>
      </c>
      <c r="BA1149" s="27" t="s">
        <v>3731</v>
      </c>
      <c r="BC1149" s="34">
        <f t="shared" si="955"/>
        <v>0</v>
      </c>
      <c r="BD1149" s="34">
        <f t="shared" si="956"/>
        <v>0</v>
      </c>
      <c r="BE1149" s="34">
        <v>0</v>
      </c>
      <c r="BF1149" s="34">
        <f>1148</f>
        <v>1148</v>
      </c>
      <c r="BH1149" s="18">
        <f t="shared" si="957"/>
        <v>0</v>
      </c>
      <c r="BI1149" s="18">
        <f t="shared" si="958"/>
        <v>0</v>
      </c>
      <c r="BJ1149" s="18">
        <f t="shared" si="959"/>
        <v>0</v>
      </c>
    </row>
    <row r="1150" spans="1:62" x14ac:dyDescent="0.2">
      <c r="A1150" s="74" t="s">
        <v>1085</v>
      </c>
      <c r="B1150" s="5" t="s">
        <v>2256</v>
      </c>
      <c r="C1150" s="135" t="s">
        <v>3464</v>
      </c>
      <c r="D1150" s="136"/>
      <c r="E1150" s="136"/>
      <c r="F1150" s="136"/>
      <c r="G1150" s="136"/>
      <c r="H1150" s="5" t="s">
        <v>3614</v>
      </c>
      <c r="I1150" s="18">
        <v>10</v>
      </c>
      <c r="J1150" s="18">
        <v>0</v>
      </c>
      <c r="K1150" s="18">
        <f t="shared" si="938"/>
        <v>0</v>
      </c>
      <c r="L1150" s="28" t="s">
        <v>3635</v>
      </c>
      <c r="Z1150" s="34">
        <f t="shared" si="939"/>
        <v>0</v>
      </c>
      <c r="AB1150" s="34">
        <f t="shared" si="940"/>
        <v>0</v>
      </c>
      <c r="AC1150" s="34">
        <f t="shared" si="941"/>
        <v>0</v>
      </c>
      <c r="AD1150" s="34">
        <f t="shared" si="942"/>
        <v>0</v>
      </c>
      <c r="AE1150" s="34">
        <f t="shared" si="943"/>
        <v>0</v>
      </c>
      <c r="AF1150" s="34">
        <f t="shared" si="944"/>
        <v>0</v>
      </c>
      <c r="AG1150" s="34">
        <f t="shared" si="945"/>
        <v>0</v>
      </c>
      <c r="AH1150" s="34">
        <f t="shared" si="946"/>
        <v>0</v>
      </c>
      <c r="AI1150" s="27" t="s">
        <v>3647</v>
      </c>
      <c r="AJ1150" s="18">
        <f t="shared" si="947"/>
        <v>0</v>
      </c>
      <c r="AK1150" s="18">
        <f t="shared" si="948"/>
        <v>0</v>
      </c>
      <c r="AL1150" s="18">
        <f t="shared" si="949"/>
        <v>0</v>
      </c>
      <c r="AN1150" s="34">
        <v>21</v>
      </c>
      <c r="AO1150" s="34">
        <f t="shared" si="950"/>
        <v>0</v>
      </c>
      <c r="AP1150" s="34">
        <f t="shared" si="951"/>
        <v>0</v>
      </c>
      <c r="AQ1150" s="28" t="s">
        <v>13</v>
      </c>
      <c r="AV1150" s="34">
        <f t="shared" si="952"/>
        <v>0</v>
      </c>
      <c r="AW1150" s="34">
        <f t="shared" si="953"/>
        <v>0</v>
      </c>
      <c r="AX1150" s="34">
        <f t="shared" si="954"/>
        <v>0</v>
      </c>
      <c r="AY1150" s="35" t="s">
        <v>3681</v>
      </c>
      <c r="AZ1150" s="35" t="s">
        <v>3723</v>
      </c>
      <c r="BA1150" s="27" t="s">
        <v>3731</v>
      </c>
      <c r="BC1150" s="34">
        <f t="shared" si="955"/>
        <v>0</v>
      </c>
      <c r="BD1150" s="34">
        <f t="shared" si="956"/>
        <v>0</v>
      </c>
      <c r="BE1150" s="34">
        <v>0</v>
      </c>
      <c r="BF1150" s="34">
        <f>1149</f>
        <v>1149</v>
      </c>
      <c r="BH1150" s="18">
        <f t="shared" si="957"/>
        <v>0</v>
      </c>
      <c r="BI1150" s="18">
        <f t="shared" si="958"/>
        <v>0</v>
      </c>
      <c r="BJ1150" s="18">
        <f t="shared" si="959"/>
        <v>0</v>
      </c>
    </row>
    <row r="1151" spans="1:62" x14ac:dyDescent="0.2">
      <c r="A1151" s="74" t="s">
        <v>1086</v>
      </c>
      <c r="B1151" s="5" t="s">
        <v>2257</v>
      </c>
      <c r="C1151" s="135" t="s">
        <v>3465</v>
      </c>
      <c r="D1151" s="136"/>
      <c r="E1151" s="136"/>
      <c r="F1151" s="136"/>
      <c r="G1151" s="136"/>
      <c r="H1151" s="5" t="s">
        <v>3615</v>
      </c>
      <c r="I1151" s="18">
        <v>1</v>
      </c>
      <c r="J1151" s="18">
        <v>0</v>
      </c>
      <c r="K1151" s="18">
        <f t="shared" si="938"/>
        <v>0</v>
      </c>
      <c r="L1151" s="28" t="s">
        <v>3635</v>
      </c>
      <c r="Z1151" s="34">
        <f t="shared" si="939"/>
        <v>0</v>
      </c>
      <c r="AB1151" s="34">
        <f t="shared" si="940"/>
        <v>0</v>
      </c>
      <c r="AC1151" s="34">
        <f t="shared" si="941"/>
        <v>0</v>
      </c>
      <c r="AD1151" s="34">
        <f t="shared" si="942"/>
        <v>0</v>
      </c>
      <c r="AE1151" s="34">
        <f t="shared" si="943"/>
        <v>0</v>
      </c>
      <c r="AF1151" s="34">
        <f t="shared" si="944"/>
        <v>0</v>
      </c>
      <c r="AG1151" s="34">
        <f t="shared" si="945"/>
        <v>0</v>
      </c>
      <c r="AH1151" s="34">
        <f t="shared" si="946"/>
        <v>0</v>
      </c>
      <c r="AI1151" s="27" t="s">
        <v>3647</v>
      </c>
      <c r="AJ1151" s="18">
        <f t="shared" si="947"/>
        <v>0</v>
      </c>
      <c r="AK1151" s="18">
        <f t="shared" si="948"/>
        <v>0</v>
      </c>
      <c r="AL1151" s="18">
        <f t="shared" si="949"/>
        <v>0</v>
      </c>
      <c r="AN1151" s="34">
        <v>21</v>
      </c>
      <c r="AO1151" s="34">
        <f t="shared" si="950"/>
        <v>0</v>
      </c>
      <c r="AP1151" s="34">
        <f t="shared" si="951"/>
        <v>0</v>
      </c>
      <c r="AQ1151" s="28" t="s">
        <v>13</v>
      </c>
      <c r="AV1151" s="34">
        <f t="shared" si="952"/>
        <v>0</v>
      </c>
      <c r="AW1151" s="34">
        <f t="shared" si="953"/>
        <v>0</v>
      </c>
      <c r="AX1151" s="34">
        <f t="shared" si="954"/>
        <v>0</v>
      </c>
      <c r="AY1151" s="35" t="s">
        <v>3681</v>
      </c>
      <c r="AZ1151" s="35" t="s">
        <v>3723</v>
      </c>
      <c r="BA1151" s="27" t="s">
        <v>3731</v>
      </c>
      <c r="BC1151" s="34">
        <f t="shared" si="955"/>
        <v>0</v>
      </c>
      <c r="BD1151" s="34">
        <f t="shared" si="956"/>
        <v>0</v>
      </c>
      <c r="BE1151" s="34">
        <v>0</v>
      </c>
      <c r="BF1151" s="34">
        <f>1150</f>
        <v>1150</v>
      </c>
      <c r="BH1151" s="18">
        <f t="shared" si="957"/>
        <v>0</v>
      </c>
      <c r="BI1151" s="18">
        <f t="shared" si="958"/>
        <v>0</v>
      </c>
      <c r="BJ1151" s="18">
        <f t="shared" si="959"/>
        <v>0</v>
      </c>
    </row>
    <row r="1152" spans="1:62" x14ac:dyDescent="0.2">
      <c r="A1152" s="74" t="s">
        <v>1087</v>
      </c>
      <c r="B1152" s="5" t="s">
        <v>2258</v>
      </c>
      <c r="C1152" s="135" t="s">
        <v>2799</v>
      </c>
      <c r="D1152" s="136"/>
      <c r="E1152" s="136"/>
      <c r="F1152" s="136"/>
      <c r="G1152" s="136"/>
      <c r="H1152" s="5" t="s">
        <v>3618</v>
      </c>
      <c r="I1152" s="18">
        <v>1</v>
      </c>
      <c r="J1152" s="18">
        <v>0</v>
      </c>
      <c r="K1152" s="18">
        <f t="shared" si="938"/>
        <v>0</v>
      </c>
      <c r="L1152" s="28" t="s">
        <v>3635</v>
      </c>
      <c r="Z1152" s="34">
        <f t="shared" si="939"/>
        <v>0</v>
      </c>
      <c r="AB1152" s="34">
        <f t="shared" si="940"/>
        <v>0</v>
      </c>
      <c r="AC1152" s="34">
        <f t="shared" si="941"/>
        <v>0</v>
      </c>
      <c r="AD1152" s="34">
        <f t="shared" si="942"/>
        <v>0</v>
      </c>
      <c r="AE1152" s="34">
        <f t="shared" si="943"/>
        <v>0</v>
      </c>
      <c r="AF1152" s="34">
        <f t="shared" si="944"/>
        <v>0</v>
      </c>
      <c r="AG1152" s="34">
        <f t="shared" si="945"/>
        <v>0</v>
      </c>
      <c r="AH1152" s="34">
        <f t="shared" si="946"/>
        <v>0</v>
      </c>
      <c r="AI1152" s="27" t="s">
        <v>3647</v>
      </c>
      <c r="AJ1152" s="18">
        <f t="shared" si="947"/>
        <v>0</v>
      </c>
      <c r="AK1152" s="18">
        <f t="shared" si="948"/>
        <v>0</v>
      </c>
      <c r="AL1152" s="18">
        <f t="shared" si="949"/>
        <v>0</v>
      </c>
      <c r="AN1152" s="34">
        <v>21</v>
      </c>
      <c r="AO1152" s="34">
        <f t="shared" si="950"/>
        <v>0</v>
      </c>
      <c r="AP1152" s="34">
        <f t="shared" si="951"/>
        <v>0</v>
      </c>
      <c r="AQ1152" s="28" t="s">
        <v>13</v>
      </c>
      <c r="AV1152" s="34">
        <f t="shared" si="952"/>
        <v>0</v>
      </c>
      <c r="AW1152" s="34">
        <f t="shared" si="953"/>
        <v>0</v>
      </c>
      <c r="AX1152" s="34">
        <f t="shared" si="954"/>
        <v>0</v>
      </c>
      <c r="AY1152" s="35" t="s">
        <v>3681</v>
      </c>
      <c r="AZ1152" s="35" t="s">
        <v>3723</v>
      </c>
      <c r="BA1152" s="27" t="s">
        <v>3731</v>
      </c>
      <c r="BC1152" s="34">
        <f t="shared" si="955"/>
        <v>0</v>
      </c>
      <c r="BD1152" s="34">
        <f t="shared" si="956"/>
        <v>0</v>
      </c>
      <c r="BE1152" s="34">
        <v>0</v>
      </c>
      <c r="BF1152" s="34">
        <f>1151</f>
        <v>1151</v>
      </c>
      <c r="BH1152" s="18">
        <f t="shared" si="957"/>
        <v>0</v>
      </c>
      <c r="BI1152" s="18">
        <f t="shared" si="958"/>
        <v>0</v>
      </c>
      <c r="BJ1152" s="18">
        <f t="shared" si="959"/>
        <v>0</v>
      </c>
    </row>
    <row r="1153" spans="1:62" x14ac:dyDescent="0.2">
      <c r="A1153" s="74" t="s">
        <v>1088</v>
      </c>
      <c r="B1153" s="5" t="s">
        <v>2259</v>
      </c>
      <c r="C1153" s="135" t="s">
        <v>3466</v>
      </c>
      <c r="D1153" s="136"/>
      <c r="E1153" s="136"/>
      <c r="F1153" s="136"/>
      <c r="G1153" s="136"/>
      <c r="H1153" s="5" t="s">
        <v>3619</v>
      </c>
      <c r="I1153" s="18">
        <v>72</v>
      </c>
      <c r="J1153" s="18">
        <v>0</v>
      </c>
      <c r="K1153" s="18">
        <f t="shared" si="938"/>
        <v>0</v>
      </c>
      <c r="L1153" s="28" t="s">
        <v>3635</v>
      </c>
      <c r="Z1153" s="34">
        <f t="shared" si="939"/>
        <v>0</v>
      </c>
      <c r="AB1153" s="34">
        <f t="shared" si="940"/>
        <v>0</v>
      </c>
      <c r="AC1153" s="34">
        <f t="shared" si="941"/>
        <v>0</v>
      </c>
      <c r="AD1153" s="34">
        <f t="shared" si="942"/>
        <v>0</v>
      </c>
      <c r="AE1153" s="34">
        <f t="shared" si="943"/>
        <v>0</v>
      </c>
      <c r="AF1153" s="34">
        <f t="shared" si="944"/>
        <v>0</v>
      </c>
      <c r="AG1153" s="34">
        <f t="shared" si="945"/>
        <v>0</v>
      </c>
      <c r="AH1153" s="34">
        <f t="shared" si="946"/>
        <v>0</v>
      </c>
      <c r="AI1153" s="27" t="s">
        <v>3647</v>
      </c>
      <c r="AJ1153" s="18">
        <f t="shared" si="947"/>
        <v>0</v>
      </c>
      <c r="AK1153" s="18">
        <f t="shared" si="948"/>
        <v>0</v>
      </c>
      <c r="AL1153" s="18">
        <f t="shared" si="949"/>
        <v>0</v>
      </c>
      <c r="AN1153" s="34">
        <v>21</v>
      </c>
      <c r="AO1153" s="34">
        <f t="shared" si="950"/>
        <v>0</v>
      </c>
      <c r="AP1153" s="34">
        <f t="shared" si="951"/>
        <v>0</v>
      </c>
      <c r="AQ1153" s="28" t="s">
        <v>13</v>
      </c>
      <c r="AV1153" s="34">
        <f t="shared" si="952"/>
        <v>0</v>
      </c>
      <c r="AW1153" s="34">
        <f t="shared" si="953"/>
        <v>0</v>
      </c>
      <c r="AX1153" s="34">
        <f t="shared" si="954"/>
        <v>0</v>
      </c>
      <c r="AY1153" s="35" t="s">
        <v>3681</v>
      </c>
      <c r="AZ1153" s="35" t="s">
        <v>3723</v>
      </c>
      <c r="BA1153" s="27" t="s">
        <v>3731</v>
      </c>
      <c r="BC1153" s="34">
        <f t="shared" si="955"/>
        <v>0</v>
      </c>
      <c r="BD1153" s="34">
        <f t="shared" si="956"/>
        <v>0</v>
      </c>
      <c r="BE1153" s="34">
        <v>0</v>
      </c>
      <c r="BF1153" s="34">
        <f>1152</f>
        <v>1152</v>
      </c>
      <c r="BH1153" s="18">
        <f t="shared" si="957"/>
        <v>0</v>
      </c>
      <c r="BI1153" s="18">
        <f t="shared" si="958"/>
        <v>0</v>
      </c>
      <c r="BJ1153" s="18">
        <f t="shared" si="959"/>
        <v>0</v>
      </c>
    </row>
    <row r="1154" spans="1:62" x14ac:dyDescent="0.2">
      <c r="A1154" s="4"/>
      <c r="B1154" s="14" t="s">
        <v>2260</v>
      </c>
      <c r="C1154" s="133" t="s">
        <v>3467</v>
      </c>
      <c r="D1154" s="134"/>
      <c r="E1154" s="134"/>
      <c r="F1154" s="134"/>
      <c r="G1154" s="134"/>
      <c r="H1154" s="4" t="s">
        <v>6</v>
      </c>
      <c r="I1154" s="4" t="s">
        <v>6</v>
      </c>
      <c r="J1154" s="4" t="s">
        <v>6</v>
      </c>
      <c r="K1154" s="37">
        <f>SUM(K1155:K1206)</f>
        <v>0</v>
      </c>
      <c r="L1154" s="27"/>
      <c r="AI1154" s="27" t="s">
        <v>3647</v>
      </c>
      <c r="AS1154" s="37">
        <f>SUM(AJ1155:AJ1206)</f>
        <v>0</v>
      </c>
      <c r="AT1154" s="37">
        <f>SUM(AK1155:AK1206)</f>
        <v>0</v>
      </c>
      <c r="AU1154" s="37">
        <f>SUM(AL1155:AL1206)</f>
        <v>0</v>
      </c>
    </row>
    <row r="1155" spans="1:62" x14ac:dyDescent="0.2">
      <c r="A1155" s="74" t="s">
        <v>1089</v>
      </c>
      <c r="B1155" s="5" t="s">
        <v>2261</v>
      </c>
      <c r="C1155" s="135" t="s">
        <v>3468</v>
      </c>
      <c r="D1155" s="136"/>
      <c r="E1155" s="136"/>
      <c r="F1155" s="136"/>
      <c r="G1155" s="136"/>
      <c r="H1155" s="5" t="s">
        <v>3612</v>
      </c>
      <c r="I1155" s="18">
        <v>1</v>
      </c>
      <c r="J1155" s="18">
        <v>0</v>
      </c>
      <c r="K1155" s="18">
        <f t="shared" ref="K1155:K1186" si="960">I1155*J1155</f>
        <v>0</v>
      </c>
      <c r="L1155" s="28" t="s">
        <v>3635</v>
      </c>
      <c r="Z1155" s="34">
        <f t="shared" ref="Z1155:Z1186" si="961">IF(AQ1155="5",BJ1155,0)</f>
        <v>0</v>
      </c>
      <c r="AB1155" s="34">
        <f t="shared" ref="AB1155:AB1186" si="962">IF(AQ1155="1",BH1155,0)</f>
        <v>0</v>
      </c>
      <c r="AC1155" s="34">
        <f t="shared" ref="AC1155:AC1186" si="963">IF(AQ1155="1",BI1155,0)</f>
        <v>0</v>
      </c>
      <c r="AD1155" s="34">
        <f t="shared" ref="AD1155:AD1186" si="964">IF(AQ1155="7",BH1155,0)</f>
        <v>0</v>
      </c>
      <c r="AE1155" s="34">
        <f t="shared" ref="AE1155:AE1186" si="965">IF(AQ1155="7",BI1155,0)</f>
        <v>0</v>
      </c>
      <c r="AF1155" s="34">
        <f t="shared" ref="AF1155:AF1186" si="966">IF(AQ1155="2",BH1155,0)</f>
        <v>0</v>
      </c>
      <c r="AG1155" s="34">
        <f t="shared" ref="AG1155:AG1186" si="967">IF(AQ1155="2",BI1155,0)</f>
        <v>0</v>
      </c>
      <c r="AH1155" s="34">
        <f t="shared" ref="AH1155:AH1186" si="968">IF(AQ1155="0",BJ1155,0)</f>
        <v>0</v>
      </c>
      <c r="AI1155" s="27" t="s">
        <v>3647</v>
      </c>
      <c r="AJ1155" s="18">
        <f t="shared" ref="AJ1155:AJ1186" si="969">IF(AN1155=0,K1155,0)</f>
        <v>0</v>
      </c>
      <c r="AK1155" s="18">
        <f t="shared" ref="AK1155:AK1186" si="970">IF(AN1155=15,K1155,0)</f>
        <v>0</v>
      </c>
      <c r="AL1155" s="18">
        <f t="shared" ref="AL1155:AL1186" si="971">IF(AN1155=21,K1155,0)</f>
        <v>0</v>
      </c>
      <c r="AN1155" s="34">
        <v>21</v>
      </c>
      <c r="AO1155" s="34">
        <f t="shared" ref="AO1155:AO1186" si="972">J1155*0</f>
        <v>0</v>
      </c>
      <c r="AP1155" s="34">
        <f t="shared" ref="AP1155:AP1186" si="973">J1155*(1-0)</f>
        <v>0</v>
      </c>
      <c r="AQ1155" s="28" t="s">
        <v>7</v>
      </c>
      <c r="AV1155" s="34">
        <f t="shared" ref="AV1155:AV1186" si="974">AW1155+AX1155</f>
        <v>0</v>
      </c>
      <c r="AW1155" s="34">
        <f t="shared" ref="AW1155:AW1186" si="975">I1155*AO1155</f>
        <v>0</v>
      </c>
      <c r="AX1155" s="34">
        <f t="shared" ref="AX1155:AX1186" si="976">I1155*AP1155</f>
        <v>0</v>
      </c>
      <c r="AY1155" s="35" t="s">
        <v>3701</v>
      </c>
      <c r="AZ1155" s="35" t="s">
        <v>3724</v>
      </c>
      <c r="BA1155" s="27" t="s">
        <v>3731</v>
      </c>
      <c r="BC1155" s="34">
        <f t="shared" ref="BC1155:BC1186" si="977">AW1155+AX1155</f>
        <v>0</v>
      </c>
      <c r="BD1155" s="34">
        <f t="shared" ref="BD1155:BD1186" si="978">J1155/(100-BE1155)*100</f>
        <v>0</v>
      </c>
      <c r="BE1155" s="34">
        <v>0</v>
      </c>
      <c r="BF1155" s="34">
        <f>1154</f>
        <v>1154</v>
      </c>
      <c r="BH1155" s="18">
        <f t="shared" ref="BH1155:BH1186" si="979">I1155*AO1155</f>
        <v>0</v>
      </c>
      <c r="BI1155" s="18">
        <f t="shared" ref="BI1155:BI1186" si="980">I1155*AP1155</f>
        <v>0</v>
      </c>
      <c r="BJ1155" s="18">
        <f t="shared" ref="BJ1155:BJ1186" si="981">I1155*J1155</f>
        <v>0</v>
      </c>
    </row>
    <row r="1156" spans="1:62" x14ac:dyDescent="0.2">
      <c r="A1156" s="74" t="s">
        <v>1090</v>
      </c>
      <c r="B1156" s="5" t="s">
        <v>2262</v>
      </c>
      <c r="C1156" s="135" t="s">
        <v>3469</v>
      </c>
      <c r="D1156" s="136"/>
      <c r="E1156" s="136"/>
      <c r="F1156" s="136"/>
      <c r="G1156" s="136"/>
      <c r="H1156" s="5" t="s">
        <v>3612</v>
      </c>
      <c r="I1156" s="18">
        <v>1</v>
      </c>
      <c r="J1156" s="18">
        <v>0</v>
      </c>
      <c r="K1156" s="18">
        <f t="shared" si="960"/>
        <v>0</v>
      </c>
      <c r="L1156" s="28" t="s">
        <v>3635</v>
      </c>
      <c r="Z1156" s="34">
        <f t="shared" si="961"/>
        <v>0</v>
      </c>
      <c r="AB1156" s="34">
        <f t="shared" si="962"/>
        <v>0</v>
      </c>
      <c r="AC1156" s="34">
        <f t="shared" si="963"/>
        <v>0</v>
      </c>
      <c r="AD1156" s="34">
        <f t="shared" si="964"/>
        <v>0</v>
      </c>
      <c r="AE1156" s="34">
        <f t="shared" si="965"/>
        <v>0</v>
      </c>
      <c r="AF1156" s="34">
        <f t="shared" si="966"/>
        <v>0</v>
      </c>
      <c r="AG1156" s="34">
        <f t="shared" si="967"/>
        <v>0</v>
      </c>
      <c r="AH1156" s="34">
        <f t="shared" si="968"/>
        <v>0</v>
      </c>
      <c r="AI1156" s="27" t="s">
        <v>3647</v>
      </c>
      <c r="AJ1156" s="18">
        <f t="shared" si="969"/>
        <v>0</v>
      </c>
      <c r="AK1156" s="18">
        <f t="shared" si="970"/>
        <v>0</v>
      </c>
      <c r="AL1156" s="18">
        <f t="shared" si="971"/>
        <v>0</v>
      </c>
      <c r="AN1156" s="34">
        <v>21</v>
      </c>
      <c r="AO1156" s="34">
        <f t="shared" si="972"/>
        <v>0</v>
      </c>
      <c r="AP1156" s="34">
        <f t="shared" si="973"/>
        <v>0</v>
      </c>
      <c r="AQ1156" s="28" t="s">
        <v>7</v>
      </c>
      <c r="AV1156" s="34">
        <f t="shared" si="974"/>
        <v>0</v>
      </c>
      <c r="AW1156" s="34">
        <f t="shared" si="975"/>
        <v>0</v>
      </c>
      <c r="AX1156" s="34">
        <f t="shared" si="976"/>
        <v>0</v>
      </c>
      <c r="AY1156" s="35" t="s">
        <v>3701</v>
      </c>
      <c r="AZ1156" s="35" t="s">
        <v>3724</v>
      </c>
      <c r="BA1156" s="27" t="s">
        <v>3731</v>
      </c>
      <c r="BC1156" s="34">
        <f t="shared" si="977"/>
        <v>0</v>
      </c>
      <c r="BD1156" s="34">
        <f t="shared" si="978"/>
        <v>0</v>
      </c>
      <c r="BE1156" s="34">
        <v>0</v>
      </c>
      <c r="BF1156" s="34">
        <f>1155</f>
        <v>1155</v>
      </c>
      <c r="BH1156" s="18">
        <f t="shared" si="979"/>
        <v>0</v>
      </c>
      <c r="BI1156" s="18">
        <f t="shared" si="980"/>
        <v>0</v>
      </c>
      <c r="BJ1156" s="18">
        <f t="shared" si="981"/>
        <v>0</v>
      </c>
    </row>
    <row r="1157" spans="1:62" x14ac:dyDescent="0.2">
      <c r="A1157" s="74" t="s">
        <v>1091</v>
      </c>
      <c r="B1157" s="5" t="s">
        <v>2263</v>
      </c>
      <c r="C1157" s="135" t="s">
        <v>3470</v>
      </c>
      <c r="D1157" s="136"/>
      <c r="E1157" s="136"/>
      <c r="F1157" s="136"/>
      <c r="G1157" s="136"/>
      <c r="H1157" s="5" t="s">
        <v>3612</v>
      </c>
      <c r="I1157" s="18">
        <v>1</v>
      </c>
      <c r="J1157" s="18">
        <v>0</v>
      </c>
      <c r="K1157" s="18">
        <f t="shared" si="960"/>
        <v>0</v>
      </c>
      <c r="L1157" s="28" t="s">
        <v>3635</v>
      </c>
      <c r="Z1157" s="34">
        <f t="shared" si="961"/>
        <v>0</v>
      </c>
      <c r="AB1157" s="34">
        <f t="shared" si="962"/>
        <v>0</v>
      </c>
      <c r="AC1157" s="34">
        <f t="shared" si="963"/>
        <v>0</v>
      </c>
      <c r="AD1157" s="34">
        <f t="shared" si="964"/>
        <v>0</v>
      </c>
      <c r="AE1157" s="34">
        <f t="shared" si="965"/>
        <v>0</v>
      </c>
      <c r="AF1157" s="34">
        <f t="shared" si="966"/>
        <v>0</v>
      </c>
      <c r="AG1157" s="34">
        <f t="shared" si="967"/>
        <v>0</v>
      </c>
      <c r="AH1157" s="34">
        <f t="shared" si="968"/>
        <v>0</v>
      </c>
      <c r="AI1157" s="27" t="s">
        <v>3647</v>
      </c>
      <c r="AJ1157" s="18">
        <f t="shared" si="969"/>
        <v>0</v>
      </c>
      <c r="AK1157" s="18">
        <f t="shared" si="970"/>
        <v>0</v>
      </c>
      <c r="AL1157" s="18">
        <f t="shared" si="971"/>
        <v>0</v>
      </c>
      <c r="AN1157" s="34">
        <v>21</v>
      </c>
      <c r="AO1157" s="34">
        <f t="shared" si="972"/>
        <v>0</v>
      </c>
      <c r="AP1157" s="34">
        <f t="shared" si="973"/>
        <v>0</v>
      </c>
      <c r="AQ1157" s="28" t="s">
        <v>7</v>
      </c>
      <c r="AV1157" s="34">
        <f t="shared" si="974"/>
        <v>0</v>
      </c>
      <c r="AW1157" s="34">
        <f t="shared" si="975"/>
        <v>0</v>
      </c>
      <c r="AX1157" s="34">
        <f t="shared" si="976"/>
        <v>0</v>
      </c>
      <c r="AY1157" s="35" t="s">
        <v>3701</v>
      </c>
      <c r="AZ1157" s="35" t="s">
        <v>3724</v>
      </c>
      <c r="BA1157" s="27" t="s">
        <v>3731</v>
      </c>
      <c r="BC1157" s="34">
        <f t="shared" si="977"/>
        <v>0</v>
      </c>
      <c r="BD1157" s="34">
        <f t="shared" si="978"/>
        <v>0</v>
      </c>
      <c r="BE1157" s="34">
        <v>0</v>
      </c>
      <c r="BF1157" s="34">
        <f>1156</f>
        <v>1156</v>
      </c>
      <c r="BH1157" s="18">
        <f t="shared" si="979"/>
        <v>0</v>
      </c>
      <c r="BI1157" s="18">
        <f t="shared" si="980"/>
        <v>0</v>
      </c>
      <c r="BJ1157" s="18">
        <f t="shared" si="981"/>
        <v>0</v>
      </c>
    </row>
    <row r="1158" spans="1:62" x14ac:dyDescent="0.2">
      <c r="A1158" s="74" t="s">
        <v>1092</v>
      </c>
      <c r="B1158" s="5" t="s">
        <v>2264</v>
      </c>
      <c r="C1158" s="135" t="s">
        <v>3471</v>
      </c>
      <c r="D1158" s="136"/>
      <c r="E1158" s="136"/>
      <c r="F1158" s="136"/>
      <c r="G1158" s="136"/>
      <c r="H1158" s="5" t="s">
        <v>3612</v>
      </c>
      <c r="I1158" s="18">
        <v>1</v>
      </c>
      <c r="J1158" s="18">
        <v>0</v>
      </c>
      <c r="K1158" s="18">
        <f t="shared" si="960"/>
        <v>0</v>
      </c>
      <c r="L1158" s="28" t="s">
        <v>3635</v>
      </c>
      <c r="Z1158" s="34">
        <f t="shared" si="961"/>
        <v>0</v>
      </c>
      <c r="AB1158" s="34">
        <f t="shared" si="962"/>
        <v>0</v>
      </c>
      <c r="AC1158" s="34">
        <f t="shared" si="963"/>
        <v>0</v>
      </c>
      <c r="AD1158" s="34">
        <f t="shared" si="964"/>
        <v>0</v>
      </c>
      <c r="AE1158" s="34">
        <f t="shared" si="965"/>
        <v>0</v>
      </c>
      <c r="AF1158" s="34">
        <f t="shared" si="966"/>
        <v>0</v>
      </c>
      <c r="AG1158" s="34">
        <f t="shared" si="967"/>
        <v>0</v>
      </c>
      <c r="AH1158" s="34">
        <f t="shared" si="968"/>
        <v>0</v>
      </c>
      <c r="AI1158" s="27" t="s">
        <v>3647</v>
      </c>
      <c r="AJ1158" s="18">
        <f t="shared" si="969"/>
        <v>0</v>
      </c>
      <c r="AK1158" s="18">
        <f t="shared" si="970"/>
        <v>0</v>
      </c>
      <c r="AL1158" s="18">
        <f t="shared" si="971"/>
        <v>0</v>
      </c>
      <c r="AN1158" s="34">
        <v>21</v>
      </c>
      <c r="AO1158" s="34">
        <f t="shared" si="972"/>
        <v>0</v>
      </c>
      <c r="AP1158" s="34">
        <f t="shared" si="973"/>
        <v>0</v>
      </c>
      <c r="AQ1158" s="28" t="s">
        <v>7</v>
      </c>
      <c r="AV1158" s="34">
        <f t="shared" si="974"/>
        <v>0</v>
      </c>
      <c r="AW1158" s="34">
        <f t="shared" si="975"/>
        <v>0</v>
      </c>
      <c r="AX1158" s="34">
        <f t="shared" si="976"/>
        <v>0</v>
      </c>
      <c r="AY1158" s="35" t="s">
        <v>3701</v>
      </c>
      <c r="AZ1158" s="35" t="s">
        <v>3724</v>
      </c>
      <c r="BA1158" s="27" t="s">
        <v>3731</v>
      </c>
      <c r="BC1158" s="34">
        <f t="shared" si="977"/>
        <v>0</v>
      </c>
      <c r="BD1158" s="34">
        <f t="shared" si="978"/>
        <v>0</v>
      </c>
      <c r="BE1158" s="34">
        <v>0</v>
      </c>
      <c r="BF1158" s="34">
        <f>1157</f>
        <v>1157</v>
      </c>
      <c r="BH1158" s="18">
        <f t="shared" si="979"/>
        <v>0</v>
      </c>
      <c r="BI1158" s="18">
        <f t="shared" si="980"/>
        <v>0</v>
      </c>
      <c r="BJ1158" s="18">
        <f t="shared" si="981"/>
        <v>0</v>
      </c>
    </row>
    <row r="1159" spans="1:62" x14ac:dyDescent="0.2">
      <c r="A1159" s="74" t="s">
        <v>1093</v>
      </c>
      <c r="B1159" s="5" t="s">
        <v>2265</v>
      </c>
      <c r="C1159" s="135" t="s">
        <v>3472</v>
      </c>
      <c r="D1159" s="136"/>
      <c r="E1159" s="136"/>
      <c r="F1159" s="136"/>
      <c r="G1159" s="136"/>
      <c r="H1159" s="5" t="s">
        <v>3612</v>
      </c>
      <c r="I1159" s="18">
        <v>1</v>
      </c>
      <c r="J1159" s="18">
        <v>0</v>
      </c>
      <c r="K1159" s="18">
        <f t="shared" si="960"/>
        <v>0</v>
      </c>
      <c r="L1159" s="28" t="s">
        <v>3635</v>
      </c>
      <c r="Z1159" s="34">
        <f t="shared" si="961"/>
        <v>0</v>
      </c>
      <c r="AB1159" s="34">
        <f t="shared" si="962"/>
        <v>0</v>
      </c>
      <c r="AC1159" s="34">
        <f t="shared" si="963"/>
        <v>0</v>
      </c>
      <c r="AD1159" s="34">
        <f t="shared" si="964"/>
        <v>0</v>
      </c>
      <c r="AE1159" s="34">
        <f t="shared" si="965"/>
        <v>0</v>
      </c>
      <c r="AF1159" s="34">
        <f t="shared" si="966"/>
        <v>0</v>
      </c>
      <c r="AG1159" s="34">
        <f t="shared" si="967"/>
        <v>0</v>
      </c>
      <c r="AH1159" s="34">
        <f t="shared" si="968"/>
        <v>0</v>
      </c>
      <c r="AI1159" s="27" t="s">
        <v>3647</v>
      </c>
      <c r="AJ1159" s="18">
        <f t="shared" si="969"/>
        <v>0</v>
      </c>
      <c r="AK1159" s="18">
        <f t="shared" si="970"/>
        <v>0</v>
      </c>
      <c r="AL1159" s="18">
        <f t="shared" si="971"/>
        <v>0</v>
      </c>
      <c r="AN1159" s="34">
        <v>21</v>
      </c>
      <c r="AO1159" s="34">
        <f t="shared" si="972"/>
        <v>0</v>
      </c>
      <c r="AP1159" s="34">
        <f t="shared" si="973"/>
        <v>0</v>
      </c>
      <c r="AQ1159" s="28" t="s">
        <v>7</v>
      </c>
      <c r="AV1159" s="34">
        <f t="shared" si="974"/>
        <v>0</v>
      </c>
      <c r="AW1159" s="34">
        <f t="shared" si="975"/>
        <v>0</v>
      </c>
      <c r="AX1159" s="34">
        <f t="shared" si="976"/>
        <v>0</v>
      </c>
      <c r="AY1159" s="35" t="s">
        <v>3701</v>
      </c>
      <c r="AZ1159" s="35" t="s">
        <v>3724</v>
      </c>
      <c r="BA1159" s="27" t="s">
        <v>3731</v>
      </c>
      <c r="BC1159" s="34">
        <f t="shared" si="977"/>
        <v>0</v>
      </c>
      <c r="BD1159" s="34">
        <f t="shared" si="978"/>
        <v>0</v>
      </c>
      <c r="BE1159" s="34">
        <v>0</v>
      </c>
      <c r="BF1159" s="34">
        <f>1158</f>
        <v>1158</v>
      </c>
      <c r="BH1159" s="18">
        <f t="shared" si="979"/>
        <v>0</v>
      </c>
      <c r="BI1159" s="18">
        <f t="shared" si="980"/>
        <v>0</v>
      </c>
      <c r="BJ1159" s="18">
        <f t="shared" si="981"/>
        <v>0</v>
      </c>
    </row>
    <row r="1160" spans="1:62" x14ac:dyDescent="0.2">
      <c r="A1160" s="74" t="s">
        <v>1094</v>
      </c>
      <c r="B1160" s="5" t="s">
        <v>2266</v>
      </c>
      <c r="C1160" s="135" t="s">
        <v>3473</v>
      </c>
      <c r="D1160" s="136"/>
      <c r="E1160" s="136"/>
      <c r="F1160" s="136"/>
      <c r="G1160" s="136"/>
      <c r="H1160" s="5" t="s">
        <v>3612</v>
      </c>
      <c r="I1160" s="18">
        <v>1</v>
      </c>
      <c r="J1160" s="18">
        <v>0</v>
      </c>
      <c r="K1160" s="18">
        <f t="shared" si="960"/>
        <v>0</v>
      </c>
      <c r="L1160" s="28" t="s">
        <v>3635</v>
      </c>
      <c r="Z1160" s="34">
        <f t="shared" si="961"/>
        <v>0</v>
      </c>
      <c r="AB1160" s="34">
        <f t="shared" si="962"/>
        <v>0</v>
      </c>
      <c r="AC1160" s="34">
        <f t="shared" si="963"/>
        <v>0</v>
      </c>
      <c r="AD1160" s="34">
        <f t="shared" si="964"/>
        <v>0</v>
      </c>
      <c r="AE1160" s="34">
        <f t="shared" si="965"/>
        <v>0</v>
      </c>
      <c r="AF1160" s="34">
        <f t="shared" si="966"/>
        <v>0</v>
      </c>
      <c r="AG1160" s="34">
        <f t="shared" si="967"/>
        <v>0</v>
      </c>
      <c r="AH1160" s="34">
        <f t="shared" si="968"/>
        <v>0</v>
      </c>
      <c r="AI1160" s="27" t="s">
        <v>3647</v>
      </c>
      <c r="AJ1160" s="18">
        <f t="shared" si="969"/>
        <v>0</v>
      </c>
      <c r="AK1160" s="18">
        <f t="shared" si="970"/>
        <v>0</v>
      </c>
      <c r="AL1160" s="18">
        <f t="shared" si="971"/>
        <v>0</v>
      </c>
      <c r="AN1160" s="34">
        <v>21</v>
      </c>
      <c r="AO1160" s="34">
        <f t="shared" si="972"/>
        <v>0</v>
      </c>
      <c r="AP1160" s="34">
        <f t="shared" si="973"/>
        <v>0</v>
      </c>
      <c r="AQ1160" s="28" t="s">
        <v>7</v>
      </c>
      <c r="AV1160" s="34">
        <f t="shared" si="974"/>
        <v>0</v>
      </c>
      <c r="AW1160" s="34">
        <f t="shared" si="975"/>
        <v>0</v>
      </c>
      <c r="AX1160" s="34">
        <f t="shared" si="976"/>
        <v>0</v>
      </c>
      <c r="AY1160" s="35" t="s">
        <v>3701</v>
      </c>
      <c r="AZ1160" s="35" t="s">
        <v>3724</v>
      </c>
      <c r="BA1160" s="27" t="s">
        <v>3731</v>
      </c>
      <c r="BC1160" s="34">
        <f t="shared" si="977"/>
        <v>0</v>
      </c>
      <c r="BD1160" s="34">
        <f t="shared" si="978"/>
        <v>0</v>
      </c>
      <c r="BE1160" s="34">
        <v>0</v>
      </c>
      <c r="BF1160" s="34">
        <f>1159</f>
        <v>1159</v>
      </c>
      <c r="BH1160" s="18">
        <f t="shared" si="979"/>
        <v>0</v>
      </c>
      <c r="BI1160" s="18">
        <f t="shared" si="980"/>
        <v>0</v>
      </c>
      <c r="BJ1160" s="18">
        <f t="shared" si="981"/>
        <v>0</v>
      </c>
    </row>
    <row r="1161" spans="1:62" x14ac:dyDescent="0.2">
      <c r="A1161" s="74" t="s">
        <v>1095</v>
      </c>
      <c r="B1161" s="5" t="s">
        <v>2267</v>
      </c>
      <c r="C1161" s="135" t="s">
        <v>3474</v>
      </c>
      <c r="D1161" s="136"/>
      <c r="E1161" s="136"/>
      <c r="F1161" s="136"/>
      <c r="G1161" s="136"/>
      <c r="H1161" s="5" t="s">
        <v>3612</v>
      </c>
      <c r="I1161" s="18">
        <v>1</v>
      </c>
      <c r="J1161" s="18">
        <v>0</v>
      </c>
      <c r="K1161" s="18">
        <f t="shared" si="960"/>
        <v>0</v>
      </c>
      <c r="L1161" s="28" t="s">
        <v>3635</v>
      </c>
      <c r="Z1161" s="34">
        <f t="shared" si="961"/>
        <v>0</v>
      </c>
      <c r="AB1161" s="34">
        <f t="shared" si="962"/>
        <v>0</v>
      </c>
      <c r="AC1161" s="34">
        <f t="shared" si="963"/>
        <v>0</v>
      </c>
      <c r="AD1161" s="34">
        <f t="shared" si="964"/>
        <v>0</v>
      </c>
      <c r="AE1161" s="34">
        <f t="shared" si="965"/>
        <v>0</v>
      </c>
      <c r="AF1161" s="34">
        <f t="shared" si="966"/>
        <v>0</v>
      </c>
      <c r="AG1161" s="34">
        <f t="shared" si="967"/>
        <v>0</v>
      </c>
      <c r="AH1161" s="34">
        <f t="shared" si="968"/>
        <v>0</v>
      </c>
      <c r="AI1161" s="27" t="s">
        <v>3647</v>
      </c>
      <c r="AJ1161" s="18">
        <f t="shared" si="969"/>
        <v>0</v>
      </c>
      <c r="AK1161" s="18">
        <f t="shared" si="970"/>
        <v>0</v>
      </c>
      <c r="AL1161" s="18">
        <f t="shared" si="971"/>
        <v>0</v>
      </c>
      <c r="AN1161" s="34">
        <v>21</v>
      </c>
      <c r="AO1161" s="34">
        <f t="shared" si="972"/>
        <v>0</v>
      </c>
      <c r="AP1161" s="34">
        <f t="shared" si="973"/>
        <v>0</v>
      </c>
      <c r="AQ1161" s="28" t="s">
        <v>7</v>
      </c>
      <c r="AV1161" s="34">
        <f t="shared" si="974"/>
        <v>0</v>
      </c>
      <c r="AW1161" s="34">
        <f t="shared" si="975"/>
        <v>0</v>
      </c>
      <c r="AX1161" s="34">
        <f t="shared" si="976"/>
        <v>0</v>
      </c>
      <c r="AY1161" s="35" t="s">
        <v>3701</v>
      </c>
      <c r="AZ1161" s="35" t="s">
        <v>3724</v>
      </c>
      <c r="BA1161" s="27" t="s">
        <v>3731</v>
      </c>
      <c r="BC1161" s="34">
        <f t="shared" si="977"/>
        <v>0</v>
      </c>
      <c r="BD1161" s="34">
        <f t="shared" si="978"/>
        <v>0</v>
      </c>
      <c r="BE1161" s="34">
        <v>0</v>
      </c>
      <c r="BF1161" s="34">
        <f>1160</f>
        <v>1160</v>
      </c>
      <c r="BH1161" s="18">
        <f t="shared" si="979"/>
        <v>0</v>
      </c>
      <c r="BI1161" s="18">
        <f t="shared" si="980"/>
        <v>0</v>
      </c>
      <c r="BJ1161" s="18">
        <f t="shared" si="981"/>
        <v>0</v>
      </c>
    </row>
    <row r="1162" spans="1:62" x14ac:dyDescent="0.2">
      <c r="A1162" s="74" t="s">
        <v>1096</v>
      </c>
      <c r="B1162" s="5" t="s">
        <v>2268</v>
      </c>
      <c r="C1162" s="135" t="s">
        <v>3475</v>
      </c>
      <c r="D1162" s="136"/>
      <c r="E1162" s="136"/>
      <c r="F1162" s="136"/>
      <c r="G1162" s="136"/>
      <c r="H1162" s="5" t="s">
        <v>3612</v>
      </c>
      <c r="I1162" s="18">
        <v>1</v>
      </c>
      <c r="J1162" s="18">
        <v>0</v>
      </c>
      <c r="K1162" s="18">
        <f t="shared" si="960"/>
        <v>0</v>
      </c>
      <c r="L1162" s="28" t="s">
        <v>3635</v>
      </c>
      <c r="Z1162" s="34">
        <f t="shared" si="961"/>
        <v>0</v>
      </c>
      <c r="AB1162" s="34">
        <f t="shared" si="962"/>
        <v>0</v>
      </c>
      <c r="AC1162" s="34">
        <f t="shared" si="963"/>
        <v>0</v>
      </c>
      <c r="AD1162" s="34">
        <f t="shared" si="964"/>
        <v>0</v>
      </c>
      <c r="AE1162" s="34">
        <f t="shared" si="965"/>
        <v>0</v>
      </c>
      <c r="AF1162" s="34">
        <f t="shared" si="966"/>
        <v>0</v>
      </c>
      <c r="AG1162" s="34">
        <f t="shared" si="967"/>
        <v>0</v>
      </c>
      <c r="AH1162" s="34">
        <f t="shared" si="968"/>
        <v>0</v>
      </c>
      <c r="AI1162" s="27" t="s">
        <v>3647</v>
      </c>
      <c r="AJ1162" s="18">
        <f t="shared" si="969"/>
        <v>0</v>
      </c>
      <c r="AK1162" s="18">
        <f t="shared" si="970"/>
        <v>0</v>
      </c>
      <c r="AL1162" s="18">
        <f t="shared" si="971"/>
        <v>0</v>
      </c>
      <c r="AN1162" s="34">
        <v>21</v>
      </c>
      <c r="AO1162" s="34">
        <f t="shared" si="972"/>
        <v>0</v>
      </c>
      <c r="AP1162" s="34">
        <f t="shared" si="973"/>
        <v>0</v>
      </c>
      <c r="AQ1162" s="28" t="s">
        <v>7</v>
      </c>
      <c r="AV1162" s="34">
        <f t="shared" si="974"/>
        <v>0</v>
      </c>
      <c r="AW1162" s="34">
        <f t="shared" si="975"/>
        <v>0</v>
      </c>
      <c r="AX1162" s="34">
        <f t="shared" si="976"/>
        <v>0</v>
      </c>
      <c r="AY1162" s="35" t="s">
        <v>3701</v>
      </c>
      <c r="AZ1162" s="35" t="s">
        <v>3724</v>
      </c>
      <c r="BA1162" s="27" t="s">
        <v>3731</v>
      </c>
      <c r="BC1162" s="34">
        <f t="shared" si="977"/>
        <v>0</v>
      </c>
      <c r="BD1162" s="34">
        <f t="shared" si="978"/>
        <v>0</v>
      </c>
      <c r="BE1162" s="34">
        <v>0</v>
      </c>
      <c r="BF1162" s="34">
        <f>1161</f>
        <v>1161</v>
      </c>
      <c r="BH1162" s="18">
        <f t="shared" si="979"/>
        <v>0</v>
      </c>
      <c r="BI1162" s="18">
        <f t="shared" si="980"/>
        <v>0</v>
      </c>
      <c r="BJ1162" s="18">
        <f t="shared" si="981"/>
        <v>0</v>
      </c>
    </row>
    <row r="1163" spans="1:62" x14ac:dyDescent="0.2">
      <c r="A1163" s="74" t="s">
        <v>1097</v>
      </c>
      <c r="B1163" s="5" t="s">
        <v>2269</v>
      </c>
      <c r="C1163" s="135" t="s">
        <v>3476</v>
      </c>
      <c r="D1163" s="136"/>
      <c r="E1163" s="136"/>
      <c r="F1163" s="136"/>
      <c r="G1163" s="136"/>
      <c r="H1163" s="5" t="s">
        <v>3612</v>
      </c>
      <c r="I1163" s="18">
        <v>2</v>
      </c>
      <c r="J1163" s="18">
        <v>0</v>
      </c>
      <c r="K1163" s="18">
        <f t="shared" si="960"/>
        <v>0</v>
      </c>
      <c r="L1163" s="28" t="s">
        <v>3635</v>
      </c>
      <c r="Z1163" s="34">
        <f t="shared" si="961"/>
        <v>0</v>
      </c>
      <c r="AB1163" s="34">
        <f t="shared" si="962"/>
        <v>0</v>
      </c>
      <c r="AC1163" s="34">
        <f t="shared" si="963"/>
        <v>0</v>
      </c>
      <c r="AD1163" s="34">
        <f t="shared" si="964"/>
        <v>0</v>
      </c>
      <c r="AE1163" s="34">
        <f t="shared" si="965"/>
        <v>0</v>
      </c>
      <c r="AF1163" s="34">
        <f t="shared" si="966"/>
        <v>0</v>
      </c>
      <c r="AG1163" s="34">
        <f t="shared" si="967"/>
        <v>0</v>
      </c>
      <c r="AH1163" s="34">
        <f t="shared" si="968"/>
        <v>0</v>
      </c>
      <c r="AI1163" s="27" t="s">
        <v>3647</v>
      </c>
      <c r="AJ1163" s="18">
        <f t="shared" si="969"/>
        <v>0</v>
      </c>
      <c r="AK1163" s="18">
        <f t="shared" si="970"/>
        <v>0</v>
      </c>
      <c r="AL1163" s="18">
        <f t="shared" si="971"/>
        <v>0</v>
      </c>
      <c r="AN1163" s="34">
        <v>21</v>
      </c>
      <c r="AO1163" s="34">
        <f t="shared" si="972"/>
        <v>0</v>
      </c>
      <c r="AP1163" s="34">
        <f t="shared" si="973"/>
        <v>0</v>
      </c>
      <c r="AQ1163" s="28" t="s">
        <v>7</v>
      </c>
      <c r="AV1163" s="34">
        <f t="shared" si="974"/>
        <v>0</v>
      </c>
      <c r="AW1163" s="34">
        <f t="shared" si="975"/>
        <v>0</v>
      </c>
      <c r="AX1163" s="34">
        <f t="shared" si="976"/>
        <v>0</v>
      </c>
      <c r="AY1163" s="35" t="s">
        <v>3701</v>
      </c>
      <c r="AZ1163" s="35" t="s">
        <v>3724</v>
      </c>
      <c r="BA1163" s="27" t="s">
        <v>3731</v>
      </c>
      <c r="BC1163" s="34">
        <f t="shared" si="977"/>
        <v>0</v>
      </c>
      <c r="BD1163" s="34">
        <f t="shared" si="978"/>
        <v>0</v>
      </c>
      <c r="BE1163" s="34">
        <v>0</v>
      </c>
      <c r="BF1163" s="34">
        <f>1162</f>
        <v>1162</v>
      </c>
      <c r="BH1163" s="18">
        <f t="shared" si="979"/>
        <v>0</v>
      </c>
      <c r="BI1163" s="18">
        <f t="shared" si="980"/>
        <v>0</v>
      </c>
      <c r="BJ1163" s="18">
        <f t="shared" si="981"/>
        <v>0</v>
      </c>
    </row>
    <row r="1164" spans="1:62" x14ac:dyDescent="0.2">
      <c r="A1164" s="74" t="s">
        <v>1098</v>
      </c>
      <c r="B1164" s="5" t="s">
        <v>2270</v>
      </c>
      <c r="C1164" s="135" t="s">
        <v>3477</v>
      </c>
      <c r="D1164" s="136"/>
      <c r="E1164" s="136"/>
      <c r="F1164" s="136"/>
      <c r="G1164" s="136"/>
      <c r="H1164" s="5" t="s">
        <v>3612</v>
      </c>
      <c r="I1164" s="18">
        <v>1</v>
      </c>
      <c r="J1164" s="18">
        <v>0</v>
      </c>
      <c r="K1164" s="18">
        <f t="shared" si="960"/>
        <v>0</v>
      </c>
      <c r="L1164" s="28" t="s">
        <v>3635</v>
      </c>
      <c r="Z1164" s="34">
        <f t="shared" si="961"/>
        <v>0</v>
      </c>
      <c r="AB1164" s="34">
        <f t="shared" si="962"/>
        <v>0</v>
      </c>
      <c r="AC1164" s="34">
        <f t="shared" si="963"/>
        <v>0</v>
      </c>
      <c r="AD1164" s="34">
        <f t="shared" si="964"/>
        <v>0</v>
      </c>
      <c r="AE1164" s="34">
        <f t="shared" si="965"/>
        <v>0</v>
      </c>
      <c r="AF1164" s="34">
        <f t="shared" si="966"/>
        <v>0</v>
      </c>
      <c r="AG1164" s="34">
        <f t="shared" si="967"/>
        <v>0</v>
      </c>
      <c r="AH1164" s="34">
        <f t="shared" si="968"/>
        <v>0</v>
      </c>
      <c r="AI1164" s="27" t="s">
        <v>3647</v>
      </c>
      <c r="AJ1164" s="18">
        <f t="shared" si="969"/>
        <v>0</v>
      </c>
      <c r="AK1164" s="18">
        <f t="shared" si="970"/>
        <v>0</v>
      </c>
      <c r="AL1164" s="18">
        <f t="shared" si="971"/>
        <v>0</v>
      </c>
      <c r="AN1164" s="34">
        <v>21</v>
      </c>
      <c r="AO1164" s="34">
        <f t="shared" si="972"/>
        <v>0</v>
      </c>
      <c r="AP1164" s="34">
        <f t="shared" si="973"/>
        <v>0</v>
      </c>
      <c r="AQ1164" s="28" t="s">
        <v>7</v>
      </c>
      <c r="AV1164" s="34">
        <f t="shared" si="974"/>
        <v>0</v>
      </c>
      <c r="AW1164" s="34">
        <f t="shared" si="975"/>
        <v>0</v>
      </c>
      <c r="AX1164" s="34">
        <f t="shared" si="976"/>
        <v>0</v>
      </c>
      <c r="AY1164" s="35" t="s">
        <v>3701</v>
      </c>
      <c r="AZ1164" s="35" t="s">
        <v>3724</v>
      </c>
      <c r="BA1164" s="27" t="s">
        <v>3731</v>
      </c>
      <c r="BC1164" s="34">
        <f t="shared" si="977"/>
        <v>0</v>
      </c>
      <c r="BD1164" s="34">
        <f t="shared" si="978"/>
        <v>0</v>
      </c>
      <c r="BE1164" s="34">
        <v>0</v>
      </c>
      <c r="BF1164" s="34">
        <f>1163</f>
        <v>1163</v>
      </c>
      <c r="BH1164" s="18">
        <f t="shared" si="979"/>
        <v>0</v>
      </c>
      <c r="BI1164" s="18">
        <f t="shared" si="980"/>
        <v>0</v>
      </c>
      <c r="BJ1164" s="18">
        <f t="shared" si="981"/>
        <v>0</v>
      </c>
    </row>
    <row r="1165" spans="1:62" x14ac:dyDescent="0.2">
      <c r="A1165" s="74" t="s">
        <v>1099</v>
      </c>
      <c r="B1165" s="5" t="s">
        <v>2271</v>
      </c>
      <c r="C1165" s="135" t="s">
        <v>3478</v>
      </c>
      <c r="D1165" s="136"/>
      <c r="E1165" s="136"/>
      <c r="F1165" s="136"/>
      <c r="G1165" s="136"/>
      <c r="H1165" s="5" t="s">
        <v>3612</v>
      </c>
      <c r="I1165" s="18">
        <v>1</v>
      </c>
      <c r="J1165" s="18">
        <v>0</v>
      </c>
      <c r="K1165" s="18">
        <f t="shared" si="960"/>
        <v>0</v>
      </c>
      <c r="L1165" s="28" t="s">
        <v>3635</v>
      </c>
      <c r="Z1165" s="34">
        <f t="shared" si="961"/>
        <v>0</v>
      </c>
      <c r="AB1165" s="34">
        <f t="shared" si="962"/>
        <v>0</v>
      </c>
      <c r="AC1165" s="34">
        <f t="shared" si="963"/>
        <v>0</v>
      </c>
      <c r="AD1165" s="34">
        <f t="shared" si="964"/>
        <v>0</v>
      </c>
      <c r="AE1165" s="34">
        <f t="shared" si="965"/>
        <v>0</v>
      </c>
      <c r="AF1165" s="34">
        <f t="shared" si="966"/>
        <v>0</v>
      </c>
      <c r="AG1165" s="34">
        <f t="shared" si="967"/>
        <v>0</v>
      </c>
      <c r="AH1165" s="34">
        <f t="shared" si="968"/>
        <v>0</v>
      </c>
      <c r="AI1165" s="27" t="s">
        <v>3647</v>
      </c>
      <c r="AJ1165" s="18">
        <f t="shared" si="969"/>
        <v>0</v>
      </c>
      <c r="AK1165" s="18">
        <f t="shared" si="970"/>
        <v>0</v>
      </c>
      <c r="AL1165" s="18">
        <f t="shared" si="971"/>
        <v>0</v>
      </c>
      <c r="AN1165" s="34">
        <v>21</v>
      </c>
      <c r="AO1165" s="34">
        <f t="shared" si="972"/>
        <v>0</v>
      </c>
      <c r="AP1165" s="34">
        <f t="shared" si="973"/>
        <v>0</v>
      </c>
      <c r="AQ1165" s="28" t="s">
        <v>7</v>
      </c>
      <c r="AV1165" s="34">
        <f t="shared" si="974"/>
        <v>0</v>
      </c>
      <c r="AW1165" s="34">
        <f t="shared" si="975"/>
        <v>0</v>
      </c>
      <c r="AX1165" s="34">
        <f t="shared" si="976"/>
        <v>0</v>
      </c>
      <c r="AY1165" s="35" t="s">
        <v>3701</v>
      </c>
      <c r="AZ1165" s="35" t="s">
        <v>3724</v>
      </c>
      <c r="BA1165" s="27" t="s">
        <v>3731</v>
      </c>
      <c r="BC1165" s="34">
        <f t="shared" si="977"/>
        <v>0</v>
      </c>
      <c r="BD1165" s="34">
        <f t="shared" si="978"/>
        <v>0</v>
      </c>
      <c r="BE1165" s="34">
        <v>0</v>
      </c>
      <c r="BF1165" s="34">
        <f>1164</f>
        <v>1164</v>
      </c>
      <c r="BH1165" s="18">
        <f t="shared" si="979"/>
        <v>0</v>
      </c>
      <c r="BI1165" s="18">
        <f t="shared" si="980"/>
        <v>0</v>
      </c>
      <c r="BJ1165" s="18">
        <f t="shared" si="981"/>
        <v>0</v>
      </c>
    </row>
    <row r="1166" spans="1:62" x14ac:dyDescent="0.2">
      <c r="A1166" s="74" t="s">
        <v>1100</v>
      </c>
      <c r="B1166" s="5" t="s">
        <v>2272</v>
      </c>
      <c r="C1166" s="135" t="s">
        <v>3479</v>
      </c>
      <c r="D1166" s="136"/>
      <c r="E1166" s="136"/>
      <c r="F1166" s="136"/>
      <c r="G1166" s="136"/>
      <c r="H1166" s="5" t="s">
        <v>3612</v>
      </c>
      <c r="I1166" s="18">
        <v>1</v>
      </c>
      <c r="J1166" s="18">
        <v>0</v>
      </c>
      <c r="K1166" s="18">
        <f t="shared" si="960"/>
        <v>0</v>
      </c>
      <c r="L1166" s="28" t="s">
        <v>3635</v>
      </c>
      <c r="Z1166" s="34">
        <f t="shared" si="961"/>
        <v>0</v>
      </c>
      <c r="AB1166" s="34">
        <f t="shared" si="962"/>
        <v>0</v>
      </c>
      <c r="AC1166" s="34">
        <f t="shared" si="963"/>
        <v>0</v>
      </c>
      <c r="AD1166" s="34">
        <f t="shared" si="964"/>
        <v>0</v>
      </c>
      <c r="AE1166" s="34">
        <f t="shared" si="965"/>
        <v>0</v>
      </c>
      <c r="AF1166" s="34">
        <f t="shared" si="966"/>
        <v>0</v>
      </c>
      <c r="AG1166" s="34">
        <f t="shared" si="967"/>
        <v>0</v>
      </c>
      <c r="AH1166" s="34">
        <f t="shared" si="968"/>
        <v>0</v>
      </c>
      <c r="AI1166" s="27" t="s">
        <v>3647</v>
      </c>
      <c r="AJ1166" s="18">
        <f t="shared" si="969"/>
        <v>0</v>
      </c>
      <c r="AK1166" s="18">
        <f t="shared" si="970"/>
        <v>0</v>
      </c>
      <c r="AL1166" s="18">
        <f t="shared" si="971"/>
        <v>0</v>
      </c>
      <c r="AN1166" s="34">
        <v>21</v>
      </c>
      <c r="AO1166" s="34">
        <f t="shared" si="972"/>
        <v>0</v>
      </c>
      <c r="AP1166" s="34">
        <f t="shared" si="973"/>
        <v>0</v>
      </c>
      <c r="AQ1166" s="28" t="s">
        <v>7</v>
      </c>
      <c r="AV1166" s="34">
        <f t="shared" si="974"/>
        <v>0</v>
      </c>
      <c r="AW1166" s="34">
        <f t="shared" si="975"/>
        <v>0</v>
      </c>
      <c r="AX1166" s="34">
        <f t="shared" si="976"/>
        <v>0</v>
      </c>
      <c r="AY1166" s="35" t="s">
        <v>3701</v>
      </c>
      <c r="AZ1166" s="35" t="s">
        <v>3724</v>
      </c>
      <c r="BA1166" s="27" t="s">
        <v>3731</v>
      </c>
      <c r="BC1166" s="34">
        <f t="shared" si="977"/>
        <v>0</v>
      </c>
      <c r="BD1166" s="34">
        <f t="shared" si="978"/>
        <v>0</v>
      </c>
      <c r="BE1166" s="34">
        <v>0</v>
      </c>
      <c r="BF1166" s="34">
        <f>1165</f>
        <v>1165</v>
      </c>
      <c r="BH1166" s="18">
        <f t="shared" si="979"/>
        <v>0</v>
      </c>
      <c r="BI1166" s="18">
        <f t="shared" si="980"/>
        <v>0</v>
      </c>
      <c r="BJ1166" s="18">
        <f t="shared" si="981"/>
        <v>0</v>
      </c>
    </row>
    <row r="1167" spans="1:62" x14ac:dyDescent="0.2">
      <c r="A1167" s="74" t="s">
        <v>1101</v>
      </c>
      <c r="B1167" s="5" t="s">
        <v>2273</v>
      </c>
      <c r="C1167" s="135" t="s">
        <v>3480</v>
      </c>
      <c r="D1167" s="136"/>
      <c r="E1167" s="136"/>
      <c r="F1167" s="136"/>
      <c r="G1167" s="136"/>
      <c r="H1167" s="5" t="s">
        <v>3612</v>
      </c>
      <c r="I1167" s="18">
        <v>1</v>
      </c>
      <c r="J1167" s="18">
        <v>0</v>
      </c>
      <c r="K1167" s="18">
        <f t="shared" si="960"/>
        <v>0</v>
      </c>
      <c r="L1167" s="28" t="s">
        <v>3635</v>
      </c>
      <c r="Z1167" s="34">
        <f t="shared" si="961"/>
        <v>0</v>
      </c>
      <c r="AB1167" s="34">
        <f t="shared" si="962"/>
        <v>0</v>
      </c>
      <c r="AC1167" s="34">
        <f t="shared" si="963"/>
        <v>0</v>
      </c>
      <c r="AD1167" s="34">
        <f t="shared" si="964"/>
        <v>0</v>
      </c>
      <c r="AE1167" s="34">
        <f t="shared" si="965"/>
        <v>0</v>
      </c>
      <c r="AF1167" s="34">
        <f t="shared" si="966"/>
        <v>0</v>
      </c>
      <c r="AG1167" s="34">
        <f t="shared" si="967"/>
        <v>0</v>
      </c>
      <c r="AH1167" s="34">
        <f t="shared" si="968"/>
        <v>0</v>
      </c>
      <c r="AI1167" s="27" t="s">
        <v>3647</v>
      </c>
      <c r="AJ1167" s="18">
        <f t="shared" si="969"/>
        <v>0</v>
      </c>
      <c r="AK1167" s="18">
        <f t="shared" si="970"/>
        <v>0</v>
      </c>
      <c r="AL1167" s="18">
        <f t="shared" si="971"/>
        <v>0</v>
      </c>
      <c r="AN1167" s="34">
        <v>21</v>
      </c>
      <c r="AO1167" s="34">
        <f t="shared" si="972"/>
        <v>0</v>
      </c>
      <c r="AP1167" s="34">
        <f t="shared" si="973"/>
        <v>0</v>
      </c>
      <c r="AQ1167" s="28" t="s">
        <v>7</v>
      </c>
      <c r="AV1167" s="34">
        <f t="shared" si="974"/>
        <v>0</v>
      </c>
      <c r="AW1167" s="34">
        <f t="shared" si="975"/>
        <v>0</v>
      </c>
      <c r="AX1167" s="34">
        <f t="shared" si="976"/>
        <v>0</v>
      </c>
      <c r="AY1167" s="35" t="s">
        <v>3701</v>
      </c>
      <c r="AZ1167" s="35" t="s">
        <v>3724</v>
      </c>
      <c r="BA1167" s="27" t="s">
        <v>3731</v>
      </c>
      <c r="BC1167" s="34">
        <f t="shared" si="977"/>
        <v>0</v>
      </c>
      <c r="BD1167" s="34">
        <f t="shared" si="978"/>
        <v>0</v>
      </c>
      <c r="BE1167" s="34">
        <v>0</v>
      </c>
      <c r="BF1167" s="34">
        <f>1166</f>
        <v>1166</v>
      </c>
      <c r="BH1167" s="18">
        <f t="shared" si="979"/>
        <v>0</v>
      </c>
      <c r="BI1167" s="18">
        <f t="shared" si="980"/>
        <v>0</v>
      </c>
      <c r="BJ1167" s="18">
        <f t="shared" si="981"/>
        <v>0</v>
      </c>
    </row>
    <row r="1168" spans="1:62" x14ac:dyDescent="0.2">
      <c r="A1168" s="74" t="s">
        <v>1102</v>
      </c>
      <c r="B1168" s="5" t="s">
        <v>2274</v>
      </c>
      <c r="C1168" s="135" t="s">
        <v>3481</v>
      </c>
      <c r="D1168" s="136"/>
      <c r="E1168" s="136"/>
      <c r="F1168" s="136"/>
      <c r="G1168" s="136"/>
      <c r="H1168" s="5" t="s">
        <v>3612</v>
      </c>
      <c r="I1168" s="18">
        <v>1</v>
      </c>
      <c r="J1168" s="18">
        <v>0</v>
      </c>
      <c r="K1168" s="18">
        <f t="shared" si="960"/>
        <v>0</v>
      </c>
      <c r="L1168" s="28" t="s">
        <v>3635</v>
      </c>
      <c r="Z1168" s="34">
        <f t="shared" si="961"/>
        <v>0</v>
      </c>
      <c r="AB1168" s="34">
        <f t="shared" si="962"/>
        <v>0</v>
      </c>
      <c r="AC1168" s="34">
        <f t="shared" si="963"/>
        <v>0</v>
      </c>
      <c r="AD1168" s="34">
        <f t="shared" si="964"/>
        <v>0</v>
      </c>
      <c r="AE1168" s="34">
        <f t="shared" si="965"/>
        <v>0</v>
      </c>
      <c r="AF1168" s="34">
        <f t="shared" si="966"/>
        <v>0</v>
      </c>
      <c r="AG1168" s="34">
        <f t="shared" si="967"/>
        <v>0</v>
      </c>
      <c r="AH1168" s="34">
        <f t="shared" si="968"/>
        <v>0</v>
      </c>
      <c r="AI1168" s="27" t="s">
        <v>3647</v>
      </c>
      <c r="AJ1168" s="18">
        <f t="shared" si="969"/>
        <v>0</v>
      </c>
      <c r="AK1168" s="18">
        <f t="shared" si="970"/>
        <v>0</v>
      </c>
      <c r="AL1168" s="18">
        <f t="shared" si="971"/>
        <v>0</v>
      </c>
      <c r="AN1168" s="34">
        <v>21</v>
      </c>
      <c r="AO1168" s="34">
        <f t="shared" si="972"/>
        <v>0</v>
      </c>
      <c r="AP1168" s="34">
        <f t="shared" si="973"/>
        <v>0</v>
      </c>
      <c r="AQ1168" s="28" t="s">
        <v>7</v>
      </c>
      <c r="AV1168" s="34">
        <f t="shared" si="974"/>
        <v>0</v>
      </c>
      <c r="AW1168" s="34">
        <f t="shared" si="975"/>
        <v>0</v>
      </c>
      <c r="AX1168" s="34">
        <f t="shared" si="976"/>
        <v>0</v>
      </c>
      <c r="AY1168" s="35" t="s">
        <v>3701</v>
      </c>
      <c r="AZ1168" s="35" t="s">
        <v>3724</v>
      </c>
      <c r="BA1168" s="27" t="s">
        <v>3731</v>
      </c>
      <c r="BC1168" s="34">
        <f t="shared" si="977"/>
        <v>0</v>
      </c>
      <c r="BD1168" s="34">
        <f t="shared" si="978"/>
        <v>0</v>
      </c>
      <c r="BE1168" s="34">
        <v>0</v>
      </c>
      <c r="BF1168" s="34">
        <f>1167</f>
        <v>1167</v>
      </c>
      <c r="BH1168" s="18">
        <f t="shared" si="979"/>
        <v>0</v>
      </c>
      <c r="BI1168" s="18">
        <f t="shared" si="980"/>
        <v>0</v>
      </c>
      <c r="BJ1168" s="18">
        <f t="shared" si="981"/>
        <v>0</v>
      </c>
    </row>
    <row r="1169" spans="1:62" x14ac:dyDescent="0.2">
      <c r="A1169" s="74" t="s">
        <v>1103</v>
      </c>
      <c r="B1169" s="5" t="s">
        <v>2275</v>
      </c>
      <c r="C1169" s="135" t="s">
        <v>3482</v>
      </c>
      <c r="D1169" s="136"/>
      <c r="E1169" s="136"/>
      <c r="F1169" s="136"/>
      <c r="G1169" s="136"/>
      <c r="H1169" s="5" t="s">
        <v>3612</v>
      </c>
      <c r="I1169" s="18">
        <v>1</v>
      </c>
      <c r="J1169" s="18">
        <v>0</v>
      </c>
      <c r="K1169" s="18">
        <f t="shared" si="960"/>
        <v>0</v>
      </c>
      <c r="L1169" s="28" t="s">
        <v>3635</v>
      </c>
      <c r="Z1169" s="34">
        <f t="shared" si="961"/>
        <v>0</v>
      </c>
      <c r="AB1169" s="34">
        <f t="shared" si="962"/>
        <v>0</v>
      </c>
      <c r="AC1169" s="34">
        <f t="shared" si="963"/>
        <v>0</v>
      </c>
      <c r="AD1169" s="34">
        <f t="shared" si="964"/>
        <v>0</v>
      </c>
      <c r="AE1169" s="34">
        <f t="shared" si="965"/>
        <v>0</v>
      </c>
      <c r="AF1169" s="34">
        <f t="shared" si="966"/>
        <v>0</v>
      </c>
      <c r="AG1169" s="34">
        <f t="shared" si="967"/>
        <v>0</v>
      </c>
      <c r="AH1169" s="34">
        <f t="shared" si="968"/>
        <v>0</v>
      </c>
      <c r="AI1169" s="27" t="s">
        <v>3647</v>
      </c>
      <c r="AJ1169" s="18">
        <f t="shared" si="969"/>
        <v>0</v>
      </c>
      <c r="AK1169" s="18">
        <f t="shared" si="970"/>
        <v>0</v>
      </c>
      <c r="AL1169" s="18">
        <f t="shared" si="971"/>
        <v>0</v>
      </c>
      <c r="AN1169" s="34">
        <v>21</v>
      </c>
      <c r="AO1169" s="34">
        <f t="shared" si="972"/>
        <v>0</v>
      </c>
      <c r="AP1169" s="34">
        <f t="shared" si="973"/>
        <v>0</v>
      </c>
      <c r="AQ1169" s="28" t="s">
        <v>7</v>
      </c>
      <c r="AV1169" s="34">
        <f t="shared" si="974"/>
        <v>0</v>
      </c>
      <c r="AW1169" s="34">
        <f t="shared" si="975"/>
        <v>0</v>
      </c>
      <c r="AX1169" s="34">
        <f t="shared" si="976"/>
        <v>0</v>
      </c>
      <c r="AY1169" s="35" t="s">
        <v>3701</v>
      </c>
      <c r="AZ1169" s="35" t="s">
        <v>3724</v>
      </c>
      <c r="BA1169" s="27" t="s">
        <v>3731</v>
      </c>
      <c r="BC1169" s="34">
        <f t="shared" si="977"/>
        <v>0</v>
      </c>
      <c r="BD1169" s="34">
        <f t="shared" si="978"/>
        <v>0</v>
      </c>
      <c r="BE1169" s="34">
        <v>0</v>
      </c>
      <c r="BF1169" s="34">
        <f>1168</f>
        <v>1168</v>
      </c>
      <c r="BH1169" s="18">
        <f t="shared" si="979"/>
        <v>0</v>
      </c>
      <c r="BI1169" s="18">
        <f t="shared" si="980"/>
        <v>0</v>
      </c>
      <c r="BJ1169" s="18">
        <f t="shared" si="981"/>
        <v>0</v>
      </c>
    </row>
    <row r="1170" spans="1:62" x14ac:dyDescent="0.2">
      <c r="A1170" s="74" t="s">
        <v>1104</v>
      </c>
      <c r="B1170" s="5" t="s">
        <v>2276</v>
      </c>
      <c r="C1170" s="135" t="s">
        <v>3483</v>
      </c>
      <c r="D1170" s="136"/>
      <c r="E1170" s="136"/>
      <c r="F1170" s="136"/>
      <c r="G1170" s="136"/>
      <c r="H1170" s="5" t="s">
        <v>3612</v>
      </c>
      <c r="I1170" s="18">
        <v>1</v>
      </c>
      <c r="J1170" s="18">
        <v>0</v>
      </c>
      <c r="K1170" s="18">
        <f t="shared" si="960"/>
        <v>0</v>
      </c>
      <c r="L1170" s="28" t="s">
        <v>3635</v>
      </c>
      <c r="Z1170" s="34">
        <f t="shared" si="961"/>
        <v>0</v>
      </c>
      <c r="AB1170" s="34">
        <f t="shared" si="962"/>
        <v>0</v>
      </c>
      <c r="AC1170" s="34">
        <f t="shared" si="963"/>
        <v>0</v>
      </c>
      <c r="AD1170" s="34">
        <f t="shared" si="964"/>
        <v>0</v>
      </c>
      <c r="AE1170" s="34">
        <f t="shared" si="965"/>
        <v>0</v>
      </c>
      <c r="AF1170" s="34">
        <f t="shared" si="966"/>
        <v>0</v>
      </c>
      <c r="AG1170" s="34">
        <f t="shared" si="967"/>
        <v>0</v>
      </c>
      <c r="AH1170" s="34">
        <f t="shared" si="968"/>
        <v>0</v>
      </c>
      <c r="AI1170" s="27" t="s">
        <v>3647</v>
      </c>
      <c r="AJ1170" s="18">
        <f t="shared" si="969"/>
        <v>0</v>
      </c>
      <c r="AK1170" s="18">
        <f t="shared" si="970"/>
        <v>0</v>
      </c>
      <c r="AL1170" s="18">
        <f t="shared" si="971"/>
        <v>0</v>
      </c>
      <c r="AN1170" s="34">
        <v>21</v>
      </c>
      <c r="AO1170" s="34">
        <f t="shared" si="972"/>
        <v>0</v>
      </c>
      <c r="AP1170" s="34">
        <f t="shared" si="973"/>
        <v>0</v>
      </c>
      <c r="AQ1170" s="28" t="s">
        <v>7</v>
      </c>
      <c r="AV1170" s="34">
        <f t="shared" si="974"/>
        <v>0</v>
      </c>
      <c r="AW1170" s="34">
        <f t="shared" si="975"/>
        <v>0</v>
      </c>
      <c r="AX1170" s="34">
        <f t="shared" si="976"/>
        <v>0</v>
      </c>
      <c r="AY1170" s="35" t="s">
        <v>3701</v>
      </c>
      <c r="AZ1170" s="35" t="s">
        <v>3724</v>
      </c>
      <c r="BA1170" s="27" t="s">
        <v>3731</v>
      </c>
      <c r="BC1170" s="34">
        <f t="shared" si="977"/>
        <v>0</v>
      </c>
      <c r="BD1170" s="34">
        <f t="shared" si="978"/>
        <v>0</v>
      </c>
      <c r="BE1170" s="34">
        <v>0</v>
      </c>
      <c r="BF1170" s="34">
        <f>1169</f>
        <v>1169</v>
      </c>
      <c r="BH1170" s="18">
        <f t="shared" si="979"/>
        <v>0</v>
      </c>
      <c r="BI1170" s="18">
        <f t="shared" si="980"/>
        <v>0</v>
      </c>
      <c r="BJ1170" s="18">
        <f t="shared" si="981"/>
        <v>0</v>
      </c>
    </row>
    <row r="1171" spans="1:62" x14ac:dyDescent="0.2">
      <c r="A1171" s="74" t="s">
        <v>1105</v>
      </c>
      <c r="B1171" s="5" t="s">
        <v>2277</v>
      </c>
      <c r="C1171" s="135" t="s">
        <v>3484</v>
      </c>
      <c r="D1171" s="136"/>
      <c r="E1171" s="136"/>
      <c r="F1171" s="136"/>
      <c r="G1171" s="136"/>
      <c r="H1171" s="5" t="s">
        <v>3612</v>
      </c>
      <c r="I1171" s="18">
        <v>1</v>
      </c>
      <c r="J1171" s="18">
        <v>0</v>
      </c>
      <c r="K1171" s="18">
        <f t="shared" si="960"/>
        <v>0</v>
      </c>
      <c r="L1171" s="28" t="s">
        <v>3635</v>
      </c>
      <c r="Z1171" s="34">
        <f t="shared" si="961"/>
        <v>0</v>
      </c>
      <c r="AB1171" s="34">
        <f t="shared" si="962"/>
        <v>0</v>
      </c>
      <c r="AC1171" s="34">
        <f t="shared" si="963"/>
        <v>0</v>
      </c>
      <c r="AD1171" s="34">
        <f t="shared" si="964"/>
        <v>0</v>
      </c>
      <c r="AE1171" s="34">
        <f t="shared" si="965"/>
        <v>0</v>
      </c>
      <c r="AF1171" s="34">
        <f t="shared" si="966"/>
        <v>0</v>
      </c>
      <c r="AG1171" s="34">
        <f t="shared" si="967"/>
        <v>0</v>
      </c>
      <c r="AH1171" s="34">
        <f t="shared" si="968"/>
        <v>0</v>
      </c>
      <c r="AI1171" s="27" t="s">
        <v>3647</v>
      </c>
      <c r="AJ1171" s="18">
        <f t="shared" si="969"/>
        <v>0</v>
      </c>
      <c r="AK1171" s="18">
        <f t="shared" si="970"/>
        <v>0</v>
      </c>
      <c r="AL1171" s="18">
        <f t="shared" si="971"/>
        <v>0</v>
      </c>
      <c r="AN1171" s="34">
        <v>21</v>
      </c>
      <c r="AO1171" s="34">
        <f t="shared" si="972"/>
        <v>0</v>
      </c>
      <c r="AP1171" s="34">
        <f t="shared" si="973"/>
        <v>0</v>
      </c>
      <c r="AQ1171" s="28" t="s">
        <v>7</v>
      </c>
      <c r="AV1171" s="34">
        <f t="shared" si="974"/>
        <v>0</v>
      </c>
      <c r="AW1171" s="34">
        <f t="shared" si="975"/>
        <v>0</v>
      </c>
      <c r="AX1171" s="34">
        <f t="shared" si="976"/>
        <v>0</v>
      </c>
      <c r="AY1171" s="35" t="s">
        <v>3701</v>
      </c>
      <c r="AZ1171" s="35" t="s">
        <v>3724</v>
      </c>
      <c r="BA1171" s="27" t="s">
        <v>3731</v>
      </c>
      <c r="BC1171" s="34">
        <f t="shared" si="977"/>
        <v>0</v>
      </c>
      <c r="BD1171" s="34">
        <f t="shared" si="978"/>
        <v>0</v>
      </c>
      <c r="BE1171" s="34">
        <v>0</v>
      </c>
      <c r="BF1171" s="34">
        <f>1170</f>
        <v>1170</v>
      </c>
      <c r="BH1171" s="18">
        <f t="shared" si="979"/>
        <v>0</v>
      </c>
      <c r="BI1171" s="18">
        <f t="shared" si="980"/>
        <v>0</v>
      </c>
      <c r="BJ1171" s="18">
        <f t="shared" si="981"/>
        <v>0</v>
      </c>
    </row>
    <row r="1172" spans="1:62" x14ac:dyDescent="0.2">
      <c r="A1172" s="74" t="s">
        <v>1106</v>
      </c>
      <c r="B1172" s="5" t="s">
        <v>2278</v>
      </c>
      <c r="C1172" s="135" t="s">
        <v>3485</v>
      </c>
      <c r="D1172" s="136"/>
      <c r="E1172" s="136"/>
      <c r="F1172" s="136"/>
      <c r="G1172" s="136"/>
      <c r="H1172" s="5" t="s">
        <v>3612</v>
      </c>
      <c r="I1172" s="18">
        <v>15</v>
      </c>
      <c r="J1172" s="18">
        <v>0</v>
      </c>
      <c r="K1172" s="18">
        <f t="shared" si="960"/>
        <v>0</v>
      </c>
      <c r="L1172" s="28" t="s">
        <v>3635</v>
      </c>
      <c r="Z1172" s="34">
        <f t="shared" si="961"/>
        <v>0</v>
      </c>
      <c r="AB1172" s="34">
        <f t="shared" si="962"/>
        <v>0</v>
      </c>
      <c r="AC1172" s="34">
        <f t="shared" si="963"/>
        <v>0</v>
      </c>
      <c r="AD1172" s="34">
        <f t="shared" si="964"/>
        <v>0</v>
      </c>
      <c r="AE1172" s="34">
        <f t="shared" si="965"/>
        <v>0</v>
      </c>
      <c r="AF1172" s="34">
        <f t="shared" si="966"/>
        <v>0</v>
      </c>
      <c r="AG1172" s="34">
        <f t="shared" si="967"/>
        <v>0</v>
      </c>
      <c r="AH1172" s="34">
        <f t="shared" si="968"/>
        <v>0</v>
      </c>
      <c r="AI1172" s="27" t="s">
        <v>3647</v>
      </c>
      <c r="AJ1172" s="18">
        <f t="shared" si="969"/>
        <v>0</v>
      </c>
      <c r="AK1172" s="18">
        <f t="shared" si="970"/>
        <v>0</v>
      </c>
      <c r="AL1172" s="18">
        <f t="shared" si="971"/>
        <v>0</v>
      </c>
      <c r="AN1172" s="34">
        <v>21</v>
      </c>
      <c r="AO1172" s="34">
        <f t="shared" si="972"/>
        <v>0</v>
      </c>
      <c r="AP1172" s="34">
        <f t="shared" si="973"/>
        <v>0</v>
      </c>
      <c r="AQ1172" s="28" t="s">
        <v>7</v>
      </c>
      <c r="AV1172" s="34">
        <f t="shared" si="974"/>
        <v>0</v>
      </c>
      <c r="AW1172" s="34">
        <f t="shared" si="975"/>
        <v>0</v>
      </c>
      <c r="AX1172" s="34">
        <f t="shared" si="976"/>
        <v>0</v>
      </c>
      <c r="AY1172" s="35" t="s">
        <v>3701</v>
      </c>
      <c r="AZ1172" s="35" t="s">
        <v>3724</v>
      </c>
      <c r="BA1172" s="27" t="s">
        <v>3731</v>
      </c>
      <c r="BC1172" s="34">
        <f t="shared" si="977"/>
        <v>0</v>
      </c>
      <c r="BD1172" s="34">
        <f t="shared" si="978"/>
        <v>0</v>
      </c>
      <c r="BE1172" s="34">
        <v>0</v>
      </c>
      <c r="BF1172" s="34">
        <f>1171</f>
        <v>1171</v>
      </c>
      <c r="BH1172" s="18">
        <f t="shared" si="979"/>
        <v>0</v>
      </c>
      <c r="BI1172" s="18">
        <f t="shared" si="980"/>
        <v>0</v>
      </c>
      <c r="BJ1172" s="18">
        <f t="shared" si="981"/>
        <v>0</v>
      </c>
    </row>
    <row r="1173" spans="1:62" x14ac:dyDescent="0.2">
      <c r="A1173" s="74" t="s">
        <v>1107</v>
      </c>
      <c r="B1173" s="5" t="s">
        <v>2279</v>
      </c>
      <c r="C1173" s="135" t="s">
        <v>3486</v>
      </c>
      <c r="D1173" s="136"/>
      <c r="E1173" s="136"/>
      <c r="F1173" s="136"/>
      <c r="G1173" s="136"/>
      <c r="H1173" s="5" t="s">
        <v>3612</v>
      </c>
      <c r="I1173" s="18">
        <v>1</v>
      </c>
      <c r="J1173" s="18">
        <v>0</v>
      </c>
      <c r="K1173" s="18">
        <f t="shared" si="960"/>
        <v>0</v>
      </c>
      <c r="L1173" s="28" t="s">
        <v>3635</v>
      </c>
      <c r="Z1173" s="34">
        <f t="shared" si="961"/>
        <v>0</v>
      </c>
      <c r="AB1173" s="34">
        <f t="shared" si="962"/>
        <v>0</v>
      </c>
      <c r="AC1173" s="34">
        <f t="shared" si="963"/>
        <v>0</v>
      </c>
      <c r="AD1173" s="34">
        <f t="shared" si="964"/>
        <v>0</v>
      </c>
      <c r="AE1173" s="34">
        <f t="shared" si="965"/>
        <v>0</v>
      </c>
      <c r="AF1173" s="34">
        <f t="shared" si="966"/>
        <v>0</v>
      </c>
      <c r="AG1173" s="34">
        <f t="shared" si="967"/>
        <v>0</v>
      </c>
      <c r="AH1173" s="34">
        <f t="shared" si="968"/>
        <v>0</v>
      </c>
      <c r="AI1173" s="27" t="s">
        <v>3647</v>
      </c>
      <c r="AJ1173" s="18">
        <f t="shared" si="969"/>
        <v>0</v>
      </c>
      <c r="AK1173" s="18">
        <f t="shared" si="970"/>
        <v>0</v>
      </c>
      <c r="AL1173" s="18">
        <f t="shared" si="971"/>
        <v>0</v>
      </c>
      <c r="AN1173" s="34">
        <v>21</v>
      </c>
      <c r="AO1173" s="34">
        <f t="shared" si="972"/>
        <v>0</v>
      </c>
      <c r="AP1173" s="34">
        <f t="shared" si="973"/>
        <v>0</v>
      </c>
      <c r="AQ1173" s="28" t="s">
        <v>7</v>
      </c>
      <c r="AV1173" s="34">
        <f t="shared" si="974"/>
        <v>0</v>
      </c>
      <c r="AW1173" s="34">
        <f t="shared" si="975"/>
        <v>0</v>
      </c>
      <c r="AX1173" s="34">
        <f t="shared" si="976"/>
        <v>0</v>
      </c>
      <c r="AY1173" s="35" t="s">
        <v>3701</v>
      </c>
      <c r="AZ1173" s="35" t="s">
        <v>3724</v>
      </c>
      <c r="BA1173" s="27" t="s">
        <v>3731</v>
      </c>
      <c r="BC1173" s="34">
        <f t="shared" si="977"/>
        <v>0</v>
      </c>
      <c r="BD1173" s="34">
        <f t="shared" si="978"/>
        <v>0</v>
      </c>
      <c r="BE1173" s="34">
        <v>0</v>
      </c>
      <c r="BF1173" s="34">
        <f>1172</f>
        <v>1172</v>
      </c>
      <c r="BH1173" s="18">
        <f t="shared" si="979"/>
        <v>0</v>
      </c>
      <c r="BI1173" s="18">
        <f t="shared" si="980"/>
        <v>0</v>
      </c>
      <c r="BJ1173" s="18">
        <f t="shared" si="981"/>
        <v>0</v>
      </c>
    </row>
    <row r="1174" spans="1:62" x14ac:dyDescent="0.2">
      <c r="A1174" s="74" t="s">
        <v>1108</v>
      </c>
      <c r="B1174" s="5" t="s">
        <v>2280</v>
      </c>
      <c r="C1174" s="135" t="s">
        <v>3487</v>
      </c>
      <c r="D1174" s="136"/>
      <c r="E1174" s="136"/>
      <c r="F1174" s="136"/>
      <c r="G1174" s="136"/>
      <c r="H1174" s="5" t="s">
        <v>3612</v>
      </c>
      <c r="I1174" s="18">
        <v>1</v>
      </c>
      <c r="J1174" s="18">
        <v>0</v>
      </c>
      <c r="K1174" s="18">
        <f t="shared" si="960"/>
        <v>0</v>
      </c>
      <c r="L1174" s="28" t="s">
        <v>3635</v>
      </c>
      <c r="Z1174" s="34">
        <f t="shared" si="961"/>
        <v>0</v>
      </c>
      <c r="AB1174" s="34">
        <f t="shared" si="962"/>
        <v>0</v>
      </c>
      <c r="AC1174" s="34">
        <f t="shared" si="963"/>
        <v>0</v>
      </c>
      <c r="AD1174" s="34">
        <f t="shared" si="964"/>
        <v>0</v>
      </c>
      <c r="AE1174" s="34">
        <f t="shared" si="965"/>
        <v>0</v>
      </c>
      <c r="AF1174" s="34">
        <f t="shared" si="966"/>
        <v>0</v>
      </c>
      <c r="AG1174" s="34">
        <f t="shared" si="967"/>
        <v>0</v>
      </c>
      <c r="AH1174" s="34">
        <f t="shared" si="968"/>
        <v>0</v>
      </c>
      <c r="AI1174" s="27" t="s">
        <v>3647</v>
      </c>
      <c r="AJ1174" s="18">
        <f t="shared" si="969"/>
        <v>0</v>
      </c>
      <c r="AK1174" s="18">
        <f t="shared" si="970"/>
        <v>0</v>
      </c>
      <c r="AL1174" s="18">
        <f t="shared" si="971"/>
        <v>0</v>
      </c>
      <c r="AN1174" s="34">
        <v>21</v>
      </c>
      <c r="AO1174" s="34">
        <f t="shared" si="972"/>
        <v>0</v>
      </c>
      <c r="AP1174" s="34">
        <f t="shared" si="973"/>
        <v>0</v>
      </c>
      <c r="AQ1174" s="28" t="s">
        <v>7</v>
      </c>
      <c r="AV1174" s="34">
        <f t="shared" si="974"/>
        <v>0</v>
      </c>
      <c r="AW1174" s="34">
        <f t="shared" si="975"/>
        <v>0</v>
      </c>
      <c r="AX1174" s="34">
        <f t="shared" si="976"/>
        <v>0</v>
      </c>
      <c r="AY1174" s="35" t="s">
        <v>3701</v>
      </c>
      <c r="AZ1174" s="35" t="s">
        <v>3724</v>
      </c>
      <c r="BA1174" s="27" t="s">
        <v>3731</v>
      </c>
      <c r="BC1174" s="34">
        <f t="shared" si="977"/>
        <v>0</v>
      </c>
      <c r="BD1174" s="34">
        <f t="shared" si="978"/>
        <v>0</v>
      </c>
      <c r="BE1174" s="34">
        <v>0</v>
      </c>
      <c r="BF1174" s="34">
        <f>1173</f>
        <v>1173</v>
      </c>
      <c r="BH1174" s="18">
        <f t="shared" si="979"/>
        <v>0</v>
      </c>
      <c r="BI1174" s="18">
        <f t="shared" si="980"/>
        <v>0</v>
      </c>
      <c r="BJ1174" s="18">
        <f t="shared" si="981"/>
        <v>0</v>
      </c>
    </row>
    <row r="1175" spans="1:62" x14ac:dyDescent="0.2">
      <c r="A1175" s="74" t="s">
        <v>1109</v>
      </c>
      <c r="B1175" s="5" t="s">
        <v>2281</v>
      </c>
      <c r="C1175" s="135" t="s">
        <v>3488</v>
      </c>
      <c r="D1175" s="136"/>
      <c r="E1175" s="136"/>
      <c r="F1175" s="136"/>
      <c r="G1175" s="136"/>
      <c r="H1175" s="5" t="s">
        <v>3612</v>
      </c>
      <c r="I1175" s="18">
        <v>1</v>
      </c>
      <c r="J1175" s="18">
        <v>0</v>
      </c>
      <c r="K1175" s="18">
        <f t="shared" si="960"/>
        <v>0</v>
      </c>
      <c r="L1175" s="28" t="s">
        <v>3635</v>
      </c>
      <c r="Z1175" s="34">
        <f t="shared" si="961"/>
        <v>0</v>
      </c>
      <c r="AB1175" s="34">
        <f t="shared" si="962"/>
        <v>0</v>
      </c>
      <c r="AC1175" s="34">
        <f t="shared" si="963"/>
        <v>0</v>
      </c>
      <c r="AD1175" s="34">
        <f t="shared" si="964"/>
        <v>0</v>
      </c>
      <c r="AE1175" s="34">
        <f t="shared" si="965"/>
        <v>0</v>
      </c>
      <c r="AF1175" s="34">
        <f t="shared" si="966"/>
        <v>0</v>
      </c>
      <c r="AG1175" s="34">
        <f t="shared" si="967"/>
        <v>0</v>
      </c>
      <c r="AH1175" s="34">
        <f t="shared" si="968"/>
        <v>0</v>
      </c>
      <c r="AI1175" s="27" t="s">
        <v>3647</v>
      </c>
      <c r="AJ1175" s="18">
        <f t="shared" si="969"/>
        <v>0</v>
      </c>
      <c r="AK1175" s="18">
        <f t="shared" si="970"/>
        <v>0</v>
      </c>
      <c r="AL1175" s="18">
        <f t="shared" si="971"/>
        <v>0</v>
      </c>
      <c r="AN1175" s="34">
        <v>21</v>
      </c>
      <c r="AO1175" s="34">
        <f t="shared" si="972"/>
        <v>0</v>
      </c>
      <c r="AP1175" s="34">
        <f t="shared" si="973"/>
        <v>0</v>
      </c>
      <c r="AQ1175" s="28" t="s">
        <v>7</v>
      </c>
      <c r="AV1175" s="34">
        <f t="shared" si="974"/>
        <v>0</v>
      </c>
      <c r="AW1175" s="34">
        <f t="shared" si="975"/>
        <v>0</v>
      </c>
      <c r="AX1175" s="34">
        <f t="shared" si="976"/>
        <v>0</v>
      </c>
      <c r="AY1175" s="35" t="s">
        <v>3701</v>
      </c>
      <c r="AZ1175" s="35" t="s">
        <v>3724</v>
      </c>
      <c r="BA1175" s="27" t="s">
        <v>3731</v>
      </c>
      <c r="BC1175" s="34">
        <f t="shared" si="977"/>
        <v>0</v>
      </c>
      <c r="BD1175" s="34">
        <f t="shared" si="978"/>
        <v>0</v>
      </c>
      <c r="BE1175" s="34">
        <v>0</v>
      </c>
      <c r="BF1175" s="34">
        <f>1174</f>
        <v>1174</v>
      </c>
      <c r="BH1175" s="18">
        <f t="shared" si="979"/>
        <v>0</v>
      </c>
      <c r="BI1175" s="18">
        <f t="shared" si="980"/>
        <v>0</v>
      </c>
      <c r="BJ1175" s="18">
        <f t="shared" si="981"/>
        <v>0</v>
      </c>
    </row>
    <row r="1176" spans="1:62" x14ac:dyDescent="0.2">
      <c r="A1176" s="74" t="s">
        <v>1110</v>
      </c>
      <c r="B1176" s="5" t="s">
        <v>2282</v>
      </c>
      <c r="C1176" s="135" t="s">
        <v>3489</v>
      </c>
      <c r="D1176" s="136"/>
      <c r="E1176" s="136"/>
      <c r="F1176" s="136"/>
      <c r="G1176" s="136"/>
      <c r="H1176" s="5" t="s">
        <v>3612</v>
      </c>
      <c r="I1176" s="18">
        <v>1</v>
      </c>
      <c r="J1176" s="18">
        <v>0</v>
      </c>
      <c r="K1176" s="18">
        <f t="shared" si="960"/>
        <v>0</v>
      </c>
      <c r="L1176" s="28" t="s">
        <v>3635</v>
      </c>
      <c r="Z1176" s="34">
        <f t="shared" si="961"/>
        <v>0</v>
      </c>
      <c r="AB1176" s="34">
        <f t="shared" si="962"/>
        <v>0</v>
      </c>
      <c r="AC1176" s="34">
        <f t="shared" si="963"/>
        <v>0</v>
      </c>
      <c r="AD1176" s="34">
        <f t="shared" si="964"/>
        <v>0</v>
      </c>
      <c r="AE1176" s="34">
        <f t="shared" si="965"/>
        <v>0</v>
      </c>
      <c r="AF1176" s="34">
        <f t="shared" si="966"/>
        <v>0</v>
      </c>
      <c r="AG1176" s="34">
        <f t="shared" si="967"/>
        <v>0</v>
      </c>
      <c r="AH1176" s="34">
        <f t="shared" si="968"/>
        <v>0</v>
      </c>
      <c r="AI1176" s="27" t="s">
        <v>3647</v>
      </c>
      <c r="AJ1176" s="18">
        <f t="shared" si="969"/>
        <v>0</v>
      </c>
      <c r="AK1176" s="18">
        <f t="shared" si="970"/>
        <v>0</v>
      </c>
      <c r="AL1176" s="18">
        <f t="shared" si="971"/>
        <v>0</v>
      </c>
      <c r="AN1176" s="34">
        <v>21</v>
      </c>
      <c r="AO1176" s="34">
        <f t="shared" si="972"/>
        <v>0</v>
      </c>
      <c r="AP1176" s="34">
        <f t="shared" si="973"/>
        <v>0</v>
      </c>
      <c r="AQ1176" s="28" t="s">
        <v>7</v>
      </c>
      <c r="AV1176" s="34">
        <f t="shared" si="974"/>
        <v>0</v>
      </c>
      <c r="AW1176" s="34">
        <f t="shared" si="975"/>
        <v>0</v>
      </c>
      <c r="AX1176" s="34">
        <f t="shared" si="976"/>
        <v>0</v>
      </c>
      <c r="AY1176" s="35" t="s">
        <v>3701</v>
      </c>
      <c r="AZ1176" s="35" t="s">
        <v>3724</v>
      </c>
      <c r="BA1176" s="27" t="s">
        <v>3731</v>
      </c>
      <c r="BC1176" s="34">
        <f t="shared" si="977"/>
        <v>0</v>
      </c>
      <c r="BD1176" s="34">
        <f t="shared" si="978"/>
        <v>0</v>
      </c>
      <c r="BE1176" s="34">
        <v>0</v>
      </c>
      <c r="BF1176" s="34">
        <f>1175</f>
        <v>1175</v>
      </c>
      <c r="BH1176" s="18">
        <f t="shared" si="979"/>
        <v>0</v>
      </c>
      <c r="BI1176" s="18">
        <f t="shared" si="980"/>
        <v>0</v>
      </c>
      <c r="BJ1176" s="18">
        <f t="shared" si="981"/>
        <v>0</v>
      </c>
    </row>
    <row r="1177" spans="1:62" x14ac:dyDescent="0.2">
      <c r="A1177" s="74" t="s">
        <v>1111</v>
      </c>
      <c r="B1177" s="5" t="s">
        <v>2283</v>
      </c>
      <c r="C1177" s="135" t="s">
        <v>3490</v>
      </c>
      <c r="D1177" s="136"/>
      <c r="E1177" s="136"/>
      <c r="F1177" s="136"/>
      <c r="G1177" s="136"/>
      <c r="H1177" s="5" t="s">
        <v>3612</v>
      </c>
      <c r="I1177" s="18">
        <v>2</v>
      </c>
      <c r="J1177" s="18">
        <v>0</v>
      </c>
      <c r="K1177" s="18">
        <f t="shared" si="960"/>
        <v>0</v>
      </c>
      <c r="L1177" s="28" t="s">
        <v>3635</v>
      </c>
      <c r="Z1177" s="34">
        <f t="shared" si="961"/>
        <v>0</v>
      </c>
      <c r="AB1177" s="34">
        <f t="shared" si="962"/>
        <v>0</v>
      </c>
      <c r="AC1177" s="34">
        <f t="shared" si="963"/>
        <v>0</v>
      </c>
      <c r="AD1177" s="34">
        <f t="shared" si="964"/>
        <v>0</v>
      </c>
      <c r="AE1177" s="34">
        <f t="shared" si="965"/>
        <v>0</v>
      </c>
      <c r="AF1177" s="34">
        <f t="shared" si="966"/>
        <v>0</v>
      </c>
      <c r="AG1177" s="34">
        <f t="shared" si="967"/>
        <v>0</v>
      </c>
      <c r="AH1177" s="34">
        <f t="shared" si="968"/>
        <v>0</v>
      </c>
      <c r="AI1177" s="27" t="s">
        <v>3647</v>
      </c>
      <c r="AJ1177" s="18">
        <f t="shared" si="969"/>
        <v>0</v>
      </c>
      <c r="AK1177" s="18">
        <f t="shared" si="970"/>
        <v>0</v>
      </c>
      <c r="AL1177" s="18">
        <f t="shared" si="971"/>
        <v>0</v>
      </c>
      <c r="AN1177" s="34">
        <v>21</v>
      </c>
      <c r="AO1177" s="34">
        <f t="shared" si="972"/>
        <v>0</v>
      </c>
      <c r="AP1177" s="34">
        <f t="shared" si="973"/>
        <v>0</v>
      </c>
      <c r="AQ1177" s="28" t="s">
        <v>7</v>
      </c>
      <c r="AV1177" s="34">
        <f t="shared" si="974"/>
        <v>0</v>
      </c>
      <c r="AW1177" s="34">
        <f t="shared" si="975"/>
        <v>0</v>
      </c>
      <c r="AX1177" s="34">
        <f t="shared" si="976"/>
        <v>0</v>
      </c>
      <c r="AY1177" s="35" t="s">
        <v>3701</v>
      </c>
      <c r="AZ1177" s="35" t="s">
        <v>3724</v>
      </c>
      <c r="BA1177" s="27" t="s">
        <v>3731</v>
      </c>
      <c r="BC1177" s="34">
        <f t="shared" si="977"/>
        <v>0</v>
      </c>
      <c r="BD1177" s="34">
        <f t="shared" si="978"/>
        <v>0</v>
      </c>
      <c r="BE1177" s="34">
        <v>0</v>
      </c>
      <c r="BF1177" s="34">
        <f>1176</f>
        <v>1176</v>
      </c>
      <c r="BH1177" s="18">
        <f t="shared" si="979"/>
        <v>0</v>
      </c>
      <c r="BI1177" s="18">
        <f t="shared" si="980"/>
        <v>0</v>
      </c>
      <c r="BJ1177" s="18">
        <f t="shared" si="981"/>
        <v>0</v>
      </c>
    </row>
    <row r="1178" spans="1:62" x14ac:dyDescent="0.2">
      <c r="A1178" s="74" t="s">
        <v>1112</v>
      </c>
      <c r="B1178" s="5" t="s">
        <v>2284</v>
      </c>
      <c r="C1178" s="135" t="s">
        <v>3491</v>
      </c>
      <c r="D1178" s="136"/>
      <c r="E1178" s="136"/>
      <c r="F1178" s="136"/>
      <c r="G1178" s="136"/>
      <c r="H1178" s="5" t="s">
        <v>3612</v>
      </c>
      <c r="I1178" s="18">
        <v>4</v>
      </c>
      <c r="J1178" s="18">
        <v>0</v>
      </c>
      <c r="K1178" s="18">
        <f t="shared" si="960"/>
        <v>0</v>
      </c>
      <c r="L1178" s="28" t="s">
        <v>3635</v>
      </c>
      <c r="Z1178" s="34">
        <f t="shared" si="961"/>
        <v>0</v>
      </c>
      <c r="AB1178" s="34">
        <f t="shared" si="962"/>
        <v>0</v>
      </c>
      <c r="AC1178" s="34">
        <f t="shared" si="963"/>
        <v>0</v>
      </c>
      <c r="AD1178" s="34">
        <f t="shared" si="964"/>
        <v>0</v>
      </c>
      <c r="AE1178" s="34">
        <f t="shared" si="965"/>
        <v>0</v>
      </c>
      <c r="AF1178" s="34">
        <f t="shared" si="966"/>
        <v>0</v>
      </c>
      <c r="AG1178" s="34">
        <f t="shared" si="967"/>
        <v>0</v>
      </c>
      <c r="AH1178" s="34">
        <f t="shared" si="968"/>
        <v>0</v>
      </c>
      <c r="AI1178" s="27" t="s">
        <v>3647</v>
      </c>
      <c r="AJ1178" s="18">
        <f t="shared" si="969"/>
        <v>0</v>
      </c>
      <c r="AK1178" s="18">
        <f t="shared" si="970"/>
        <v>0</v>
      </c>
      <c r="AL1178" s="18">
        <f t="shared" si="971"/>
        <v>0</v>
      </c>
      <c r="AN1178" s="34">
        <v>21</v>
      </c>
      <c r="AO1178" s="34">
        <f t="shared" si="972"/>
        <v>0</v>
      </c>
      <c r="AP1178" s="34">
        <f t="shared" si="973"/>
        <v>0</v>
      </c>
      <c r="AQ1178" s="28" t="s">
        <v>7</v>
      </c>
      <c r="AV1178" s="34">
        <f t="shared" si="974"/>
        <v>0</v>
      </c>
      <c r="AW1178" s="34">
        <f t="shared" si="975"/>
        <v>0</v>
      </c>
      <c r="AX1178" s="34">
        <f t="shared" si="976"/>
        <v>0</v>
      </c>
      <c r="AY1178" s="35" t="s">
        <v>3701</v>
      </c>
      <c r="AZ1178" s="35" t="s">
        <v>3724</v>
      </c>
      <c r="BA1178" s="27" t="s">
        <v>3731</v>
      </c>
      <c r="BC1178" s="34">
        <f t="shared" si="977"/>
        <v>0</v>
      </c>
      <c r="BD1178" s="34">
        <f t="shared" si="978"/>
        <v>0</v>
      </c>
      <c r="BE1178" s="34">
        <v>0</v>
      </c>
      <c r="BF1178" s="34">
        <f>1177</f>
        <v>1177</v>
      </c>
      <c r="BH1178" s="18">
        <f t="shared" si="979"/>
        <v>0</v>
      </c>
      <c r="BI1178" s="18">
        <f t="shared" si="980"/>
        <v>0</v>
      </c>
      <c r="BJ1178" s="18">
        <f t="shared" si="981"/>
        <v>0</v>
      </c>
    </row>
    <row r="1179" spans="1:62" x14ac:dyDescent="0.2">
      <c r="A1179" s="74" t="s">
        <v>1113</v>
      </c>
      <c r="B1179" s="5" t="s">
        <v>2285</v>
      </c>
      <c r="C1179" s="135" t="s">
        <v>3492</v>
      </c>
      <c r="D1179" s="136"/>
      <c r="E1179" s="136"/>
      <c r="F1179" s="136"/>
      <c r="G1179" s="136"/>
      <c r="H1179" s="5" t="s">
        <v>3612</v>
      </c>
      <c r="I1179" s="18">
        <v>4</v>
      </c>
      <c r="J1179" s="18">
        <v>0</v>
      </c>
      <c r="K1179" s="18">
        <f t="shared" si="960"/>
        <v>0</v>
      </c>
      <c r="L1179" s="28" t="s">
        <v>3635</v>
      </c>
      <c r="Z1179" s="34">
        <f t="shared" si="961"/>
        <v>0</v>
      </c>
      <c r="AB1179" s="34">
        <f t="shared" si="962"/>
        <v>0</v>
      </c>
      <c r="AC1179" s="34">
        <f t="shared" si="963"/>
        <v>0</v>
      </c>
      <c r="AD1179" s="34">
        <f t="shared" si="964"/>
        <v>0</v>
      </c>
      <c r="AE1179" s="34">
        <f t="shared" si="965"/>
        <v>0</v>
      </c>
      <c r="AF1179" s="34">
        <f t="shared" si="966"/>
        <v>0</v>
      </c>
      <c r="AG1179" s="34">
        <f t="shared" si="967"/>
        <v>0</v>
      </c>
      <c r="AH1179" s="34">
        <f t="shared" si="968"/>
        <v>0</v>
      </c>
      <c r="AI1179" s="27" t="s">
        <v>3647</v>
      </c>
      <c r="AJ1179" s="18">
        <f t="shared" si="969"/>
        <v>0</v>
      </c>
      <c r="AK1179" s="18">
        <f t="shared" si="970"/>
        <v>0</v>
      </c>
      <c r="AL1179" s="18">
        <f t="shared" si="971"/>
        <v>0</v>
      </c>
      <c r="AN1179" s="34">
        <v>21</v>
      </c>
      <c r="AO1179" s="34">
        <f t="shared" si="972"/>
        <v>0</v>
      </c>
      <c r="AP1179" s="34">
        <f t="shared" si="973"/>
        <v>0</v>
      </c>
      <c r="AQ1179" s="28" t="s">
        <v>7</v>
      </c>
      <c r="AV1179" s="34">
        <f t="shared" si="974"/>
        <v>0</v>
      </c>
      <c r="AW1179" s="34">
        <f t="shared" si="975"/>
        <v>0</v>
      </c>
      <c r="AX1179" s="34">
        <f t="shared" si="976"/>
        <v>0</v>
      </c>
      <c r="AY1179" s="35" t="s">
        <v>3701</v>
      </c>
      <c r="AZ1179" s="35" t="s">
        <v>3724</v>
      </c>
      <c r="BA1179" s="27" t="s">
        <v>3731</v>
      </c>
      <c r="BC1179" s="34">
        <f t="shared" si="977"/>
        <v>0</v>
      </c>
      <c r="BD1179" s="34">
        <f t="shared" si="978"/>
        <v>0</v>
      </c>
      <c r="BE1179" s="34">
        <v>0</v>
      </c>
      <c r="BF1179" s="34">
        <f>1178</f>
        <v>1178</v>
      </c>
      <c r="BH1179" s="18">
        <f t="shared" si="979"/>
        <v>0</v>
      </c>
      <c r="BI1179" s="18">
        <f t="shared" si="980"/>
        <v>0</v>
      </c>
      <c r="BJ1179" s="18">
        <f t="shared" si="981"/>
        <v>0</v>
      </c>
    </row>
    <row r="1180" spans="1:62" x14ac:dyDescent="0.2">
      <c r="A1180" s="74" t="s">
        <v>1114</v>
      </c>
      <c r="B1180" s="5" t="s">
        <v>2286</v>
      </c>
      <c r="C1180" s="135" t="s">
        <v>3493</v>
      </c>
      <c r="D1180" s="136"/>
      <c r="E1180" s="136"/>
      <c r="F1180" s="136"/>
      <c r="G1180" s="136"/>
      <c r="H1180" s="5" t="s">
        <v>3612</v>
      </c>
      <c r="I1180" s="18">
        <v>4</v>
      </c>
      <c r="J1180" s="18">
        <v>0</v>
      </c>
      <c r="K1180" s="18">
        <f t="shared" si="960"/>
        <v>0</v>
      </c>
      <c r="L1180" s="28" t="s">
        <v>3635</v>
      </c>
      <c r="Z1180" s="34">
        <f t="shared" si="961"/>
        <v>0</v>
      </c>
      <c r="AB1180" s="34">
        <f t="shared" si="962"/>
        <v>0</v>
      </c>
      <c r="AC1180" s="34">
        <f t="shared" si="963"/>
        <v>0</v>
      </c>
      <c r="AD1180" s="34">
        <f t="shared" si="964"/>
        <v>0</v>
      </c>
      <c r="AE1180" s="34">
        <f t="shared" si="965"/>
        <v>0</v>
      </c>
      <c r="AF1180" s="34">
        <f t="shared" si="966"/>
        <v>0</v>
      </c>
      <c r="AG1180" s="34">
        <f t="shared" si="967"/>
        <v>0</v>
      </c>
      <c r="AH1180" s="34">
        <f t="shared" si="968"/>
        <v>0</v>
      </c>
      <c r="AI1180" s="27" t="s">
        <v>3647</v>
      </c>
      <c r="AJ1180" s="18">
        <f t="shared" si="969"/>
        <v>0</v>
      </c>
      <c r="AK1180" s="18">
        <f t="shared" si="970"/>
        <v>0</v>
      </c>
      <c r="AL1180" s="18">
        <f t="shared" si="971"/>
        <v>0</v>
      </c>
      <c r="AN1180" s="34">
        <v>21</v>
      </c>
      <c r="AO1180" s="34">
        <f t="shared" si="972"/>
        <v>0</v>
      </c>
      <c r="AP1180" s="34">
        <f t="shared" si="973"/>
        <v>0</v>
      </c>
      <c r="AQ1180" s="28" t="s">
        <v>7</v>
      </c>
      <c r="AV1180" s="34">
        <f t="shared" si="974"/>
        <v>0</v>
      </c>
      <c r="AW1180" s="34">
        <f t="shared" si="975"/>
        <v>0</v>
      </c>
      <c r="AX1180" s="34">
        <f t="shared" si="976"/>
        <v>0</v>
      </c>
      <c r="AY1180" s="35" t="s">
        <v>3701</v>
      </c>
      <c r="AZ1180" s="35" t="s">
        <v>3724</v>
      </c>
      <c r="BA1180" s="27" t="s">
        <v>3731</v>
      </c>
      <c r="BC1180" s="34">
        <f t="shared" si="977"/>
        <v>0</v>
      </c>
      <c r="BD1180" s="34">
        <f t="shared" si="978"/>
        <v>0</v>
      </c>
      <c r="BE1180" s="34">
        <v>0</v>
      </c>
      <c r="BF1180" s="34">
        <f>1179</f>
        <v>1179</v>
      </c>
      <c r="BH1180" s="18">
        <f t="shared" si="979"/>
        <v>0</v>
      </c>
      <c r="BI1180" s="18">
        <f t="shared" si="980"/>
        <v>0</v>
      </c>
      <c r="BJ1180" s="18">
        <f t="shared" si="981"/>
        <v>0</v>
      </c>
    </row>
    <row r="1181" spans="1:62" x14ac:dyDescent="0.2">
      <c r="A1181" s="74" t="s">
        <v>1115</v>
      </c>
      <c r="B1181" s="5" t="s">
        <v>2287</v>
      </c>
      <c r="C1181" s="135" t="s">
        <v>3494</v>
      </c>
      <c r="D1181" s="136"/>
      <c r="E1181" s="136"/>
      <c r="F1181" s="136"/>
      <c r="G1181" s="136"/>
      <c r="H1181" s="5" t="s">
        <v>3612</v>
      </c>
      <c r="I1181" s="18">
        <v>4</v>
      </c>
      <c r="J1181" s="18">
        <v>0</v>
      </c>
      <c r="K1181" s="18">
        <f t="shared" si="960"/>
        <v>0</v>
      </c>
      <c r="L1181" s="28" t="s">
        <v>3635</v>
      </c>
      <c r="Z1181" s="34">
        <f t="shared" si="961"/>
        <v>0</v>
      </c>
      <c r="AB1181" s="34">
        <f t="shared" si="962"/>
        <v>0</v>
      </c>
      <c r="AC1181" s="34">
        <f t="shared" si="963"/>
        <v>0</v>
      </c>
      <c r="AD1181" s="34">
        <f t="shared" si="964"/>
        <v>0</v>
      </c>
      <c r="AE1181" s="34">
        <f t="shared" si="965"/>
        <v>0</v>
      </c>
      <c r="AF1181" s="34">
        <f t="shared" si="966"/>
        <v>0</v>
      </c>
      <c r="AG1181" s="34">
        <f t="shared" si="967"/>
        <v>0</v>
      </c>
      <c r="AH1181" s="34">
        <f t="shared" si="968"/>
        <v>0</v>
      </c>
      <c r="AI1181" s="27" t="s">
        <v>3647</v>
      </c>
      <c r="AJ1181" s="18">
        <f t="shared" si="969"/>
        <v>0</v>
      </c>
      <c r="AK1181" s="18">
        <f t="shared" si="970"/>
        <v>0</v>
      </c>
      <c r="AL1181" s="18">
        <f t="shared" si="971"/>
        <v>0</v>
      </c>
      <c r="AN1181" s="34">
        <v>21</v>
      </c>
      <c r="AO1181" s="34">
        <f t="shared" si="972"/>
        <v>0</v>
      </c>
      <c r="AP1181" s="34">
        <f t="shared" si="973"/>
        <v>0</v>
      </c>
      <c r="AQ1181" s="28" t="s">
        <v>7</v>
      </c>
      <c r="AV1181" s="34">
        <f t="shared" si="974"/>
        <v>0</v>
      </c>
      <c r="AW1181" s="34">
        <f t="shared" si="975"/>
        <v>0</v>
      </c>
      <c r="AX1181" s="34">
        <f t="shared" si="976"/>
        <v>0</v>
      </c>
      <c r="AY1181" s="35" t="s">
        <v>3701</v>
      </c>
      <c r="AZ1181" s="35" t="s">
        <v>3724</v>
      </c>
      <c r="BA1181" s="27" t="s">
        <v>3731</v>
      </c>
      <c r="BC1181" s="34">
        <f t="shared" si="977"/>
        <v>0</v>
      </c>
      <c r="BD1181" s="34">
        <f t="shared" si="978"/>
        <v>0</v>
      </c>
      <c r="BE1181" s="34">
        <v>0</v>
      </c>
      <c r="BF1181" s="34">
        <f>1180</f>
        <v>1180</v>
      </c>
      <c r="BH1181" s="18">
        <f t="shared" si="979"/>
        <v>0</v>
      </c>
      <c r="BI1181" s="18">
        <f t="shared" si="980"/>
        <v>0</v>
      </c>
      <c r="BJ1181" s="18">
        <f t="shared" si="981"/>
        <v>0</v>
      </c>
    </row>
    <row r="1182" spans="1:62" x14ac:dyDescent="0.2">
      <c r="A1182" s="74" t="s">
        <v>1116</v>
      </c>
      <c r="B1182" s="5" t="s">
        <v>2288</v>
      </c>
      <c r="C1182" s="135" t="s">
        <v>3495</v>
      </c>
      <c r="D1182" s="136"/>
      <c r="E1182" s="136"/>
      <c r="F1182" s="136"/>
      <c r="G1182" s="136"/>
      <c r="H1182" s="5" t="s">
        <v>3612</v>
      </c>
      <c r="I1182" s="18">
        <v>4</v>
      </c>
      <c r="J1182" s="18">
        <v>0</v>
      </c>
      <c r="K1182" s="18">
        <f t="shared" si="960"/>
        <v>0</v>
      </c>
      <c r="L1182" s="28" t="s">
        <v>3635</v>
      </c>
      <c r="Z1182" s="34">
        <f t="shared" si="961"/>
        <v>0</v>
      </c>
      <c r="AB1182" s="34">
        <f t="shared" si="962"/>
        <v>0</v>
      </c>
      <c r="AC1182" s="34">
        <f t="shared" si="963"/>
        <v>0</v>
      </c>
      <c r="AD1182" s="34">
        <f t="shared" si="964"/>
        <v>0</v>
      </c>
      <c r="AE1182" s="34">
        <f t="shared" si="965"/>
        <v>0</v>
      </c>
      <c r="AF1182" s="34">
        <f t="shared" si="966"/>
        <v>0</v>
      </c>
      <c r="AG1182" s="34">
        <f t="shared" si="967"/>
        <v>0</v>
      </c>
      <c r="AH1182" s="34">
        <f t="shared" si="968"/>
        <v>0</v>
      </c>
      <c r="AI1182" s="27" t="s">
        <v>3647</v>
      </c>
      <c r="AJ1182" s="18">
        <f t="shared" si="969"/>
        <v>0</v>
      </c>
      <c r="AK1182" s="18">
        <f t="shared" si="970"/>
        <v>0</v>
      </c>
      <c r="AL1182" s="18">
        <f t="shared" si="971"/>
        <v>0</v>
      </c>
      <c r="AN1182" s="34">
        <v>21</v>
      </c>
      <c r="AO1182" s="34">
        <f t="shared" si="972"/>
        <v>0</v>
      </c>
      <c r="AP1182" s="34">
        <f t="shared" si="973"/>
        <v>0</v>
      </c>
      <c r="AQ1182" s="28" t="s">
        <v>7</v>
      </c>
      <c r="AV1182" s="34">
        <f t="shared" si="974"/>
        <v>0</v>
      </c>
      <c r="AW1182" s="34">
        <f t="shared" si="975"/>
        <v>0</v>
      </c>
      <c r="AX1182" s="34">
        <f t="shared" si="976"/>
        <v>0</v>
      </c>
      <c r="AY1182" s="35" t="s">
        <v>3701</v>
      </c>
      <c r="AZ1182" s="35" t="s">
        <v>3724</v>
      </c>
      <c r="BA1182" s="27" t="s">
        <v>3731</v>
      </c>
      <c r="BC1182" s="34">
        <f t="shared" si="977"/>
        <v>0</v>
      </c>
      <c r="BD1182" s="34">
        <f t="shared" si="978"/>
        <v>0</v>
      </c>
      <c r="BE1182" s="34">
        <v>0</v>
      </c>
      <c r="BF1182" s="34">
        <f>1181</f>
        <v>1181</v>
      </c>
      <c r="BH1182" s="18">
        <f t="shared" si="979"/>
        <v>0</v>
      </c>
      <c r="BI1182" s="18">
        <f t="shared" si="980"/>
        <v>0</v>
      </c>
      <c r="BJ1182" s="18">
        <f t="shared" si="981"/>
        <v>0</v>
      </c>
    </row>
    <row r="1183" spans="1:62" x14ac:dyDescent="0.2">
      <c r="A1183" s="74" t="s">
        <v>1117</v>
      </c>
      <c r="B1183" s="5" t="s">
        <v>2289</v>
      </c>
      <c r="C1183" s="135" t="s">
        <v>3496</v>
      </c>
      <c r="D1183" s="136"/>
      <c r="E1183" s="136"/>
      <c r="F1183" s="136"/>
      <c r="G1183" s="136"/>
      <c r="H1183" s="5" t="s">
        <v>3612</v>
      </c>
      <c r="I1183" s="18">
        <v>8</v>
      </c>
      <c r="J1183" s="18">
        <v>0</v>
      </c>
      <c r="K1183" s="18">
        <f t="shared" si="960"/>
        <v>0</v>
      </c>
      <c r="L1183" s="28" t="s">
        <v>3635</v>
      </c>
      <c r="Z1183" s="34">
        <f t="shared" si="961"/>
        <v>0</v>
      </c>
      <c r="AB1183" s="34">
        <f t="shared" si="962"/>
        <v>0</v>
      </c>
      <c r="AC1183" s="34">
        <f t="shared" si="963"/>
        <v>0</v>
      </c>
      <c r="AD1183" s="34">
        <f t="shared" si="964"/>
        <v>0</v>
      </c>
      <c r="AE1183" s="34">
        <f t="shared" si="965"/>
        <v>0</v>
      </c>
      <c r="AF1183" s="34">
        <f t="shared" si="966"/>
        <v>0</v>
      </c>
      <c r="AG1183" s="34">
        <f t="shared" si="967"/>
        <v>0</v>
      </c>
      <c r="AH1183" s="34">
        <f t="shared" si="968"/>
        <v>0</v>
      </c>
      <c r="AI1183" s="27" t="s">
        <v>3647</v>
      </c>
      <c r="AJ1183" s="18">
        <f t="shared" si="969"/>
        <v>0</v>
      </c>
      <c r="AK1183" s="18">
        <f t="shared" si="970"/>
        <v>0</v>
      </c>
      <c r="AL1183" s="18">
        <f t="shared" si="971"/>
        <v>0</v>
      </c>
      <c r="AN1183" s="34">
        <v>21</v>
      </c>
      <c r="AO1183" s="34">
        <f t="shared" si="972"/>
        <v>0</v>
      </c>
      <c r="AP1183" s="34">
        <f t="shared" si="973"/>
        <v>0</v>
      </c>
      <c r="AQ1183" s="28" t="s">
        <v>7</v>
      </c>
      <c r="AV1183" s="34">
        <f t="shared" si="974"/>
        <v>0</v>
      </c>
      <c r="AW1183" s="34">
        <f t="shared" si="975"/>
        <v>0</v>
      </c>
      <c r="AX1183" s="34">
        <f t="shared" si="976"/>
        <v>0</v>
      </c>
      <c r="AY1183" s="35" t="s">
        <v>3701</v>
      </c>
      <c r="AZ1183" s="35" t="s">
        <v>3724</v>
      </c>
      <c r="BA1183" s="27" t="s">
        <v>3731</v>
      </c>
      <c r="BC1183" s="34">
        <f t="shared" si="977"/>
        <v>0</v>
      </c>
      <c r="BD1183" s="34">
        <f t="shared" si="978"/>
        <v>0</v>
      </c>
      <c r="BE1183" s="34">
        <v>0</v>
      </c>
      <c r="BF1183" s="34">
        <f>1182</f>
        <v>1182</v>
      </c>
      <c r="BH1183" s="18">
        <f t="shared" si="979"/>
        <v>0</v>
      </c>
      <c r="BI1183" s="18">
        <f t="shared" si="980"/>
        <v>0</v>
      </c>
      <c r="BJ1183" s="18">
        <f t="shared" si="981"/>
        <v>0</v>
      </c>
    </row>
    <row r="1184" spans="1:62" x14ac:dyDescent="0.2">
      <c r="A1184" s="74" t="s">
        <v>1118</v>
      </c>
      <c r="B1184" s="5" t="s">
        <v>2290</v>
      </c>
      <c r="C1184" s="135" t="s">
        <v>3497</v>
      </c>
      <c r="D1184" s="136"/>
      <c r="E1184" s="136"/>
      <c r="F1184" s="136"/>
      <c r="G1184" s="136"/>
      <c r="H1184" s="5" t="s">
        <v>3612</v>
      </c>
      <c r="I1184" s="18">
        <v>20</v>
      </c>
      <c r="J1184" s="18">
        <v>0</v>
      </c>
      <c r="K1184" s="18">
        <f t="shared" si="960"/>
        <v>0</v>
      </c>
      <c r="L1184" s="28" t="s">
        <v>3635</v>
      </c>
      <c r="Z1184" s="34">
        <f t="shared" si="961"/>
        <v>0</v>
      </c>
      <c r="AB1184" s="34">
        <f t="shared" si="962"/>
        <v>0</v>
      </c>
      <c r="AC1184" s="34">
        <f t="shared" si="963"/>
        <v>0</v>
      </c>
      <c r="AD1184" s="34">
        <f t="shared" si="964"/>
        <v>0</v>
      </c>
      <c r="AE1184" s="34">
        <f t="shared" si="965"/>
        <v>0</v>
      </c>
      <c r="AF1184" s="34">
        <f t="shared" si="966"/>
        <v>0</v>
      </c>
      <c r="AG1184" s="34">
        <f t="shared" si="967"/>
        <v>0</v>
      </c>
      <c r="AH1184" s="34">
        <f t="shared" si="968"/>
        <v>0</v>
      </c>
      <c r="AI1184" s="27" t="s">
        <v>3647</v>
      </c>
      <c r="AJ1184" s="18">
        <f t="shared" si="969"/>
        <v>0</v>
      </c>
      <c r="AK1184" s="18">
        <f t="shared" si="970"/>
        <v>0</v>
      </c>
      <c r="AL1184" s="18">
        <f t="shared" si="971"/>
        <v>0</v>
      </c>
      <c r="AN1184" s="34">
        <v>21</v>
      </c>
      <c r="AO1184" s="34">
        <f t="shared" si="972"/>
        <v>0</v>
      </c>
      <c r="AP1184" s="34">
        <f t="shared" si="973"/>
        <v>0</v>
      </c>
      <c r="AQ1184" s="28" t="s">
        <v>7</v>
      </c>
      <c r="AV1184" s="34">
        <f t="shared" si="974"/>
        <v>0</v>
      </c>
      <c r="AW1184" s="34">
        <f t="shared" si="975"/>
        <v>0</v>
      </c>
      <c r="AX1184" s="34">
        <f t="shared" si="976"/>
        <v>0</v>
      </c>
      <c r="AY1184" s="35" t="s">
        <v>3701</v>
      </c>
      <c r="AZ1184" s="35" t="s">
        <v>3724</v>
      </c>
      <c r="BA1184" s="27" t="s">
        <v>3731</v>
      </c>
      <c r="BC1184" s="34">
        <f t="shared" si="977"/>
        <v>0</v>
      </c>
      <c r="BD1184" s="34">
        <f t="shared" si="978"/>
        <v>0</v>
      </c>
      <c r="BE1184" s="34">
        <v>0</v>
      </c>
      <c r="BF1184" s="34">
        <f>1183</f>
        <v>1183</v>
      </c>
      <c r="BH1184" s="18">
        <f t="shared" si="979"/>
        <v>0</v>
      </c>
      <c r="BI1184" s="18">
        <f t="shared" si="980"/>
        <v>0</v>
      </c>
      <c r="BJ1184" s="18">
        <f t="shared" si="981"/>
        <v>0</v>
      </c>
    </row>
    <row r="1185" spans="1:62" x14ac:dyDescent="0.2">
      <c r="A1185" s="74" t="s">
        <v>1119</v>
      </c>
      <c r="B1185" s="5" t="s">
        <v>2291</v>
      </c>
      <c r="C1185" s="135" t="s">
        <v>3498</v>
      </c>
      <c r="D1185" s="136"/>
      <c r="E1185" s="136"/>
      <c r="F1185" s="136"/>
      <c r="G1185" s="136"/>
      <c r="H1185" s="5" t="s">
        <v>3612</v>
      </c>
      <c r="I1185" s="18">
        <v>3</v>
      </c>
      <c r="J1185" s="18">
        <v>0</v>
      </c>
      <c r="K1185" s="18">
        <f t="shared" si="960"/>
        <v>0</v>
      </c>
      <c r="L1185" s="28" t="s">
        <v>3635</v>
      </c>
      <c r="Z1185" s="34">
        <f t="shared" si="961"/>
        <v>0</v>
      </c>
      <c r="AB1185" s="34">
        <f t="shared" si="962"/>
        <v>0</v>
      </c>
      <c r="AC1185" s="34">
        <f t="shared" si="963"/>
        <v>0</v>
      </c>
      <c r="AD1185" s="34">
        <f t="shared" si="964"/>
        <v>0</v>
      </c>
      <c r="AE1185" s="34">
        <f t="shared" si="965"/>
        <v>0</v>
      </c>
      <c r="AF1185" s="34">
        <f t="shared" si="966"/>
        <v>0</v>
      </c>
      <c r="AG1185" s="34">
        <f t="shared" si="967"/>
        <v>0</v>
      </c>
      <c r="AH1185" s="34">
        <f t="shared" si="968"/>
        <v>0</v>
      </c>
      <c r="AI1185" s="27" t="s">
        <v>3647</v>
      </c>
      <c r="AJ1185" s="18">
        <f t="shared" si="969"/>
        <v>0</v>
      </c>
      <c r="AK1185" s="18">
        <f t="shared" si="970"/>
        <v>0</v>
      </c>
      <c r="AL1185" s="18">
        <f t="shared" si="971"/>
        <v>0</v>
      </c>
      <c r="AN1185" s="34">
        <v>21</v>
      </c>
      <c r="AO1185" s="34">
        <f t="shared" si="972"/>
        <v>0</v>
      </c>
      <c r="AP1185" s="34">
        <f t="shared" si="973"/>
        <v>0</v>
      </c>
      <c r="AQ1185" s="28" t="s">
        <v>7</v>
      </c>
      <c r="AV1185" s="34">
        <f t="shared" si="974"/>
        <v>0</v>
      </c>
      <c r="AW1185" s="34">
        <f t="shared" si="975"/>
        <v>0</v>
      </c>
      <c r="AX1185" s="34">
        <f t="shared" si="976"/>
        <v>0</v>
      </c>
      <c r="AY1185" s="35" t="s">
        <v>3701</v>
      </c>
      <c r="AZ1185" s="35" t="s">
        <v>3724</v>
      </c>
      <c r="BA1185" s="27" t="s">
        <v>3731</v>
      </c>
      <c r="BC1185" s="34">
        <f t="shared" si="977"/>
        <v>0</v>
      </c>
      <c r="BD1185" s="34">
        <f t="shared" si="978"/>
        <v>0</v>
      </c>
      <c r="BE1185" s="34">
        <v>0</v>
      </c>
      <c r="BF1185" s="34">
        <f>1184</f>
        <v>1184</v>
      </c>
      <c r="BH1185" s="18">
        <f t="shared" si="979"/>
        <v>0</v>
      </c>
      <c r="BI1185" s="18">
        <f t="shared" si="980"/>
        <v>0</v>
      </c>
      <c r="BJ1185" s="18">
        <f t="shared" si="981"/>
        <v>0</v>
      </c>
    </row>
    <row r="1186" spans="1:62" x14ac:dyDescent="0.2">
      <c r="A1186" s="74" t="s">
        <v>1120</v>
      </c>
      <c r="B1186" s="5" t="s">
        <v>2292</v>
      </c>
      <c r="C1186" s="135" t="s">
        <v>3499</v>
      </c>
      <c r="D1186" s="136"/>
      <c r="E1186" s="136"/>
      <c r="F1186" s="136"/>
      <c r="G1186" s="136"/>
      <c r="H1186" s="5" t="s">
        <v>3612</v>
      </c>
      <c r="I1186" s="18">
        <v>1</v>
      </c>
      <c r="J1186" s="18">
        <v>0</v>
      </c>
      <c r="K1186" s="18">
        <f t="shared" si="960"/>
        <v>0</v>
      </c>
      <c r="L1186" s="28" t="s">
        <v>3635</v>
      </c>
      <c r="Z1186" s="34">
        <f t="shared" si="961"/>
        <v>0</v>
      </c>
      <c r="AB1186" s="34">
        <f t="shared" si="962"/>
        <v>0</v>
      </c>
      <c r="AC1186" s="34">
        <f t="shared" si="963"/>
        <v>0</v>
      </c>
      <c r="AD1186" s="34">
        <f t="shared" si="964"/>
        <v>0</v>
      </c>
      <c r="AE1186" s="34">
        <f t="shared" si="965"/>
        <v>0</v>
      </c>
      <c r="AF1186" s="34">
        <f t="shared" si="966"/>
        <v>0</v>
      </c>
      <c r="AG1186" s="34">
        <f t="shared" si="967"/>
        <v>0</v>
      </c>
      <c r="AH1186" s="34">
        <f t="shared" si="968"/>
        <v>0</v>
      </c>
      <c r="AI1186" s="27" t="s">
        <v>3647</v>
      </c>
      <c r="AJ1186" s="18">
        <f t="shared" si="969"/>
        <v>0</v>
      </c>
      <c r="AK1186" s="18">
        <f t="shared" si="970"/>
        <v>0</v>
      </c>
      <c r="AL1186" s="18">
        <f t="shared" si="971"/>
        <v>0</v>
      </c>
      <c r="AN1186" s="34">
        <v>21</v>
      </c>
      <c r="AO1186" s="34">
        <f t="shared" si="972"/>
        <v>0</v>
      </c>
      <c r="AP1186" s="34">
        <f t="shared" si="973"/>
        <v>0</v>
      </c>
      <c r="AQ1186" s="28" t="s">
        <v>7</v>
      </c>
      <c r="AV1186" s="34">
        <f t="shared" si="974"/>
        <v>0</v>
      </c>
      <c r="AW1186" s="34">
        <f t="shared" si="975"/>
        <v>0</v>
      </c>
      <c r="AX1186" s="34">
        <f t="shared" si="976"/>
        <v>0</v>
      </c>
      <c r="AY1186" s="35" t="s">
        <v>3701</v>
      </c>
      <c r="AZ1186" s="35" t="s">
        <v>3724</v>
      </c>
      <c r="BA1186" s="27" t="s">
        <v>3731</v>
      </c>
      <c r="BC1186" s="34">
        <f t="shared" si="977"/>
        <v>0</v>
      </c>
      <c r="BD1186" s="34">
        <f t="shared" si="978"/>
        <v>0</v>
      </c>
      <c r="BE1186" s="34">
        <v>0</v>
      </c>
      <c r="BF1186" s="34">
        <f>1185</f>
        <v>1185</v>
      </c>
      <c r="BH1186" s="18">
        <f t="shared" si="979"/>
        <v>0</v>
      </c>
      <c r="BI1186" s="18">
        <f t="shared" si="980"/>
        <v>0</v>
      </c>
      <c r="BJ1186" s="18">
        <f t="shared" si="981"/>
        <v>0</v>
      </c>
    </row>
    <row r="1187" spans="1:62" x14ac:dyDescent="0.2">
      <c r="A1187" s="74" t="s">
        <v>1121</v>
      </c>
      <c r="B1187" s="5" t="s">
        <v>2293</v>
      </c>
      <c r="C1187" s="135" t="s">
        <v>3500</v>
      </c>
      <c r="D1187" s="136"/>
      <c r="E1187" s="136"/>
      <c r="F1187" s="136"/>
      <c r="G1187" s="136"/>
      <c r="H1187" s="5" t="s">
        <v>3612</v>
      </c>
      <c r="I1187" s="18">
        <v>1</v>
      </c>
      <c r="J1187" s="18">
        <v>0</v>
      </c>
      <c r="K1187" s="18">
        <f t="shared" ref="K1187:K1206" si="982">I1187*J1187</f>
        <v>0</v>
      </c>
      <c r="L1187" s="28" t="s">
        <v>3635</v>
      </c>
      <c r="Z1187" s="34">
        <f t="shared" ref="Z1187:Z1206" si="983">IF(AQ1187="5",BJ1187,0)</f>
        <v>0</v>
      </c>
      <c r="AB1187" s="34">
        <f t="shared" ref="AB1187:AB1206" si="984">IF(AQ1187="1",BH1187,0)</f>
        <v>0</v>
      </c>
      <c r="AC1187" s="34">
        <f t="shared" ref="AC1187:AC1206" si="985">IF(AQ1187="1",BI1187,0)</f>
        <v>0</v>
      </c>
      <c r="AD1187" s="34">
        <f t="shared" ref="AD1187:AD1206" si="986">IF(AQ1187="7",BH1187,0)</f>
        <v>0</v>
      </c>
      <c r="AE1187" s="34">
        <f t="shared" ref="AE1187:AE1206" si="987">IF(AQ1187="7",BI1187,0)</f>
        <v>0</v>
      </c>
      <c r="AF1187" s="34">
        <f t="shared" ref="AF1187:AF1206" si="988">IF(AQ1187="2",BH1187,0)</f>
        <v>0</v>
      </c>
      <c r="AG1187" s="34">
        <f t="shared" ref="AG1187:AG1206" si="989">IF(AQ1187="2",BI1187,0)</f>
        <v>0</v>
      </c>
      <c r="AH1187" s="34">
        <f t="shared" ref="AH1187:AH1206" si="990">IF(AQ1187="0",BJ1187,0)</f>
        <v>0</v>
      </c>
      <c r="AI1187" s="27" t="s">
        <v>3647</v>
      </c>
      <c r="AJ1187" s="18">
        <f t="shared" ref="AJ1187:AJ1206" si="991">IF(AN1187=0,K1187,0)</f>
        <v>0</v>
      </c>
      <c r="AK1187" s="18">
        <f t="shared" ref="AK1187:AK1206" si="992">IF(AN1187=15,K1187,0)</f>
        <v>0</v>
      </c>
      <c r="AL1187" s="18">
        <f t="shared" ref="AL1187:AL1206" si="993">IF(AN1187=21,K1187,0)</f>
        <v>0</v>
      </c>
      <c r="AN1187" s="34">
        <v>21</v>
      </c>
      <c r="AO1187" s="34">
        <f t="shared" ref="AO1187:AO1206" si="994">J1187*0</f>
        <v>0</v>
      </c>
      <c r="AP1187" s="34">
        <f t="shared" ref="AP1187:AP1206" si="995">J1187*(1-0)</f>
        <v>0</v>
      </c>
      <c r="AQ1187" s="28" t="s">
        <v>7</v>
      </c>
      <c r="AV1187" s="34">
        <f t="shared" ref="AV1187:AV1206" si="996">AW1187+AX1187</f>
        <v>0</v>
      </c>
      <c r="AW1187" s="34">
        <f t="shared" ref="AW1187:AW1206" si="997">I1187*AO1187</f>
        <v>0</v>
      </c>
      <c r="AX1187" s="34">
        <f t="shared" ref="AX1187:AX1206" si="998">I1187*AP1187</f>
        <v>0</v>
      </c>
      <c r="AY1187" s="35" t="s">
        <v>3701</v>
      </c>
      <c r="AZ1187" s="35" t="s">
        <v>3724</v>
      </c>
      <c r="BA1187" s="27" t="s">
        <v>3731</v>
      </c>
      <c r="BC1187" s="34">
        <f t="shared" ref="BC1187:BC1206" si="999">AW1187+AX1187</f>
        <v>0</v>
      </c>
      <c r="BD1187" s="34">
        <f t="shared" ref="BD1187:BD1206" si="1000">J1187/(100-BE1187)*100</f>
        <v>0</v>
      </c>
      <c r="BE1187" s="34">
        <v>0</v>
      </c>
      <c r="BF1187" s="34">
        <f>1186</f>
        <v>1186</v>
      </c>
      <c r="BH1187" s="18">
        <f t="shared" ref="BH1187:BH1206" si="1001">I1187*AO1187</f>
        <v>0</v>
      </c>
      <c r="BI1187" s="18">
        <f t="shared" ref="BI1187:BI1206" si="1002">I1187*AP1187</f>
        <v>0</v>
      </c>
      <c r="BJ1187" s="18">
        <f t="shared" ref="BJ1187:BJ1206" si="1003">I1187*J1187</f>
        <v>0</v>
      </c>
    </row>
    <row r="1188" spans="1:62" x14ac:dyDescent="0.2">
      <c r="A1188" s="74" t="s">
        <v>1122</v>
      </c>
      <c r="B1188" s="5" t="s">
        <v>2294</v>
      </c>
      <c r="C1188" s="135" t="s">
        <v>3501</v>
      </c>
      <c r="D1188" s="136"/>
      <c r="E1188" s="136"/>
      <c r="F1188" s="136"/>
      <c r="G1188" s="136"/>
      <c r="H1188" s="5" t="s">
        <v>3614</v>
      </c>
      <c r="I1188" s="18">
        <v>45</v>
      </c>
      <c r="J1188" s="18">
        <v>0</v>
      </c>
      <c r="K1188" s="18">
        <f t="shared" si="982"/>
        <v>0</v>
      </c>
      <c r="L1188" s="28" t="s">
        <v>3635</v>
      </c>
      <c r="Z1188" s="34">
        <f t="shared" si="983"/>
        <v>0</v>
      </c>
      <c r="AB1188" s="34">
        <f t="shared" si="984"/>
        <v>0</v>
      </c>
      <c r="AC1188" s="34">
        <f t="shared" si="985"/>
        <v>0</v>
      </c>
      <c r="AD1188" s="34">
        <f t="shared" si="986"/>
        <v>0</v>
      </c>
      <c r="AE1188" s="34">
        <f t="shared" si="987"/>
        <v>0</v>
      </c>
      <c r="AF1188" s="34">
        <f t="shared" si="988"/>
        <v>0</v>
      </c>
      <c r="AG1188" s="34">
        <f t="shared" si="989"/>
        <v>0</v>
      </c>
      <c r="AH1188" s="34">
        <f t="shared" si="990"/>
        <v>0</v>
      </c>
      <c r="AI1188" s="27" t="s">
        <v>3647</v>
      </c>
      <c r="AJ1188" s="18">
        <f t="shared" si="991"/>
        <v>0</v>
      </c>
      <c r="AK1188" s="18">
        <f t="shared" si="992"/>
        <v>0</v>
      </c>
      <c r="AL1188" s="18">
        <f t="shared" si="993"/>
        <v>0</v>
      </c>
      <c r="AN1188" s="34">
        <v>21</v>
      </c>
      <c r="AO1188" s="34">
        <f t="shared" si="994"/>
        <v>0</v>
      </c>
      <c r="AP1188" s="34">
        <f t="shared" si="995"/>
        <v>0</v>
      </c>
      <c r="AQ1188" s="28" t="s">
        <v>7</v>
      </c>
      <c r="AV1188" s="34">
        <f t="shared" si="996"/>
        <v>0</v>
      </c>
      <c r="AW1188" s="34">
        <f t="shared" si="997"/>
        <v>0</v>
      </c>
      <c r="AX1188" s="34">
        <f t="shared" si="998"/>
        <v>0</v>
      </c>
      <c r="AY1188" s="35" t="s">
        <v>3701</v>
      </c>
      <c r="AZ1188" s="35" t="s">
        <v>3724</v>
      </c>
      <c r="BA1188" s="27" t="s">
        <v>3731</v>
      </c>
      <c r="BC1188" s="34">
        <f t="shared" si="999"/>
        <v>0</v>
      </c>
      <c r="BD1188" s="34">
        <f t="shared" si="1000"/>
        <v>0</v>
      </c>
      <c r="BE1188" s="34">
        <v>0</v>
      </c>
      <c r="BF1188" s="34">
        <f>1187</f>
        <v>1187</v>
      </c>
      <c r="BH1188" s="18">
        <f t="shared" si="1001"/>
        <v>0</v>
      </c>
      <c r="BI1188" s="18">
        <f t="shared" si="1002"/>
        <v>0</v>
      </c>
      <c r="BJ1188" s="18">
        <f t="shared" si="1003"/>
        <v>0</v>
      </c>
    </row>
    <row r="1189" spans="1:62" x14ac:dyDescent="0.2">
      <c r="A1189" s="74" t="s">
        <v>1123</v>
      </c>
      <c r="B1189" s="5" t="s">
        <v>2295</v>
      </c>
      <c r="C1189" s="135" t="s">
        <v>3502</v>
      </c>
      <c r="D1189" s="136"/>
      <c r="E1189" s="136"/>
      <c r="F1189" s="136"/>
      <c r="G1189" s="136"/>
      <c r="H1189" s="5" t="s">
        <v>3614</v>
      </c>
      <c r="I1189" s="18">
        <v>60</v>
      </c>
      <c r="J1189" s="18">
        <v>0</v>
      </c>
      <c r="K1189" s="18">
        <f t="shared" si="982"/>
        <v>0</v>
      </c>
      <c r="L1189" s="28" t="s">
        <v>3635</v>
      </c>
      <c r="Z1189" s="34">
        <f t="shared" si="983"/>
        <v>0</v>
      </c>
      <c r="AB1189" s="34">
        <f t="shared" si="984"/>
        <v>0</v>
      </c>
      <c r="AC1189" s="34">
        <f t="shared" si="985"/>
        <v>0</v>
      </c>
      <c r="AD1189" s="34">
        <f t="shared" si="986"/>
        <v>0</v>
      </c>
      <c r="AE1189" s="34">
        <f t="shared" si="987"/>
        <v>0</v>
      </c>
      <c r="AF1189" s="34">
        <f t="shared" si="988"/>
        <v>0</v>
      </c>
      <c r="AG1189" s="34">
        <f t="shared" si="989"/>
        <v>0</v>
      </c>
      <c r="AH1189" s="34">
        <f t="shared" si="990"/>
        <v>0</v>
      </c>
      <c r="AI1189" s="27" t="s">
        <v>3647</v>
      </c>
      <c r="AJ1189" s="18">
        <f t="shared" si="991"/>
        <v>0</v>
      </c>
      <c r="AK1189" s="18">
        <f t="shared" si="992"/>
        <v>0</v>
      </c>
      <c r="AL1189" s="18">
        <f t="shared" si="993"/>
        <v>0</v>
      </c>
      <c r="AN1189" s="34">
        <v>21</v>
      </c>
      <c r="AO1189" s="34">
        <f t="shared" si="994"/>
        <v>0</v>
      </c>
      <c r="AP1189" s="34">
        <f t="shared" si="995"/>
        <v>0</v>
      </c>
      <c r="AQ1189" s="28" t="s">
        <v>7</v>
      </c>
      <c r="AV1189" s="34">
        <f t="shared" si="996"/>
        <v>0</v>
      </c>
      <c r="AW1189" s="34">
        <f t="shared" si="997"/>
        <v>0</v>
      </c>
      <c r="AX1189" s="34">
        <f t="shared" si="998"/>
        <v>0</v>
      </c>
      <c r="AY1189" s="35" t="s">
        <v>3701</v>
      </c>
      <c r="AZ1189" s="35" t="s">
        <v>3724</v>
      </c>
      <c r="BA1189" s="27" t="s">
        <v>3731</v>
      </c>
      <c r="BC1189" s="34">
        <f t="shared" si="999"/>
        <v>0</v>
      </c>
      <c r="BD1189" s="34">
        <f t="shared" si="1000"/>
        <v>0</v>
      </c>
      <c r="BE1189" s="34">
        <v>0</v>
      </c>
      <c r="BF1189" s="34">
        <f>1188</f>
        <v>1188</v>
      </c>
      <c r="BH1189" s="18">
        <f t="shared" si="1001"/>
        <v>0</v>
      </c>
      <c r="BI1189" s="18">
        <f t="shared" si="1002"/>
        <v>0</v>
      </c>
      <c r="BJ1189" s="18">
        <f t="shared" si="1003"/>
        <v>0</v>
      </c>
    </row>
    <row r="1190" spans="1:62" x14ac:dyDescent="0.2">
      <c r="A1190" s="74" t="s">
        <v>1124</v>
      </c>
      <c r="B1190" s="5" t="s">
        <v>2296</v>
      </c>
      <c r="C1190" s="135" t="s">
        <v>3503</v>
      </c>
      <c r="D1190" s="136"/>
      <c r="E1190" s="136"/>
      <c r="F1190" s="136"/>
      <c r="G1190" s="136"/>
      <c r="H1190" s="5" t="s">
        <v>3614</v>
      </c>
      <c r="I1190" s="18">
        <v>105</v>
      </c>
      <c r="J1190" s="18">
        <v>0</v>
      </c>
      <c r="K1190" s="18">
        <f t="shared" si="982"/>
        <v>0</v>
      </c>
      <c r="L1190" s="28" t="s">
        <v>3635</v>
      </c>
      <c r="Z1190" s="34">
        <f t="shared" si="983"/>
        <v>0</v>
      </c>
      <c r="AB1190" s="34">
        <f t="shared" si="984"/>
        <v>0</v>
      </c>
      <c r="AC1190" s="34">
        <f t="shared" si="985"/>
        <v>0</v>
      </c>
      <c r="AD1190" s="34">
        <f t="shared" si="986"/>
        <v>0</v>
      </c>
      <c r="AE1190" s="34">
        <f t="shared" si="987"/>
        <v>0</v>
      </c>
      <c r="AF1190" s="34">
        <f t="shared" si="988"/>
        <v>0</v>
      </c>
      <c r="AG1190" s="34">
        <f t="shared" si="989"/>
        <v>0</v>
      </c>
      <c r="AH1190" s="34">
        <f t="shared" si="990"/>
        <v>0</v>
      </c>
      <c r="AI1190" s="27" t="s">
        <v>3647</v>
      </c>
      <c r="AJ1190" s="18">
        <f t="shared" si="991"/>
        <v>0</v>
      </c>
      <c r="AK1190" s="18">
        <f t="shared" si="992"/>
        <v>0</v>
      </c>
      <c r="AL1190" s="18">
        <f t="shared" si="993"/>
        <v>0</v>
      </c>
      <c r="AN1190" s="34">
        <v>21</v>
      </c>
      <c r="AO1190" s="34">
        <f t="shared" si="994"/>
        <v>0</v>
      </c>
      <c r="AP1190" s="34">
        <f t="shared" si="995"/>
        <v>0</v>
      </c>
      <c r="AQ1190" s="28" t="s">
        <v>7</v>
      </c>
      <c r="AV1190" s="34">
        <f t="shared" si="996"/>
        <v>0</v>
      </c>
      <c r="AW1190" s="34">
        <f t="shared" si="997"/>
        <v>0</v>
      </c>
      <c r="AX1190" s="34">
        <f t="shared" si="998"/>
        <v>0</v>
      </c>
      <c r="AY1190" s="35" t="s">
        <v>3701</v>
      </c>
      <c r="AZ1190" s="35" t="s">
        <v>3724</v>
      </c>
      <c r="BA1190" s="27" t="s">
        <v>3731</v>
      </c>
      <c r="BC1190" s="34">
        <f t="shared" si="999"/>
        <v>0</v>
      </c>
      <c r="BD1190" s="34">
        <f t="shared" si="1000"/>
        <v>0</v>
      </c>
      <c r="BE1190" s="34">
        <v>0</v>
      </c>
      <c r="BF1190" s="34">
        <f>1189</f>
        <v>1189</v>
      </c>
      <c r="BH1190" s="18">
        <f t="shared" si="1001"/>
        <v>0</v>
      </c>
      <c r="BI1190" s="18">
        <f t="shared" si="1002"/>
        <v>0</v>
      </c>
      <c r="BJ1190" s="18">
        <f t="shared" si="1003"/>
        <v>0</v>
      </c>
    </row>
    <row r="1191" spans="1:62" x14ac:dyDescent="0.2">
      <c r="A1191" s="74" t="s">
        <v>1125</v>
      </c>
      <c r="B1191" s="5" t="s">
        <v>2297</v>
      </c>
      <c r="C1191" s="135" t="s">
        <v>3504</v>
      </c>
      <c r="D1191" s="136"/>
      <c r="E1191" s="136"/>
      <c r="F1191" s="136"/>
      <c r="G1191" s="136"/>
      <c r="H1191" s="5" t="s">
        <v>3614</v>
      </c>
      <c r="I1191" s="18">
        <v>210</v>
      </c>
      <c r="J1191" s="18">
        <v>0</v>
      </c>
      <c r="K1191" s="18">
        <f t="shared" si="982"/>
        <v>0</v>
      </c>
      <c r="L1191" s="28" t="s">
        <v>3635</v>
      </c>
      <c r="Z1191" s="34">
        <f t="shared" si="983"/>
        <v>0</v>
      </c>
      <c r="AB1191" s="34">
        <f t="shared" si="984"/>
        <v>0</v>
      </c>
      <c r="AC1191" s="34">
        <f t="shared" si="985"/>
        <v>0</v>
      </c>
      <c r="AD1191" s="34">
        <f t="shared" si="986"/>
        <v>0</v>
      </c>
      <c r="AE1191" s="34">
        <f t="shared" si="987"/>
        <v>0</v>
      </c>
      <c r="AF1191" s="34">
        <f t="shared" si="988"/>
        <v>0</v>
      </c>
      <c r="AG1191" s="34">
        <f t="shared" si="989"/>
        <v>0</v>
      </c>
      <c r="AH1191" s="34">
        <f t="shared" si="990"/>
        <v>0</v>
      </c>
      <c r="AI1191" s="27" t="s">
        <v>3647</v>
      </c>
      <c r="AJ1191" s="18">
        <f t="shared" si="991"/>
        <v>0</v>
      </c>
      <c r="AK1191" s="18">
        <f t="shared" si="992"/>
        <v>0</v>
      </c>
      <c r="AL1191" s="18">
        <f t="shared" si="993"/>
        <v>0</v>
      </c>
      <c r="AN1191" s="34">
        <v>21</v>
      </c>
      <c r="AO1191" s="34">
        <f t="shared" si="994"/>
        <v>0</v>
      </c>
      <c r="AP1191" s="34">
        <f t="shared" si="995"/>
        <v>0</v>
      </c>
      <c r="AQ1191" s="28" t="s">
        <v>7</v>
      </c>
      <c r="AV1191" s="34">
        <f t="shared" si="996"/>
        <v>0</v>
      </c>
      <c r="AW1191" s="34">
        <f t="shared" si="997"/>
        <v>0</v>
      </c>
      <c r="AX1191" s="34">
        <f t="shared" si="998"/>
        <v>0</v>
      </c>
      <c r="AY1191" s="35" t="s">
        <v>3701</v>
      </c>
      <c r="AZ1191" s="35" t="s">
        <v>3724</v>
      </c>
      <c r="BA1191" s="27" t="s">
        <v>3731</v>
      </c>
      <c r="BC1191" s="34">
        <f t="shared" si="999"/>
        <v>0</v>
      </c>
      <c r="BD1191" s="34">
        <f t="shared" si="1000"/>
        <v>0</v>
      </c>
      <c r="BE1191" s="34">
        <v>0</v>
      </c>
      <c r="BF1191" s="34">
        <f>1190</f>
        <v>1190</v>
      </c>
      <c r="BH1191" s="18">
        <f t="shared" si="1001"/>
        <v>0</v>
      </c>
      <c r="BI1191" s="18">
        <f t="shared" si="1002"/>
        <v>0</v>
      </c>
      <c r="BJ1191" s="18">
        <f t="shared" si="1003"/>
        <v>0</v>
      </c>
    </row>
    <row r="1192" spans="1:62" x14ac:dyDescent="0.2">
      <c r="A1192" s="74" t="s">
        <v>1126</v>
      </c>
      <c r="B1192" s="5" t="s">
        <v>2298</v>
      </c>
      <c r="C1192" s="135" t="s">
        <v>3505</v>
      </c>
      <c r="D1192" s="136"/>
      <c r="E1192" s="136"/>
      <c r="F1192" s="136"/>
      <c r="G1192" s="136"/>
      <c r="H1192" s="5" t="s">
        <v>3622</v>
      </c>
      <c r="I1192" s="18">
        <v>13</v>
      </c>
      <c r="J1192" s="18">
        <v>0</v>
      </c>
      <c r="K1192" s="18">
        <f t="shared" si="982"/>
        <v>0</v>
      </c>
      <c r="L1192" s="28" t="s">
        <v>3635</v>
      </c>
      <c r="Z1192" s="34">
        <f t="shared" si="983"/>
        <v>0</v>
      </c>
      <c r="AB1192" s="34">
        <f t="shared" si="984"/>
        <v>0</v>
      </c>
      <c r="AC1192" s="34">
        <f t="shared" si="985"/>
        <v>0</v>
      </c>
      <c r="AD1192" s="34">
        <f t="shared" si="986"/>
        <v>0</v>
      </c>
      <c r="AE1192" s="34">
        <f t="shared" si="987"/>
        <v>0</v>
      </c>
      <c r="AF1192" s="34">
        <f t="shared" si="988"/>
        <v>0</v>
      </c>
      <c r="AG1192" s="34">
        <f t="shared" si="989"/>
        <v>0</v>
      </c>
      <c r="AH1192" s="34">
        <f t="shared" si="990"/>
        <v>0</v>
      </c>
      <c r="AI1192" s="27" t="s">
        <v>3647</v>
      </c>
      <c r="AJ1192" s="18">
        <f t="shared" si="991"/>
        <v>0</v>
      </c>
      <c r="AK1192" s="18">
        <f t="shared" si="992"/>
        <v>0</v>
      </c>
      <c r="AL1192" s="18">
        <f t="shared" si="993"/>
        <v>0</v>
      </c>
      <c r="AN1192" s="34">
        <v>21</v>
      </c>
      <c r="AO1192" s="34">
        <f t="shared" si="994"/>
        <v>0</v>
      </c>
      <c r="AP1192" s="34">
        <f t="shared" si="995"/>
        <v>0</v>
      </c>
      <c r="AQ1192" s="28" t="s">
        <v>7</v>
      </c>
      <c r="AV1192" s="34">
        <f t="shared" si="996"/>
        <v>0</v>
      </c>
      <c r="AW1192" s="34">
        <f t="shared" si="997"/>
        <v>0</v>
      </c>
      <c r="AX1192" s="34">
        <f t="shared" si="998"/>
        <v>0</v>
      </c>
      <c r="AY1192" s="35" t="s">
        <v>3701</v>
      </c>
      <c r="AZ1192" s="35" t="s">
        <v>3724</v>
      </c>
      <c r="BA1192" s="27" t="s">
        <v>3731</v>
      </c>
      <c r="BC1192" s="34">
        <f t="shared" si="999"/>
        <v>0</v>
      </c>
      <c r="BD1192" s="34">
        <f t="shared" si="1000"/>
        <v>0</v>
      </c>
      <c r="BE1192" s="34">
        <v>0</v>
      </c>
      <c r="BF1192" s="34">
        <f>1191</f>
        <v>1191</v>
      </c>
      <c r="BH1192" s="18">
        <f t="shared" si="1001"/>
        <v>0</v>
      </c>
      <c r="BI1192" s="18">
        <f t="shared" si="1002"/>
        <v>0</v>
      </c>
      <c r="BJ1192" s="18">
        <f t="shared" si="1003"/>
        <v>0</v>
      </c>
    </row>
    <row r="1193" spans="1:62" x14ac:dyDescent="0.2">
      <c r="A1193" s="74" t="s">
        <v>1127</v>
      </c>
      <c r="B1193" s="5" t="s">
        <v>2299</v>
      </c>
      <c r="C1193" s="135" t="s">
        <v>3506</v>
      </c>
      <c r="D1193" s="136"/>
      <c r="E1193" s="136"/>
      <c r="F1193" s="136"/>
      <c r="G1193" s="136"/>
      <c r="H1193" s="5" t="s">
        <v>3614</v>
      </c>
      <c r="I1193" s="18">
        <v>50</v>
      </c>
      <c r="J1193" s="18">
        <v>0</v>
      </c>
      <c r="K1193" s="18">
        <f t="shared" si="982"/>
        <v>0</v>
      </c>
      <c r="L1193" s="28" t="s">
        <v>3635</v>
      </c>
      <c r="Z1193" s="34">
        <f t="shared" si="983"/>
        <v>0</v>
      </c>
      <c r="AB1193" s="34">
        <f t="shared" si="984"/>
        <v>0</v>
      </c>
      <c r="AC1193" s="34">
        <f t="shared" si="985"/>
        <v>0</v>
      </c>
      <c r="AD1193" s="34">
        <f t="shared" si="986"/>
        <v>0</v>
      </c>
      <c r="AE1193" s="34">
        <f t="shared" si="987"/>
        <v>0</v>
      </c>
      <c r="AF1193" s="34">
        <f t="shared" si="988"/>
        <v>0</v>
      </c>
      <c r="AG1193" s="34">
        <f t="shared" si="989"/>
        <v>0</v>
      </c>
      <c r="AH1193" s="34">
        <f t="shared" si="990"/>
        <v>0</v>
      </c>
      <c r="AI1193" s="27" t="s">
        <v>3647</v>
      </c>
      <c r="AJ1193" s="18">
        <f t="shared" si="991"/>
        <v>0</v>
      </c>
      <c r="AK1193" s="18">
        <f t="shared" si="992"/>
        <v>0</v>
      </c>
      <c r="AL1193" s="18">
        <f t="shared" si="993"/>
        <v>0</v>
      </c>
      <c r="AN1193" s="34">
        <v>21</v>
      </c>
      <c r="AO1193" s="34">
        <f t="shared" si="994"/>
        <v>0</v>
      </c>
      <c r="AP1193" s="34">
        <f t="shared" si="995"/>
        <v>0</v>
      </c>
      <c r="AQ1193" s="28" t="s">
        <v>7</v>
      </c>
      <c r="AV1193" s="34">
        <f t="shared" si="996"/>
        <v>0</v>
      </c>
      <c r="AW1193" s="34">
        <f t="shared" si="997"/>
        <v>0</v>
      </c>
      <c r="AX1193" s="34">
        <f t="shared" si="998"/>
        <v>0</v>
      </c>
      <c r="AY1193" s="35" t="s">
        <v>3701</v>
      </c>
      <c r="AZ1193" s="35" t="s">
        <v>3724</v>
      </c>
      <c r="BA1193" s="27" t="s">
        <v>3731</v>
      </c>
      <c r="BC1193" s="34">
        <f t="shared" si="999"/>
        <v>0</v>
      </c>
      <c r="BD1193" s="34">
        <f t="shared" si="1000"/>
        <v>0</v>
      </c>
      <c r="BE1193" s="34">
        <v>0</v>
      </c>
      <c r="BF1193" s="34">
        <f>1192</f>
        <v>1192</v>
      </c>
      <c r="BH1193" s="18">
        <f t="shared" si="1001"/>
        <v>0</v>
      </c>
      <c r="BI1193" s="18">
        <f t="shared" si="1002"/>
        <v>0</v>
      </c>
      <c r="BJ1193" s="18">
        <f t="shared" si="1003"/>
        <v>0</v>
      </c>
    </row>
    <row r="1194" spans="1:62" x14ac:dyDescent="0.2">
      <c r="A1194" s="74" t="s">
        <v>1128</v>
      </c>
      <c r="B1194" s="5" t="s">
        <v>2300</v>
      </c>
      <c r="C1194" s="135" t="s">
        <v>3507</v>
      </c>
      <c r="D1194" s="136"/>
      <c r="E1194" s="136"/>
      <c r="F1194" s="136"/>
      <c r="G1194" s="136"/>
      <c r="H1194" s="5" t="s">
        <v>3614</v>
      </c>
      <c r="I1194" s="18">
        <v>5</v>
      </c>
      <c r="J1194" s="18">
        <v>0</v>
      </c>
      <c r="K1194" s="18">
        <f t="shared" si="982"/>
        <v>0</v>
      </c>
      <c r="L1194" s="28" t="s">
        <v>3635</v>
      </c>
      <c r="Z1194" s="34">
        <f t="shared" si="983"/>
        <v>0</v>
      </c>
      <c r="AB1194" s="34">
        <f t="shared" si="984"/>
        <v>0</v>
      </c>
      <c r="AC1194" s="34">
        <f t="shared" si="985"/>
        <v>0</v>
      </c>
      <c r="AD1194" s="34">
        <f t="shared" si="986"/>
        <v>0</v>
      </c>
      <c r="AE1194" s="34">
        <f t="shared" si="987"/>
        <v>0</v>
      </c>
      <c r="AF1194" s="34">
        <f t="shared" si="988"/>
        <v>0</v>
      </c>
      <c r="AG1194" s="34">
        <f t="shared" si="989"/>
        <v>0</v>
      </c>
      <c r="AH1194" s="34">
        <f t="shared" si="990"/>
        <v>0</v>
      </c>
      <c r="AI1194" s="27" t="s">
        <v>3647</v>
      </c>
      <c r="AJ1194" s="18">
        <f t="shared" si="991"/>
        <v>0</v>
      </c>
      <c r="AK1194" s="18">
        <f t="shared" si="992"/>
        <v>0</v>
      </c>
      <c r="AL1194" s="18">
        <f t="shared" si="993"/>
        <v>0</v>
      </c>
      <c r="AN1194" s="34">
        <v>21</v>
      </c>
      <c r="AO1194" s="34">
        <f t="shared" si="994"/>
        <v>0</v>
      </c>
      <c r="AP1194" s="34">
        <f t="shared" si="995"/>
        <v>0</v>
      </c>
      <c r="AQ1194" s="28" t="s">
        <v>7</v>
      </c>
      <c r="AV1194" s="34">
        <f t="shared" si="996"/>
        <v>0</v>
      </c>
      <c r="AW1194" s="34">
        <f t="shared" si="997"/>
        <v>0</v>
      </c>
      <c r="AX1194" s="34">
        <f t="shared" si="998"/>
        <v>0</v>
      </c>
      <c r="AY1194" s="35" t="s">
        <v>3701</v>
      </c>
      <c r="AZ1194" s="35" t="s">
        <v>3724</v>
      </c>
      <c r="BA1194" s="27" t="s">
        <v>3731</v>
      </c>
      <c r="BC1194" s="34">
        <f t="shared" si="999"/>
        <v>0</v>
      </c>
      <c r="BD1194" s="34">
        <f t="shared" si="1000"/>
        <v>0</v>
      </c>
      <c r="BE1194" s="34">
        <v>0</v>
      </c>
      <c r="BF1194" s="34">
        <f>1193</f>
        <v>1193</v>
      </c>
      <c r="BH1194" s="18">
        <f t="shared" si="1001"/>
        <v>0</v>
      </c>
      <c r="BI1194" s="18">
        <f t="shared" si="1002"/>
        <v>0</v>
      </c>
      <c r="BJ1194" s="18">
        <f t="shared" si="1003"/>
        <v>0</v>
      </c>
    </row>
    <row r="1195" spans="1:62" x14ac:dyDescent="0.2">
      <c r="A1195" s="74" t="s">
        <v>1129</v>
      </c>
      <c r="B1195" s="5" t="s">
        <v>2301</v>
      </c>
      <c r="C1195" s="135" t="s">
        <v>3508</v>
      </c>
      <c r="D1195" s="136"/>
      <c r="E1195" s="136"/>
      <c r="F1195" s="136"/>
      <c r="G1195" s="136"/>
      <c r="H1195" s="5" t="s">
        <v>3614</v>
      </c>
      <c r="I1195" s="18">
        <v>10</v>
      </c>
      <c r="J1195" s="18">
        <v>0</v>
      </c>
      <c r="K1195" s="18">
        <f t="shared" si="982"/>
        <v>0</v>
      </c>
      <c r="L1195" s="28" t="s">
        <v>3635</v>
      </c>
      <c r="Z1195" s="34">
        <f t="shared" si="983"/>
        <v>0</v>
      </c>
      <c r="AB1195" s="34">
        <f t="shared" si="984"/>
        <v>0</v>
      </c>
      <c r="AC1195" s="34">
        <f t="shared" si="985"/>
        <v>0</v>
      </c>
      <c r="AD1195" s="34">
        <f t="shared" si="986"/>
        <v>0</v>
      </c>
      <c r="AE1195" s="34">
        <f t="shared" si="987"/>
        <v>0</v>
      </c>
      <c r="AF1195" s="34">
        <f t="shared" si="988"/>
        <v>0</v>
      </c>
      <c r="AG1195" s="34">
        <f t="shared" si="989"/>
        <v>0</v>
      </c>
      <c r="AH1195" s="34">
        <f t="shared" si="990"/>
        <v>0</v>
      </c>
      <c r="AI1195" s="27" t="s">
        <v>3647</v>
      </c>
      <c r="AJ1195" s="18">
        <f t="shared" si="991"/>
        <v>0</v>
      </c>
      <c r="AK1195" s="18">
        <f t="shared" si="992"/>
        <v>0</v>
      </c>
      <c r="AL1195" s="18">
        <f t="shared" si="993"/>
        <v>0</v>
      </c>
      <c r="AN1195" s="34">
        <v>21</v>
      </c>
      <c r="AO1195" s="34">
        <f t="shared" si="994"/>
        <v>0</v>
      </c>
      <c r="AP1195" s="34">
        <f t="shared" si="995"/>
        <v>0</v>
      </c>
      <c r="AQ1195" s="28" t="s">
        <v>7</v>
      </c>
      <c r="AV1195" s="34">
        <f t="shared" si="996"/>
        <v>0</v>
      </c>
      <c r="AW1195" s="34">
        <f t="shared" si="997"/>
        <v>0</v>
      </c>
      <c r="AX1195" s="34">
        <f t="shared" si="998"/>
        <v>0</v>
      </c>
      <c r="AY1195" s="35" t="s">
        <v>3701</v>
      </c>
      <c r="AZ1195" s="35" t="s">
        <v>3724</v>
      </c>
      <c r="BA1195" s="27" t="s">
        <v>3731</v>
      </c>
      <c r="BC1195" s="34">
        <f t="shared" si="999"/>
        <v>0</v>
      </c>
      <c r="BD1195" s="34">
        <f t="shared" si="1000"/>
        <v>0</v>
      </c>
      <c r="BE1195" s="34">
        <v>0</v>
      </c>
      <c r="BF1195" s="34">
        <f>1194</f>
        <v>1194</v>
      </c>
      <c r="BH1195" s="18">
        <f t="shared" si="1001"/>
        <v>0</v>
      </c>
      <c r="BI1195" s="18">
        <f t="shared" si="1002"/>
        <v>0</v>
      </c>
      <c r="BJ1195" s="18">
        <f t="shared" si="1003"/>
        <v>0</v>
      </c>
    </row>
    <row r="1196" spans="1:62" x14ac:dyDescent="0.2">
      <c r="A1196" s="74" t="s">
        <v>1130</v>
      </c>
      <c r="B1196" s="5" t="s">
        <v>2302</v>
      </c>
      <c r="C1196" s="135" t="s">
        <v>3509</v>
      </c>
      <c r="D1196" s="136"/>
      <c r="E1196" s="136"/>
      <c r="F1196" s="136"/>
      <c r="G1196" s="136"/>
      <c r="H1196" s="5" t="s">
        <v>3614</v>
      </c>
      <c r="I1196" s="18">
        <v>10</v>
      </c>
      <c r="J1196" s="18">
        <v>0</v>
      </c>
      <c r="K1196" s="18">
        <f t="shared" si="982"/>
        <v>0</v>
      </c>
      <c r="L1196" s="28" t="s">
        <v>3635</v>
      </c>
      <c r="Z1196" s="34">
        <f t="shared" si="983"/>
        <v>0</v>
      </c>
      <c r="AB1196" s="34">
        <f t="shared" si="984"/>
        <v>0</v>
      </c>
      <c r="AC1196" s="34">
        <f t="shared" si="985"/>
        <v>0</v>
      </c>
      <c r="AD1196" s="34">
        <f t="shared" si="986"/>
        <v>0</v>
      </c>
      <c r="AE1196" s="34">
        <f t="shared" si="987"/>
        <v>0</v>
      </c>
      <c r="AF1196" s="34">
        <f t="shared" si="988"/>
        <v>0</v>
      </c>
      <c r="AG1196" s="34">
        <f t="shared" si="989"/>
        <v>0</v>
      </c>
      <c r="AH1196" s="34">
        <f t="shared" si="990"/>
        <v>0</v>
      </c>
      <c r="AI1196" s="27" t="s">
        <v>3647</v>
      </c>
      <c r="AJ1196" s="18">
        <f t="shared" si="991"/>
        <v>0</v>
      </c>
      <c r="AK1196" s="18">
        <f t="shared" si="992"/>
        <v>0</v>
      </c>
      <c r="AL1196" s="18">
        <f t="shared" si="993"/>
        <v>0</v>
      </c>
      <c r="AN1196" s="34">
        <v>21</v>
      </c>
      <c r="AO1196" s="34">
        <f t="shared" si="994"/>
        <v>0</v>
      </c>
      <c r="AP1196" s="34">
        <f t="shared" si="995"/>
        <v>0</v>
      </c>
      <c r="AQ1196" s="28" t="s">
        <v>7</v>
      </c>
      <c r="AV1196" s="34">
        <f t="shared" si="996"/>
        <v>0</v>
      </c>
      <c r="AW1196" s="34">
        <f t="shared" si="997"/>
        <v>0</v>
      </c>
      <c r="AX1196" s="34">
        <f t="shared" si="998"/>
        <v>0</v>
      </c>
      <c r="AY1196" s="35" t="s">
        <v>3701</v>
      </c>
      <c r="AZ1196" s="35" t="s">
        <v>3724</v>
      </c>
      <c r="BA1196" s="27" t="s">
        <v>3731</v>
      </c>
      <c r="BC1196" s="34">
        <f t="shared" si="999"/>
        <v>0</v>
      </c>
      <c r="BD1196" s="34">
        <f t="shared" si="1000"/>
        <v>0</v>
      </c>
      <c r="BE1196" s="34">
        <v>0</v>
      </c>
      <c r="BF1196" s="34">
        <f>1195</f>
        <v>1195</v>
      </c>
      <c r="BH1196" s="18">
        <f t="shared" si="1001"/>
        <v>0</v>
      </c>
      <c r="BI1196" s="18">
        <f t="shared" si="1002"/>
        <v>0</v>
      </c>
      <c r="BJ1196" s="18">
        <f t="shared" si="1003"/>
        <v>0</v>
      </c>
    </row>
    <row r="1197" spans="1:62" x14ac:dyDescent="0.2">
      <c r="A1197" s="74" t="s">
        <v>1131</v>
      </c>
      <c r="B1197" s="5" t="s">
        <v>2303</v>
      </c>
      <c r="C1197" s="135" t="s">
        <v>3510</v>
      </c>
      <c r="D1197" s="136"/>
      <c r="E1197" s="136"/>
      <c r="F1197" s="136"/>
      <c r="G1197" s="136"/>
      <c r="H1197" s="5" t="s">
        <v>3614</v>
      </c>
      <c r="I1197" s="18">
        <v>30</v>
      </c>
      <c r="J1197" s="18">
        <v>0</v>
      </c>
      <c r="K1197" s="18">
        <f t="shared" si="982"/>
        <v>0</v>
      </c>
      <c r="L1197" s="28" t="s">
        <v>3635</v>
      </c>
      <c r="Z1197" s="34">
        <f t="shared" si="983"/>
        <v>0</v>
      </c>
      <c r="AB1197" s="34">
        <f t="shared" si="984"/>
        <v>0</v>
      </c>
      <c r="AC1197" s="34">
        <f t="shared" si="985"/>
        <v>0</v>
      </c>
      <c r="AD1197" s="34">
        <f t="shared" si="986"/>
        <v>0</v>
      </c>
      <c r="AE1197" s="34">
        <f t="shared" si="987"/>
        <v>0</v>
      </c>
      <c r="AF1197" s="34">
        <f t="shared" si="988"/>
        <v>0</v>
      </c>
      <c r="AG1197" s="34">
        <f t="shared" si="989"/>
        <v>0</v>
      </c>
      <c r="AH1197" s="34">
        <f t="shared" si="990"/>
        <v>0</v>
      </c>
      <c r="AI1197" s="27" t="s">
        <v>3647</v>
      </c>
      <c r="AJ1197" s="18">
        <f t="shared" si="991"/>
        <v>0</v>
      </c>
      <c r="AK1197" s="18">
        <f t="shared" si="992"/>
        <v>0</v>
      </c>
      <c r="AL1197" s="18">
        <f t="shared" si="993"/>
        <v>0</v>
      </c>
      <c r="AN1197" s="34">
        <v>21</v>
      </c>
      <c r="AO1197" s="34">
        <f t="shared" si="994"/>
        <v>0</v>
      </c>
      <c r="AP1197" s="34">
        <f t="shared" si="995"/>
        <v>0</v>
      </c>
      <c r="AQ1197" s="28" t="s">
        <v>7</v>
      </c>
      <c r="AV1197" s="34">
        <f t="shared" si="996"/>
        <v>0</v>
      </c>
      <c r="AW1197" s="34">
        <f t="shared" si="997"/>
        <v>0</v>
      </c>
      <c r="AX1197" s="34">
        <f t="shared" si="998"/>
        <v>0</v>
      </c>
      <c r="AY1197" s="35" t="s">
        <v>3701</v>
      </c>
      <c r="AZ1197" s="35" t="s">
        <v>3724</v>
      </c>
      <c r="BA1197" s="27" t="s">
        <v>3731</v>
      </c>
      <c r="BC1197" s="34">
        <f t="shared" si="999"/>
        <v>0</v>
      </c>
      <c r="BD1197" s="34">
        <f t="shared" si="1000"/>
        <v>0</v>
      </c>
      <c r="BE1197" s="34">
        <v>0</v>
      </c>
      <c r="BF1197" s="34">
        <f>1196</f>
        <v>1196</v>
      </c>
      <c r="BH1197" s="18">
        <f t="shared" si="1001"/>
        <v>0</v>
      </c>
      <c r="BI1197" s="18">
        <f t="shared" si="1002"/>
        <v>0</v>
      </c>
      <c r="BJ1197" s="18">
        <f t="shared" si="1003"/>
        <v>0</v>
      </c>
    </row>
    <row r="1198" spans="1:62" x14ac:dyDescent="0.2">
      <c r="A1198" s="74" t="s">
        <v>1132</v>
      </c>
      <c r="B1198" s="5" t="s">
        <v>2304</v>
      </c>
      <c r="C1198" s="135" t="s">
        <v>3511</v>
      </c>
      <c r="D1198" s="136"/>
      <c r="E1198" s="136"/>
      <c r="F1198" s="136"/>
      <c r="G1198" s="136"/>
      <c r="H1198" s="5" t="s">
        <v>3614</v>
      </c>
      <c r="I1198" s="18">
        <v>20</v>
      </c>
      <c r="J1198" s="18">
        <v>0</v>
      </c>
      <c r="K1198" s="18">
        <f t="shared" si="982"/>
        <v>0</v>
      </c>
      <c r="L1198" s="28" t="s">
        <v>3635</v>
      </c>
      <c r="Z1198" s="34">
        <f t="shared" si="983"/>
        <v>0</v>
      </c>
      <c r="AB1198" s="34">
        <f t="shared" si="984"/>
        <v>0</v>
      </c>
      <c r="AC1198" s="34">
        <f t="shared" si="985"/>
        <v>0</v>
      </c>
      <c r="AD1198" s="34">
        <f t="shared" si="986"/>
        <v>0</v>
      </c>
      <c r="AE1198" s="34">
        <f t="shared" si="987"/>
        <v>0</v>
      </c>
      <c r="AF1198" s="34">
        <f t="shared" si="988"/>
        <v>0</v>
      </c>
      <c r="AG1198" s="34">
        <f t="shared" si="989"/>
        <v>0</v>
      </c>
      <c r="AH1198" s="34">
        <f t="shared" si="990"/>
        <v>0</v>
      </c>
      <c r="AI1198" s="27" t="s">
        <v>3647</v>
      </c>
      <c r="AJ1198" s="18">
        <f t="shared" si="991"/>
        <v>0</v>
      </c>
      <c r="AK1198" s="18">
        <f t="shared" si="992"/>
        <v>0</v>
      </c>
      <c r="AL1198" s="18">
        <f t="shared" si="993"/>
        <v>0</v>
      </c>
      <c r="AN1198" s="34">
        <v>21</v>
      </c>
      <c r="AO1198" s="34">
        <f t="shared" si="994"/>
        <v>0</v>
      </c>
      <c r="AP1198" s="34">
        <f t="shared" si="995"/>
        <v>0</v>
      </c>
      <c r="AQ1198" s="28" t="s">
        <v>7</v>
      </c>
      <c r="AV1198" s="34">
        <f t="shared" si="996"/>
        <v>0</v>
      </c>
      <c r="AW1198" s="34">
        <f t="shared" si="997"/>
        <v>0</v>
      </c>
      <c r="AX1198" s="34">
        <f t="shared" si="998"/>
        <v>0</v>
      </c>
      <c r="AY1198" s="35" t="s">
        <v>3701</v>
      </c>
      <c r="AZ1198" s="35" t="s">
        <v>3724</v>
      </c>
      <c r="BA1198" s="27" t="s">
        <v>3731</v>
      </c>
      <c r="BC1198" s="34">
        <f t="shared" si="999"/>
        <v>0</v>
      </c>
      <c r="BD1198" s="34">
        <f t="shared" si="1000"/>
        <v>0</v>
      </c>
      <c r="BE1198" s="34">
        <v>0</v>
      </c>
      <c r="BF1198" s="34">
        <f>1197</f>
        <v>1197</v>
      </c>
      <c r="BH1198" s="18">
        <f t="shared" si="1001"/>
        <v>0</v>
      </c>
      <c r="BI1198" s="18">
        <f t="shared" si="1002"/>
        <v>0</v>
      </c>
      <c r="BJ1198" s="18">
        <f t="shared" si="1003"/>
        <v>0</v>
      </c>
    </row>
    <row r="1199" spans="1:62" x14ac:dyDescent="0.2">
      <c r="A1199" s="74" t="s">
        <v>1133</v>
      </c>
      <c r="B1199" s="5" t="s">
        <v>2305</v>
      </c>
      <c r="C1199" s="135" t="s">
        <v>3512</v>
      </c>
      <c r="D1199" s="136"/>
      <c r="E1199" s="136"/>
      <c r="F1199" s="136"/>
      <c r="G1199" s="136"/>
      <c r="H1199" s="5" t="s">
        <v>3612</v>
      </c>
      <c r="I1199" s="18">
        <v>1</v>
      </c>
      <c r="J1199" s="18">
        <v>0</v>
      </c>
      <c r="K1199" s="18">
        <f t="shared" si="982"/>
        <v>0</v>
      </c>
      <c r="L1199" s="28" t="s">
        <v>3635</v>
      </c>
      <c r="Z1199" s="34">
        <f t="shared" si="983"/>
        <v>0</v>
      </c>
      <c r="AB1199" s="34">
        <f t="shared" si="984"/>
        <v>0</v>
      </c>
      <c r="AC1199" s="34">
        <f t="shared" si="985"/>
        <v>0</v>
      </c>
      <c r="AD1199" s="34">
        <f t="shared" si="986"/>
        <v>0</v>
      </c>
      <c r="AE1199" s="34">
        <f t="shared" si="987"/>
        <v>0</v>
      </c>
      <c r="AF1199" s="34">
        <f t="shared" si="988"/>
        <v>0</v>
      </c>
      <c r="AG1199" s="34">
        <f t="shared" si="989"/>
        <v>0</v>
      </c>
      <c r="AH1199" s="34">
        <f t="shared" si="990"/>
        <v>0</v>
      </c>
      <c r="AI1199" s="27" t="s">
        <v>3647</v>
      </c>
      <c r="AJ1199" s="18">
        <f t="shared" si="991"/>
        <v>0</v>
      </c>
      <c r="AK1199" s="18">
        <f t="shared" si="992"/>
        <v>0</v>
      </c>
      <c r="AL1199" s="18">
        <f t="shared" si="993"/>
        <v>0</v>
      </c>
      <c r="AN1199" s="34">
        <v>21</v>
      </c>
      <c r="AO1199" s="34">
        <f t="shared" si="994"/>
        <v>0</v>
      </c>
      <c r="AP1199" s="34">
        <f t="shared" si="995"/>
        <v>0</v>
      </c>
      <c r="AQ1199" s="28" t="s">
        <v>7</v>
      </c>
      <c r="AV1199" s="34">
        <f t="shared" si="996"/>
        <v>0</v>
      </c>
      <c r="AW1199" s="34">
        <f t="shared" si="997"/>
        <v>0</v>
      </c>
      <c r="AX1199" s="34">
        <f t="shared" si="998"/>
        <v>0</v>
      </c>
      <c r="AY1199" s="35" t="s">
        <v>3701</v>
      </c>
      <c r="AZ1199" s="35" t="s">
        <v>3724</v>
      </c>
      <c r="BA1199" s="27" t="s">
        <v>3731</v>
      </c>
      <c r="BC1199" s="34">
        <f t="shared" si="999"/>
        <v>0</v>
      </c>
      <c r="BD1199" s="34">
        <f t="shared" si="1000"/>
        <v>0</v>
      </c>
      <c r="BE1199" s="34">
        <v>0</v>
      </c>
      <c r="BF1199" s="34">
        <f>1198</f>
        <v>1198</v>
      </c>
      <c r="BH1199" s="18">
        <f t="shared" si="1001"/>
        <v>0</v>
      </c>
      <c r="BI1199" s="18">
        <f t="shared" si="1002"/>
        <v>0</v>
      </c>
      <c r="BJ1199" s="18">
        <f t="shared" si="1003"/>
        <v>0</v>
      </c>
    </row>
    <row r="1200" spans="1:62" x14ac:dyDescent="0.2">
      <c r="A1200" s="74" t="s">
        <v>1134</v>
      </c>
      <c r="B1200" s="5" t="s">
        <v>2306</v>
      </c>
      <c r="C1200" s="135" t="s">
        <v>3513</v>
      </c>
      <c r="D1200" s="136"/>
      <c r="E1200" s="136"/>
      <c r="F1200" s="136"/>
      <c r="G1200" s="136"/>
      <c r="H1200" s="5" t="s">
        <v>3612</v>
      </c>
      <c r="I1200" s="18">
        <v>1</v>
      </c>
      <c r="J1200" s="18">
        <v>0</v>
      </c>
      <c r="K1200" s="18">
        <f t="shared" si="982"/>
        <v>0</v>
      </c>
      <c r="L1200" s="28" t="s">
        <v>3635</v>
      </c>
      <c r="Z1200" s="34">
        <f t="shared" si="983"/>
        <v>0</v>
      </c>
      <c r="AB1200" s="34">
        <f t="shared" si="984"/>
        <v>0</v>
      </c>
      <c r="AC1200" s="34">
        <f t="shared" si="985"/>
        <v>0</v>
      </c>
      <c r="AD1200" s="34">
        <f t="shared" si="986"/>
        <v>0</v>
      </c>
      <c r="AE1200" s="34">
        <f t="shared" si="987"/>
        <v>0</v>
      </c>
      <c r="AF1200" s="34">
        <f t="shared" si="988"/>
        <v>0</v>
      </c>
      <c r="AG1200" s="34">
        <f t="shared" si="989"/>
        <v>0</v>
      </c>
      <c r="AH1200" s="34">
        <f t="shared" si="990"/>
        <v>0</v>
      </c>
      <c r="AI1200" s="27" t="s">
        <v>3647</v>
      </c>
      <c r="AJ1200" s="18">
        <f t="shared" si="991"/>
        <v>0</v>
      </c>
      <c r="AK1200" s="18">
        <f t="shared" si="992"/>
        <v>0</v>
      </c>
      <c r="AL1200" s="18">
        <f t="shared" si="993"/>
        <v>0</v>
      </c>
      <c r="AN1200" s="34">
        <v>21</v>
      </c>
      <c r="AO1200" s="34">
        <f t="shared" si="994"/>
        <v>0</v>
      </c>
      <c r="AP1200" s="34">
        <f t="shared" si="995"/>
        <v>0</v>
      </c>
      <c r="AQ1200" s="28" t="s">
        <v>7</v>
      </c>
      <c r="AV1200" s="34">
        <f t="shared" si="996"/>
        <v>0</v>
      </c>
      <c r="AW1200" s="34">
        <f t="shared" si="997"/>
        <v>0</v>
      </c>
      <c r="AX1200" s="34">
        <f t="shared" si="998"/>
        <v>0</v>
      </c>
      <c r="AY1200" s="35" t="s">
        <v>3701</v>
      </c>
      <c r="AZ1200" s="35" t="s">
        <v>3724</v>
      </c>
      <c r="BA1200" s="27" t="s">
        <v>3731</v>
      </c>
      <c r="BC1200" s="34">
        <f t="shared" si="999"/>
        <v>0</v>
      </c>
      <c r="BD1200" s="34">
        <f t="shared" si="1000"/>
        <v>0</v>
      </c>
      <c r="BE1200" s="34">
        <v>0</v>
      </c>
      <c r="BF1200" s="34">
        <f>1199</f>
        <v>1199</v>
      </c>
      <c r="BH1200" s="18">
        <f t="shared" si="1001"/>
        <v>0</v>
      </c>
      <c r="BI1200" s="18">
        <f t="shared" si="1002"/>
        <v>0</v>
      </c>
      <c r="BJ1200" s="18">
        <f t="shared" si="1003"/>
        <v>0</v>
      </c>
    </row>
    <row r="1201" spans="1:62" x14ac:dyDescent="0.2">
      <c r="A1201" s="74" t="s">
        <v>1135</v>
      </c>
      <c r="B1201" s="5" t="s">
        <v>2307</v>
      </c>
      <c r="C1201" s="135" t="s">
        <v>3514</v>
      </c>
      <c r="D1201" s="136"/>
      <c r="E1201" s="136"/>
      <c r="F1201" s="136"/>
      <c r="G1201" s="136"/>
      <c r="H1201" s="5" t="s">
        <v>3612</v>
      </c>
      <c r="I1201" s="18">
        <v>1</v>
      </c>
      <c r="J1201" s="18">
        <v>0</v>
      </c>
      <c r="K1201" s="18">
        <f t="shared" si="982"/>
        <v>0</v>
      </c>
      <c r="L1201" s="28" t="s">
        <v>3635</v>
      </c>
      <c r="Z1201" s="34">
        <f t="shared" si="983"/>
        <v>0</v>
      </c>
      <c r="AB1201" s="34">
        <f t="shared" si="984"/>
        <v>0</v>
      </c>
      <c r="AC1201" s="34">
        <f t="shared" si="985"/>
        <v>0</v>
      </c>
      <c r="AD1201" s="34">
        <f t="shared" si="986"/>
        <v>0</v>
      </c>
      <c r="AE1201" s="34">
        <f t="shared" si="987"/>
        <v>0</v>
      </c>
      <c r="AF1201" s="34">
        <f t="shared" si="988"/>
        <v>0</v>
      </c>
      <c r="AG1201" s="34">
        <f t="shared" si="989"/>
        <v>0</v>
      </c>
      <c r="AH1201" s="34">
        <f t="shared" si="990"/>
        <v>0</v>
      </c>
      <c r="AI1201" s="27" t="s">
        <v>3647</v>
      </c>
      <c r="AJ1201" s="18">
        <f t="shared" si="991"/>
        <v>0</v>
      </c>
      <c r="AK1201" s="18">
        <f t="shared" si="992"/>
        <v>0</v>
      </c>
      <c r="AL1201" s="18">
        <f t="shared" si="993"/>
        <v>0</v>
      </c>
      <c r="AN1201" s="34">
        <v>21</v>
      </c>
      <c r="AO1201" s="34">
        <f t="shared" si="994"/>
        <v>0</v>
      </c>
      <c r="AP1201" s="34">
        <f t="shared" si="995"/>
        <v>0</v>
      </c>
      <c r="AQ1201" s="28" t="s">
        <v>7</v>
      </c>
      <c r="AV1201" s="34">
        <f t="shared" si="996"/>
        <v>0</v>
      </c>
      <c r="AW1201" s="34">
        <f t="shared" si="997"/>
        <v>0</v>
      </c>
      <c r="AX1201" s="34">
        <f t="shared" si="998"/>
        <v>0</v>
      </c>
      <c r="AY1201" s="35" t="s">
        <v>3701</v>
      </c>
      <c r="AZ1201" s="35" t="s">
        <v>3724</v>
      </c>
      <c r="BA1201" s="27" t="s">
        <v>3731</v>
      </c>
      <c r="BC1201" s="34">
        <f t="shared" si="999"/>
        <v>0</v>
      </c>
      <c r="BD1201" s="34">
        <f t="shared" si="1000"/>
        <v>0</v>
      </c>
      <c r="BE1201" s="34">
        <v>0</v>
      </c>
      <c r="BF1201" s="34">
        <f>1200</f>
        <v>1200</v>
      </c>
      <c r="BH1201" s="18">
        <f t="shared" si="1001"/>
        <v>0</v>
      </c>
      <c r="BI1201" s="18">
        <f t="shared" si="1002"/>
        <v>0</v>
      </c>
      <c r="BJ1201" s="18">
        <f t="shared" si="1003"/>
        <v>0</v>
      </c>
    </row>
    <row r="1202" spans="1:62" x14ac:dyDescent="0.2">
      <c r="A1202" s="74" t="s">
        <v>1136</v>
      </c>
      <c r="B1202" s="5" t="s">
        <v>2308</v>
      </c>
      <c r="C1202" s="135" t="s">
        <v>3515</v>
      </c>
      <c r="D1202" s="136"/>
      <c r="E1202" s="136"/>
      <c r="F1202" s="136"/>
      <c r="G1202" s="136"/>
      <c r="H1202" s="5" t="s">
        <v>3612</v>
      </c>
      <c r="I1202" s="18">
        <v>1</v>
      </c>
      <c r="J1202" s="18">
        <v>0</v>
      </c>
      <c r="K1202" s="18">
        <f t="shared" si="982"/>
        <v>0</v>
      </c>
      <c r="L1202" s="28" t="s">
        <v>3635</v>
      </c>
      <c r="Z1202" s="34">
        <f t="shared" si="983"/>
        <v>0</v>
      </c>
      <c r="AB1202" s="34">
        <f t="shared" si="984"/>
        <v>0</v>
      </c>
      <c r="AC1202" s="34">
        <f t="shared" si="985"/>
        <v>0</v>
      </c>
      <c r="AD1202" s="34">
        <f t="shared" si="986"/>
        <v>0</v>
      </c>
      <c r="AE1202" s="34">
        <f t="shared" si="987"/>
        <v>0</v>
      </c>
      <c r="AF1202" s="34">
        <f t="shared" si="988"/>
        <v>0</v>
      </c>
      <c r="AG1202" s="34">
        <f t="shared" si="989"/>
        <v>0</v>
      </c>
      <c r="AH1202" s="34">
        <f t="shared" si="990"/>
        <v>0</v>
      </c>
      <c r="AI1202" s="27" t="s">
        <v>3647</v>
      </c>
      <c r="AJ1202" s="18">
        <f t="shared" si="991"/>
        <v>0</v>
      </c>
      <c r="AK1202" s="18">
        <f t="shared" si="992"/>
        <v>0</v>
      </c>
      <c r="AL1202" s="18">
        <f t="shared" si="993"/>
        <v>0</v>
      </c>
      <c r="AN1202" s="34">
        <v>21</v>
      </c>
      <c r="AO1202" s="34">
        <f t="shared" si="994"/>
        <v>0</v>
      </c>
      <c r="AP1202" s="34">
        <f t="shared" si="995"/>
        <v>0</v>
      </c>
      <c r="AQ1202" s="28" t="s">
        <v>7</v>
      </c>
      <c r="AV1202" s="34">
        <f t="shared" si="996"/>
        <v>0</v>
      </c>
      <c r="AW1202" s="34">
        <f t="shared" si="997"/>
        <v>0</v>
      </c>
      <c r="AX1202" s="34">
        <f t="shared" si="998"/>
        <v>0</v>
      </c>
      <c r="AY1202" s="35" t="s">
        <v>3701</v>
      </c>
      <c r="AZ1202" s="35" t="s">
        <v>3724</v>
      </c>
      <c r="BA1202" s="27" t="s">
        <v>3731</v>
      </c>
      <c r="BC1202" s="34">
        <f t="shared" si="999"/>
        <v>0</v>
      </c>
      <c r="BD1202" s="34">
        <f t="shared" si="1000"/>
        <v>0</v>
      </c>
      <c r="BE1202" s="34">
        <v>0</v>
      </c>
      <c r="BF1202" s="34">
        <f>1201</f>
        <v>1201</v>
      </c>
      <c r="BH1202" s="18">
        <f t="shared" si="1001"/>
        <v>0</v>
      </c>
      <c r="BI1202" s="18">
        <f t="shared" si="1002"/>
        <v>0</v>
      </c>
      <c r="BJ1202" s="18">
        <f t="shared" si="1003"/>
        <v>0</v>
      </c>
    </row>
    <row r="1203" spans="1:62" x14ac:dyDescent="0.2">
      <c r="A1203" s="74" t="s">
        <v>1137</v>
      </c>
      <c r="B1203" s="5" t="s">
        <v>2309</v>
      </c>
      <c r="C1203" s="135" t="s">
        <v>3516</v>
      </c>
      <c r="D1203" s="136"/>
      <c r="E1203" s="136"/>
      <c r="F1203" s="136"/>
      <c r="G1203" s="136"/>
      <c r="H1203" s="5" t="s">
        <v>3612</v>
      </c>
      <c r="I1203" s="18">
        <v>1</v>
      </c>
      <c r="J1203" s="18">
        <v>0</v>
      </c>
      <c r="K1203" s="18">
        <f t="shared" si="982"/>
        <v>0</v>
      </c>
      <c r="L1203" s="28" t="s">
        <v>3635</v>
      </c>
      <c r="Z1203" s="34">
        <f t="shared" si="983"/>
        <v>0</v>
      </c>
      <c r="AB1203" s="34">
        <f t="shared" si="984"/>
        <v>0</v>
      </c>
      <c r="AC1203" s="34">
        <f t="shared" si="985"/>
        <v>0</v>
      </c>
      <c r="AD1203" s="34">
        <f t="shared" si="986"/>
        <v>0</v>
      </c>
      <c r="AE1203" s="34">
        <f t="shared" si="987"/>
        <v>0</v>
      </c>
      <c r="AF1203" s="34">
        <f t="shared" si="988"/>
        <v>0</v>
      </c>
      <c r="AG1203" s="34">
        <f t="shared" si="989"/>
        <v>0</v>
      </c>
      <c r="AH1203" s="34">
        <f t="shared" si="990"/>
        <v>0</v>
      </c>
      <c r="AI1203" s="27" t="s">
        <v>3647</v>
      </c>
      <c r="AJ1203" s="18">
        <f t="shared" si="991"/>
        <v>0</v>
      </c>
      <c r="AK1203" s="18">
        <f t="shared" si="992"/>
        <v>0</v>
      </c>
      <c r="AL1203" s="18">
        <f t="shared" si="993"/>
        <v>0</v>
      </c>
      <c r="AN1203" s="34">
        <v>21</v>
      </c>
      <c r="AO1203" s="34">
        <f t="shared" si="994"/>
        <v>0</v>
      </c>
      <c r="AP1203" s="34">
        <f t="shared" si="995"/>
        <v>0</v>
      </c>
      <c r="AQ1203" s="28" t="s">
        <v>7</v>
      </c>
      <c r="AV1203" s="34">
        <f t="shared" si="996"/>
        <v>0</v>
      </c>
      <c r="AW1203" s="34">
        <f t="shared" si="997"/>
        <v>0</v>
      </c>
      <c r="AX1203" s="34">
        <f t="shared" si="998"/>
        <v>0</v>
      </c>
      <c r="AY1203" s="35" t="s">
        <v>3701</v>
      </c>
      <c r="AZ1203" s="35" t="s">
        <v>3724</v>
      </c>
      <c r="BA1203" s="27" t="s">
        <v>3731</v>
      </c>
      <c r="BC1203" s="34">
        <f t="shared" si="999"/>
        <v>0</v>
      </c>
      <c r="BD1203" s="34">
        <f t="shared" si="1000"/>
        <v>0</v>
      </c>
      <c r="BE1203" s="34">
        <v>0</v>
      </c>
      <c r="BF1203" s="34">
        <f>1202</f>
        <v>1202</v>
      </c>
      <c r="BH1203" s="18">
        <f t="shared" si="1001"/>
        <v>0</v>
      </c>
      <c r="BI1203" s="18">
        <f t="shared" si="1002"/>
        <v>0</v>
      </c>
      <c r="BJ1203" s="18">
        <f t="shared" si="1003"/>
        <v>0</v>
      </c>
    </row>
    <row r="1204" spans="1:62" x14ac:dyDescent="0.2">
      <c r="A1204" s="74" t="s">
        <v>1138</v>
      </c>
      <c r="B1204" s="5" t="s">
        <v>2310</v>
      </c>
      <c r="C1204" s="135" t="s">
        <v>3517</v>
      </c>
      <c r="D1204" s="136"/>
      <c r="E1204" s="136"/>
      <c r="F1204" s="136"/>
      <c r="G1204" s="136"/>
      <c r="H1204" s="5" t="s">
        <v>3612</v>
      </c>
      <c r="I1204" s="18">
        <v>1</v>
      </c>
      <c r="J1204" s="18">
        <v>0</v>
      </c>
      <c r="K1204" s="18">
        <f t="shared" si="982"/>
        <v>0</v>
      </c>
      <c r="L1204" s="28" t="s">
        <v>3635</v>
      </c>
      <c r="Z1204" s="34">
        <f t="shared" si="983"/>
        <v>0</v>
      </c>
      <c r="AB1204" s="34">
        <f t="shared" si="984"/>
        <v>0</v>
      </c>
      <c r="AC1204" s="34">
        <f t="shared" si="985"/>
        <v>0</v>
      </c>
      <c r="AD1204" s="34">
        <f t="shared" si="986"/>
        <v>0</v>
      </c>
      <c r="AE1204" s="34">
        <f t="shared" si="987"/>
        <v>0</v>
      </c>
      <c r="AF1204" s="34">
        <f t="shared" si="988"/>
        <v>0</v>
      </c>
      <c r="AG1204" s="34">
        <f t="shared" si="989"/>
        <v>0</v>
      </c>
      <c r="AH1204" s="34">
        <f t="shared" si="990"/>
        <v>0</v>
      </c>
      <c r="AI1204" s="27" t="s">
        <v>3647</v>
      </c>
      <c r="AJ1204" s="18">
        <f t="shared" si="991"/>
        <v>0</v>
      </c>
      <c r="AK1204" s="18">
        <f t="shared" si="992"/>
        <v>0</v>
      </c>
      <c r="AL1204" s="18">
        <f t="shared" si="993"/>
        <v>0</v>
      </c>
      <c r="AN1204" s="34">
        <v>21</v>
      </c>
      <c r="AO1204" s="34">
        <f t="shared" si="994"/>
        <v>0</v>
      </c>
      <c r="AP1204" s="34">
        <f t="shared" si="995"/>
        <v>0</v>
      </c>
      <c r="AQ1204" s="28" t="s">
        <v>7</v>
      </c>
      <c r="AV1204" s="34">
        <f t="shared" si="996"/>
        <v>0</v>
      </c>
      <c r="AW1204" s="34">
        <f t="shared" si="997"/>
        <v>0</v>
      </c>
      <c r="AX1204" s="34">
        <f t="shared" si="998"/>
        <v>0</v>
      </c>
      <c r="AY1204" s="35" t="s">
        <v>3701</v>
      </c>
      <c r="AZ1204" s="35" t="s">
        <v>3724</v>
      </c>
      <c r="BA1204" s="27" t="s">
        <v>3731</v>
      </c>
      <c r="BC1204" s="34">
        <f t="shared" si="999"/>
        <v>0</v>
      </c>
      <c r="BD1204" s="34">
        <f t="shared" si="1000"/>
        <v>0</v>
      </c>
      <c r="BE1204" s="34">
        <v>0</v>
      </c>
      <c r="BF1204" s="34">
        <f>1203</f>
        <v>1203</v>
      </c>
      <c r="BH1204" s="18">
        <f t="shared" si="1001"/>
        <v>0</v>
      </c>
      <c r="BI1204" s="18">
        <f t="shared" si="1002"/>
        <v>0</v>
      </c>
      <c r="BJ1204" s="18">
        <f t="shared" si="1003"/>
        <v>0</v>
      </c>
    </row>
    <row r="1205" spans="1:62" x14ac:dyDescent="0.2">
      <c r="A1205" s="74" t="s">
        <v>1139</v>
      </c>
      <c r="B1205" s="5" t="s">
        <v>2311</v>
      </c>
      <c r="C1205" s="135" t="s">
        <v>3518</v>
      </c>
      <c r="D1205" s="136"/>
      <c r="E1205" s="136"/>
      <c r="F1205" s="136"/>
      <c r="G1205" s="136"/>
      <c r="H1205" s="5" t="s">
        <v>3612</v>
      </c>
      <c r="I1205" s="18">
        <v>1</v>
      </c>
      <c r="J1205" s="18">
        <v>0</v>
      </c>
      <c r="K1205" s="18">
        <f t="shared" si="982"/>
        <v>0</v>
      </c>
      <c r="L1205" s="28" t="s">
        <v>3635</v>
      </c>
      <c r="Z1205" s="34">
        <f t="shared" si="983"/>
        <v>0</v>
      </c>
      <c r="AB1205" s="34">
        <f t="shared" si="984"/>
        <v>0</v>
      </c>
      <c r="AC1205" s="34">
        <f t="shared" si="985"/>
        <v>0</v>
      </c>
      <c r="AD1205" s="34">
        <f t="shared" si="986"/>
        <v>0</v>
      </c>
      <c r="AE1205" s="34">
        <f t="shared" si="987"/>
        <v>0</v>
      </c>
      <c r="AF1205" s="34">
        <f t="shared" si="988"/>
        <v>0</v>
      </c>
      <c r="AG1205" s="34">
        <f t="shared" si="989"/>
        <v>0</v>
      </c>
      <c r="AH1205" s="34">
        <f t="shared" si="990"/>
        <v>0</v>
      </c>
      <c r="AI1205" s="27" t="s">
        <v>3647</v>
      </c>
      <c r="AJ1205" s="18">
        <f t="shared" si="991"/>
        <v>0</v>
      </c>
      <c r="AK1205" s="18">
        <f t="shared" si="992"/>
        <v>0</v>
      </c>
      <c r="AL1205" s="18">
        <f t="shared" si="993"/>
        <v>0</v>
      </c>
      <c r="AN1205" s="34">
        <v>21</v>
      </c>
      <c r="AO1205" s="34">
        <f t="shared" si="994"/>
        <v>0</v>
      </c>
      <c r="AP1205" s="34">
        <f t="shared" si="995"/>
        <v>0</v>
      </c>
      <c r="AQ1205" s="28" t="s">
        <v>7</v>
      </c>
      <c r="AV1205" s="34">
        <f t="shared" si="996"/>
        <v>0</v>
      </c>
      <c r="AW1205" s="34">
        <f t="shared" si="997"/>
        <v>0</v>
      </c>
      <c r="AX1205" s="34">
        <f t="shared" si="998"/>
        <v>0</v>
      </c>
      <c r="AY1205" s="35" t="s">
        <v>3701</v>
      </c>
      <c r="AZ1205" s="35" t="s">
        <v>3724</v>
      </c>
      <c r="BA1205" s="27" t="s">
        <v>3731</v>
      </c>
      <c r="BC1205" s="34">
        <f t="shared" si="999"/>
        <v>0</v>
      </c>
      <c r="BD1205" s="34">
        <f t="shared" si="1000"/>
        <v>0</v>
      </c>
      <c r="BE1205" s="34">
        <v>0</v>
      </c>
      <c r="BF1205" s="34">
        <f>1204</f>
        <v>1204</v>
      </c>
      <c r="BH1205" s="18">
        <f t="shared" si="1001"/>
        <v>0</v>
      </c>
      <c r="BI1205" s="18">
        <f t="shared" si="1002"/>
        <v>0</v>
      </c>
      <c r="BJ1205" s="18">
        <f t="shared" si="1003"/>
        <v>0</v>
      </c>
    </row>
    <row r="1206" spans="1:62" x14ac:dyDescent="0.2">
      <c r="A1206" s="74" t="s">
        <v>1140</v>
      </c>
      <c r="B1206" s="5" t="s">
        <v>2312</v>
      </c>
      <c r="C1206" s="135" t="s">
        <v>3519</v>
      </c>
      <c r="D1206" s="136"/>
      <c r="E1206" s="136"/>
      <c r="F1206" s="136"/>
      <c r="G1206" s="136"/>
      <c r="H1206" s="5" t="s">
        <v>3612</v>
      </c>
      <c r="I1206" s="18">
        <v>1</v>
      </c>
      <c r="J1206" s="18">
        <v>0</v>
      </c>
      <c r="K1206" s="18">
        <f t="shared" si="982"/>
        <v>0</v>
      </c>
      <c r="L1206" s="28" t="s">
        <v>3635</v>
      </c>
      <c r="Z1206" s="34">
        <f t="shared" si="983"/>
        <v>0</v>
      </c>
      <c r="AB1206" s="34">
        <f t="shared" si="984"/>
        <v>0</v>
      </c>
      <c r="AC1206" s="34">
        <f t="shared" si="985"/>
        <v>0</v>
      </c>
      <c r="AD1206" s="34">
        <f t="shared" si="986"/>
        <v>0</v>
      </c>
      <c r="AE1206" s="34">
        <f t="shared" si="987"/>
        <v>0</v>
      </c>
      <c r="AF1206" s="34">
        <f t="shared" si="988"/>
        <v>0</v>
      </c>
      <c r="AG1206" s="34">
        <f t="shared" si="989"/>
        <v>0</v>
      </c>
      <c r="AH1206" s="34">
        <f t="shared" si="990"/>
        <v>0</v>
      </c>
      <c r="AI1206" s="27" t="s">
        <v>3647</v>
      </c>
      <c r="AJ1206" s="18">
        <f t="shared" si="991"/>
        <v>0</v>
      </c>
      <c r="AK1206" s="18">
        <f t="shared" si="992"/>
        <v>0</v>
      </c>
      <c r="AL1206" s="18">
        <f t="shared" si="993"/>
        <v>0</v>
      </c>
      <c r="AN1206" s="34">
        <v>21</v>
      </c>
      <c r="AO1206" s="34">
        <f t="shared" si="994"/>
        <v>0</v>
      </c>
      <c r="AP1206" s="34">
        <f t="shared" si="995"/>
        <v>0</v>
      </c>
      <c r="AQ1206" s="28" t="s">
        <v>7</v>
      </c>
      <c r="AV1206" s="34">
        <f t="shared" si="996"/>
        <v>0</v>
      </c>
      <c r="AW1206" s="34">
        <f t="shared" si="997"/>
        <v>0</v>
      </c>
      <c r="AX1206" s="34">
        <f t="shared" si="998"/>
        <v>0</v>
      </c>
      <c r="AY1206" s="35" t="s">
        <v>3701</v>
      </c>
      <c r="AZ1206" s="35" t="s">
        <v>3724</v>
      </c>
      <c r="BA1206" s="27" t="s">
        <v>3731</v>
      </c>
      <c r="BC1206" s="34">
        <f t="shared" si="999"/>
        <v>0</v>
      </c>
      <c r="BD1206" s="34">
        <f t="shared" si="1000"/>
        <v>0</v>
      </c>
      <c r="BE1206" s="34">
        <v>0</v>
      </c>
      <c r="BF1206" s="34">
        <f>1205</f>
        <v>1205</v>
      </c>
      <c r="BH1206" s="18">
        <f t="shared" si="1001"/>
        <v>0</v>
      </c>
      <c r="BI1206" s="18">
        <f t="shared" si="1002"/>
        <v>0</v>
      </c>
      <c r="BJ1206" s="18">
        <f t="shared" si="1003"/>
        <v>0</v>
      </c>
    </row>
    <row r="1207" spans="1:62" x14ac:dyDescent="0.2">
      <c r="A1207" s="7"/>
      <c r="B1207" s="15"/>
      <c r="C1207" s="131" t="s">
        <v>3520</v>
      </c>
      <c r="D1207" s="132"/>
      <c r="E1207" s="132"/>
      <c r="F1207" s="132"/>
      <c r="G1207" s="132"/>
      <c r="H1207" s="7" t="s">
        <v>6</v>
      </c>
      <c r="I1207" s="7" t="s">
        <v>6</v>
      </c>
      <c r="J1207" s="7" t="s">
        <v>6</v>
      </c>
      <c r="K1207" s="38">
        <f>K1208+K1219+K1224</f>
        <v>0</v>
      </c>
      <c r="L1207" s="30"/>
    </row>
    <row r="1208" spans="1:62" x14ac:dyDescent="0.2">
      <c r="A1208" s="4"/>
      <c r="B1208" s="14" t="s">
        <v>2313</v>
      </c>
      <c r="C1208" s="133" t="s">
        <v>3521</v>
      </c>
      <c r="D1208" s="134"/>
      <c r="E1208" s="134"/>
      <c r="F1208" s="134"/>
      <c r="G1208" s="134"/>
      <c r="H1208" s="4" t="s">
        <v>6</v>
      </c>
      <c r="I1208" s="4" t="s">
        <v>6</v>
      </c>
      <c r="J1208" s="4" t="s">
        <v>6</v>
      </c>
      <c r="K1208" s="37">
        <f>SUM(K1209:K1218)</f>
        <v>0</v>
      </c>
      <c r="L1208" s="27"/>
      <c r="AI1208" s="27" t="s">
        <v>3648</v>
      </c>
      <c r="AS1208" s="37">
        <f>SUM(AJ1209:AJ1218)</f>
        <v>0</v>
      </c>
      <c r="AT1208" s="37">
        <f>SUM(AK1209:AK1218)</f>
        <v>0</v>
      </c>
      <c r="AU1208" s="37">
        <f>SUM(AL1209:AL1218)</f>
        <v>0</v>
      </c>
    </row>
    <row r="1209" spans="1:62" x14ac:dyDescent="0.2">
      <c r="A1209" s="74" t="s">
        <v>1141</v>
      </c>
      <c r="B1209" s="5" t="s">
        <v>2314</v>
      </c>
      <c r="C1209" s="135" t="s">
        <v>3522</v>
      </c>
      <c r="D1209" s="136"/>
      <c r="E1209" s="136"/>
      <c r="F1209" s="136"/>
      <c r="G1209" s="136"/>
      <c r="H1209" s="5" t="s">
        <v>3613</v>
      </c>
      <c r="I1209" s="18">
        <v>662.77200000000005</v>
      </c>
      <c r="J1209" s="18">
        <v>0</v>
      </c>
      <c r="K1209" s="18">
        <f t="shared" ref="K1209:K1218" si="1004">I1209*J1209</f>
        <v>0</v>
      </c>
      <c r="L1209" s="28" t="s">
        <v>3635</v>
      </c>
      <c r="Z1209" s="34">
        <f t="shared" ref="Z1209:Z1218" si="1005">IF(AQ1209="5",BJ1209,0)</f>
        <v>0</v>
      </c>
      <c r="AB1209" s="34">
        <f t="shared" ref="AB1209:AB1218" si="1006">IF(AQ1209="1",BH1209,0)</f>
        <v>0</v>
      </c>
      <c r="AC1209" s="34">
        <f t="shared" ref="AC1209:AC1218" si="1007">IF(AQ1209="1",BI1209,0)</f>
        <v>0</v>
      </c>
      <c r="AD1209" s="34">
        <f t="shared" ref="AD1209:AD1218" si="1008">IF(AQ1209="7",BH1209,0)</f>
        <v>0</v>
      </c>
      <c r="AE1209" s="34">
        <f t="shared" ref="AE1209:AE1218" si="1009">IF(AQ1209="7",BI1209,0)</f>
        <v>0</v>
      </c>
      <c r="AF1209" s="34">
        <f t="shared" ref="AF1209:AF1218" si="1010">IF(AQ1209="2",BH1209,0)</f>
        <v>0</v>
      </c>
      <c r="AG1209" s="34">
        <f t="shared" ref="AG1209:AG1218" si="1011">IF(AQ1209="2",BI1209,0)</f>
        <v>0</v>
      </c>
      <c r="AH1209" s="34">
        <f t="shared" ref="AH1209:AH1218" si="1012">IF(AQ1209="0",BJ1209,0)</f>
        <v>0</v>
      </c>
      <c r="AI1209" s="27" t="s">
        <v>3648</v>
      </c>
      <c r="AJ1209" s="18">
        <f t="shared" ref="AJ1209:AJ1218" si="1013">IF(AN1209=0,K1209,0)</f>
        <v>0</v>
      </c>
      <c r="AK1209" s="18">
        <f t="shared" ref="AK1209:AK1218" si="1014">IF(AN1209=15,K1209,0)</f>
        <v>0</v>
      </c>
      <c r="AL1209" s="18">
        <f t="shared" ref="AL1209:AL1218" si="1015">IF(AN1209=21,K1209,0)</f>
        <v>0</v>
      </c>
      <c r="AN1209" s="34">
        <v>21</v>
      </c>
      <c r="AO1209" s="34">
        <f t="shared" ref="AO1209:AO1218" si="1016">J1209*0</f>
        <v>0</v>
      </c>
      <c r="AP1209" s="34">
        <f t="shared" ref="AP1209:AP1218" si="1017">J1209*(1-0)</f>
        <v>0</v>
      </c>
      <c r="AQ1209" s="28" t="s">
        <v>13</v>
      </c>
      <c r="AV1209" s="34">
        <f t="shared" ref="AV1209:AV1218" si="1018">AW1209+AX1209</f>
        <v>0</v>
      </c>
      <c r="AW1209" s="34">
        <f t="shared" ref="AW1209:AW1218" si="1019">I1209*AO1209</f>
        <v>0</v>
      </c>
      <c r="AX1209" s="34">
        <f t="shared" ref="AX1209:AX1218" si="1020">I1209*AP1209</f>
        <v>0</v>
      </c>
      <c r="AY1209" s="35" t="s">
        <v>3702</v>
      </c>
      <c r="AZ1209" s="35" t="s">
        <v>3725</v>
      </c>
      <c r="BA1209" s="27" t="s">
        <v>3732</v>
      </c>
      <c r="BC1209" s="34">
        <f t="shared" ref="BC1209:BC1218" si="1021">AW1209+AX1209</f>
        <v>0</v>
      </c>
      <c r="BD1209" s="34">
        <f t="shared" ref="BD1209:BD1218" si="1022">J1209/(100-BE1209)*100</f>
        <v>0</v>
      </c>
      <c r="BE1209" s="34">
        <v>0</v>
      </c>
      <c r="BF1209" s="34">
        <f>1208</f>
        <v>1208</v>
      </c>
      <c r="BH1209" s="18">
        <f t="shared" ref="BH1209:BH1218" si="1023">I1209*AO1209</f>
        <v>0</v>
      </c>
      <c r="BI1209" s="18">
        <f t="shared" ref="BI1209:BI1218" si="1024">I1209*AP1209</f>
        <v>0</v>
      </c>
      <c r="BJ1209" s="18">
        <f t="shared" ref="BJ1209:BJ1218" si="1025">I1209*J1209</f>
        <v>0</v>
      </c>
    </row>
    <row r="1210" spans="1:62" x14ac:dyDescent="0.2">
      <c r="A1210" s="74" t="s">
        <v>1142</v>
      </c>
      <c r="B1210" s="5" t="s">
        <v>2315</v>
      </c>
      <c r="C1210" s="135" t="s">
        <v>3523</v>
      </c>
      <c r="D1210" s="136"/>
      <c r="E1210" s="136"/>
      <c r="F1210" s="136"/>
      <c r="G1210" s="136"/>
      <c r="H1210" s="5" t="s">
        <v>3615</v>
      </c>
      <c r="I1210" s="18">
        <v>333.84</v>
      </c>
      <c r="J1210" s="18">
        <v>0</v>
      </c>
      <c r="K1210" s="18">
        <f t="shared" si="1004"/>
        <v>0</v>
      </c>
      <c r="L1210" s="28" t="s">
        <v>3635</v>
      </c>
      <c r="Z1210" s="34">
        <f t="shared" si="1005"/>
        <v>0</v>
      </c>
      <c r="AB1210" s="34">
        <f t="shared" si="1006"/>
        <v>0</v>
      </c>
      <c r="AC1210" s="34">
        <f t="shared" si="1007"/>
        <v>0</v>
      </c>
      <c r="AD1210" s="34">
        <f t="shared" si="1008"/>
        <v>0</v>
      </c>
      <c r="AE1210" s="34">
        <f t="shared" si="1009"/>
        <v>0</v>
      </c>
      <c r="AF1210" s="34">
        <f t="shared" si="1010"/>
        <v>0</v>
      </c>
      <c r="AG1210" s="34">
        <f t="shared" si="1011"/>
        <v>0</v>
      </c>
      <c r="AH1210" s="34">
        <f t="shared" si="1012"/>
        <v>0</v>
      </c>
      <c r="AI1210" s="27" t="s">
        <v>3648</v>
      </c>
      <c r="AJ1210" s="18">
        <f t="shared" si="1013"/>
        <v>0</v>
      </c>
      <c r="AK1210" s="18">
        <f t="shared" si="1014"/>
        <v>0</v>
      </c>
      <c r="AL1210" s="18">
        <f t="shared" si="1015"/>
        <v>0</v>
      </c>
      <c r="AN1210" s="34">
        <v>21</v>
      </c>
      <c r="AO1210" s="34">
        <f t="shared" si="1016"/>
        <v>0</v>
      </c>
      <c r="AP1210" s="34">
        <f t="shared" si="1017"/>
        <v>0</v>
      </c>
      <c r="AQ1210" s="28" t="s">
        <v>13</v>
      </c>
      <c r="AV1210" s="34">
        <f t="shared" si="1018"/>
        <v>0</v>
      </c>
      <c r="AW1210" s="34">
        <f t="shared" si="1019"/>
        <v>0</v>
      </c>
      <c r="AX1210" s="34">
        <f t="shared" si="1020"/>
        <v>0</v>
      </c>
      <c r="AY1210" s="35" t="s">
        <v>3702</v>
      </c>
      <c r="AZ1210" s="35" t="s">
        <v>3725</v>
      </c>
      <c r="BA1210" s="27" t="s">
        <v>3732</v>
      </c>
      <c r="BC1210" s="34">
        <f t="shared" si="1021"/>
        <v>0</v>
      </c>
      <c r="BD1210" s="34">
        <f t="shared" si="1022"/>
        <v>0</v>
      </c>
      <c r="BE1210" s="34">
        <v>0</v>
      </c>
      <c r="BF1210" s="34">
        <f>1209</f>
        <v>1209</v>
      </c>
      <c r="BH1210" s="18">
        <f t="shared" si="1023"/>
        <v>0</v>
      </c>
      <c r="BI1210" s="18">
        <f t="shared" si="1024"/>
        <v>0</v>
      </c>
      <c r="BJ1210" s="18">
        <f t="shared" si="1025"/>
        <v>0</v>
      </c>
    </row>
    <row r="1211" spans="1:62" x14ac:dyDescent="0.2">
      <c r="A1211" s="74" t="s">
        <v>1143</v>
      </c>
      <c r="B1211" s="5" t="s">
        <v>2316</v>
      </c>
      <c r="C1211" s="135" t="s">
        <v>3524</v>
      </c>
      <c r="D1211" s="136"/>
      <c r="E1211" s="136"/>
      <c r="F1211" s="136"/>
      <c r="G1211" s="136"/>
      <c r="H1211" s="5" t="s">
        <v>3613</v>
      </c>
      <c r="I1211" s="18">
        <v>33.050159999999998</v>
      </c>
      <c r="J1211" s="18">
        <v>0</v>
      </c>
      <c r="K1211" s="18">
        <f t="shared" si="1004"/>
        <v>0</v>
      </c>
      <c r="L1211" s="28" t="s">
        <v>3635</v>
      </c>
      <c r="Z1211" s="34">
        <f t="shared" si="1005"/>
        <v>0</v>
      </c>
      <c r="AB1211" s="34">
        <f t="shared" si="1006"/>
        <v>0</v>
      </c>
      <c r="AC1211" s="34">
        <f t="shared" si="1007"/>
        <v>0</v>
      </c>
      <c r="AD1211" s="34">
        <f t="shared" si="1008"/>
        <v>0</v>
      </c>
      <c r="AE1211" s="34">
        <f t="shared" si="1009"/>
        <v>0</v>
      </c>
      <c r="AF1211" s="34">
        <f t="shared" si="1010"/>
        <v>0</v>
      </c>
      <c r="AG1211" s="34">
        <f t="shared" si="1011"/>
        <v>0</v>
      </c>
      <c r="AH1211" s="34">
        <f t="shared" si="1012"/>
        <v>0</v>
      </c>
      <c r="AI1211" s="27" t="s">
        <v>3648</v>
      </c>
      <c r="AJ1211" s="18">
        <f t="shared" si="1013"/>
        <v>0</v>
      </c>
      <c r="AK1211" s="18">
        <f t="shared" si="1014"/>
        <v>0</v>
      </c>
      <c r="AL1211" s="18">
        <f t="shared" si="1015"/>
        <v>0</v>
      </c>
      <c r="AN1211" s="34">
        <v>21</v>
      </c>
      <c r="AO1211" s="34">
        <f t="shared" si="1016"/>
        <v>0</v>
      </c>
      <c r="AP1211" s="34">
        <f t="shared" si="1017"/>
        <v>0</v>
      </c>
      <c r="AQ1211" s="28" t="s">
        <v>13</v>
      </c>
      <c r="AV1211" s="34">
        <f t="shared" si="1018"/>
        <v>0</v>
      </c>
      <c r="AW1211" s="34">
        <f t="shared" si="1019"/>
        <v>0</v>
      </c>
      <c r="AX1211" s="34">
        <f t="shared" si="1020"/>
        <v>0</v>
      </c>
      <c r="AY1211" s="35" t="s">
        <v>3702</v>
      </c>
      <c r="AZ1211" s="35" t="s">
        <v>3725</v>
      </c>
      <c r="BA1211" s="27" t="s">
        <v>3732</v>
      </c>
      <c r="BC1211" s="34">
        <f t="shared" si="1021"/>
        <v>0</v>
      </c>
      <c r="BD1211" s="34">
        <f t="shared" si="1022"/>
        <v>0</v>
      </c>
      <c r="BE1211" s="34">
        <v>0</v>
      </c>
      <c r="BF1211" s="34">
        <f>1210</f>
        <v>1210</v>
      </c>
      <c r="BH1211" s="18">
        <f t="shared" si="1023"/>
        <v>0</v>
      </c>
      <c r="BI1211" s="18">
        <f t="shared" si="1024"/>
        <v>0</v>
      </c>
      <c r="BJ1211" s="18">
        <f t="shared" si="1025"/>
        <v>0</v>
      </c>
    </row>
    <row r="1212" spans="1:62" x14ac:dyDescent="0.2">
      <c r="A1212" s="74" t="s">
        <v>1144</v>
      </c>
      <c r="B1212" s="5" t="s">
        <v>2317</v>
      </c>
      <c r="C1212" s="135" t="s">
        <v>3525</v>
      </c>
      <c r="D1212" s="136"/>
      <c r="E1212" s="136"/>
      <c r="F1212" s="136"/>
      <c r="G1212" s="136"/>
      <c r="H1212" s="5" t="s">
        <v>3613</v>
      </c>
      <c r="I1212" s="18">
        <v>70.106399999999994</v>
      </c>
      <c r="J1212" s="18">
        <v>0</v>
      </c>
      <c r="K1212" s="18">
        <f t="shared" si="1004"/>
        <v>0</v>
      </c>
      <c r="L1212" s="28" t="s">
        <v>3635</v>
      </c>
      <c r="Z1212" s="34">
        <f t="shared" si="1005"/>
        <v>0</v>
      </c>
      <c r="AB1212" s="34">
        <f t="shared" si="1006"/>
        <v>0</v>
      </c>
      <c r="AC1212" s="34">
        <f t="shared" si="1007"/>
        <v>0</v>
      </c>
      <c r="AD1212" s="34">
        <f t="shared" si="1008"/>
        <v>0</v>
      </c>
      <c r="AE1212" s="34">
        <f t="shared" si="1009"/>
        <v>0</v>
      </c>
      <c r="AF1212" s="34">
        <f t="shared" si="1010"/>
        <v>0</v>
      </c>
      <c r="AG1212" s="34">
        <f t="shared" si="1011"/>
        <v>0</v>
      </c>
      <c r="AH1212" s="34">
        <f t="shared" si="1012"/>
        <v>0</v>
      </c>
      <c r="AI1212" s="27" t="s">
        <v>3648</v>
      </c>
      <c r="AJ1212" s="18">
        <f t="shared" si="1013"/>
        <v>0</v>
      </c>
      <c r="AK1212" s="18">
        <f t="shared" si="1014"/>
        <v>0</v>
      </c>
      <c r="AL1212" s="18">
        <f t="shared" si="1015"/>
        <v>0</v>
      </c>
      <c r="AN1212" s="34">
        <v>21</v>
      </c>
      <c r="AO1212" s="34">
        <f t="shared" si="1016"/>
        <v>0</v>
      </c>
      <c r="AP1212" s="34">
        <f t="shared" si="1017"/>
        <v>0</v>
      </c>
      <c r="AQ1212" s="28" t="s">
        <v>13</v>
      </c>
      <c r="AV1212" s="34">
        <f t="shared" si="1018"/>
        <v>0</v>
      </c>
      <c r="AW1212" s="34">
        <f t="shared" si="1019"/>
        <v>0</v>
      </c>
      <c r="AX1212" s="34">
        <f t="shared" si="1020"/>
        <v>0</v>
      </c>
      <c r="AY1212" s="35" t="s">
        <v>3702</v>
      </c>
      <c r="AZ1212" s="35" t="s">
        <v>3725</v>
      </c>
      <c r="BA1212" s="27" t="s">
        <v>3732</v>
      </c>
      <c r="BC1212" s="34">
        <f t="shared" si="1021"/>
        <v>0</v>
      </c>
      <c r="BD1212" s="34">
        <f t="shared" si="1022"/>
        <v>0</v>
      </c>
      <c r="BE1212" s="34">
        <v>0</v>
      </c>
      <c r="BF1212" s="34">
        <f>1211</f>
        <v>1211</v>
      </c>
      <c r="BH1212" s="18">
        <f t="shared" si="1023"/>
        <v>0</v>
      </c>
      <c r="BI1212" s="18">
        <f t="shared" si="1024"/>
        <v>0</v>
      </c>
      <c r="BJ1212" s="18">
        <f t="shared" si="1025"/>
        <v>0</v>
      </c>
    </row>
    <row r="1213" spans="1:62" x14ac:dyDescent="0.2">
      <c r="A1213" s="74" t="s">
        <v>1145</v>
      </c>
      <c r="B1213" s="5" t="s">
        <v>2318</v>
      </c>
      <c r="C1213" s="135" t="s">
        <v>3526</v>
      </c>
      <c r="D1213" s="136"/>
      <c r="E1213" s="136"/>
      <c r="F1213" s="136"/>
      <c r="G1213" s="136"/>
      <c r="H1213" s="5" t="s">
        <v>3613</v>
      </c>
      <c r="I1213" s="18">
        <v>476.99004000000002</v>
      </c>
      <c r="J1213" s="18">
        <v>0</v>
      </c>
      <c r="K1213" s="18">
        <f t="shared" si="1004"/>
        <v>0</v>
      </c>
      <c r="L1213" s="28" t="s">
        <v>3635</v>
      </c>
      <c r="Z1213" s="34">
        <f t="shared" si="1005"/>
        <v>0</v>
      </c>
      <c r="AB1213" s="34">
        <f t="shared" si="1006"/>
        <v>0</v>
      </c>
      <c r="AC1213" s="34">
        <f t="shared" si="1007"/>
        <v>0</v>
      </c>
      <c r="AD1213" s="34">
        <f t="shared" si="1008"/>
        <v>0</v>
      </c>
      <c r="AE1213" s="34">
        <f t="shared" si="1009"/>
        <v>0</v>
      </c>
      <c r="AF1213" s="34">
        <f t="shared" si="1010"/>
        <v>0</v>
      </c>
      <c r="AG1213" s="34">
        <f t="shared" si="1011"/>
        <v>0</v>
      </c>
      <c r="AH1213" s="34">
        <f t="shared" si="1012"/>
        <v>0</v>
      </c>
      <c r="AI1213" s="27" t="s">
        <v>3648</v>
      </c>
      <c r="AJ1213" s="18">
        <f t="shared" si="1013"/>
        <v>0</v>
      </c>
      <c r="AK1213" s="18">
        <f t="shared" si="1014"/>
        <v>0</v>
      </c>
      <c r="AL1213" s="18">
        <f t="shared" si="1015"/>
        <v>0</v>
      </c>
      <c r="AN1213" s="34">
        <v>21</v>
      </c>
      <c r="AO1213" s="34">
        <f t="shared" si="1016"/>
        <v>0</v>
      </c>
      <c r="AP1213" s="34">
        <f t="shared" si="1017"/>
        <v>0</v>
      </c>
      <c r="AQ1213" s="28" t="s">
        <v>13</v>
      </c>
      <c r="AV1213" s="34">
        <f t="shared" si="1018"/>
        <v>0</v>
      </c>
      <c r="AW1213" s="34">
        <f t="shared" si="1019"/>
        <v>0</v>
      </c>
      <c r="AX1213" s="34">
        <f t="shared" si="1020"/>
        <v>0</v>
      </c>
      <c r="AY1213" s="35" t="s">
        <v>3702</v>
      </c>
      <c r="AZ1213" s="35" t="s">
        <v>3725</v>
      </c>
      <c r="BA1213" s="27" t="s">
        <v>3732</v>
      </c>
      <c r="BC1213" s="34">
        <f t="shared" si="1021"/>
        <v>0</v>
      </c>
      <c r="BD1213" s="34">
        <f t="shared" si="1022"/>
        <v>0</v>
      </c>
      <c r="BE1213" s="34">
        <v>0</v>
      </c>
      <c r="BF1213" s="34">
        <f>1212</f>
        <v>1212</v>
      </c>
      <c r="BH1213" s="18">
        <f t="shared" si="1023"/>
        <v>0</v>
      </c>
      <c r="BI1213" s="18">
        <f t="shared" si="1024"/>
        <v>0</v>
      </c>
      <c r="BJ1213" s="18">
        <f t="shared" si="1025"/>
        <v>0</v>
      </c>
    </row>
    <row r="1214" spans="1:62" x14ac:dyDescent="0.2">
      <c r="A1214" s="74" t="s">
        <v>1146</v>
      </c>
      <c r="B1214" s="5" t="s">
        <v>2319</v>
      </c>
      <c r="C1214" s="135" t="s">
        <v>3527</v>
      </c>
      <c r="D1214" s="136"/>
      <c r="E1214" s="136"/>
      <c r="F1214" s="136"/>
      <c r="G1214" s="136"/>
      <c r="H1214" s="5" t="s">
        <v>3613</v>
      </c>
      <c r="I1214" s="18">
        <v>662.77200000000005</v>
      </c>
      <c r="J1214" s="18">
        <v>0</v>
      </c>
      <c r="K1214" s="18">
        <f t="shared" si="1004"/>
        <v>0</v>
      </c>
      <c r="L1214" s="28" t="s">
        <v>3635</v>
      </c>
      <c r="Z1214" s="34">
        <f t="shared" si="1005"/>
        <v>0</v>
      </c>
      <c r="AB1214" s="34">
        <f t="shared" si="1006"/>
        <v>0</v>
      </c>
      <c r="AC1214" s="34">
        <f t="shared" si="1007"/>
        <v>0</v>
      </c>
      <c r="AD1214" s="34">
        <f t="shared" si="1008"/>
        <v>0</v>
      </c>
      <c r="AE1214" s="34">
        <f t="shared" si="1009"/>
        <v>0</v>
      </c>
      <c r="AF1214" s="34">
        <f t="shared" si="1010"/>
        <v>0</v>
      </c>
      <c r="AG1214" s="34">
        <f t="shared" si="1011"/>
        <v>0</v>
      </c>
      <c r="AH1214" s="34">
        <f t="shared" si="1012"/>
        <v>0</v>
      </c>
      <c r="AI1214" s="27" t="s">
        <v>3648</v>
      </c>
      <c r="AJ1214" s="18">
        <f t="shared" si="1013"/>
        <v>0</v>
      </c>
      <c r="AK1214" s="18">
        <f t="shared" si="1014"/>
        <v>0</v>
      </c>
      <c r="AL1214" s="18">
        <f t="shared" si="1015"/>
        <v>0</v>
      </c>
      <c r="AN1214" s="34">
        <v>21</v>
      </c>
      <c r="AO1214" s="34">
        <f t="shared" si="1016"/>
        <v>0</v>
      </c>
      <c r="AP1214" s="34">
        <f t="shared" si="1017"/>
        <v>0</v>
      </c>
      <c r="AQ1214" s="28" t="s">
        <v>13</v>
      </c>
      <c r="AV1214" s="34">
        <f t="shared" si="1018"/>
        <v>0</v>
      </c>
      <c r="AW1214" s="34">
        <f t="shared" si="1019"/>
        <v>0</v>
      </c>
      <c r="AX1214" s="34">
        <f t="shared" si="1020"/>
        <v>0</v>
      </c>
      <c r="AY1214" s="35" t="s">
        <v>3702</v>
      </c>
      <c r="AZ1214" s="35" t="s">
        <v>3725</v>
      </c>
      <c r="BA1214" s="27" t="s">
        <v>3732</v>
      </c>
      <c r="BC1214" s="34">
        <f t="shared" si="1021"/>
        <v>0</v>
      </c>
      <c r="BD1214" s="34">
        <f t="shared" si="1022"/>
        <v>0</v>
      </c>
      <c r="BE1214" s="34">
        <v>0</v>
      </c>
      <c r="BF1214" s="34">
        <f>1213</f>
        <v>1213</v>
      </c>
      <c r="BH1214" s="18">
        <f t="shared" si="1023"/>
        <v>0</v>
      </c>
      <c r="BI1214" s="18">
        <f t="shared" si="1024"/>
        <v>0</v>
      </c>
      <c r="BJ1214" s="18">
        <f t="shared" si="1025"/>
        <v>0</v>
      </c>
    </row>
    <row r="1215" spans="1:62" x14ac:dyDescent="0.2">
      <c r="A1215" s="74" t="s">
        <v>1147</v>
      </c>
      <c r="B1215" s="5" t="s">
        <v>2320</v>
      </c>
      <c r="C1215" s="135" t="s">
        <v>3528</v>
      </c>
      <c r="D1215" s="136"/>
      <c r="E1215" s="136"/>
      <c r="F1215" s="136"/>
      <c r="G1215" s="136"/>
      <c r="H1215" s="5" t="s">
        <v>3614</v>
      </c>
      <c r="I1215" s="18">
        <v>5.04</v>
      </c>
      <c r="J1215" s="18">
        <v>0</v>
      </c>
      <c r="K1215" s="18">
        <f t="shared" si="1004"/>
        <v>0</v>
      </c>
      <c r="L1215" s="28" t="s">
        <v>3635</v>
      </c>
      <c r="Z1215" s="34">
        <f t="shared" si="1005"/>
        <v>0</v>
      </c>
      <c r="AB1215" s="34">
        <f t="shared" si="1006"/>
        <v>0</v>
      </c>
      <c r="AC1215" s="34">
        <f t="shared" si="1007"/>
        <v>0</v>
      </c>
      <c r="AD1215" s="34">
        <f t="shared" si="1008"/>
        <v>0</v>
      </c>
      <c r="AE1215" s="34">
        <f t="shared" si="1009"/>
        <v>0</v>
      </c>
      <c r="AF1215" s="34">
        <f t="shared" si="1010"/>
        <v>0</v>
      </c>
      <c r="AG1215" s="34">
        <f t="shared" si="1011"/>
        <v>0</v>
      </c>
      <c r="AH1215" s="34">
        <f t="shared" si="1012"/>
        <v>0</v>
      </c>
      <c r="AI1215" s="27" t="s">
        <v>3648</v>
      </c>
      <c r="AJ1215" s="18">
        <f t="shared" si="1013"/>
        <v>0</v>
      </c>
      <c r="AK1215" s="18">
        <f t="shared" si="1014"/>
        <v>0</v>
      </c>
      <c r="AL1215" s="18">
        <f t="shared" si="1015"/>
        <v>0</v>
      </c>
      <c r="AN1215" s="34">
        <v>21</v>
      </c>
      <c r="AO1215" s="34">
        <f t="shared" si="1016"/>
        <v>0</v>
      </c>
      <c r="AP1215" s="34">
        <f t="shared" si="1017"/>
        <v>0</v>
      </c>
      <c r="AQ1215" s="28" t="s">
        <v>13</v>
      </c>
      <c r="AV1215" s="34">
        <f t="shared" si="1018"/>
        <v>0</v>
      </c>
      <c r="AW1215" s="34">
        <f t="shared" si="1019"/>
        <v>0</v>
      </c>
      <c r="AX1215" s="34">
        <f t="shared" si="1020"/>
        <v>0</v>
      </c>
      <c r="AY1215" s="35" t="s">
        <v>3702</v>
      </c>
      <c r="AZ1215" s="35" t="s">
        <v>3725</v>
      </c>
      <c r="BA1215" s="27" t="s">
        <v>3732</v>
      </c>
      <c r="BC1215" s="34">
        <f t="shared" si="1021"/>
        <v>0</v>
      </c>
      <c r="BD1215" s="34">
        <f t="shared" si="1022"/>
        <v>0</v>
      </c>
      <c r="BE1215" s="34">
        <v>0</v>
      </c>
      <c r="BF1215" s="34">
        <f>1214</f>
        <v>1214</v>
      </c>
      <c r="BH1215" s="18">
        <f t="shared" si="1023"/>
        <v>0</v>
      </c>
      <c r="BI1215" s="18">
        <f t="shared" si="1024"/>
        <v>0</v>
      </c>
      <c r="BJ1215" s="18">
        <f t="shared" si="1025"/>
        <v>0</v>
      </c>
    </row>
    <row r="1216" spans="1:62" x14ac:dyDescent="0.2">
      <c r="A1216" s="74" t="s">
        <v>1148</v>
      </c>
      <c r="B1216" s="5" t="s">
        <v>2321</v>
      </c>
      <c r="C1216" s="135" t="s">
        <v>3529</v>
      </c>
      <c r="D1216" s="136"/>
      <c r="E1216" s="136"/>
      <c r="F1216" s="136"/>
      <c r="G1216" s="136"/>
      <c r="H1216" s="5" t="s">
        <v>3614</v>
      </c>
      <c r="I1216" s="18">
        <v>28.92</v>
      </c>
      <c r="J1216" s="18">
        <v>0</v>
      </c>
      <c r="K1216" s="18">
        <f t="shared" si="1004"/>
        <v>0</v>
      </c>
      <c r="L1216" s="28" t="s">
        <v>3635</v>
      </c>
      <c r="Z1216" s="34">
        <f t="shared" si="1005"/>
        <v>0</v>
      </c>
      <c r="AB1216" s="34">
        <f t="shared" si="1006"/>
        <v>0</v>
      </c>
      <c r="AC1216" s="34">
        <f t="shared" si="1007"/>
        <v>0</v>
      </c>
      <c r="AD1216" s="34">
        <f t="shared" si="1008"/>
        <v>0</v>
      </c>
      <c r="AE1216" s="34">
        <f t="shared" si="1009"/>
        <v>0</v>
      </c>
      <c r="AF1216" s="34">
        <f t="shared" si="1010"/>
        <v>0</v>
      </c>
      <c r="AG1216" s="34">
        <f t="shared" si="1011"/>
        <v>0</v>
      </c>
      <c r="AH1216" s="34">
        <f t="shared" si="1012"/>
        <v>0</v>
      </c>
      <c r="AI1216" s="27" t="s">
        <v>3648</v>
      </c>
      <c r="AJ1216" s="18">
        <f t="shared" si="1013"/>
        <v>0</v>
      </c>
      <c r="AK1216" s="18">
        <f t="shared" si="1014"/>
        <v>0</v>
      </c>
      <c r="AL1216" s="18">
        <f t="shared" si="1015"/>
        <v>0</v>
      </c>
      <c r="AN1216" s="34">
        <v>21</v>
      </c>
      <c r="AO1216" s="34">
        <f t="shared" si="1016"/>
        <v>0</v>
      </c>
      <c r="AP1216" s="34">
        <f t="shared" si="1017"/>
        <v>0</v>
      </c>
      <c r="AQ1216" s="28" t="s">
        <v>13</v>
      </c>
      <c r="AV1216" s="34">
        <f t="shared" si="1018"/>
        <v>0</v>
      </c>
      <c r="AW1216" s="34">
        <f t="shared" si="1019"/>
        <v>0</v>
      </c>
      <c r="AX1216" s="34">
        <f t="shared" si="1020"/>
        <v>0</v>
      </c>
      <c r="AY1216" s="35" t="s">
        <v>3702</v>
      </c>
      <c r="AZ1216" s="35" t="s">
        <v>3725</v>
      </c>
      <c r="BA1216" s="27" t="s">
        <v>3732</v>
      </c>
      <c r="BC1216" s="34">
        <f t="shared" si="1021"/>
        <v>0</v>
      </c>
      <c r="BD1216" s="34">
        <f t="shared" si="1022"/>
        <v>0</v>
      </c>
      <c r="BE1216" s="34">
        <v>0</v>
      </c>
      <c r="BF1216" s="34">
        <f>1215</f>
        <v>1215</v>
      </c>
      <c r="BH1216" s="18">
        <f t="shared" si="1023"/>
        <v>0</v>
      </c>
      <c r="BI1216" s="18">
        <f t="shared" si="1024"/>
        <v>0</v>
      </c>
      <c r="BJ1216" s="18">
        <f t="shared" si="1025"/>
        <v>0</v>
      </c>
    </row>
    <row r="1217" spans="1:62" x14ac:dyDescent="0.2">
      <c r="A1217" s="74" t="s">
        <v>1149</v>
      </c>
      <c r="B1217" s="5" t="s">
        <v>2322</v>
      </c>
      <c r="C1217" s="135" t="s">
        <v>3530</v>
      </c>
      <c r="D1217" s="136"/>
      <c r="E1217" s="136"/>
      <c r="F1217" s="136"/>
      <c r="G1217" s="136"/>
      <c r="H1217" s="5" t="s">
        <v>3614</v>
      </c>
      <c r="I1217" s="18">
        <v>9.9600000000000009</v>
      </c>
      <c r="J1217" s="18">
        <v>0</v>
      </c>
      <c r="K1217" s="18">
        <f t="shared" si="1004"/>
        <v>0</v>
      </c>
      <c r="L1217" s="28" t="s">
        <v>3635</v>
      </c>
      <c r="Z1217" s="34">
        <f t="shared" si="1005"/>
        <v>0</v>
      </c>
      <c r="AB1217" s="34">
        <f t="shared" si="1006"/>
        <v>0</v>
      </c>
      <c r="AC1217" s="34">
        <f t="shared" si="1007"/>
        <v>0</v>
      </c>
      <c r="AD1217" s="34">
        <f t="shared" si="1008"/>
        <v>0</v>
      </c>
      <c r="AE1217" s="34">
        <f t="shared" si="1009"/>
        <v>0</v>
      </c>
      <c r="AF1217" s="34">
        <f t="shared" si="1010"/>
        <v>0</v>
      </c>
      <c r="AG1217" s="34">
        <f t="shared" si="1011"/>
        <v>0</v>
      </c>
      <c r="AH1217" s="34">
        <f t="shared" si="1012"/>
        <v>0</v>
      </c>
      <c r="AI1217" s="27" t="s">
        <v>3648</v>
      </c>
      <c r="AJ1217" s="18">
        <f t="shared" si="1013"/>
        <v>0</v>
      </c>
      <c r="AK1217" s="18">
        <f t="shared" si="1014"/>
        <v>0</v>
      </c>
      <c r="AL1217" s="18">
        <f t="shared" si="1015"/>
        <v>0</v>
      </c>
      <c r="AN1217" s="34">
        <v>21</v>
      </c>
      <c r="AO1217" s="34">
        <f t="shared" si="1016"/>
        <v>0</v>
      </c>
      <c r="AP1217" s="34">
        <f t="shared" si="1017"/>
        <v>0</v>
      </c>
      <c r="AQ1217" s="28" t="s">
        <v>13</v>
      </c>
      <c r="AV1217" s="34">
        <f t="shared" si="1018"/>
        <v>0</v>
      </c>
      <c r="AW1217" s="34">
        <f t="shared" si="1019"/>
        <v>0</v>
      </c>
      <c r="AX1217" s="34">
        <f t="shared" si="1020"/>
        <v>0</v>
      </c>
      <c r="AY1217" s="35" t="s">
        <v>3702</v>
      </c>
      <c r="AZ1217" s="35" t="s">
        <v>3725</v>
      </c>
      <c r="BA1217" s="27" t="s">
        <v>3732</v>
      </c>
      <c r="BC1217" s="34">
        <f t="shared" si="1021"/>
        <v>0</v>
      </c>
      <c r="BD1217" s="34">
        <f t="shared" si="1022"/>
        <v>0</v>
      </c>
      <c r="BE1217" s="34">
        <v>0</v>
      </c>
      <c r="BF1217" s="34">
        <f>1216</f>
        <v>1216</v>
      </c>
      <c r="BH1217" s="18">
        <f t="shared" si="1023"/>
        <v>0</v>
      </c>
      <c r="BI1217" s="18">
        <f t="shared" si="1024"/>
        <v>0</v>
      </c>
      <c r="BJ1217" s="18">
        <f t="shared" si="1025"/>
        <v>0</v>
      </c>
    </row>
    <row r="1218" spans="1:62" x14ac:dyDescent="0.2">
      <c r="A1218" s="74" t="s">
        <v>1150</v>
      </c>
      <c r="B1218" s="5" t="s">
        <v>2323</v>
      </c>
      <c r="C1218" s="135" t="s">
        <v>3531</v>
      </c>
      <c r="D1218" s="136"/>
      <c r="E1218" s="136"/>
      <c r="F1218" s="136"/>
      <c r="G1218" s="136"/>
      <c r="H1218" s="5" t="s">
        <v>3614</v>
      </c>
      <c r="I1218" s="18">
        <v>123</v>
      </c>
      <c r="J1218" s="18">
        <v>0</v>
      </c>
      <c r="K1218" s="18">
        <f t="shared" si="1004"/>
        <v>0</v>
      </c>
      <c r="L1218" s="28" t="s">
        <v>3635</v>
      </c>
      <c r="Z1218" s="34">
        <f t="shared" si="1005"/>
        <v>0</v>
      </c>
      <c r="AB1218" s="34">
        <f t="shared" si="1006"/>
        <v>0</v>
      </c>
      <c r="AC1218" s="34">
        <f t="shared" si="1007"/>
        <v>0</v>
      </c>
      <c r="AD1218" s="34">
        <f t="shared" si="1008"/>
        <v>0</v>
      </c>
      <c r="AE1218" s="34">
        <f t="shared" si="1009"/>
        <v>0</v>
      </c>
      <c r="AF1218" s="34">
        <f t="shared" si="1010"/>
        <v>0</v>
      </c>
      <c r="AG1218" s="34">
        <f t="shared" si="1011"/>
        <v>0</v>
      </c>
      <c r="AH1218" s="34">
        <f t="shared" si="1012"/>
        <v>0</v>
      </c>
      <c r="AI1218" s="27" t="s">
        <v>3648</v>
      </c>
      <c r="AJ1218" s="18">
        <f t="shared" si="1013"/>
        <v>0</v>
      </c>
      <c r="AK1218" s="18">
        <f t="shared" si="1014"/>
        <v>0</v>
      </c>
      <c r="AL1218" s="18">
        <f t="shared" si="1015"/>
        <v>0</v>
      </c>
      <c r="AN1218" s="34">
        <v>21</v>
      </c>
      <c r="AO1218" s="34">
        <f t="shared" si="1016"/>
        <v>0</v>
      </c>
      <c r="AP1218" s="34">
        <f t="shared" si="1017"/>
        <v>0</v>
      </c>
      <c r="AQ1218" s="28" t="s">
        <v>13</v>
      </c>
      <c r="AV1218" s="34">
        <f t="shared" si="1018"/>
        <v>0</v>
      </c>
      <c r="AW1218" s="34">
        <f t="shared" si="1019"/>
        <v>0</v>
      </c>
      <c r="AX1218" s="34">
        <f t="shared" si="1020"/>
        <v>0</v>
      </c>
      <c r="AY1218" s="35" t="s">
        <v>3702</v>
      </c>
      <c r="AZ1218" s="35" t="s">
        <v>3725</v>
      </c>
      <c r="BA1218" s="27" t="s">
        <v>3732</v>
      </c>
      <c r="BC1218" s="34">
        <f t="shared" si="1021"/>
        <v>0</v>
      </c>
      <c r="BD1218" s="34">
        <f t="shared" si="1022"/>
        <v>0</v>
      </c>
      <c r="BE1218" s="34">
        <v>0</v>
      </c>
      <c r="BF1218" s="34">
        <f>1217</f>
        <v>1217</v>
      </c>
      <c r="BH1218" s="18">
        <f t="shared" si="1023"/>
        <v>0</v>
      </c>
      <c r="BI1218" s="18">
        <f t="shared" si="1024"/>
        <v>0</v>
      </c>
      <c r="BJ1218" s="18">
        <f t="shared" si="1025"/>
        <v>0</v>
      </c>
    </row>
    <row r="1219" spans="1:62" x14ac:dyDescent="0.2">
      <c r="A1219" s="4"/>
      <c r="B1219" s="14" t="s">
        <v>2324</v>
      </c>
      <c r="C1219" s="133" t="s">
        <v>3532</v>
      </c>
      <c r="D1219" s="134"/>
      <c r="E1219" s="134"/>
      <c r="F1219" s="134"/>
      <c r="G1219" s="134"/>
      <c r="H1219" s="4" t="s">
        <v>6</v>
      </c>
      <c r="I1219" s="4" t="s">
        <v>6</v>
      </c>
      <c r="J1219" s="4" t="s">
        <v>6</v>
      </c>
      <c r="K1219" s="37">
        <f>SUM(K1220:K1223)</f>
        <v>0</v>
      </c>
      <c r="L1219" s="27"/>
      <c r="AI1219" s="27" t="s">
        <v>3648</v>
      </c>
      <c r="AS1219" s="37">
        <f>SUM(AJ1220:AJ1223)</f>
        <v>0</v>
      </c>
      <c r="AT1219" s="37">
        <f>SUM(AK1220:AK1223)</f>
        <v>0</v>
      </c>
      <c r="AU1219" s="37">
        <f>SUM(AL1220:AL1223)</f>
        <v>0</v>
      </c>
    </row>
    <row r="1220" spans="1:62" x14ac:dyDescent="0.2">
      <c r="A1220" s="74" t="s">
        <v>1151</v>
      </c>
      <c r="B1220" s="5" t="s">
        <v>2325</v>
      </c>
      <c r="C1220" s="135" t="s">
        <v>3533</v>
      </c>
      <c r="D1220" s="136"/>
      <c r="E1220" s="136"/>
      <c r="F1220" s="136"/>
      <c r="G1220" s="136"/>
      <c r="H1220" s="5" t="s">
        <v>3612</v>
      </c>
      <c r="I1220" s="18">
        <v>8</v>
      </c>
      <c r="J1220" s="18">
        <v>0</v>
      </c>
      <c r="K1220" s="18">
        <f>I1220*J1220</f>
        <v>0</v>
      </c>
      <c r="L1220" s="28" t="s">
        <v>3635</v>
      </c>
      <c r="Z1220" s="34">
        <f>IF(AQ1220="5",BJ1220,0)</f>
        <v>0</v>
      </c>
      <c r="AB1220" s="34">
        <f>IF(AQ1220="1",BH1220,0)</f>
        <v>0</v>
      </c>
      <c r="AC1220" s="34">
        <f>IF(AQ1220="1",BI1220,0)</f>
        <v>0</v>
      </c>
      <c r="AD1220" s="34">
        <f>IF(AQ1220="7",BH1220,0)</f>
        <v>0</v>
      </c>
      <c r="AE1220" s="34">
        <f>IF(AQ1220="7",BI1220,0)</f>
        <v>0</v>
      </c>
      <c r="AF1220" s="34">
        <f>IF(AQ1220="2",BH1220,0)</f>
        <v>0</v>
      </c>
      <c r="AG1220" s="34">
        <f>IF(AQ1220="2",BI1220,0)</f>
        <v>0</v>
      </c>
      <c r="AH1220" s="34">
        <f>IF(AQ1220="0",BJ1220,0)</f>
        <v>0</v>
      </c>
      <c r="AI1220" s="27" t="s">
        <v>3648</v>
      </c>
      <c r="AJ1220" s="18">
        <f>IF(AN1220=0,K1220,0)</f>
        <v>0</v>
      </c>
      <c r="AK1220" s="18">
        <f>IF(AN1220=15,K1220,0)</f>
        <v>0</v>
      </c>
      <c r="AL1220" s="18">
        <f>IF(AN1220=21,K1220,0)</f>
        <v>0</v>
      </c>
      <c r="AN1220" s="34">
        <v>21</v>
      </c>
      <c r="AO1220" s="34">
        <f>J1220*0</f>
        <v>0</v>
      </c>
      <c r="AP1220" s="34">
        <f>J1220*(1-0)</f>
        <v>0</v>
      </c>
      <c r="AQ1220" s="28" t="s">
        <v>13</v>
      </c>
      <c r="AV1220" s="34">
        <f>AW1220+AX1220</f>
        <v>0</v>
      </c>
      <c r="AW1220" s="34">
        <f>I1220*AO1220</f>
        <v>0</v>
      </c>
      <c r="AX1220" s="34">
        <f>I1220*AP1220</f>
        <v>0</v>
      </c>
      <c r="AY1220" s="35" t="s">
        <v>3703</v>
      </c>
      <c r="AZ1220" s="35" t="s">
        <v>3725</v>
      </c>
      <c r="BA1220" s="27" t="s">
        <v>3732</v>
      </c>
      <c r="BC1220" s="34">
        <f>AW1220+AX1220</f>
        <v>0</v>
      </c>
      <c r="BD1220" s="34">
        <f>J1220/(100-BE1220)*100</f>
        <v>0</v>
      </c>
      <c r="BE1220" s="34">
        <v>0</v>
      </c>
      <c r="BF1220" s="34">
        <f>1219</f>
        <v>1219</v>
      </c>
      <c r="BH1220" s="18">
        <f>I1220*AO1220</f>
        <v>0</v>
      </c>
      <c r="BI1220" s="18">
        <f>I1220*AP1220</f>
        <v>0</v>
      </c>
      <c r="BJ1220" s="18">
        <f>I1220*J1220</f>
        <v>0</v>
      </c>
    </row>
    <row r="1221" spans="1:62" x14ac:dyDescent="0.2">
      <c r="A1221" s="74" t="s">
        <v>1152</v>
      </c>
      <c r="B1221" s="5" t="s">
        <v>2326</v>
      </c>
      <c r="C1221" s="135" t="s">
        <v>3534</v>
      </c>
      <c r="D1221" s="136"/>
      <c r="E1221" s="136"/>
      <c r="F1221" s="136"/>
      <c r="G1221" s="136"/>
      <c r="H1221" s="5" t="s">
        <v>3618</v>
      </c>
      <c r="I1221" s="18">
        <v>8</v>
      </c>
      <c r="J1221" s="18">
        <v>0</v>
      </c>
      <c r="K1221" s="18">
        <f>I1221*J1221</f>
        <v>0</v>
      </c>
      <c r="L1221" s="28" t="s">
        <v>3635</v>
      </c>
      <c r="Z1221" s="34">
        <f>IF(AQ1221="5",BJ1221,0)</f>
        <v>0</v>
      </c>
      <c r="AB1221" s="34">
        <f>IF(AQ1221="1",BH1221,0)</f>
        <v>0</v>
      </c>
      <c r="AC1221" s="34">
        <f>IF(AQ1221="1",BI1221,0)</f>
        <v>0</v>
      </c>
      <c r="AD1221" s="34">
        <f>IF(AQ1221="7",BH1221,0)</f>
        <v>0</v>
      </c>
      <c r="AE1221" s="34">
        <f>IF(AQ1221="7",BI1221,0)</f>
        <v>0</v>
      </c>
      <c r="AF1221" s="34">
        <f>IF(AQ1221="2",BH1221,0)</f>
        <v>0</v>
      </c>
      <c r="AG1221" s="34">
        <f>IF(AQ1221="2",BI1221,0)</f>
        <v>0</v>
      </c>
      <c r="AH1221" s="34">
        <f>IF(AQ1221="0",BJ1221,0)</f>
        <v>0</v>
      </c>
      <c r="AI1221" s="27" t="s">
        <v>3648</v>
      </c>
      <c r="AJ1221" s="18">
        <f>IF(AN1221=0,K1221,0)</f>
        <v>0</v>
      </c>
      <c r="AK1221" s="18">
        <f>IF(AN1221=15,K1221,0)</f>
        <v>0</v>
      </c>
      <c r="AL1221" s="18">
        <f>IF(AN1221=21,K1221,0)</f>
        <v>0</v>
      </c>
      <c r="AN1221" s="34">
        <v>21</v>
      </c>
      <c r="AO1221" s="34">
        <f>J1221*0</f>
        <v>0</v>
      </c>
      <c r="AP1221" s="34">
        <f>J1221*(1-0)</f>
        <v>0</v>
      </c>
      <c r="AQ1221" s="28" t="s">
        <v>13</v>
      </c>
      <c r="AV1221" s="34">
        <f>AW1221+AX1221</f>
        <v>0</v>
      </c>
      <c r="AW1221" s="34">
        <f>I1221*AO1221</f>
        <v>0</v>
      </c>
      <c r="AX1221" s="34">
        <f>I1221*AP1221</f>
        <v>0</v>
      </c>
      <c r="AY1221" s="35" t="s">
        <v>3703</v>
      </c>
      <c r="AZ1221" s="35" t="s">
        <v>3725</v>
      </c>
      <c r="BA1221" s="27" t="s">
        <v>3732</v>
      </c>
      <c r="BC1221" s="34">
        <f>AW1221+AX1221</f>
        <v>0</v>
      </c>
      <c r="BD1221" s="34">
        <f>J1221/(100-BE1221)*100</f>
        <v>0</v>
      </c>
      <c r="BE1221" s="34">
        <v>0</v>
      </c>
      <c r="BF1221" s="34">
        <f>1220</f>
        <v>1220</v>
      </c>
      <c r="BH1221" s="18">
        <f>I1221*AO1221</f>
        <v>0</v>
      </c>
      <c r="BI1221" s="18">
        <f>I1221*AP1221</f>
        <v>0</v>
      </c>
      <c r="BJ1221" s="18">
        <f>I1221*J1221</f>
        <v>0</v>
      </c>
    </row>
    <row r="1222" spans="1:62" x14ac:dyDescent="0.2">
      <c r="A1222" s="74" t="s">
        <v>1153</v>
      </c>
      <c r="B1222" s="5" t="s">
        <v>2327</v>
      </c>
      <c r="C1222" s="135" t="s">
        <v>3535</v>
      </c>
      <c r="D1222" s="136"/>
      <c r="E1222" s="136"/>
      <c r="F1222" s="136"/>
      <c r="G1222" s="136"/>
      <c r="H1222" s="5" t="s">
        <v>3612</v>
      </c>
      <c r="I1222" s="18">
        <v>8</v>
      </c>
      <c r="J1222" s="18">
        <v>0</v>
      </c>
      <c r="K1222" s="18">
        <f>I1222*J1222</f>
        <v>0</v>
      </c>
      <c r="L1222" s="28" t="s">
        <v>3635</v>
      </c>
      <c r="Z1222" s="34">
        <f>IF(AQ1222="5",BJ1222,0)</f>
        <v>0</v>
      </c>
      <c r="AB1222" s="34">
        <f>IF(AQ1222="1",BH1222,0)</f>
        <v>0</v>
      </c>
      <c r="AC1222" s="34">
        <f>IF(AQ1222="1",BI1222,0)</f>
        <v>0</v>
      </c>
      <c r="AD1222" s="34">
        <f>IF(AQ1222="7",BH1222,0)</f>
        <v>0</v>
      </c>
      <c r="AE1222" s="34">
        <f>IF(AQ1222="7",BI1222,0)</f>
        <v>0</v>
      </c>
      <c r="AF1222" s="34">
        <f>IF(AQ1222="2",BH1222,0)</f>
        <v>0</v>
      </c>
      <c r="AG1222" s="34">
        <f>IF(AQ1222="2",BI1222,0)</f>
        <v>0</v>
      </c>
      <c r="AH1222" s="34">
        <f>IF(AQ1222="0",BJ1222,0)</f>
        <v>0</v>
      </c>
      <c r="AI1222" s="27" t="s">
        <v>3648</v>
      </c>
      <c r="AJ1222" s="18">
        <f>IF(AN1222=0,K1222,0)</f>
        <v>0</v>
      </c>
      <c r="AK1222" s="18">
        <f>IF(AN1222=15,K1222,0)</f>
        <v>0</v>
      </c>
      <c r="AL1222" s="18">
        <f>IF(AN1222=21,K1222,0)</f>
        <v>0</v>
      </c>
      <c r="AN1222" s="34">
        <v>21</v>
      </c>
      <c r="AO1222" s="34">
        <f>J1222*0</f>
        <v>0</v>
      </c>
      <c r="AP1222" s="34">
        <f>J1222*(1-0)</f>
        <v>0</v>
      </c>
      <c r="AQ1222" s="28" t="s">
        <v>13</v>
      </c>
      <c r="AV1222" s="34">
        <f>AW1222+AX1222</f>
        <v>0</v>
      </c>
      <c r="AW1222" s="34">
        <f>I1222*AO1222</f>
        <v>0</v>
      </c>
      <c r="AX1222" s="34">
        <f>I1222*AP1222</f>
        <v>0</v>
      </c>
      <c r="AY1222" s="35" t="s">
        <v>3703</v>
      </c>
      <c r="AZ1222" s="35" t="s">
        <v>3725</v>
      </c>
      <c r="BA1222" s="27" t="s">
        <v>3732</v>
      </c>
      <c r="BC1222" s="34">
        <f>AW1222+AX1222</f>
        <v>0</v>
      </c>
      <c r="BD1222" s="34">
        <f>J1222/(100-BE1222)*100</f>
        <v>0</v>
      </c>
      <c r="BE1222" s="34">
        <v>0</v>
      </c>
      <c r="BF1222" s="34">
        <f>1221</f>
        <v>1221</v>
      </c>
      <c r="BH1222" s="18">
        <f>I1222*AO1222</f>
        <v>0</v>
      </c>
      <c r="BI1222" s="18">
        <f>I1222*AP1222</f>
        <v>0</v>
      </c>
      <c r="BJ1222" s="18">
        <f>I1222*J1222</f>
        <v>0</v>
      </c>
    </row>
    <row r="1223" spans="1:62" x14ac:dyDescent="0.2">
      <c r="A1223" s="74" t="s">
        <v>1154</v>
      </c>
      <c r="B1223" s="5" t="s">
        <v>2328</v>
      </c>
      <c r="C1223" s="135" t="s">
        <v>3536</v>
      </c>
      <c r="D1223" s="136"/>
      <c r="E1223" s="136"/>
      <c r="F1223" s="136"/>
      <c r="G1223" s="136"/>
      <c r="H1223" s="5" t="s">
        <v>3612</v>
      </c>
      <c r="I1223" s="18">
        <v>3</v>
      </c>
      <c r="J1223" s="18">
        <v>0</v>
      </c>
      <c r="K1223" s="18">
        <f>I1223*J1223</f>
        <v>0</v>
      </c>
      <c r="L1223" s="28" t="s">
        <v>3635</v>
      </c>
      <c r="Z1223" s="34">
        <f>IF(AQ1223="5",BJ1223,0)</f>
        <v>0</v>
      </c>
      <c r="AB1223" s="34">
        <f>IF(AQ1223="1",BH1223,0)</f>
        <v>0</v>
      </c>
      <c r="AC1223" s="34">
        <f>IF(AQ1223="1",BI1223,0)</f>
        <v>0</v>
      </c>
      <c r="AD1223" s="34">
        <f>IF(AQ1223="7",BH1223,0)</f>
        <v>0</v>
      </c>
      <c r="AE1223" s="34">
        <f>IF(AQ1223="7",BI1223,0)</f>
        <v>0</v>
      </c>
      <c r="AF1223" s="34">
        <f>IF(AQ1223="2",BH1223,0)</f>
        <v>0</v>
      </c>
      <c r="AG1223" s="34">
        <f>IF(AQ1223="2",BI1223,0)</f>
        <v>0</v>
      </c>
      <c r="AH1223" s="34">
        <f>IF(AQ1223="0",BJ1223,0)</f>
        <v>0</v>
      </c>
      <c r="AI1223" s="27" t="s">
        <v>3648</v>
      </c>
      <c r="AJ1223" s="18">
        <f>IF(AN1223=0,K1223,0)</f>
        <v>0</v>
      </c>
      <c r="AK1223" s="18">
        <f>IF(AN1223=15,K1223,0)</f>
        <v>0</v>
      </c>
      <c r="AL1223" s="18">
        <f>IF(AN1223=21,K1223,0)</f>
        <v>0</v>
      </c>
      <c r="AN1223" s="34">
        <v>21</v>
      </c>
      <c r="AO1223" s="34">
        <f>J1223*0</f>
        <v>0</v>
      </c>
      <c r="AP1223" s="34">
        <f>J1223*(1-0)</f>
        <v>0</v>
      </c>
      <c r="AQ1223" s="28" t="s">
        <v>13</v>
      </c>
      <c r="AV1223" s="34">
        <f>AW1223+AX1223</f>
        <v>0</v>
      </c>
      <c r="AW1223" s="34">
        <f>I1223*AO1223</f>
        <v>0</v>
      </c>
      <c r="AX1223" s="34">
        <f>I1223*AP1223</f>
        <v>0</v>
      </c>
      <c r="AY1223" s="35" t="s">
        <v>3703</v>
      </c>
      <c r="AZ1223" s="35" t="s">
        <v>3725</v>
      </c>
      <c r="BA1223" s="27" t="s">
        <v>3732</v>
      </c>
      <c r="BC1223" s="34">
        <f>AW1223+AX1223</f>
        <v>0</v>
      </c>
      <c r="BD1223" s="34">
        <f>J1223/(100-BE1223)*100</f>
        <v>0</v>
      </c>
      <c r="BE1223" s="34">
        <v>0</v>
      </c>
      <c r="BF1223" s="34">
        <f>1222</f>
        <v>1222</v>
      </c>
      <c r="BH1223" s="18">
        <f>I1223*AO1223</f>
        <v>0</v>
      </c>
      <c r="BI1223" s="18">
        <f>I1223*AP1223</f>
        <v>0</v>
      </c>
      <c r="BJ1223" s="18">
        <f>I1223*J1223</f>
        <v>0</v>
      </c>
    </row>
    <row r="1224" spans="1:62" x14ac:dyDescent="0.2">
      <c r="A1224" s="4"/>
      <c r="B1224" s="14" t="s">
        <v>2329</v>
      </c>
      <c r="C1224" s="133" t="s">
        <v>3537</v>
      </c>
      <c r="D1224" s="134"/>
      <c r="E1224" s="134"/>
      <c r="F1224" s="134"/>
      <c r="G1224" s="134"/>
      <c r="H1224" s="4" t="s">
        <v>6</v>
      </c>
      <c r="I1224" s="4" t="s">
        <v>6</v>
      </c>
      <c r="J1224" s="4" t="s">
        <v>6</v>
      </c>
      <c r="K1224" s="37">
        <f>SUM(K1225:K1227)</f>
        <v>0</v>
      </c>
      <c r="L1224" s="27"/>
      <c r="AI1224" s="27" t="s">
        <v>3648</v>
      </c>
      <c r="AS1224" s="37">
        <f>SUM(AJ1225:AJ1227)</f>
        <v>0</v>
      </c>
      <c r="AT1224" s="37">
        <f>SUM(AK1225:AK1227)</f>
        <v>0</v>
      </c>
      <c r="AU1224" s="37">
        <f>SUM(AL1225:AL1227)</f>
        <v>0</v>
      </c>
    </row>
    <row r="1225" spans="1:62" x14ac:dyDescent="0.2">
      <c r="A1225" s="74" t="s">
        <v>1155</v>
      </c>
      <c r="B1225" s="5" t="s">
        <v>2330</v>
      </c>
      <c r="C1225" s="135" t="s">
        <v>3538</v>
      </c>
      <c r="D1225" s="136"/>
      <c r="E1225" s="136"/>
      <c r="F1225" s="136"/>
      <c r="G1225" s="136"/>
      <c r="H1225" s="5" t="s">
        <v>3618</v>
      </c>
      <c r="I1225" s="18">
        <v>1</v>
      </c>
      <c r="J1225" s="18">
        <v>0</v>
      </c>
      <c r="K1225" s="18">
        <f>I1225*J1225</f>
        <v>0</v>
      </c>
      <c r="L1225" s="28" t="s">
        <v>3635</v>
      </c>
      <c r="Z1225" s="34">
        <f>IF(AQ1225="5",BJ1225,0)</f>
        <v>0</v>
      </c>
      <c r="AB1225" s="34">
        <f>IF(AQ1225="1",BH1225,0)</f>
        <v>0</v>
      </c>
      <c r="AC1225" s="34">
        <f>IF(AQ1225="1",BI1225,0)</f>
        <v>0</v>
      </c>
      <c r="AD1225" s="34">
        <f>IF(AQ1225="7",BH1225,0)</f>
        <v>0</v>
      </c>
      <c r="AE1225" s="34">
        <f>IF(AQ1225="7",BI1225,0)</f>
        <v>0</v>
      </c>
      <c r="AF1225" s="34">
        <f>IF(AQ1225="2",BH1225,0)</f>
        <v>0</v>
      </c>
      <c r="AG1225" s="34">
        <f>IF(AQ1225="2",BI1225,0)</f>
        <v>0</v>
      </c>
      <c r="AH1225" s="34">
        <f>IF(AQ1225="0",BJ1225,0)</f>
        <v>0</v>
      </c>
      <c r="AI1225" s="27" t="s">
        <v>3648</v>
      </c>
      <c r="AJ1225" s="18">
        <f>IF(AN1225=0,K1225,0)</f>
        <v>0</v>
      </c>
      <c r="AK1225" s="18">
        <f>IF(AN1225=15,K1225,0)</f>
        <v>0</v>
      </c>
      <c r="AL1225" s="18">
        <f>IF(AN1225=21,K1225,0)</f>
        <v>0</v>
      </c>
      <c r="AN1225" s="34">
        <v>21</v>
      </c>
      <c r="AO1225" s="34">
        <f>J1225*0</f>
        <v>0</v>
      </c>
      <c r="AP1225" s="34">
        <f>J1225*(1-0)</f>
        <v>0</v>
      </c>
      <c r="AQ1225" s="28" t="s">
        <v>13</v>
      </c>
      <c r="AV1225" s="34">
        <f>AW1225+AX1225</f>
        <v>0</v>
      </c>
      <c r="AW1225" s="34">
        <f>I1225*AO1225</f>
        <v>0</v>
      </c>
      <c r="AX1225" s="34">
        <f>I1225*AP1225</f>
        <v>0</v>
      </c>
      <c r="AY1225" s="35" t="s">
        <v>3704</v>
      </c>
      <c r="AZ1225" s="35" t="s">
        <v>3725</v>
      </c>
      <c r="BA1225" s="27" t="s">
        <v>3732</v>
      </c>
      <c r="BC1225" s="34">
        <f>AW1225+AX1225</f>
        <v>0</v>
      </c>
      <c r="BD1225" s="34">
        <f>J1225/(100-BE1225)*100</f>
        <v>0</v>
      </c>
      <c r="BE1225" s="34">
        <v>0</v>
      </c>
      <c r="BF1225" s="34">
        <f>1224</f>
        <v>1224</v>
      </c>
      <c r="BH1225" s="18">
        <f>I1225*AO1225</f>
        <v>0</v>
      </c>
      <c r="BI1225" s="18">
        <f>I1225*AP1225</f>
        <v>0</v>
      </c>
      <c r="BJ1225" s="18">
        <f>I1225*J1225</f>
        <v>0</v>
      </c>
    </row>
    <row r="1226" spans="1:62" x14ac:dyDescent="0.2">
      <c r="A1226" s="74" t="s">
        <v>1156</v>
      </c>
      <c r="B1226" s="5" t="s">
        <v>2331</v>
      </c>
      <c r="C1226" s="135" t="s">
        <v>3539</v>
      </c>
      <c r="D1226" s="136"/>
      <c r="E1226" s="136"/>
      <c r="F1226" s="136"/>
      <c r="G1226" s="136"/>
      <c r="H1226" s="5" t="s">
        <v>3618</v>
      </c>
      <c r="I1226" s="18">
        <v>1</v>
      </c>
      <c r="J1226" s="18">
        <v>0</v>
      </c>
      <c r="K1226" s="18">
        <f>I1226*J1226</f>
        <v>0</v>
      </c>
      <c r="L1226" s="28" t="s">
        <v>3635</v>
      </c>
      <c r="Z1226" s="34">
        <f>IF(AQ1226="5",BJ1226,0)</f>
        <v>0</v>
      </c>
      <c r="AB1226" s="34">
        <f>IF(AQ1226="1",BH1226,0)</f>
        <v>0</v>
      </c>
      <c r="AC1226" s="34">
        <f>IF(AQ1226="1",BI1226,0)</f>
        <v>0</v>
      </c>
      <c r="AD1226" s="34">
        <f>IF(AQ1226="7",BH1226,0)</f>
        <v>0</v>
      </c>
      <c r="AE1226" s="34">
        <f>IF(AQ1226="7",BI1226,0)</f>
        <v>0</v>
      </c>
      <c r="AF1226" s="34">
        <f>IF(AQ1226="2",BH1226,0)</f>
        <v>0</v>
      </c>
      <c r="AG1226" s="34">
        <f>IF(AQ1226="2",BI1226,0)</f>
        <v>0</v>
      </c>
      <c r="AH1226" s="34">
        <f>IF(AQ1226="0",BJ1226,0)</f>
        <v>0</v>
      </c>
      <c r="AI1226" s="27" t="s">
        <v>3648</v>
      </c>
      <c r="AJ1226" s="18">
        <f>IF(AN1226=0,K1226,0)</f>
        <v>0</v>
      </c>
      <c r="AK1226" s="18">
        <f>IF(AN1226=15,K1226,0)</f>
        <v>0</v>
      </c>
      <c r="AL1226" s="18">
        <f>IF(AN1226=21,K1226,0)</f>
        <v>0</v>
      </c>
      <c r="AN1226" s="34">
        <v>21</v>
      </c>
      <c r="AO1226" s="34">
        <f>J1226*0</f>
        <v>0</v>
      </c>
      <c r="AP1226" s="34">
        <f>J1226*(1-0)</f>
        <v>0</v>
      </c>
      <c r="AQ1226" s="28" t="s">
        <v>13</v>
      </c>
      <c r="AV1226" s="34">
        <f>AW1226+AX1226</f>
        <v>0</v>
      </c>
      <c r="AW1226" s="34">
        <f>I1226*AO1226</f>
        <v>0</v>
      </c>
      <c r="AX1226" s="34">
        <f>I1226*AP1226</f>
        <v>0</v>
      </c>
      <c r="AY1226" s="35" t="s">
        <v>3704</v>
      </c>
      <c r="AZ1226" s="35" t="s">
        <v>3725</v>
      </c>
      <c r="BA1226" s="27" t="s">
        <v>3732</v>
      </c>
      <c r="BC1226" s="34">
        <f>AW1226+AX1226</f>
        <v>0</v>
      </c>
      <c r="BD1226" s="34">
        <f>J1226/(100-BE1226)*100</f>
        <v>0</v>
      </c>
      <c r="BE1226" s="34">
        <v>0</v>
      </c>
      <c r="BF1226" s="34">
        <f>1225</f>
        <v>1225</v>
      </c>
      <c r="BH1226" s="18">
        <f>I1226*AO1226</f>
        <v>0</v>
      </c>
      <c r="BI1226" s="18">
        <f>I1226*AP1226</f>
        <v>0</v>
      </c>
      <c r="BJ1226" s="18">
        <f>I1226*J1226</f>
        <v>0</v>
      </c>
    </row>
    <row r="1227" spans="1:62" x14ac:dyDescent="0.2">
      <c r="A1227" s="74" t="s">
        <v>1157</v>
      </c>
      <c r="B1227" s="5" t="s">
        <v>2332</v>
      </c>
      <c r="C1227" s="135" t="s">
        <v>3540</v>
      </c>
      <c r="D1227" s="136"/>
      <c r="E1227" s="136"/>
      <c r="F1227" s="136"/>
      <c r="G1227" s="136"/>
      <c r="H1227" s="5" t="s">
        <v>3618</v>
      </c>
      <c r="I1227" s="18">
        <v>1</v>
      </c>
      <c r="J1227" s="18">
        <v>0</v>
      </c>
      <c r="K1227" s="18">
        <f>I1227*J1227</f>
        <v>0</v>
      </c>
      <c r="L1227" s="28" t="s">
        <v>3635</v>
      </c>
      <c r="Z1227" s="34">
        <f>IF(AQ1227="5",BJ1227,0)</f>
        <v>0</v>
      </c>
      <c r="AB1227" s="34">
        <f>IF(AQ1227="1",BH1227,0)</f>
        <v>0</v>
      </c>
      <c r="AC1227" s="34">
        <f>IF(AQ1227="1",BI1227,0)</f>
        <v>0</v>
      </c>
      <c r="AD1227" s="34">
        <f>IF(AQ1227="7",BH1227,0)</f>
        <v>0</v>
      </c>
      <c r="AE1227" s="34">
        <f>IF(AQ1227="7",BI1227,0)</f>
        <v>0</v>
      </c>
      <c r="AF1227" s="34">
        <f>IF(AQ1227="2",BH1227,0)</f>
        <v>0</v>
      </c>
      <c r="AG1227" s="34">
        <f>IF(AQ1227="2",BI1227,0)</f>
        <v>0</v>
      </c>
      <c r="AH1227" s="34">
        <f>IF(AQ1227="0",BJ1227,0)</f>
        <v>0</v>
      </c>
      <c r="AI1227" s="27" t="s">
        <v>3648</v>
      </c>
      <c r="AJ1227" s="18">
        <f>IF(AN1227=0,K1227,0)</f>
        <v>0</v>
      </c>
      <c r="AK1227" s="18">
        <f>IF(AN1227=15,K1227,0)</f>
        <v>0</v>
      </c>
      <c r="AL1227" s="18">
        <f>IF(AN1227=21,K1227,0)</f>
        <v>0</v>
      </c>
      <c r="AN1227" s="34">
        <v>21</v>
      </c>
      <c r="AO1227" s="34">
        <f>J1227*0</f>
        <v>0</v>
      </c>
      <c r="AP1227" s="34">
        <f>J1227*(1-0)</f>
        <v>0</v>
      </c>
      <c r="AQ1227" s="28" t="s">
        <v>13</v>
      </c>
      <c r="AV1227" s="34">
        <f>AW1227+AX1227</f>
        <v>0</v>
      </c>
      <c r="AW1227" s="34">
        <f>I1227*AO1227</f>
        <v>0</v>
      </c>
      <c r="AX1227" s="34">
        <f>I1227*AP1227</f>
        <v>0</v>
      </c>
      <c r="AY1227" s="35" t="s">
        <v>3704</v>
      </c>
      <c r="AZ1227" s="35" t="s">
        <v>3725</v>
      </c>
      <c r="BA1227" s="27" t="s">
        <v>3732</v>
      </c>
      <c r="BC1227" s="34">
        <f>AW1227+AX1227</f>
        <v>0</v>
      </c>
      <c r="BD1227" s="34">
        <f>J1227/(100-BE1227)*100</f>
        <v>0</v>
      </c>
      <c r="BE1227" s="34">
        <v>0</v>
      </c>
      <c r="BF1227" s="34">
        <f>1226</f>
        <v>1226</v>
      </c>
      <c r="BH1227" s="18">
        <f>I1227*AO1227</f>
        <v>0</v>
      </c>
      <c r="BI1227" s="18">
        <f>I1227*AP1227</f>
        <v>0</v>
      </c>
      <c r="BJ1227" s="18">
        <f>I1227*J1227</f>
        <v>0</v>
      </c>
    </row>
    <row r="1228" spans="1:62" x14ac:dyDescent="0.2">
      <c r="A1228" s="7"/>
      <c r="B1228" s="15"/>
      <c r="C1228" s="131" t="s">
        <v>3541</v>
      </c>
      <c r="D1228" s="132"/>
      <c r="E1228" s="132"/>
      <c r="F1228" s="132"/>
      <c r="G1228" s="132"/>
      <c r="H1228" s="7" t="s">
        <v>6</v>
      </c>
      <c r="I1228" s="7" t="s">
        <v>6</v>
      </c>
      <c r="J1228" s="7" t="s">
        <v>6</v>
      </c>
      <c r="K1228" s="38">
        <f>K1229+K1239+K1251</f>
        <v>0</v>
      </c>
      <c r="L1228" s="30"/>
    </row>
    <row r="1229" spans="1:62" x14ac:dyDescent="0.2">
      <c r="A1229" s="4"/>
      <c r="B1229" s="14" t="s">
        <v>2333</v>
      </c>
      <c r="C1229" s="133" t="s">
        <v>3521</v>
      </c>
      <c r="D1229" s="134"/>
      <c r="E1229" s="134"/>
      <c r="F1229" s="134"/>
      <c r="G1229" s="134"/>
      <c r="H1229" s="4" t="s">
        <v>6</v>
      </c>
      <c r="I1229" s="4" t="s">
        <v>6</v>
      </c>
      <c r="J1229" s="4" t="s">
        <v>6</v>
      </c>
      <c r="K1229" s="37">
        <f>SUM(K1230:K1238)</f>
        <v>0</v>
      </c>
      <c r="L1229" s="27"/>
      <c r="AI1229" s="27" t="s">
        <v>3649</v>
      </c>
      <c r="AS1229" s="37">
        <f>SUM(AJ1230:AJ1238)</f>
        <v>0</v>
      </c>
      <c r="AT1229" s="37">
        <f>SUM(AK1230:AK1238)</f>
        <v>0</v>
      </c>
      <c r="AU1229" s="37">
        <f>SUM(AL1230:AL1238)</f>
        <v>0</v>
      </c>
    </row>
    <row r="1230" spans="1:62" x14ac:dyDescent="0.2">
      <c r="A1230" s="74" t="s">
        <v>1158</v>
      </c>
      <c r="B1230" s="5" t="s">
        <v>2334</v>
      </c>
      <c r="C1230" s="135" t="s">
        <v>3542</v>
      </c>
      <c r="D1230" s="136"/>
      <c r="E1230" s="136"/>
      <c r="F1230" s="136"/>
      <c r="G1230" s="136"/>
      <c r="H1230" s="5" t="s">
        <v>3613</v>
      </c>
      <c r="I1230" s="18">
        <v>51.281999999999996</v>
      </c>
      <c r="J1230" s="18">
        <v>0</v>
      </c>
      <c r="K1230" s="18">
        <f t="shared" ref="K1230:K1238" si="1026">I1230*J1230</f>
        <v>0</v>
      </c>
      <c r="L1230" s="28" t="s">
        <v>3635</v>
      </c>
      <c r="Z1230" s="34">
        <f t="shared" ref="Z1230:Z1238" si="1027">IF(AQ1230="5",BJ1230,0)</f>
        <v>0</v>
      </c>
      <c r="AB1230" s="34">
        <f t="shared" ref="AB1230:AB1238" si="1028">IF(AQ1230="1",BH1230,0)</f>
        <v>0</v>
      </c>
      <c r="AC1230" s="34">
        <f t="shared" ref="AC1230:AC1238" si="1029">IF(AQ1230="1",BI1230,0)</f>
        <v>0</v>
      </c>
      <c r="AD1230" s="34">
        <f t="shared" ref="AD1230:AD1238" si="1030">IF(AQ1230="7",BH1230,0)</f>
        <v>0</v>
      </c>
      <c r="AE1230" s="34">
        <f t="shared" ref="AE1230:AE1238" si="1031">IF(AQ1230="7",BI1230,0)</f>
        <v>0</v>
      </c>
      <c r="AF1230" s="34">
        <f t="shared" ref="AF1230:AF1238" si="1032">IF(AQ1230="2",BH1230,0)</f>
        <v>0</v>
      </c>
      <c r="AG1230" s="34">
        <f t="shared" ref="AG1230:AG1238" si="1033">IF(AQ1230="2",BI1230,0)</f>
        <v>0</v>
      </c>
      <c r="AH1230" s="34">
        <f t="shared" ref="AH1230:AH1238" si="1034">IF(AQ1230="0",BJ1230,0)</f>
        <v>0</v>
      </c>
      <c r="AI1230" s="27" t="s">
        <v>3649</v>
      </c>
      <c r="AJ1230" s="18">
        <f t="shared" ref="AJ1230:AJ1238" si="1035">IF(AN1230=0,K1230,0)</f>
        <v>0</v>
      </c>
      <c r="AK1230" s="18">
        <f t="shared" ref="AK1230:AK1238" si="1036">IF(AN1230=15,K1230,0)</f>
        <v>0</v>
      </c>
      <c r="AL1230" s="18">
        <f t="shared" ref="AL1230:AL1238" si="1037">IF(AN1230=21,K1230,0)</f>
        <v>0</v>
      </c>
      <c r="AN1230" s="34">
        <v>21</v>
      </c>
      <c r="AO1230" s="34">
        <f t="shared" ref="AO1230:AO1238" si="1038">J1230*0</f>
        <v>0</v>
      </c>
      <c r="AP1230" s="34">
        <f t="shared" ref="AP1230:AP1238" si="1039">J1230*(1-0)</f>
        <v>0</v>
      </c>
      <c r="AQ1230" s="28" t="s">
        <v>13</v>
      </c>
      <c r="AV1230" s="34">
        <f t="shared" ref="AV1230:AV1238" si="1040">AW1230+AX1230</f>
        <v>0</v>
      </c>
      <c r="AW1230" s="34">
        <f t="shared" ref="AW1230:AW1238" si="1041">I1230*AO1230</f>
        <v>0</v>
      </c>
      <c r="AX1230" s="34">
        <f t="shared" ref="AX1230:AX1238" si="1042">I1230*AP1230</f>
        <v>0</v>
      </c>
      <c r="AY1230" s="35" t="s">
        <v>3705</v>
      </c>
      <c r="AZ1230" s="35" t="s">
        <v>3726</v>
      </c>
      <c r="BA1230" s="27" t="s">
        <v>3733</v>
      </c>
      <c r="BC1230" s="34">
        <f t="shared" ref="BC1230:BC1238" si="1043">AW1230+AX1230</f>
        <v>0</v>
      </c>
      <c r="BD1230" s="34">
        <f t="shared" ref="BD1230:BD1238" si="1044">J1230/(100-BE1230)*100</f>
        <v>0</v>
      </c>
      <c r="BE1230" s="34">
        <v>0</v>
      </c>
      <c r="BF1230" s="34">
        <f>1229</f>
        <v>1229</v>
      </c>
      <c r="BH1230" s="18">
        <f t="shared" ref="BH1230:BH1238" si="1045">I1230*AO1230</f>
        <v>0</v>
      </c>
      <c r="BI1230" s="18">
        <f t="shared" ref="BI1230:BI1238" si="1046">I1230*AP1230</f>
        <v>0</v>
      </c>
      <c r="BJ1230" s="18">
        <f t="shared" ref="BJ1230:BJ1238" si="1047">I1230*J1230</f>
        <v>0</v>
      </c>
    </row>
    <row r="1231" spans="1:62" x14ac:dyDescent="0.2">
      <c r="A1231" s="74" t="s">
        <v>1159</v>
      </c>
      <c r="B1231" s="5" t="s">
        <v>2335</v>
      </c>
      <c r="C1231" s="135" t="s">
        <v>3523</v>
      </c>
      <c r="D1231" s="136"/>
      <c r="E1231" s="136"/>
      <c r="F1231" s="136"/>
      <c r="G1231" s="136"/>
      <c r="H1231" s="5" t="s">
        <v>3615</v>
      </c>
      <c r="I1231" s="18">
        <v>93.24</v>
      </c>
      <c r="J1231" s="18">
        <v>0</v>
      </c>
      <c r="K1231" s="18">
        <f t="shared" si="1026"/>
        <v>0</v>
      </c>
      <c r="L1231" s="28" t="s">
        <v>3635</v>
      </c>
      <c r="Z1231" s="34">
        <f t="shared" si="1027"/>
        <v>0</v>
      </c>
      <c r="AB1231" s="34">
        <f t="shared" si="1028"/>
        <v>0</v>
      </c>
      <c r="AC1231" s="34">
        <f t="shared" si="1029"/>
        <v>0</v>
      </c>
      <c r="AD1231" s="34">
        <f t="shared" si="1030"/>
        <v>0</v>
      </c>
      <c r="AE1231" s="34">
        <f t="shared" si="1031"/>
        <v>0</v>
      </c>
      <c r="AF1231" s="34">
        <f t="shared" si="1032"/>
        <v>0</v>
      </c>
      <c r="AG1231" s="34">
        <f t="shared" si="1033"/>
        <v>0</v>
      </c>
      <c r="AH1231" s="34">
        <f t="shared" si="1034"/>
        <v>0</v>
      </c>
      <c r="AI1231" s="27" t="s">
        <v>3649</v>
      </c>
      <c r="AJ1231" s="18">
        <f t="shared" si="1035"/>
        <v>0</v>
      </c>
      <c r="AK1231" s="18">
        <f t="shared" si="1036"/>
        <v>0</v>
      </c>
      <c r="AL1231" s="18">
        <f t="shared" si="1037"/>
        <v>0</v>
      </c>
      <c r="AN1231" s="34">
        <v>21</v>
      </c>
      <c r="AO1231" s="34">
        <f t="shared" si="1038"/>
        <v>0</v>
      </c>
      <c r="AP1231" s="34">
        <f t="shared" si="1039"/>
        <v>0</v>
      </c>
      <c r="AQ1231" s="28" t="s">
        <v>13</v>
      </c>
      <c r="AV1231" s="34">
        <f t="shared" si="1040"/>
        <v>0</v>
      </c>
      <c r="AW1231" s="34">
        <f t="shared" si="1041"/>
        <v>0</v>
      </c>
      <c r="AX1231" s="34">
        <f t="shared" si="1042"/>
        <v>0</v>
      </c>
      <c r="AY1231" s="35" t="s">
        <v>3705</v>
      </c>
      <c r="AZ1231" s="35" t="s">
        <v>3726</v>
      </c>
      <c r="BA1231" s="27" t="s">
        <v>3733</v>
      </c>
      <c r="BC1231" s="34">
        <f t="shared" si="1043"/>
        <v>0</v>
      </c>
      <c r="BD1231" s="34">
        <f t="shared" si="1044"/>
        <v>0</v>
      </c>
      <c r="BE1231" s="34">
        <v>0</v>
      </c>
      <c r="BF1231" s="34">
        <f>1230</f>
        <v>1230</v>
      </c>
      <c r="BH1231" s="18">
        <f t="shared" si="1045"/>
        <v>0</v>
      </c>
      <c r="BI1231" s="18">
        <f t="shared" si="1046"/>
        <v>0</v>
      </c>
      <c r="BJ1231" s="18">
        <f t="shared" si="1047"/>
        <v>0</v>
      </c>
    </row>
    <row r="1232" spans="1:62" x14ac:dyDescent="0.2">
      <c r="A1232" s="74" t="s">
        <v>1160</v>
      </c>
      <c r="B1232" s="5" t="s">
        <v>2336</v>
      </c>
      <c r="C1232" s="135" t="s">
        <v>3524</v>
      </c>
      <c r="D1232" s="136"/>
      <c r="E1232" s="136"/>
      <c r="F1232" s="136"/>
      <c r="G1232" s="136"/>
      <c r="H1232" s="5" t="s">
        <v>3613</v>
      </c>
      <c r="I1232" s="18">
        <v>5.1281999999999996</v>
      </c>
      <c r="J1232" s="18">
        <v>0</v>
      </c>
      <c r="K1232" s="18">
        <f t="shared" si="1026"/>
        <v>0</v>
      </c>
      <c r="L1232" s="28" t="s">
        <v>3635</v>
      </c>
      <c r="Z1232" s="34">
        <f t="shared" si="1027"/>
        <v>0</v>
      </c>
      <c r="AB1232" s="34">
        <f t="shared" si="1028"/>
        <v>0</v>
      </c>
      <c r="AC1232" s="34">
        <f t="shared" si="1029"/>
        <v>0</v>
      </c>
      <c r="AD1232" s="34">
        <f t="shared" si="1030"/>
        <v>0</v>
      </c>
      <c r="AE1232" s="34">
        <f t="shared" si="1031"/>
        <v>0</v>
      </c>
      <c r="AF1232" s="34">
        <f t="shared" si="1032"/>
        <v>0</v>
      </c>
      <c r="AG1232" s="34">
        <f t="shared" si="1033"/>
        <v>0</v>
      </c>
      <c r="AH1232" s="34">
        <f t="shared" si="1034"/>
        <v>0</v>
      </c>
      <c r="AI1232" s="27" t="s">
        <v>3649</v>
      </c>
      <c r="AJ1232" s="18">
        <f t="shared" si="1035"/>
        <v>0</v>
      </c>
      <c r="AK1232" s="18">
        <f t="shared" si="1036"/>
        <v>0</v>
      </c>
      <c r="AL1232" s="18">
        <f t="shared" si="1037"/>
        <v>0</v>
      </c>
      <c r="AN1232" s="34">
        <v>21</v>
      </c>
      <c r="AO1232" s="34">
        <f t="shared" si="1038"/>
        <v>0</v>
      </c>
      <c r="AP1232" s="34">
        <f t="shared" si="1039"/>
        <v>0</v>
      </c>
      <c r="AQ1232" s="28" t="s">
        <v>13</v>
      </c>
      <c r="AV1232" s="34">
        <f t="shared" si="1040"/>
        <v>0</v>
      </c>
      <c r="AW1232" s="34">
        <f t="shared" si="1041"/>
        <v>0</v>
      </c>
      <c r="AX1232" s="34">
        <f t="shared" si="1042"/>
        <v>0</v>
      </c>
      <c r="AY1232" s="35" t="s">
        <v>3705</v>
      </c>
      <c r="AZ1232" s="35" t="s">
        <v>3726</v>
      </c>
      <c r="BA1232" s="27" t="s">
        <v>3733</v>
      </c>
      <c r="BC1232" s="34">
        <f t="shared" si="1043"/>
        <v>0</v>
      </c>
      <c r="BD1232" s="34">
        <f t="shared" si="1044"/>
        <v>0</v>
      </c>
      <c r="BE1232" s="34">
        <v>0</v>
      </c>
      <c r="BF1232" s="34">
        <f>1231</f>
        <v>1231</v>
      </c>
      <c r="BH1232" s="18">
        <f t="shared" si="1045"/>
        <v>0</v>
      </c>
      <c r="BI1232" s="18">
        <f t="shared" si="1046"/>
        <v>0</v>
      </c>
      <c r="BJ1232" s="18">
        <f t="shared" si="1047"/>
        <v>0</v>
      </c>
    </row>
    <row r="1233" spans="1:62" x14ac:dyDescent="0.2">
      <c r="A1233" s="74" t="s">
        <v>1161</v>
      </c>
      <c r="B1233" s="5" t="s">
        <v>2337</v>
      </c>
      <c r="C1233" s="135" t="s">
        <v>3543</v>
      </c>
      <c r="D1233" s="136"/>
      <c r="E1233" s="136"/>
      <c r="F1233" s="136"/>
      <c r="G1233" s="136"/>
      <c r="H1233" s="5" t="s">
        <v>3613</v>
      </c>
      <c r="I1233" s="18">
        <v>11.9658</v>
      </c>
      <c r="J1233" s="18">
        <v>0</v>
      </c>
      <c r="K1233" s="18">
        <f t="shared" si="1026"/>
        <v>0</v>
      </c>
      <c r="L1233" s="28" t="s">
        <v>3635</v>
      </c>
      <c r="Z1233" s="34">
        <f t="shared" si="1027"/>
        <v>0</v>
      </c>
      <c r="AB1233" s="34">
        <f t="shared" si="1028"/>
        <v>0</v>
      </c>
      <c r="AC1233" s="34">
        <f t="shared" si="1029"/>
        <v>0</v>
      </c>
      <c r="AD1233" s="34">
        <f t="shared" si="1030"/>
        <v>0</v>
      </c>
      <c r="AE1233" s="34">
        <f t="shared" si="1031"/>
        <v>0</v>
      </c>
      <c r="AF1233" s="34">
        <f t="shared" si="1032"/>
        <v>0</v>
      </c>
      <c r="AG1233" s="34">
        <f t="shared" si="1033"/>
        <v>0</v>
      </c>
      <c r="AH1233" s="34">
        <f t="shared" si="1034"/>
        <v>0</v>
      </c>
      <c r="AI1233" s="27" t="s">
        <v>3649</v>
      </c>
      <c r="AJ1233" s="18">
        <f t="shared" si="1035"/>
        <v>0</v>
      </c>
      <c r="AK1233" s="18">
        <f t="shared" si="1036"/>
        <v>0</v>
      </c>
      <c r="AL1233" s="18">
        <f t="shared" si="1037"/>
        <v>0</v>
      </c>
      <c r="AN1233" s="34">
        <v>21</v>
      </c>
      <c r="AO1233" s="34">
        <f t="shared" si="1038"/>
        <v>0</v>
      </c>
      <c r="AP1233" s="34">
        <f t="shared" si="1039"/>
        <v>0</v>
      </c>
      <c r="AQ1233" s="28" t="s">
        <v>13</v>
      </c>
      <c r="AV1233" s="34">
        <f t="shared" si="1040"/>
        <v>0</v>
      </c>
      <c r="AW1233" s="34">
        <f t="shared" si="1041"/>
        <v>0</v>
      </c>
      <c r="AX1233" s="34">
        <f t="shared" si="1042"/>
        <v>0</v>
      </c>
      <c r="AY1233" s="35" t="s">
        <v>3705</v>
      </c>
      <c r="AZ1233" s="35" t="s">
        <v>3726</v>
      </c>
      <c r="BA1233" s="27" t="s">
        <v>3733</v>
      </c>
      <c r="BC1233" s="34">
        <f t="shared" si="1043"/>
        <v>0</v>
      </c>
      <c r="BD1233" s="34">
        <f t="shared" si="1044"/>
        <v>0</v>
      </c>
      <c r="BE1233" s="34">
        <v>0</v>
      </c>
      <c r="BF1233" s="34">
        <f>1232</f>
        <v>1232</v>
      </c>
      <c r="BH1233" s="18">
        <f t="shared" si="1045"/>
        <v>0</v>
      </c>
      <c r="BI1233" s="18">
        <f t="shared" si="1046"/>
        <v>0</v>
      </c>
      <c r="BJ1233" s="18">
        <f t="shared" si="1047"/>
        <v>0</v>
      </c>
    </row>
    <row r="1234" spans="1:62" x14ac:dyDescent="0.2">
      <c r="A1234" s="74" t="s">
        <v>1162</v>
      </c>
      <c r="B1234" s="5" t="s">
        <v>2338</v>
      </c>
      <c r="C1234" s="135" t="s">
        <v>3544</v>
      </c>
      <c r="D1234" s="136"/>
      <c r="E1234" s="136"/>
      <c r="F1234" s="136"/>
      <c r="G1234" s="136"/>
      <c r="H1234" s="5" t="s">
        <v>3613</v>
      </c>
      <c r="I1234" s="18">
        <v>27.3504</v>
      </c>
      <c r="J1234" s="18">
        <v>0</v>
      </c>
      <c r="K1234" s="18">
        <f t="shared" si="1026"/>
        <v>0</v>
      </c>
      <c r="L1234" s="28" t="s">
        <v>3635</v>
      </c>
      <c r="Z1234" s="34">
        <f t="shared" si="1027"/>
        <v>0</v>
      </c>
      <c r="AB1234" s="34">
        <f t="shared" si="1028"/>
        <v>0</v>
      </c>
      <c r="AC1234" s="34">
        <f t="shared" si="1029"/>
        <v>0</v>
      </c>
      <c r="AD1234" s="34">
        <f t="shared" si="1030"/>
        <v>0</v>
      </c>
      <c r="AE1234" s="34">
        <f t="shared" si="1031"/>
        <v>0</v>
      </c>
      <c r="AF1234" s="34">
        <f t="shared" si="1032"/>
        <v>0</v>
      </c>
      <c r="AG1234" s="34">
        <f t="shared" si="1033"/>
        <v>0</v>
      </c>
      <c r="AH1234" s="34">
        <f t="shared" si="1034"/>
        <v>0</v>
      </c>
      <c r="AI1234" s="27" t="s">
        <v>3649</v>
      </c>
      <c r="AJ1234" s="18">
        <f t="shared" si="1035"/>
        <v>0</v>
      </c>
      <c r="AK1234" s="18">
        <f t="shared" si="1036"/>
        <v>0</v>
      </c>
      <c r="AL1234" s="18">
        <f t="shared" si="1037"/>
        <v>0</v>
      </c>
      <c r="AN1234" s="34">
        <v>21</v>
      </c>
      <c r="AO1234" s="34">
        <f t="shared" si="1038"/>
        <v>0</v>
      </c>
      <c r="AP1234" s="34">
        <f t="shared" si="1039"/>
        <v>0</v>
      </c>
      <c r="AQ1234" s="28" t="s">
        <v>13</v>
      </c>
      <c r="AV1234" s="34">
        <f t="shared" si="1040"/>
        <v>0</v>
      </c>
      <c r="AW1234" s="34">
        <f t="shared" si="1041"/>
        <v>0</v>
      </c>
      <c r="AX1234" s="34">
        <f t="shared" si="1042"/>
        <v>0</v>
      </c>
      <c r="AY1234" s="35" t="s">
        <v>3705</v>
      </c>
      <c r="AZ1234" s="35" t="s">
        <v>3726</v>
      </c>
      <c r="BA1234" s="27" t="s">
        <v>3733</v>
      </c>
      <c r="BC1234" s="34">
        <f t="shared" si="1043"/>
        <v>0</v>
      </c>
      <c r="BD1234" s="34">
        <f t="shared" si="1044"/>
        <v>0</v>
      </c>
      <c r="BE1234" s="34">
        <v>0</v>
      </c>
      <c r="BF1234" s="34">
        <f>1233</f>
        <v>1233</v>
      </c>
      <c r="BH1234" s="18">
        <f t="shared" si="1045"/>
        <v>0</v>
      </c>
      <c r="BI1234" s="18">
        <f t="shared" si="1046"/>
        <v>0</v>
      </c>
      <c r="BJ1234" s="18">
        <f t="shared" si="1047"/>
        <v>0</v>
      </c>
    </row>
    <row r="1235" spans="1:62" x14ac:dyDescent="0.2">
      <c r="A1235" s="74" t="s">
        <v>1163</v>
      </c>
      <c r="B1235" s="5" t="s">
        <v>2339</v>
      </c>
      <c r="C1235" s="135" t="s">
        <v>3527</v>
      </c>
      <c r="D1235" s="136"/>
      <c r="E1235" s="136"/>
      <c r="F1235" s="136"/>
      <c r="G1235" s="136"/>
      <c r="H1235" s="5" t="s">
        <v>3613</v>
      </c>
      <c r="I1235" s="18">
        <v>6.8376000000000001</v>
      </c>
      <c r="J1235" s="18">
        <v>0</v>
      </c>
      <c r="K1235" s="18">
        <f t="shared" si="1026"/>
        <v>0</v>
      </c>
      <c r="L1235" s="28" t="s">
        <v>3635</v>
      </c>
      <c r="Z1235" s="34">
        <f t="shared" si="1027"/>
        <v>0</v>
      </c>
      <c r="AB1235" s="34">
        <f t="shared" si="1028"/>
        <v>0</v>
      </c>
      <c r="AC1235" s="34">
        <f t="shared" si="1029"/>
        <v>0</v>
      </c>
      <c r="AD1235" s="34">
        <f t="shared" si="1030"/>
        <v>0</v>
      </c>
      <c r="AE1235" s="34">
        <f t="shared" si="1031"/>
        <v>0</v>
      </c>
      <c r="AF1235" s="34">
        <f t="shared" si="1032"/>
        <v>0</v>
      </c>
      <c r="AG1235" s="34">
        <f t="shared" si="1033"/>
        <v>0</v>
      </c>
      <c r="AH1235" s="34">
        <f t="shared" si="1034"/>
        <v>0</v>
      </c>
      <c r="AI1235" s="27" t="s">
        <v>3649</v>
      </c>
      <c r="AJ1235" s="18">
        <f t="shared" si="1035"/>
        <v>0</v>
      </c>
      <c r="AK1235" s="18">
        <f t="shared" si="1036"/>
        <v>0</v>
      </c>
      <c r="AL1235" s="18">
        <f t="shared" si="1037"/>
        <v>0</v>
      </c>
      <c r="AN1235" s="34">
        <v>21</v>
      </c>
      <c r="AO1235" s="34">
        <f t="shared" si="1038"/>
        <v>0</v>
      </c>
      <c r="AP1235" s="34">
        <f t="shared" si="1039"/>
        <v>0</v>
      </c>
      <c r="AQ1235" s="28" t="s">
        <v>13</v>
      </c>
      <c r="AV1235" s="34">
        <f t="shared" si="1040"/>
        <v>0</v>
      </c>
      <c r="AW1235" s="34">
        <f t="shared" si="1041"/>
        <v>0</v>
      </c>
      <c r="AX1235" s="34">
        <f t="shared" si="1042"/>
        <v>0</v>
      </c>
      <c r="AY1235" s="35" t="s">
        <v>3705</v>
      </c>
      <c r="AZ1235" s="35" t="s">
        <v>3726</v>
      </c>
      <c r="BA1235" s="27" t="s">
        <v>3733</v>
      </c>
      <c r="BC1235" s="34">
        <f t="shared" si="1043"/>
        <v>0</v>
      </c>
      <c r="BD1235" s="34">
        <f t="shared" si="1044"/>
        <v>0</v>
      </c>
      <c r="BE1235" s="34">
        <v>0</v>
      </c>
      <c r="BF1235" s="34">
        <f>1234</f>
        <v>1234</v>
      </c>
      <c r="BH1235" s="18">
        <f t="shared" si="1045"/>
        <v>0</v>
      </c>
      <c r="BI1235" s="18">
        <f t="shared" si="1046"/>
        <v>0</v>
      </c>
      <c r="BJ1235" s="18">
        <f t="shared" si="1047"/>
        <v>0</v>
      </c>
    </row>
    <row r="1236" spans="1:62" x14ac:dyDescent="0.2">
      <c r="A1236" s="74" t="s">
        <v>1164</v>
      </c>
      <c r="B1236" s="5" t="s">
        <v>2340</v>
      </c>
      <c r="C1236" s="135" t="s">
        <v>3545</v>
      </c>
      <c r="D1236" s="136"/>
      <c r="E1236" s="136"/>
      <c r="F1236" s="136"/>
      <c r="G1236" s="136"/>
      <c r="H1236" s="5" t="s">
        <v>3614</v>
      </c>
      <c r="I1236" s="18">
        <v>31.08</v>
      </c>
      <c r="J1236" s="18">
        <v>0</v>
      </c>
      <c r="K1236" s="18">
        <f t="shared" si="1026"/>
        <v>0</v>
      </c>
      <c r="L1236" s="28" t="s">
        <v>3635</v>
      </c>
      <c r="Z1236" s="34">
        <f t="shared" si="1027"/>
        <v>0</v>
      </c>
      <c r="AB1236" s="34">
        <f t="shared" si="1028"/>
        <v>0</v>
      </c>
      <c r="AC1236" s="34">
        <f t="shared" si="1029"/>
        <v>0</v>
      </c>
      <c r="AD1236" s="34">
        <f t="shared" si="1030"/>
        <v>0</v>
      </c>
      <c r="AE1236" s="34">
        <f t="shared" si="1031"/>
        <v>0</v>
      </c>
      <c r="AF1236" s="34">
        <f t="shared" si="1032"/>
        <v>0</v>
      </c>
      <c r="AG1236" s="34">
        <f t="shared" si="1033"/>
        <v>0</v>
      </c>
      <c r="AH1236" s="34">
        <f t="shared" si="1034"/>
        <v>0</v>
      </c>
      <c r="AI1236" s="27" t="s">
        <v>3649</v>
      </c>
      <c r="AJ1236" s="18">
        <f t="shared" si="1035"/>
        <v>0</v>
      </c>
      <c r="AK1236" s="18">
        <f t="shared" si="1036"/>
        <v>0</v>
      </c>
      <c r="AL1236" s="18">
        <f t="shared" si="1037"/>
        <v>0</v>
      </c>
      <c r="AN1236" s="34">
        <v>21</v>
      </c>
      <c r="AO1236" s="34">
        <f t="shared" si="1038"/>
        <v>0</v>
      </c>
      <c r="AP1236" s="34">
        <f t="shared" si="1039"/>
        <v>0</v>
      </c>
      <c r="AQ1236" s="28" t="s">
        <v>13</v>
      </c>
      <c r="AV1236" s="34">
        <f t="shared" si="1040"/>
        <v>0</v>
      </c>
      <c r="AW1236" s="34">
        <f t="shared" si="1041"/>
        <v>0</v>
      </c>
      <c r="AX1236" s="34">
        <f t="shared" si="1042"/>
        <v>0</v>
      </c>
      <c r="AY1236" s="35" t="s">
        <v>3705</v>
      </c>
      <c r="AZ1236" s="35" t="s">
        <v>3726</v>
      </c>
      <c r="BA1236" s="27" t="s">
        <v>3733</v>
      </c>
      <c r="BC1236" s="34">
        <f t="shared" si="1043"/>
        <v>0</v>
      </c>
      <c r="BD1236" s="34">
        <f t="shared" si="1044"/>
        <v>0</v>
      </c>
      <c r="BE1236" s="34">
        <v>0</v>
      </c>
      <c r="BF1236" s="34">
        <f>1235</f>
        <v>1235</v>
      </c>
      <c r="BH1236" s="18">
        <f t="shared" si="1045"/>
        <v>0</v>
      </c>
      <c r="BI1236" s="18">
        <f t="shared" si="1046"/>
        <v>0</v>
      </c>
      <c r="BJ1236" s="18">
        <f t="shared" si="1047"/>
        <v>0</v>
      </c>
    </row>
    <row r="1237" spans="1:62" x14ac:dyDescent="0.2">
      <c r="A1237" s="74" t="s">
        <v>1165</v>
      </c>
      <c r="B1237" s="5" t="s">
        <v>2341</v>
      </c>
      <c r="C1237" s="135" t="s">
        <v>3546</v>
      </c>
      <c r="D1237" s="136"/>
      <c r="E1237" s="136"/>
      <c r="F1237" s="136"/>
      <c r="G1237" s="136"/>
      <c r="H1237" s="5" t="s">
        <v>3614</v>
      </c>
      <c r="I1237" s="18">
        <v>31.08</v>
      </c>
      <c r="J1237" s="18">
        <v>0</v>
      </c>
      <c r="K1237" s="18">
        <f t="shared" si="1026"/>
        <v>0</v>
      </c>
      <c r="L1237" s="28" t="s">
        <v>3635</v>
      </c>
      <c r="Z1237" s="34">
        <f t="shared" si="1027"/>
        <v>0</v>
      </c>
      <c r="AB1237" s="34">
        <f t="shared" si="1028"/>
        <v>0</v>
      </c>
      <c r="AC1237" s="34">
        <f t="shared" si="1029"/>
        <v>0</v>
      </c>
      <c r="AD1237" s="34">
        <f t="shared" si="1030"/>
        <v>0</v>
      </c>
      <c r="AE1237" s="34">
        <f t="shared" si="1031"/>
        <v>0</v>
      </c>
      <c r="AF1237" s="34">
        <f t="shared" si="1032"/>
        <v>0</v>
      </c>
      <c r="AG1237" s="34">
        <f t="shared" si="1033"/>
        <v>0</v>
      </c>
      <c r="AH1237" s="34">
        <f t="shared" si="1034"/>
        <v>0</v>
      </c>
      <c r="AI1237" s="27" t="s">
        <v>3649</v>
      </c>
      <c r="AJ1237" s="18">
        <f t="shared" si="1035"/>
        <v>0</v>
      </c>
      <c r="AK1237" s="18">
        <f t="shared" si="1036"/>
        <v>0</v>
      </c>
      <c r="AL1237" s="18">
        <f t="shared" si="1037"/>
        <v>0</v>
      </c>
      <c r="AN1237" s="34">
        <v>21</v>
      </c>
      <c r="AO1237" s="34">
        <f t="shared" si="1038"/>
        <v>0</v>
      </c>
      <c r="AP1237" s="34">
        <f t="shared" si="1039"/>
        <v>0</v>
      </c>
      <c r="AQ1237" s="28" t="s">
        <v>13</v>
      </c>
      <c r="AV1237" s="34">
        <f t="shared" si="1040"/>
        <v>0</v>
      </c>
      <c r="AW1237" s="34">
        <f t="shared" si="1041"/>
        <v>0</v>
      </c>
      <c r="AX1237" s="34">
        <f t="shared" si="1042"/>
        <v>0</v>
      </c>
      <c r="AY1237" s="35" t="s">
        <v>3705</v>
      </c>
      <c r="AZ1237" s="35" t="s">
        <v>3726</v>
      </c>
      <c r="BA1237" s="27" t="s">
        <v>3733</v>
      </c>
      <c r="BC1237" s="34">
        <f t="shared" si="1043"/>
        <v>0</v>
      </c>
      <c r="BD1237" s="34">
        <f t="shared" si="1044"/>
        <v>0</v>
      </c>
      <c r="BE1237" s="34">
        <v>0</v>
      </c>
      <c r="BF1237" s="34">
        <f>1236</f>
        <v>1236</v>
      </c>
      <c r="BH1237" s="18">
        <f t="shared" si="1045"/>
        <v>0</v>
      </c>
      <c r="BI1237" s="18">
        <f t="shared" si="1046"/>
        <v>0</v>
      </c>
      <c r="BJ1237" s="18">
        <f t="shared" si="1047"/>
        <v>0</v>
      </c>
    </row>
    <row r="1238" spans="1:62" x14ac:dyDescent="0.2">
      <c r="A1238" s="74" t="s">
        <v>1166</v>
      </c>
      <c r="B1238" s="5" t="s">
        <v>2342</v>
      </c>
      <c r="C1238" s="135" t="s">
        <v>3547</v>
      </c>
      <c r="D1238" s="136"/>
      <c r="E1238" s="136"/>
      <c r="F1238" s="136"/>
      <c r="G1238" s="136"/>
      <c r="H1238" s="5" t="s">
        <v>3614</v>
      </c>
      <c r="I1238" s="18">
        <v>31.08</v>
      </c>
      <c r="J1238" s="18">
        <v>0</v>
      </c>
      <c r="K1238" s="18">
        <f t="shared" si="1026"/>
        <v>0</v>
      </c>
      <c r="L1238" s="28" t="s">
        <v>3635</v>
      </c>
      <c r="Z1238" s="34">
        <f t="shared" si="1027"/>
        <v>0</v>
      </c>
      <c r="AB1238" s="34">
        <f t="shared" si="1028"/>
        <v>0</v>
      </c>
      <c r="AC1238" s="34">
        <f t="shared" si="1029"/>
        <v>0</v>
      </c>
      <c r="AD1238" s="34">
        <f t="shared" si="1030"/>
        <v>0</v>
      </c>
      <c r="AE1238" s="34">
        <f t="shared" si="1031"/>
        <v>0</v>
      </c>
      <c r="AF1238" s="34">
        <f t="shared" si="1032"/>
        <v>0</v>
      </c>
      <c r="AG1238" s="34">
        <f t="shared" si="1033"/>
        <v>0</v>
      </c>
      <c r="AH1238" s="34">
        <f t="shared" si="1034"/>
        <v>0</v>
      </c>
      <c r="AI1238" s="27" t="s">
        <v>3649</v>
      </c>
      <c r="AJ1238" s="18">
        <f t="shared" si="1035"/>
        <v>0</v>
      </c>
      <c r="AK1238" s="18">
        <f t="shared" si="1036"/>
        <v>0</v>
      </c>
      <c r="AL1238" s="18">
        <f t="shared" si="1037"/>
        <v>0</v>
      </c>
      <c r="AN1238" s="34">
        <v>21</v>
      </c>
      <c r="AO1238" s="34">
        <f t="shared" si="1038"/>
        <v>0</v>
      </c>
      <c r="AP1238" s="34">
        <f t="shared" si="1039"/>
        <v>0</v>
      </c>
      <c r="AQ1238" s="28" t="s">
        <v>13</v>
      </c>
      <c r="AV1238" s="34">
        <f t="shared" si="1040"/>
        <v>0</v>
      </c>
      <c r="AW1238" s="34">
        <f t="shared" si="1041"/>
        <v>0</v>
      </c>
      <c r="AX1238" s="34">
        <f t="shared" si="1042"/>
        <v>0</v>
      </c>
      <c r="AY1238" s="35" t="s">
        <v>3705</v>
      </c>
      <c r="AZ1238" s="35" t="s">
        <v>3726</v>
      </c>
      <c r="BA1238" s="27" t="s">
        <v>3733</v>
      </c>
      <c r="BC1238" s="34">
        <f t="shared" si="1043"/>
        <v>0</v>
      </c>
      <c r="BD1238" s="34">
        <f t="shared" si="1044"/>
        <v>0</v>
      </c>
      <c r="BE1238" s="34">
        <v>0</v>
      </c>
      <c r="BF1238" s="34">
        <f>1237</f>
        <v>1237</v>
      </c>
      <c r="BH1238" s="18">
        <f t="shared" si="1045"/>
        <v>0</v>
      </c>
      <c r="BI1238" s="18">
        <f t="shared" si="1046"/>
        <v>0</v>
      </c>
      <c r="BJ1238" s="18">
        <f t="shared" si="1047"/>
        <v>0</v>
      </c>
    </row>
    <row r="1239" spans="1:62" x14ac:dyDescent="0.2">
      <c r="A1239" s="4"/>
      <c r="B1239" s="14" t="s">
        <v>2324</v>
      </c>
      <c r="C1239" s="133" t="s">
        <v>3548</v>
      </c>
      <c r="D1239" s="134"/>
      <c r="E1239" s="134"/>
      <c r="F1239" s="134"/>
      <c r="G1239" s="134"/>
      <c r="H1239" s="4" t="s">
        <v>6</v>
      </c>
      <c r="I1239" s="4" t="s">
        <v>6</v>
      </c>
      <c r="J1239" s="4" t="s">
        <v>6</v>
      </c>
      <c r="K1239" s="37">
        <f>SUM(K1240:K1250)</f>
        <v>0</v>
      </c>
      <c r="L1239" s="27"/>
      <c r="AI1239" s="27" t="s">
        <v>3649</v>
      </c>
      <c r="AS1239" s="37">
        <f>SUM(AJ1240:AJ1250)</f>
        <v>0</v>
      </c>
      <c r="AT1239" s="37">
        <f>SUM(AK1240:AK1250)</f>
        <v>0</v>
      </c>
      <c r="AU1239" s="37">
        <f>SUM(AL1240:AL1250)</f>
        <v>0</v>
      </c>
    </row>
    <row r="1240" spans="1:62" x14ac:dyDescent="0.2">
      <c r="A1240" s="74" t="s">
        <v>1167</v>
      </c>
      <c r="B1240" s="5" t="s">
        <v>2343</v>
      </c>
      <c r="C1240" s="135" t="s">
        <v>3549</v>
      </c>
      <c r="D1240" s="136"/>
      <c r="E1240" s="136"/>
      <c r="F1240" s="136"/>
      <c r="G1240" s="136"/>
      <c r="H1240" s="5" t="s">
        <v>3622</v>
      </c>
      <c r="I1240" s="18">
        <v>1</v>
      </c>
      <c r="J1240" s="18">
        <v>0</v>
      </c>
      <c r="K1240" s="18">
        <f t="shared" ref="K1240:K1250" si="1048">I1240*J1240</f>
        <v>0</v>
      </c>
      <c r="L1240" s="28" t="s">
        <v>3635</v>
      </c>
      <c r="Z1240" s="34">
        <f t="shared" ref="Z1240:Z1250" si="1049">IF(AQ1240="5",BJ1240,0)</f>
        <v>0</v>
      </c>
      <c r="AB1240" s="34">
        <f t="shared" ref="AB1240:AB1250" si="1050">IF(AQ1240="1",BH1240,0)</f>
        <v>0</v>
      </c>
      <c r="AC1240" s="34">
        <f t="shared" ref="AC1240:AC1250" si="1051">IF(AQ1240="1",BI1240,0)</f>
        <v>0</v>
      </c>
      <c r="AD1240" s="34">
        <f t="shared" ref="AD1240:AD1250" si="1052">IF(AQ1240="7",BH1240,0)</f>
        <v>0</v>
      </c>
      <c r="AE1240" s="34">
        <f t="shared" ref="AE1240:AE1250" si="1053">IF(AQ1240="7",BI1240,0)</f>
        <v>0</v>
      </c>
      <c r="AF1240" s="34">
        <f t="shared" ref="AF1240:AF1250" si="1054">IF(AQ1240="2",BH1240,0)</f>
        <v>0</v>
      </c>
      <c r="AG1240" s="34">
        <f t="shared" ref="AG1240:AG1250" si="1055">IF(AQ1240="2",BI1240,0)</f>
        <v>0</v>
      </c>
      <c r="AH1240" s="34">
        <f t="shared" ref="AH1240:AH1250" si="1056">IF(AQ1240="0",BJ1240,0)</f>
        <v>0</v>
      </c>
      <c r="AI1240" s="27" t="s">
        <v>3649</v>
      </c>
      <c r="AJ1240" s="18">
        <f t="shared" ref="AJ1240:AJ1250" si="1057">IF(AN1240=0,K1240,0)</f>
        <v>0</v>
      </c>
      <c r="AK1240" s="18">
        <f t="shared" ref="AK1240:AK1250" si="1058">IF(AN1240=15,K1240,0)</f>
        <v>0</v>
      </c>
      <c r="AL1240" s="18">
        <f t="shared" ref="AL1240:AL1250" si="1059">IF(AN1240=21,K1240,0)</f>
        <v>0</v>
      </c>
      <c r="AN1240" s="34">
        <v>21</v>
      </c>
      <c r="AO1240" s="34">
        <f t="shared" ref="AO1240:AO1250" si="1060">J1240*0</f>
        <v>0</v>
      </c>
      <c r="AP1240" s="34">
        <f t="shared" ref="AP1240:AP1250" si="1061">J1240*(1-0)</f>
        <v>0</v>
      </c>
      <c r="AQ1240" s="28" t="s">
        <v>13</v>
      </c>
      <c r="AV1240" s="34">
        <f t="shared" ref="AV1240:AV1250" si="1062">AW1240+AX1240</f>
        <v>0</v>
      </c>
      <c r="AW1240" s="34">
        <f t="shared" ref="AW1240:AW1250" si="1063">I1240*AO1240</f>
        <v>0</v>
      </c>
      <c r="AX1240" s="34">
        <f t="shared" ref="AX1240:AX1250" si="1064">I1240*AP1240</f>
        <v>0</v>
      </c>
      <c r="AY1240" s="35" t="s">
        <v>3703</v>
      </c>
      <c r="AZ1240" s="35" t="s">
        <v>3726</v>
      </c>
      <c r="BA1240" s="27" t="s">
        <v>3733</v>
      </c>
      <c r="BC1240" s="34">
        <f t="shared" ref="BC1240:BC1250" si="1065">AW1240+AX1240</f>
        <v>0</v>
      </c>
      <c r="BD1240" s="34">
        <f t="shared" ref="BD1240:BD1250" si="1066">J1240/(100-BE1240)*100</f>
        <v>0</v>
      </c>
      <c r="BE1240" s="34">
        <v>0</v>
      </c>
      <c r="BF1240" s="34">
        <f>1239</f>
        <v>1239</v>
      </c>
      <c r="BH1240" s="18">
        <f t="shared" ref="BH1240:BH1250" si="1067">I1240*AO1240</f>
        <v>0</v>
      </c>
      <c r="BI1240" s="18">
        <f t="shared" ref="BI1240:BI1250" si="1068">I1240*AP1240</f>
        <v>0</v>
      </c>
      <c r="BJ1240" s="18">
        <f t="shared" ref="BJ1240:BJ1250" si="1069">I1240*J1240</f>
        <v>0</v>
      </c>
    </row>
    <row r="1241" spans="1:62" x14ac:dyDescent="0.2">
      <c r="A1241" s="74" t="s">
        <v>1168</v>
      </c>
      <c r="B1241" s="5" t="s">
        <v>2344</v>
      </c>
      <c r="C1241" s="135" t="s">
        <v>3550</v>
      </c>
      <c r="D1241" s="136"/>
      <c r="E1241" s="136"/>
      <c r="F1241" s="136"/>
      <c r="G1241" s="136"/>
      <c r="H1241" s="5" t="s">
        <v>3613</v>
      </c>
      <c r="I1241" s="18">
        <v>14.5</v>
      </c>
      <c r="J1241" s="18">
        <v>0</v>
      </c>
      <c r="K1241" s="18">
        <f t="shared" si="1048"/>
        <v>0</v>
      </c>
      <c r="L1241" s="28" t="s">
        <v>3635</v>
      </c>
      <c r="Z1241" s="34">
        <f t="shared" si="1049"/>
        <v>0</v>
      </c>
      <c r="AB1241" s="34">
        <f t="shared" si="1050"/>
        <v>0</v>
      </c>
      <c r="AC1241" s="34">
        <f t="shared" si="1051"/>
        <v>0</v>
      </c>
      <c r="AD1241" s="34">
        <f t="shared" si="1052"/>
        <v>0</v>
      </c>
      <c r="AE1241" s="34">
        <f t="shared" si="1053"/>
        <v>0</v>
      </c>
      <c r="AF1241" s="34">
        <f t="shared" si="1054"/>
        <v>0</v>
      </c>
      <c r="AG1241" s="34">
        <f t="shared" si="1055"/>
        <v>0</v>
      </c>
      <c r="AH1241" s="34">
        <f t="shared" si="1056"/>
        <v>0</v>
      </c>
      <c r="AI1241" s="27" t="s">
        <v>3649</v>
      </c>
      <c r="AJ1241" s="18">
        <f t="shared" si="1057"/>
        <v>0</v>
      </c>
      <c r="AK1241" s="18">
        <f t="shared" si="1058"/>
        <v>0</v>
      </c>
      <c r="AL1241" s="18">
        <f t="shared" si="1059"/>
        <v>0</v>
      </c>
      <c r="AN1241" s="34">
        <v>21</v>
      </c>
      <c r="AO1241" s="34">
        <f t="shared" si="1060"/>
        <v>0</v>
      </c>
      <c r="AP1241" s="34">
        <f t="shared" si="1061"/>
        <v>0</v>
      </c>
      <c r="AQ1241" s="28" t="s">
        <v>13</v>
      </c>
      <c r="AV1241" s="34">
        <f t="shared" si="1062"/>
        <v>0</v>
      </c>
      <c r="AW1241" s="34">
        <f t="shared" si="1063"/>
        <v>0</v>
      </c>
      <c r="AX1241" s="34">
        <f t="shared" si="1064"/>
        <v>0</v>
      </c>
      <c r="AY1241" s="35" t="s">
        <v>3703</v>
      </c>
      <c r="AZ1241" s="35" t="s">
        <v>3726</v>
      </c>
      <c r="BA1241" s="27" t="s">
        <v>3733</v>
      </c>
      <c r="BC1241" s="34">
        <f t="shared" si="1065"/>
        <v>0</v>
      </c>
      <c r="BD1241" s="34">
        <f t="shared" si="1066"/>
        <v>0</v>
      </c>
      <c r="BE1241" s="34">
        <v>0</v>
      </c>
      <c r="BF1241" s="34">
        <f>1240</f>
        <v>1240</v>
      </c>
      <c r="BH1241" s="18">
        <f t="shared" si="1067"/>
        <v>0</v>
      </c>
      <c r="BI1241" s="18">
        <f t="shared" si="1068"/>
        <v>0</v>
      </c>
      <c r="BJ1241" s="18">
        <f t="shared" si="1069"/>
        <v>0</v>
      </c>
    </row>
    <row r="1242" spans="1:62" x14ac:dyDescent="0.2">
      <c r="A1242" s="74" t="s">
        <v>1169</v>
      </c>
      <c r="B1242" s="5" t="s">
        <v>2345</v>
      </c>
      <c r="C1242" s="135" t="s">
        <v>3551</v>
      </c>
      <c r="D1242" s="136"/>
      <c r="E1242" s="136"/>
      <c r="F1242" s="136"/>
      <c r="G1242" s="136"/>
      <c r="H1242" s="5" t="s">
        <v>3613</v>
      </c>
      <c r="I1242" s="18">
        <v>1.0691999999999999</v>
      </c>
      <c r="J1242" s="18">
        <v>0</v>
      </c>
      <c r="K1242" s="18">
        <f t="shared" si="1048"/>
        <v>0</v>
      </c>
      <c r="L1242" s="28" t="s">
        <v>3635</v>
      </c>
      <c r="Z1242" s="34">
        <f t="shared" si="1049"/>
        <v>0</v>
      </c>
      <c r="AB1242" s="34">
        <f t="shared" si="1050"/>
        <v>0</v>
      </c>
      <c r="AC1242" s="34">
        <f t="shared" si="1051"/>
        <v>0</v>
      </c>
      <c r="AD1242" s="34">
        <f t="shared" si="1052"/>
        <v>0</v>
      </c>
      <c r="AE1242" s="34">
        <f t="shared" si="1053"/>
        <v>0</v>
      </c>
      <c r="AF1242" s="34">
        <f t="shared" si="1054"/>
        <v>0</v>
      </c>
      <c r="AG1242" s="34">
        <f t="shared" si="1055"/>
        <v>0</v>
      </c>
      <c r="AH1242" s="34">
        <f t="shared" si="1056"/>
        <v>0</v>
      </c>
      <c r="AI1242" s="27" t="s">
        <v>3649</v>
      </c>
      <c r="AJ1242" s="18">
        <f t="shared" si="1057"/>
        <v>0</v>
      </c>
      <c r="AK1242" s="18">
        <f t="shared" si="1058"/>
        <v>0</v>
      </c>
      <c r="AL1242" s="18">
        <f t="shared" si="1059"/>
        <v>0</v>
      </c>
      <c r="AN1242" s="34">
        <v>21</v>
      </c>
      <c r="AO1242" s="34">
        <f t="shared" si="1060"/>
        <v>0</v>
      </c>
      <c r="AP1242" s="34">
        <f t="shared" si="1061"/>
        <v>0</v>
      </c>
      <c r="AQ1242" s="28" t="s">
        <v>13</v>
      </c>
      <c r="AV1242" s="34">
        <f t="shared" si="1062"/>
        <v>0</v>
      </c>
      <c r="AW1242" s="34">
        <f t="shared" si="1063"/>
        <v>0</v>
      </c>
      <c r="AX1242" s="34">
        <f t="shared" si="1064"/>
        <v>0</v>
      </c>
      <c r="AY1242" s="35" t="s">
        <v>3703</v>
      </c>
      <c r="AZ1242" s="35" t="s">
        <v>3726</v>
      </c>
      <c r="BA1242" s="27" t="s">
        <v>3733</v>
      </c>
      <c r="BC1242" s="34">
        <f t="shared" si="1065"/>
        <v>0</v>
      </c>
      <c r="BD1242" s="34">
        <f t="shared" si="1066"/>
        <v>0</v>
      </c>
      <c r="BE1242" s="34">
        <v>0</v>
      </c>
      <c r="BF1242" s="34">
        <f>1241</f>
        <v>1241</v>
      </c>
      <c r="BH1242" s="18">
        <f t="shared" si="1067"/>
        <v>0</v>
      </c>
      <c r="BI1242" s="18">
        <f t="shared" si="1068"/>
        <v>0</v>
      </c>
      <c r="BJ1242" s="18">
        <f t="shared" si="1069"/>
        <v>0</v>
      </c>
    </row>
    <row r="1243" spans="1:62" x14ac:dyDescent="0.2">
      <c r="A1243" s="74" t="s">
        <v>1170</v>
      </c>
      <c r="B1243" s="5" t="s">
        <v>2346</v>
      </c>
      <c r="C1243" s="135" t="s">
        <v>3552</v>
      </c>
      <c r="D1243" s="136"/>
      <c r="E1243" s="136"/>
      <c r="F1243" s="136"/>
      <c r="G1243" s="136"/>
      <c r="H1243" s="5" t="s">
        <v>3612</v>
      </c>
      <c r="I1243" s="18">
        <v>1</v>
      </c>
      <c r="J1243" s="18">
        <v>0</v>
      </c>
      <c r="K1243" s="18">
        <f t="shared" si="1048"/>
        <v>0</v>
      </c>
      <c r="L1243" s="28" t="s">
        <v>3635</v>
      </c>
      <c r="Z1243" s="34">
        <f t="shared" si="1049"/>
        <v>0</v>
      </c>
      <c r="AB1243" s="34">
        <f t="shared" si="1050"/>
        <v>0</v>
      </c>
      <c r="AC1243" s="34">
        <f t="shared" si="1051"/>
        <v>0</v>
      </c>
      <c r="AD1243" s="34">
        <f t="shared" si="1052"/>
        <v>0</v>
      </c>
      <c r="AE1243" s="34">
        <f t="shared" si="1053"/>
        <v>0</v>
      </c>
      <c r="AF1243" s="34">
        <f t="shared" si="1054"/>
        <v>0</v>
      </c>
      <c r="AG1243" s="34">
        <f t="shared" si="1055"/>
        <v>0</v>
      </c>
      <c r="AH1243" s="34">
        <f t="shared" si="1056"/>
        <v>0</v>
      </c>
      <c r="AI1243" s="27" t="s">
        <v>3649</v>
      </c>
      <c r="AJ1243" s="18">
        <f t="shared" si="1057"/>
        <v>0</v>
      </c>
      <c r="AK1243" s="18">
        <f t="shared" si="1058"/>
        <v>0</v>
      </c>
      <c r="AL1243" s="18">
        <f t="shared" si="1059"/>
        <v>0</v>
      </c>
      <c r="AN1243" s="34">
        <v>21</v>
      </c>
      <c r="AO1243" s="34">
        <f t="shared" si="1060"/>
        <v>0</v>
      </c>
      <c r="AP1243" s="34">
        <f t="shared" si="1061"/>
        <v>0</v>
      </c>
      <c r="AQ1243" s="28" t="s">
        <v>13</v>
      </c>
      <c r="AV1243" s="34">
        <f t="shared" si="1062"/>
        <v>0</v>
      </c>
      <c r="AW1243" s="34">
        <f t="shared" si="1063"/>
        <v>0</v>
      </c>
      <c r="AX1243" s="34">
        <f t="shared" si="1064"/>
        <v>0</v>
      </c>
      <c r="AY1243" s="35" t="s">
        <v>3703</v>
      </c>
      <c r="AZ1243" s="35" t="s">
        <v>3726</v>
      </c>
      <c r="BA1243" s="27" t="s">
        <v>3733</v>
      </c>
      <c r="BC1243" s="34">
        <f t="shared" si="1065"/>
        <v>0</v>
      </c>
      <c r="BD1243" s="34">
        <f t="shared" si="1066"/>
        <v>0</v>
      </c>
      <c r="BE1243" s="34">
        <v>0</v>
      </c>
      <c r="BF1243" s="34">
        <f>1242</f>
        <v>1242</v>
      </c>
      <c r="BH1243" s="18">
        <f t="shared" si="1067"/>
        <v>0</v>
      </c>
      <c r="BI1243" s="18">
        <f t="shared" si="1068"/>
        <v>0</v>
      </c>
      <c r="BJ1243" s="18">
        <f t="shared" si="1069"/>
        <v>0</v>
      </c>
    </row>
    <row r="1244" spans="1:62" x14ac:dyDescent="0.2">
      <c r="A1244" s="74" t="s">
        <v>1171</v>
      </c>
      <c r="B1244" s="5" t="s">
        <v>2347</v>
      </c>
      <c r="C1244" s="135" t="s">
        <v>3553</v>
      </c>
      <c r="D1244" s="136"/>
      <c r="E1244" s="136"/>
      <c r="F1244" s="136"/>
      <c r="G1244" s="136"/>
      <c r="H1244" s="5" t="s">
        <v>3612</v>
      </c>
      <c r="I1244" s="18">
        <v>1</v>
      </c>
      <c r="J1244" s="18">
        <v>0</v>
      </c>
      <c r="K1244" s="18">
        <f t="shared" si="1048"/>
        <v>0</v>
      </c>
      <c r="L1244" s="28" t="s">
        <v>3635</v>
      </c>
      <c r="Z1244" s="34">
        <f t="shared" si="1049"/>
        <v>0</v>
      </c>
      <c r="AB1244" s="34">
        <f t="shared" si="1050"/>
        <v>0</v>
      </c>
      <c r="AC1244" s="34">
        <f t="shared" si="1051"/>
        <v>0</v>
      </c>
      <c r="AD1244" s="34">
        <f t="shared" si="1052"/>
        <v>0</v>
      </c>
      <c r="AE1244" s="34">
        <f t="shared" si="1053"/>
        <v>0</v>
      </c>
      <c r="AF1244" s="34">
        <f t="shared" si="1054"/>
        <v>0</v>
      </c>
      <c r="AG1244" s="34">
        <f t="shared" si="1055"/>
        <v>0</v>
      </c>
      <c r="AH1244" s="34">
        <f t="shared" si="1056"/>
        <v>0</v>
      </c>
      <c r="AI1244" s="27" t="s">
        <v>3649</v>
      </c>
      <c r="AJ1244" s="18">
        <f t="shared" si="1057"/>
        <v>0</v>
      </c>
      <c r="AK1244" s="18">
        <f t="shared" si="1058"/>
        <v>0</v>
      </c>
      <c r="AL1244" s="18">
        <f t="shared" si="1059"/>
        <v>0</v>
      </c>
      <c r="AN1244" s="34">
        <v>21</v>
      </c>
      <c r="AO1244" s="34">
        <f t="shared" si="1060"/>
        <v>0</v>
      </c>
      <c r="AP1244" s="34">
        <f t="shared" si="1061"/>
        <v>0</v>
      </c>
      <c r="AQ1244" s="28" t="s">
        <v>13</v>
      </c>
      <c r="AV1244" s="34">
        <f t="shared" si="1062"/>
        <v>0</v>
      </c>
      <c r="AW1244" s="34">
        <f t="shared" si="1063"/>
        <v>0</v>
      </c>
      <c r="AX1244" s="34">
        <f t="shared" si="1064"/>
        <v>0</v>
      </c>
      <c r="AY1244" s="35" t="s">
        <v>3703</v>
      </c>
      <c r="AZ1244" s="35" t="s">
        <v>3726</v>
      </c>
      <c r="BA1244" s="27" t="s">
        <v>3733</v>
      </c>
      <c r="BC1244" s="34">
        <f t="shared" si="1065"/>
        <v>0</v>
      </c>
      <c r="BD1244" s="34">
        <f t="shared" si="1066"/>
        <v>0</v>
      </c>
      <c r="BE1244" s="34">
        <v>0</v>
      </c>
      <c r="BF1244" s="34">
        <f>1243</f>
        <v>1243</v>
      </c>
      <c r="BH1244" s="18">
        <f t="shared" si="1067"/>
        <v>0</v>
      </c>
      <c r="BI1244" s="18">
        <f t="shared" si="1068"/>
        <v>0</v>
      </c>
      <c r="BJ1244" s="18">
        <f t="shared" si="1069"/>
        <v>0</v>
      </c>
    </row>
    <row r="1245" spans="1:62" x14ac:dyDescent="0.2">
      <c r="A1245" s="74" t="s">
        <v>1172</v>
      </c>
      <c r="B1245" s="5" t="s">
        <v>2348</v>
      </c>
      <c r="C1245" s="135" t="s">
        <v>3554</v>
      </c>
      <c r="D1245" s="136"/>
      <c r="E1245" s="136"/>
      <c r="F1245" s="136"/>
      <c r="G1245" s="136"/>
      <c r="H1245" s="5" t="s">
        <v>3612</v>
      </c>
      <c r="I1245" s="18">
        <v>1</v>
      </c>
      <c r="J1245" s="18">
        <v>0</v>
      </c>
      <c r="K1245" s="18">
        <f t="shared" si="1048"/>
        <v>0</v>
      </c>
      <c r="L1245" s="28" t="s">
        <v>3635</v>
      </c>
      <c r="Z1245" s="34">
        <f t="shared" si="1049"/>
        <v>0</v>
      </c>
      <c r="AB1245" s="34">
        <f t="shared" si="1050"/>
        <v>0</v>
      </c>
      <c r="AC1245" s="34">
        <f t="shared" si="1051"/>
        <v>0</v>
      </c>
      <c r="AD1245" s="34">
        <f t="shared" si="1052"/>
        <v>0</v>
      </c>
      <c r="AE1245" s="34">
        <f t="shared" si="1053"/>
        <v>0</v>
      </c>
      <c r="AF1245" s="34">
        <f t="shared" si="1054"/>
        <v>0</v>
      </c>
      <c r="AG1245" s="34">
        <f t="shared" si="1055"/>
        <v>0</v>
      </c>
      <c r="AH1245" s="34">
        <f t="shared" si="1056"/>
        <v>0</v>
      </c>
      <c r="AI1245" s="27" t="s">
        <v>3649</v>
      </c>
      <c r="AJ1245" s="18">
        <f t="shared" si="1057"/>
        <v>0</v>
      </c>
      <c r="AK1245" s="18">
        <f t="shared" si="1058"/>
        <v>0</v>
      </c>
      <c r="AL1245" s="18">
        <f t="shared" si="1059"/>
        <v>0</v>
      </c>
      <c r="AN1245" s="34">
        <v>21</v>
      </c>
      <c r="AO1245" s="34">
        <f t="shared" si="1060"/>
        <v>0</v>
      </c>
      <c r="AP1245" s="34">
        <f t="shared" si="1061"/>
        <v>0</v>
      </c>
      <c r="AQ1245" s="28" t="s">
        <v>13</v>
      </c>
      <c r="AV1245" s="34">
        <f t="shared" si="1062"/>
        <v>0</v>
      </c>
      <c r="AW1245" s="34">
        <f t="shared" si="1063"/>
        <v>0</v>
      </c>
      <c r="AX1245" s="34">
        <f t="shared" si="1064"/>
        <v>0</v>
      </c>
      <c r="AY1245" s="35" t="s">
        <v>3703</v>
      </c>
      <c r="AZ1245" s="35" t="s">
        <v>3726</v>
      </c>
      <c r="BA1245" s="27" t="s">
        <v>3733</v>
      </c>
      <c r="BC1245" s="34">
        <f t="shared" si="1065"/>
        <v>0</v>
      </c>
      <c r="BD1245" s="34">
        <f t="shared" si="1066"/>
        <v>0</v>
      </c>
      <c r="BE1245" s="34">
        <v>0</v>
      </c>
      <c r="BF1245" s="34">
        <f>1244</f>
        <v>1244</v>
      </c>
      <c r="BH1245" s="18">
        <f t="shared" si="1067"/>
        <v>0</v>
      </c>
      <c r="BI1245" s="18">
        <f t="shared" si="1068"/>
        <v>0</v>
      </c>
      <c r="BJ1245" s="18">
        <f t="shared" si="1069"/>
        <v>0</v>
      </c>
    </row>
    <row r="1246" spans="1:62" x14ac:dyDescent="0.2">
      <c r="A1246" s="74" t="s">
        <v>1173</v>
      </c>
      <c r="B1246" s="5" t="s">
        <v>2349</v>
      </c>
      <c r="C1246" s="135" t="s">
        <v>3555</v>
      </c>
      <c r="D1246" s="136"/>
      <c r="E1246" s="136"/>
      <c r="F1246" s="136"/>
      <c r="G1246" s="136"/>
      <c r="H1246" s="5" t="s">
        <v>3612</v>
      </c>
      <c r="I1246" s="18">
        <v>1</v>
      </c>
      <c r="J1246" s="18">
        <v>0</v>
      </c>
      <c r="K1246" s="18">
        <f t="shared" si="1048"/>
        <v>0</v>
      </c>
      <c r="L1246" s="28" t="s">
        <v>3635</v>
      </c>
      <c r="Z1246" s="34">
        <f t="shared" si="1049"/>
        <v>0</v>
      </c>
      <c r="AB1246" s="34">
        <f t="shared" si="1050"/>
        <v>0</v>
      </c>
      <c r="AC1246" s="34">
        <f t="shared" si="1051"/>
        <v>0</v>
      </c>
      <c r="AD1246" s="34">
        <f t="shared" si="1052"/>
        <v>0</v>
      </c>
      <c r="AE1246" s="34">
        <f t="shared" si="1053"/>
        <v>0</v>
      </c>
      <c r="AF1246" s="34">
        <f t="shared" si="1054"/>
        <v>0</v>
      </c>
      <c r="AG1246" s="34">
        <f t="shared" si="1055"/>
        <v>0</v>
      </c>
      <c r="AH1246" s="34">
        <f t="shared" si="1056"/>
        <v>0</v>
      </c>
      <c r="AI1246" s="27" t="s">
        <v>3649</v>
      </c>
      <c r="AJ1246" s="18">
        <f t="shared" si="1057"/>
        <v>0</v>
      </c>
      <c r="AK1246" s="18">
        <f t="shared" si="1058"/>
        <v>0</v>
      </c>
      <c r="AL1246" s="18">
        <f t="shared" si="1059"/>
        <v>0</v>
      </c>
      <c r="AN1246" s="34">
        <v>21</v>
      </c>
      <c r="AO1246" s="34">
        <f t="shared" si="1060"/>
        <v>0</v>
      </c>
      <c r="AP1246" s="34">
        <f t="shared" si="1061"/>
        <v>0</v>
      </c>
      <c r="AQ1246" s="28" t="s">
        <v>13</v>
      </c>
      <c r="AV1246" s="34">
        <f t="shared" si="1062"/>
        <v>0</v>
      </c>
      <c r="AW1246" s="34">
        <f t="shared" si="1063"/>
        <v>0</v>
      </c>
      <c r="AX1246" s="34">
        <f t="shared" si="1064"/>
        <v>0</v>
      </c>
      <c r="AY1246" s="35" t="s">
        <v>3703</v>
      </c>
      <c r="AZ1246" s="35" t="s">
        <v>3726</v>
      </c>
      <c r="BA1246" s="27" t="s">
        <v>3733</v>
      </c>
      <c r="BC1246" s="34">
        <f t="shared" si="1065"/>
        <v>0</v>
      </c>
      <c r="BD1246" s="34">
        <f t="shared" si="1066"/>
        <v>0</v>
      </c>
      <c r="BE1246" s="34">
        <v>0</v>
      </c>
      <c r="BF1246" s="34">
        <f>1245</f>
        <v>1245</v>
      </c>
      <c r="BH1246" s="18">
        <f t="shared" si="1067"/>
        <v>0</v>
      </c>
      <c r="BI1246" s="18">
        <f t="shared" si="1068"/>
        <v>0</v>
      </c>
      <c r="BJ1246" s="18">
        <f t="shared" si="1069"/>
        <v>0</v>
      </c>
    </row>
    <row r="1247" spans="1:62" x14ac:dyDescent="0.2">
      <c r="A1247" s="74" t="s">
        <v>1174</v>
      </c>
      <c r="B1247" s="5" t="s">
        <v>2350</v>
      </c>
      <c r="C1247" s="135" t="s">
        <v>3556</v>
      </c>
      <c r="D1247" s="136"/>
      <c r="E1247" s="136"/>
      <c r="F1247" s="136"/>
      <c r="G1247" s="136"/>
      <c r="H1247" s="5" t="s">
        <v>3612</v>
      </c>
      <c r="I1247" s="18">
        <v>1</v>
      </c>
      <c r="J1247" s="18">
        <v>0</v>
      </c>
      <c r="K1247" s="18">
        <f t="shared" si="1048"/>
        <v>0</v>
      </c>
      <c r="L1247" s="28" t="s">
        <v>3635</v>
      </c>
      <c r="Z1247" s="34">
        <f t="shared" si="1049"/>
        <v>0</v>
      </c>
      <c r="AB1247" s="34">
        <f t="shared" si="1050"/>
        <v>0</v>
      </c>
      <c r="AC1247" s="34">
        <f t="shared" si="1051"/>
        <v>0</v>
      </c>
      <c r="AD1247" s="34">
        <f t="shared" si="1052"/>
        <v>0</v>
      </c>
      <c r="AE1247" s="34">
        <f t="shared" si="1053"/>
        <v>0</v>
      </c>
      <c r="AF1247" s="34">
        <f t="shared" si="1054"/>
        <v>0</v>
      </c>
      <c r="AG1247" s="34">
        <f t="shared" si="1055"/>
        <v>0</v>
      </c>
      <c r="AH1247" s="34">
        <f t="shared" si="1056"/>
        <v>0</v>
      </c>
      <c r="AI1247" s="27" t="s">
        <v>3649</v>
      </c>
      <c r="AJ1247" s="18">
        <f t="shared" si="1057"/>
        <v>0</v>
      </c>
      <c r="AK1247" s="18">
        <f t="shared" si="1058"/>
        <v>0</v>
      </c>
      <c r="AL1247" s="18">
        <f t="shared" si="1059"/>
        <v>0</v>
      </c>
      <c r="AN1247" s="34">
        <v>21</v>
      </c>
      <c r="AO1247" s="34">
        <f t="shared" si="1060"/>
        <v>0</v>
      </c>
      <c r="AP1247" s="34">
        <f t="shared" si="1061"/>
        <v>0</v>
      </c>
      <c r="AQ1247" s="28" t="s">
        <v>13</v>
      </c>
      <c r="AV1247" s="34">
        <f t="shared" si="1062"/>
        <v>0</v>
      </c>
      <c r="AW1247" s="34">
        <f t="shared" si="1063"/>
        <v>0</v>
      </c>
      <c r="AX1247" s="34">
        <f t="shared" si="1064"/>
        <v>0</v>
      </c>
      <c r="AY1247" s="35" t="s">
        <v>3703</v>
      </c>
      <c r="AZ1247" s="35" t="s">
        <v>3726</v>
      </c>
      <c r="BA1247" s="27" t="s">
        <v>3733</v>
      </c>
      <c r="BC1247" s="34">
        <f t="shared" si="1065"/>
        <v>0</v>
      </c>
      <c r="BD1247" s="34">
        <f t="shared" si="1066"/>
        <v>0</v>
      </c>
      <c r="BE1247" s="34">
        <v>0</v>
      </c>
      <c r="BF1247" s="34">
        <f>1246</f>
        <v>1246</v>
      </c>
      <c r="BH1247" s="18">
        <f t="shared" si="1067"/>
        <v>0</v>
      </c>
      <c r="BI1247" s="18">
        <f t="shared" si="1068"/>
        <v>0</v>
      </c>
      <c r="BJ1247" s="18">
        <f t="shared" si="1069"/>
        <v>0</v>
      </c>
    </row>
    <row r="1248" spans="1:62" x14ac:dyDescent="0.2">
      <c r="A1248" s="74" t="s">
        <v>1175</v>
      </c>
      <c r="B1248" s="5" t="s">
        <v>2351</v>
      </c>
      <c r="C1248" s="135" t="s">
        <v>3557</v>
      </c>
      <c r="D1248" s="136"/>
      <c r="E1248" s="136"/>
      <c r="F1248" s="136"/>
      <c r="G1248" s="136"/>
      <c r="H1248" s="5" t="s">
        <v>3612</v>
      </c>
      <c r="I1248" s="18">
        <v>1</v>
      </c>
      <c r="J1248" s="18">
        <v>0</v>
      </c>
      <c r="K1248" s="18">
        <f t="shared" si="1048"/>
        <v>0</v>
      </c>
      <c r="L1248" s="28" t="s">
        <v>3635</v>
      </c>
      <c r="Z1248" s="34">
        <f t="shared" si="1049"/>
        <v>0</v>
      </c>
      <c r="AB1248" s="34">
        <f t="shared" si="1050"/>
        <v>0</v>
      </c>
      <c r="AC1248" s="34">
        <f t="shared" si="1051"/>
        <v>0</v>
      </c>
      <c r="AD1248" s="34">
        <f t="shared" si="1052"/>
        <v>0</v>
      </c>
      <c r="AE1248" s="34">
        <f t="shared" si="1053"/>
        <v>0</v>
      </c>
      <c r="AF1248" s="34">
        <f t="shared" si="1054"/>
        <v>0</v>
      </c>
      <c r="AG1248" s="34">
        <f t="shared" si="1055"/>
        <v>0</v>
      </c>
      <c r="AH1248" s="34">
        <f t="shared" si="1056"/>
        <v>0</v>
      </c>
      <c r="AI1248" s="27" t="s">
        <v>3649</v>
      </c>
      <c r="AJ1248" s="18">
        <f t="shared" si="1057"/>
        <v>0</v>
      </c>
      <c r="AK1248" s="18">
        <f t="shared" si="1058"/>
        <v>0</v>
      </c>
      <c r="AL1248" s="18">
        <f t="shared" si="1059"/>
        <v>0</v>
      </c>
      <c r="AN1248" s="34">
        <v>21</v>
      </c>
      <c r="AO1248" s="34">
        <f t="shared" si="1060"/>
        <v>0</v>
      </c>
      <c r="AP1248" s="34">
        <f t="shared" si="1061"/>
        <v>0</v>
      </c>
      <c r="AQ1248" s="28" t="s">
        <v>13</v>
      </c>
      <c r="AV1248" s="34">
        <f t="shared" si="1062"/>
        <v>0</v>
      </c>
      <c r="AW1248" s="34">
        <f t="shared" si="1063"/>
        <v>0</v>
      </c>
      <c r="AX1248" s="34">
        <f t="shared" si="1064"/>
        <v>0</v>
      </c>
      <c r="AY1248" s="35" t="s">
        <v>3703</v>
      </c>
      <c r="AZ1248" s="35" t="s">
        <v>3726</v>
      </c>
      <c r="BA1248" s="27" t="s">
        <v>3733</v>
      </c>
      <c r="BC1248" s="34">
        <f t="shared" si="1065"/>
        <v>0</v>
      </c>
      <c r="BD1248" s="34">
        <f t="shared" si="1066"/>
        <v>0</v>
      </c>
      <c r="BE1248" s="34">
        <v>0</v>
      </c>
      <c r="BF1248" s="34">
        <f>1247</f>
        <v>1247</v>
      </c>
      <c r="BH1248" s="18">
        <f t="shared" si="1067"/>
        <v>0</v>
      </c>
      <c r="BI1248" s="18">
        <f t="shared" si="1068"/>
        <v>0</v>
      </c>
      <c r="BJ1248" s="18">
        <f t="shared" si="1069"/>
        <v>0</v>
      </c>
    </row>
    <row r="1249" spans="1:62" x14ac:dyDescent="0.2">
      <c r="A1249" s="74" t="s">
        <v>1176</v>
      </c>
      <c r="B1249" s="5" t="s">
        <v>2352</v>
      </c>
      <c r="C1249" s="135" t="s">
        <v>3558</v>
      </c>
      <c r="D1249" s="136"/>
      <c r="E1249" s="136"/>
      <c r="F1249" s="136"/>
      <c r="G1249" s="136"/>
      <c r="H1249" s="5" t="s">
        <v>3612</v>
      </c>
      <c r="I1249" s="18">
        <v>1</v>
      </c>
      <c r="J1249" s="18">
        <v>0</v>
      </c>
      <c r="K1249" s="18">
        <f t="shared" si="1048"/>
        <v>0</v>
      </c>
      <c r="L1249" s="28" t="s">
        <v>3635</v>
      </c>
      <c r="Z1249" s="34">
        <f t="shared" si="1049"/>
        <v>0</v>
      </c>
      <c r="AB1249" s="34">
        <f t="shared" si="1050"/>
        <v>0</v>
      </c>
      <c r="AC1249" s="34">
        <f t="shared" si="1051"/>
        <v>0</v>
      </c>
      <c r="AD1249" s="34">
        <f t="shared" si="1052"/>
        <v>0</v>
      </c>
      <c r="AE1249" s="34">
        <f t="shared" si="1053"/>
        <v>0</v>
      </c>
      <c r="AF1249" s="34">
        <f t="shared" si="1054"/>
        <v>0</v>
      </c>
      <c r="AG1249" s="34">
        <f t="shared" si="1055"/>
        <v>0</v>
      </c>
      <c r="AH1249" s="34">
        <f t="shared" si="1056"/>
        <v>0</v>
      </c>
      <c r="AI1249" s="27" t="s">
        <v>3649</v>
      </c>
      <c r="AJ1249" s="18">
        <f t="shared" si="1057"/>
        <v>0</v>
      </c>
      <c r="AK1249" s="18">
        <f t="shared" si="1058"/>
        <v>0</v>
      </c>
      <c r="AL1249" s="18">
        <f t="shared" si="1059"/>
        <v>0</v>
      </c>
      <c r="AN1249" s="34">
        <v>21</v>
      </c>
      <c r="AO1249" s="34">
        <f t="shared" si="1060"/>
        <v>0</v>
      </c>
      <c r="AP1249" s="34">
        <f t="shared" si="1061"/>
        <v>0</v>
      </c>
      <c r="AQ1249" s="28" t="s">
        <v>13</v>
      </c>
      <c r="AV1249" s="34">
        <f t="shared" si="1062"/>
        <v>0</v>
      </c>
      <c r="AW1249" s="34">
        <f t="shared" si="1063"/>
        <v>0</v>
      </c>
      <c r="AX1249" s="34">
        <f t="shared" si="1064"/>
        <v>0</v>
      </c>
      <c r="AY1249" s="35" t="s">
        <v>3703</v>
      </c>
      <c r="AZ1249" s="35" t="s">
        <v>3726</v>
      </c>
      <c r="BA1249" s="27" t="s">
        <v>3733</v>
      </c>
      <c r="BC1249" s="34">
        <f t="shared" si="1065"/>
        <v>0</v>
      </c>
      <c r="BD1249" s="34">
        <f t="shared" si="1066"/>
        <v>0</v>
      </c>
      <c r="BE1249" s="34">
        <v>0</v>
      </c>
      <c r="BF1249" s="34">
        <f>1248</f>
        <v>1248</v>
      </c>
      <c r="BH1249" s="18">
        <f t="shared" si="1067"/>
        <v>0</v>
      </c>
      <c r="BI1249" s="18">
        <f t="shared" si="1068"/>
        <v>0</v>
      </c>
      <c r="BJ1249" s="18">
        <f t="shared" si="1069"/>
        <v>0</v>
      </c>
    </row>
    <row r="1250" spans="1:62" x14ac:dyDescent="0.2">
      <c r="A1250" s="74" t="s">
        <v>1177</v>
      </c>
      <c r="B1250" s="5" t="s">
        <v>2353</v>
      </c>
      <c r="C1250" s="135" t="s">
        <v>3559</v>
      </c>
      <c r="D1250" s="136"/>
      <c r="E1250" s="136"/>
      <c r="F1250" s="136"/>
      <c r="G1250" s="136"/>
      <c r="H1250" s="5" t="s">
        <v>3612</v>
      </c>
      <c r="I1250" s="18">
        <v>1</v>
      </c>
      <c r="J1250" s="18">
        <v>0</v>
      </c>
      <c r="K1250" s="18">
        <f t="shared" si="1048"/>
        <v>0</v>
      </c>
      <c r="L1250" s="28" t="s">
        <v>3635</v>
      </c>
      <c r="Z1250" s="34">
        <f t="shared" si="1049"/>
        <v>0</v>
      </c>
      <c r="AB1250" s="34">
        <f t="shared" si="1050"/>
        <v>0</v>
      </c>
      <c r="AC1250" s="34">
        <f t="shared" si="1051"/>
        <v>0</v>
      </c>
      <c r="AD1250" s="34">
        <f t="shared" si="1052"/>
        <v>0</v>
      </c>
      <c r="AE1250" s="34">
        <f t="shared" si="1053"/>
        <v>0</v>
      </c>
      <c r="AF1250" s="34">
        <f t="shared" si="1054"/>
        <v>0</v>
      </c>
      <c r="AG1250" s="34">
        <f t="shared" si="1055"/>
        <v>0</v>
      </c>
      <c r="AH1250" s="34">
        <f t="shared" si="1056"/>
        <v>0</v>
      </c>
      <c r="AI1250" s="27" t="s">
        <v>3649</v>
      </c>
      <c r="AJ1250" s="18">
        <f t="shared" si="1057"/>
        <v>0</v>
      </c>
      <c r="AK1250" s="18">
        <f t="shared" si="1058"/>
        <v>0</v>
      </c>
      <c r="AL1250" s="18">
        <f t="shared" si="1059"/>
        <v>0</v>
      </c>
      <c r="AN1250" s="34">
        <v>21</v>
      </c>
      <c r="AO1250" s="34">
        <f t="shared" si="1060"/>
        <v>0</v>
      </c>
      <c r="AP1250" s="34">
        <f t="shared" si="1061"/>
        <v>0</v>
      </c>
      <c r="AQ1250" s="28" t="s">
        <v>13</v>
      </c>
      <c r="AV1250" s="34">
        <f t="shared" si="1062"/>
        <v>0</v>
      </c>
      <c r="AW1250" s="34">
        <f t="shared" si="1063"/>
        <v>0</v>
      </c>
      <c r="AX1250" s="34">
        <f t="shared" si="1064"/>
        <v>0</v>
      </c>
      <c r="AY1250" s="35" t="s">
        <v>3703</v>
      </c>
      <c r="AZ1250" s="35" t="s">
        <v>3726</v>
      </c>
      <c r="BA1250" s="27" t="s">
        <v>3733</v>
      </c>
      <c r="BC1250" s="34">
        <f t="shared" si="1065"/>
        <v>0</v>
      </c>
      <c r="BD1250" s="34">
        <f t="shared" si="1066"/>
        <v>0</v>
      </c>
      <c r="BE1250" s="34">
        <v>0</v>
      </c>
      <c r="BF1250" s="34">
        <f>1249</f>
        <v>1249</v>
      </c>
      <c r="BH1250" s="18">
        <f t="shared" si="1067"/>
        <v>0</v>
      </c>
      <c r="BI1250" s="18">
        <f t="shared" si="1068"/>
        <v>0</v>
      </c>
      <c r="BJ1250" s="18">
        <f t="shared" si="1069"/>
        <v>0</v>
      </c>
    </row>
    <row r="1251" spans="1:62" x14ac:dyDescent="0.2">
      <c r="A1251" s="4"/>
      <c r="B1251" s="14" t="s">
        <v>2329</v>
      </c>
      <c r="C1251" s="133" t="s">
        <v>3537</v>
      </c>
      <c r="D1251" s="134"/>
      <c r="E1251" s="134"/>
      <c r="F1251" s="134"/>
      <c r="G1251" s="134"/>
      <c r="H1251" s="4" t="s">
        <v>6</v>
      </c>
      <c r="I1251" s="4" t="s">
        <v>6</v>
      </c>
      <c r="J1251" s="4" t="s">
        <v>6</v>
      </c>
      <c r="K1251" s="37">
        <f>SUM(K1252:K1254)</f>
        <v>0</v>
      </c>
      <c r="L1251" s="27"/>
      <c r="AI1251" s="27" t="s">
        <v>3649</v>
      </c>
      <c r="AS1251" s="37">
        <f>SUM(AJ1252:AJ1254)</f>
        <v>0</v>
      </c>
      <c r="AT1251" s="37">
        <f>SUM(AK1252:AK1254)</f>
        <v>0</v>
      </c>
      <c r="AU1251" s="37">
        <f>SUM(AL1252:AL1254)</f>
        <v>0</v>
      </c>
    </row>
    <row r="1252" spans="1:62" x14ac:dyDescent="0.2">
      <c r="A1252" s="74" t="s">
        <v>1178</v>
      </c>
      <c r="B1252" s="5" t="s">
        <v>2354</v>
      </c>
      <c r="C1252" s="135" t="s">
        <v>3538</v>
      </c>
      <c r="D1252" s="136"/>
      <c r="E1252" s="136"/>
      <c r="F1252" s="136"/>
      <c r="G1252" s="136"/>
      <c r="H1252" s="5" t="s">
        <v>3618</v>
      </c>
      <c r="I1252" s="18">
        <v>1</v>
      </c>
      <c r="J1252" s="18">
        <v>0</v>
      </c>
      <c r="K1252" s="18">
        <f>I1252*J1252</f>
        <v>0</v>
      </c>
      <c r="L1252" s="28" t="s">
        <v>3635</v>
      </c>
      <c r="Z1252" s="34">
        <f>IF(AQ1252="5",BJ1252,0)</f>
        <v>0</v>
      </c>
      <c r="AB1252" s="34">
        <f>IF(AQ1252="1",BH1252,0)</f>
        <v>0</v>
      </c>
      <c r="AC1252" s="34">
        <f>IF(AQ1252="1",BI1252,0)</f>
        <v>0</v>
      </c>
      <c r="AD1252" s="34">
        <f>IF(AQ1252="7",BH1252,0)</f>
        <v>0</v>
      </c>
      <c r="AE1252" s="34">
        <f>IF(AQ1252="7",BI1252,0)</f>
        <v>0</v>
      </c>
      <c r="AF1252" s="34">
        <f>IF(AQ1252="2",BH1252,0)</f>
        <v>0</v>
      </c>
      <c r="AG1252" s="34">
        <f>IF(AQ1252="2",BI1252,0)</f>
        <v>0</v>
      </c>
      <c r="AH1252" s="34">
        <f>IF(AQ1252="0",BJ1252,0)</f>
        <v>0</v>
      </c>
      <c r="AI1252" s="27" t="s">
        <v>3649</v>
      </c>
      <c r="AJ1252" s="18">
        <f>IF(AN1252=0,K1252,0)</f>
        <v>0</v>
      </c>
      <c r="AK1252" s="18">
        <f>IF(AN1252=15,K1252,0)</f>
        <v>0</v>
      </c>
      <c r="AL1252" s="18">
        <f>IF(AN1252=21,K1252,0)</f>
        <v>0</v>
      </c>
      <c r="AN1252" s="34">
        <v>21</v>
      </c>
      <c r="AO1252" s="34">
        <f>J1252*0</f>
        <v>0</v>
      </c>
      <c r="AP1252" s="34">
        <f>J1252*(1-0)</f>
        <v>0</v>
      </c>
      <c r="AQ1252" s="28" t="s">
        <v>13</v>
      </c>
      <c r="AV1252" s="34">
        <f>AW1252+AX1252</f>
        <v>0</v>
      </c>
      <c r="AW1252" s="34">
        <f>I1252*AO1252</f>
        <v>0</v>
      </c>
      <c r="AX1252" s="34">
        <f>I1252*AP1252</f>
        <v>0</v>
      </c>
      <c r="AY1252" s="35" t="s">
        <v>3704</v>
      </c>
      <c r="AZ1252" s="35" t="s">
        <v>3726</v>
      </c>
      <c r="BA1252" s="27" t="s">
        <v>3733</v>
      </c>
      <c r="BC1252" s="34">
        <f>AW1252+AX1252</f>
        <v>0</v>
      </c>
      <c r="BD1252" s="34">
        <f>J1252/(100-BE1252)*100</f>
        <v>0</v>
      </c>
      <c r="BE1252" s="34">
        <v>0</v>
      </c>
      <c r="BF1252" s="34">
        <f>1251</f>
        <v>1251</v>
      </c>
      <c r="BH1252" s="18">
        <f>I1252*AO1252</f>
        <v>0</v>
      </c>
      <c r="BI1252" s="18">
        <f>I1252*AP1252</f>
        <v>0</v>
      </c>
      <c r="BJ1252" s="18">
        <f>I1252*J1252</f>
        <v>0</v>
      </c>
    </row>
    <row r="1253" spans="1:62" x14ac:dyDescent="0.2">
      <c r="A1253" s="74" t="s">
        <v>1179</v>
      </c>
      <c r="B1253" s="5" t="s">
        <v>2355</v>
      </c>
      <c r="C1253" s="135" t="s">
        <v>3539</v>
      </c>
      <c r="D1253" s="136"/>
      <c r="E1253" s="136"/>
      <c r="F1253" s="136"/>
      <c r="G1253" s="136"/>
      <c r="H1253" s="5" t="s">
        <v>3618</v>
      </c>
      <c r="I1253" s="18">
        <v>1</v>
      </c>
      <c r="J1253" s="18">
        <v>0</v>
      </c>
      <c r="K1253" s="18">
        <f>I1253*J1253</f>
        <v>0</v>
      </c>
      <c r="L1253" s="28" t="s">
        <v>3635</v>
      </c>
      <c r="Z1253" s="34">
        <f>IF(AQ1253="5",BJ1253,0)</f>
        <v>0</v>
      </c>
      <c r="AB1253" s="34">
        <f>IF(AQ1253="1",BH1253,0)</f>
        <v>0</v>
      </c>
      <c r="AC1253" s="34">
        <f>IF(AQ1253="1",BI1253,0)</f>
        <v>0</v>
      </c>
      <c r="AD1253" s="34">
        <f>IF(AQ1253="7",BH1253,0)</f>
        <v>0</v>
      </c>
      <c r="AE1253" s="34">
        <f>IF(AQ1253="7",BI1253,0)</f>
        <v>0</v>
      </c>
      <c r="AF1253" s="34">
        <f>IF(AQ1253="2",BH1253,0)</f>
        <v>0</v>
      </c>
      <c r="AG1253" s="34">
        <f>IF(AQ1253="2",BI1253,0)</f>
        <v>0</v>
      </c>
      <c r="AH1253" s="34">
        <f>IF(AQ1253="0",BJ1253,0)</f>
        <v>0</v>
      </c>
      <c r="AI1253" s="27" t="s">
        <v>3649</v>
      </c>
      <c r="AJ1253" s="18">
        <f>IF(AN1253=0,K1253,0)</f>
        <v>0</v>
      </c>
      <c r="AK1253" s="18">
        <f>IF(AN1253=15,K1253,0)</f>
        <v>0</v>
      </c>
      <c r="AL1253" s="18">
        <f>IF(AN1253=21,K1253,0)</f>
        <v>0</v>
      </c>
      <c r="AN1253" s="34">
        <v>21</v>
      </c>
      <c r="AO1253" s="34">
        <f>J1253*0</f>
        <v>0</v>
      </c>
      <c r="AP1253" s="34">
        <f>J1253*(1-0)</f>
        <v>0</v>
      </c>
      <c r="AQ1253" s="28" t="s">
        <v>13</v>
      </c>
      <c r="AV1253" s="34">
        <f>AW1253+AX1253</f>
        <v>0</v>
      </c>
      <c r="AW1253" s="34">
        <f>I1253*AO1253</f>
        <v>0</v>
      </c>
      <c r="AX1253" s="34">
        <f>I1253*AP1253</f>
        <v>0</v>
      </c>
      <c r="AY1253" s="35" t="s">
        <v>3704</v>
      </c>
      <c r="AZ1253" s="35" t="s">
        <v>3726</v>
      </c>
      <c r="BA1253" s="27" t="s">
        <v>3733</v>
      </c>
      <c r="BC1253" s="34">
        <f>AW1253+AX1253</f>
        <v>0</v>
      </c>
      <c r="BD1253" s="34">
        <f>J1253/(100-BE1253)*100</f>
        <v>0</v>
      </c>
      <c r="BE1253" s="34">
        <v>0</v>
      </c>
      <c r="BF1253" s="34">
        <f>1252</f>
        <v>1252</v>
      </c>
      <c r="BH1253" s="18">
        <f>I1253*AO1253</f>
        <v>0</v>
      </c>
      <c r="BI1253" s="18">
        <f>I1253*AP1253</f>
        <v>0</v>
      </c>
      <c r="BJ1253" s="18">
        <f>I1253*J1253</f>
        <v>0</v>
      </c>
    </row>
    <row r="1254" spans="1:62" x14ac:dyDescent="0.2">
      <c r="A1254" s="74" t="s">
        <v>1180</v>
      </c>
      <c r="B1254" s="5" t="s">
        <v>2356</v>
      </c>
      <c r="C1254" s="135" t="s">
        <v>3540</v>
      </c>
      <c r="D1254" s="136"/>
      <c r="E1254" s="136"/>
      <c r="F1254" s="136"/>
      <c r="G1254" s="136"/>
      <c r="H1254" s="5" t="s">
        <v>3618</v>
      </c>
      <c r="I1254" s="18">
        <v>1</v>
      </c>
      <c r="J1254" s="18">
        <v>0</v>
      </c>
      <c r="K1254" s="18">
        <f>I1254*J1254</f>
        <v>0</v>
      </c>
      <c r="L1254" s="28" t="s">
        <v>3635</v>
      </c>
      <c r="Z1254" s="34">
        <f>IF(AQ1254="5",BJ1254,0)</f>
        <v>0</v>
      </c>
      <c r="AB1254" s="34">
        <f>IF(AQ1254="1",BH1254,0)</f>
        <v>0</v>
      </c>
      <c r="AC1254" s="34">
        <f>IF(AQ1254="1",BI1254,0)</f>
        <v>0</v>
      </c>
      <c r="AD1254" s="34">
        <f>IF(AQ1254="7",BH1254,0)</f>
        <v>0</v>
      </c>
      <c r="AE1254" s="34">
        <f>IF(AQ1254="7",BI1254,0)</f>
        <v>0</v>
      </c>
      <c r="AF1254" s="34">
        <f>IF(AQ1254="2",BH1254,0)</f>
        <v>0</v>
      </c>
      <c r="AG1254" s="34">
        <f>IF(AQ1254="2",BI1254,0)</f>
        <v>0</v>
      </c>
      <c r="AH1254" s="34">
        <f>IF(AQ1254="0",BJ1254,0)</f>
        <v>0</v>
      </c>
      <c r="AI1254" s="27" t="s">
        <v>3649</v>
      </c>
      <c r="AJ1254" s="18">
        <f>IF(AN1254=0,K1254,0)</f>
        <v>0</v>
      </c>
      <c r="AK1254" s="18">
        <f>IF(AN1254=15,K1254,0)</f>
        <v>0</v>
      </c>
      <c r="AL1254" s="18">
        <f>IF(AN1254=21,K1254,0)</f>
        <v>0</v>
      </c>
      <c r="AN1254" s="34">
        <v>21</v>
      </c>
      <c r="AO1254" s="34">
        <f>J1254*0</f>
        <v>0</v>
      </c>
      <c r="AP1254" s="34">
        <f>J1254*(1-0)</f>
        <v>0</v>
      </c>
      <c r="AQ1254" s="28" t="s">
        <v>13</v>
      </c>
      <c r="AV1254" s="34">
        <f>AW1254+AX1254</f>
        <v>0</v>
      </c>
      <c r="AW1254" s="34">
        <f>I1254*AO1254</f>
        <v>0</v>
      </c>
      <c r="AX1254" s="34">
        <f>I1254*AP1254</f>
        <v>0</v>
      </c>
      <c r="AY1254" s="35" t="s">
        <v>3704</v>
      </c>
      <c r="AZ1254" s="35" t="s">
        <v>3726</v>
      </c>
      <c r="BA1254" s="27" t="s">
        <v>3733</v>
      </c>
      <c r="BC1254" s="34">
        <f>AW1254+AX1254</f>
        <v>0</v>
      </c>
      <c r="BD1254" s="34">
        <f>J1254/(100-BE1254)*100</f>
        <v>0</v>
      </c>
      <c r="BE1254" s="34">
        <v>0</v>
      </c>
      <c r="BF1254" s="34">
        <f>1253</f>
        <v>1253</v>
      </c>
      <c r="BH1254" s="18">
        <f>I1254*AO1254</f>
        <v>0</v>
      </c>
      <c r="BI1254" s="18">
        <f>I1254*AP1254</f>
        <v>0</v>
      </c>
      <c r="BJ1254" s="18">
        <f>I1254*J1254</f>
        <v>0</v>
      </c>
    </row>
    <row r="1255" spans="1:62" x14ac:dyDescent="0.2">
      <c r="A1255" s="7"/>
      <c r="B1255" s="15"/>
      <c r="C1255" s="131" t="s">
        <v>3560</v>
      </c>
      <c r="D1255" s="132"/>
      <c r="E1255" s="132"/>
      <c r="F1255" s="132"/>
      <c r="G1255" s="132"/>
      <c r="H1255" s="7" t="s">
        <v>6</v>
      </c>
      <c r="I1255" s="7" t="s">
        <v>6</v>
      </c>
      <c r="J1255" s="7" t="s">
        <v>6</v>
      </c>
      <c r="K1255" s="38">
        <f>K1256</f>
        <v>0</v>
      </c>
      <c r="L1255" s="30"/>
    </row>
    <row r="1256" spans="1:62" x14ac:dyDescent="0.2">
      <c r="A1256" s="4"/>
      <c r="B1256" s="14" t="s">
        <v>727</v>
      </c>
      <c r="C1256" s="133" t="s">
        <v>3561</v>
      </c>
      <c r="D1256" s="134"/>
      <c r="E1256" s="134"/>
      <c r="F1256" s="134"/>
      <c r="G1256" s="134"/>
      <c r="H1256" s="4" t="s">
        <v>6</v>
      </c>
      <c r="I1256" s="4" t="s">
        <v>6</v>
      </c>
      <c r="J1256" s="4" t="s">
        <v>6</v>
      </c>
      <c r="K1256" s="37">
        <f>SUM(K1257:K1294)</f>
        <v>0</v>
      </c>
      <c r="L1256" s="27"/>
      <c r="AI1256" s="27" t="s">
        <v>3650</v>
      </c>
      <c r="AS1256" s="37">
        <f>SUM(AJ1257:AJ1294)</f>
        <v>0</v>
      </c>
      <c r="AT1256" s="37">
        <f>SUM(AK1257:AK1294)</f>
        <v>0</v>
      </c>
      <c r="AU1256" s="37">
        <f>SUM(AL1257:AL1294)</f>
        <v>0</v>
      </c>
    </row>
    <row r="1257" spans="1:62" x14ac:dyDescent="0.2">
      <c r="A1257" s="74" t="s">
        <v>1181</v>
      </c>
      <c r="B1257" s="5" t="s">
        <v>2357</v>
      </c>
      <c r="C1257" s="135" t="s">
        <v>3562</v>
      </c>
      <c r="D1257" s="136"/>
      <c r="E1257" s="136"/>
      <c r="F1257" s="136"/>
      <c r="G1257" s="136"/>
      <c r="H1257" s="5" t="s">
        <v>3614</v>
      </c>
      <c r="I1257" s="18">
        <v>50.5</v>
      </c>
      <c r="J1257" s="18">
        <v>0</v>
      </c>
      <c r="K1257" s="18">
        <f t="shared" ref="K1257:K1294" si="1070">I1257*J1257</f>
        <v>0</v>
      </c>
      <c r="L1257" s="28" t="s">
        <v>3635</v>
      </c>
      <c r="Z1257" s="34">
        <f t="shared" ref="Z1257:Z1294" si="1071">IF(AQ1257="5",BJ1257,0)</f>
        <v>0</v>
      </c>
      <c r="AB1257" s="34">
        <f t="shared" ref="AB1257:AB1294" si="1072">IF(AQ1257="1",BH1257,0)</f>
        <v>0</v>
      </c>
      <c r="AC1257" s="34">
        <f t="shared" ref="AC1257:AC1294" si="1073">IF(AQ1257="1",BI1257,0)</f>
        <v>0</v>
      </c>
      <c r="AD1257" s="34">
        <f t="shared" ref="AD1257:AD1294" si="1074">IF(AQ1257="7",BH1257,0)</f>
        <v>0</v>
      </c>
      <c r="AE1257" s="34">
        <f t="shared" ref="AE1257:AE1294" si="1075">IF(AQ1257="7",BI1257,0)</f>
        <v>0</v>
      </c>
      <c r="AF1257" s="34">
        <f t="shared" ref="AF1257:AF1294" si="1076">IF(AQ1257="2",BH1257,0)</f>
        <v>0</v>
      </c>
      <c r="AG1257" s="34">
        <f t="shared" ref="AG1257:AG1294" si="1077">IF(AQ1257="2",BI1257,0)</f>
        <v>0</v>
      </c>
      <c r="AH1257" s="34">
        <f t="shared" ref="AH1257:AH1294" si="1078">IF(AQ1257="0",BJ1257,0)</f>
        <v>0</v>
      </c>
      <c r="AI1257" s="27" t="s">
        <v>3650</v>
      </c>
      <c r="AJ1257" s="18">
        <f t="shared" ref="AJ1257:AJ1294" si="1079">IF(AN1257=0,K1257,0)</f>
        <v>0</v>
      </c>
      <c r="AK1257" s="18">
        <f t="shared" ref="AK1257:AK1294" si="1080">IF(AN1257=15,K1257,0)</f>
        <v>0</v>
      </c>
      <c r="AL1257" s="18">
        <f t="shared" ref="AL1257:AL1294" si="1081">IF(AN1257=21,K1257,0)</f>
        <v>0</v>
      </c>
      <c r="AN1257" s="34">
        <v>21</v>
      </c>
      <c r="AO1257" s="34">
        <f t="shared" ref="AO1257:AO1294" si="1082">J1257*0</f>
        <v>0</v>
      </c>
      <c r="AP1257" s="34">
        <f t="shared" ref="AP1257:AP1294" si="1083">J1257*(1-0)</f>
        <v>0</v>
      </c>
      <c r="AQ1257" s="28" t="s">
        <v>13</v>
      </c>
      <c r="AV1257" s="34">
        <f t="shared" ref="AV1257:AV1294" si="1084">AW1257+AX1257</f>
        <v>0</v>
      </c>
      <c r="AW1257" s="34">
        <f t="shared" ref="AW1257:AW1294" si="1085">I1257*AO1257</f>
        <v>0</v>
      </c>
      <c r="AX1257" s="34">
        <f t="shared" ref="AX1257:AX1294" si="1086">I1257*AP1257</f>
        <v>0</v>
      </c>
      <c r="AY1257" s="35" t="s">
        <v>3678</v>
      </c>
      <c r="AZ1257" s="35" t="s">
        <v>3727</v>
      </c>
      <c r="BA1257" s="27" t="s">
        <v>3734</v>
      </c>
      <c r="BC1257" s="34">
        <f t="shared" ref="BC1257:BC1294" si="1087">AW1257+AX1257</f>
        <v>0</v>
      </c>
      <c r="BD1257" s="34">
        <f t="shared" ref="BD1257:BD1294" si="1088">J1257/(100-BE1257)*100</f>
        <v>0</v>
      </c>
      <c r="BE1257" s="34">
        <v>0</v>
      </c>
      <c r="BF1257" s="34">
        <f>1256</f>
        <v>1256</v>
      </c>
      <c r="BH1257" s="18">
        <f t="shared" ref="BH1257:BH1294" si="1089">I1257*AO1257</f>
        <v>0</v>
      </c>
      <c r="BI1257" s="18">
        <f t="shared" ref="BI1257:BI1294" si="1090">I1257*AP1257</f>
        <v>0</v>
      </c>
      <c r="BJ1257" s="18">
        <f t="shared" ref="BJ1257:BJ1294" si="1091">I1257*J1257</f>
        <v>0</v>
      </c>
    </row>
    <row r="1258" spans="1:62" x14ac:dyDescent="0.2">
      <c r="A1258" s="74" t="s">
        <v>1182</v>
      </c>
      <c r="B1258" s="5" t="s">
        <v>2358</v>
      </c>
      <c r="C1258" s="135" t="s">
        <v>3563</v>
      </c>
      <c r="D1258" s="136"/>
      <c r="E1258" s="136"/>
      <c r="F1258" s="136"/>
      <c r="G1258" s="136"/>
      <c r="H1258" s="5" t="s">
        <v>3614</v>
      </c>
      <c r="I1258" s="18">
        <v>3</v>
      </c>
      <c r="J1258" s="18">
        <v>0</v>
      </c>
      <c r="K1258" s="18">
        <f t="shared" si="1070"/>
        <v>0</v>
      </c>
      <c r="L1258" s="28" t="s">
        <v>3635</v>
      </c>
      <c r="Z1258" s="34">
        <f t="shared" si="1071"/>
        <v>0</v>
      </c>
      <c r="AB1258" s="34">
        <f t="shared" si="1072"/>
        <v>0</v>
      </c>
      <c r="AC1258" s="34">
        <f t="shared" si="1073"/>
        <v>0</v>
      </c>
      <c r="AD1258" s="34">
        <f t="shared" si="1074"/>
        <v>0</v>
      </c>
      <c r="AE1258" s="34">
        <f t="shared" si="1075"/>
        <v>0</v>
      </c>
      <c r="AF1258" s="34">
        <f t="shared" si="1076"/>
        <v>0</v>
      </c>
      <c r="AG1258" s="34">
        <f t="shared" si="1077"/>
        <v>0</v>
      </c>
      <c r="AH1258" s="34">
        <f t="shared" si="1078"/>
        <v>0</v>
      </c>
      <c r="AI1258" s="27" t="s">
        <v>3650</v>
      </c>
      <c r="AJ1258" s="18">
        <f t="shared" si="1079"/>
        <v>0</v>
      </c>
      <c r="AK1258" s="18">
        <f t="shared" si="1080"/>
        <v>0</v>
      </c>
      <c r="AL1258" s="18">
        <f t="shared" si="1081"/>
        <v>0</v>
      </c>
      <c r="AN1258" s="34">
        <v>21</v>
      </c>
      <c r="AO1258" s="34">
        <f t="shared" si="1082"/>
        <v>0</v>
      </c>
      <c r="AP1258" s="34">
        <f t="shared" si="1083"/>
        <v>0</v>
      </c>
      <c r="AQ1258" s="28" t="s">
        <v>13</v>
      </c>
      <c r="AV1258" s="34">
        <f t="shared" si="1084"/>
        <v>0</v>
      </c>
      <c r="AW1258" s="34">
        <f t="shared" si="1085"/>
        <v>0</v>
      </c>
      <c r="AX1258" s="34">
        <f t="shared" si="1086"/>
        <v>0</v>
      </c>
      <c r="AY1258" s="35" t="s">
        <v>3678</v>
      </c>
      <c r="AZ1258" s="35" t="s">
        <v>3727</v>
      </c>
      <c r="BA1258" s="27" t="s">
        <v>3734</v>
      </c>
      <c r="BC1258" s="34">
        <f t="shared" si="1087"/>
        <v>0</v>
      </c>
      <c r="BD1258" s="34">
        <f t="shared" si="1088"/>
        <v>0</v>
      </c>
      <c r="BE1258" s="34">
        <v>0</v>
      </c>
      <c r="BF1258" s="34">
        <f>1257</f>
        <v>1257</v>
      </c>
      <c r="BH1258" s="18">
        <f t="shared" si="1089"/>
        <v>0</v>
      </c>
      <c r="BI1258" s="18">
        <f t="shared" si="1090"/>
        <v>0</v>
      </c>
      <c r="BJ1258" s="18">
        <f t="shared" si="1091"/>
        <v>0</v>
      </c>
    </row>
    <row r="1259" spans="1:62" x14ac:dyDescent="0.2">
      <c r="A1259" s="74" t="s">
        <v>1183</v>
      </c>
      <c r="B1259" s="5" t="s">
        <v>2359</v>
      </c>
      <c r="C1259" s="135" t="s">
        <v>3564</v>
      </c>
      <c r="D1259" s="136"/>
      <c r="E1259" s="136"/>
      <c r="F1259" s="136"/>
      <c r="G1259" s="136"/>
      <c r="H1259" s="5" t="s">
        <v>3614</v>
      </c>
      <c r="I1259" s="18">
        <v>4</v>
      </c>
      <c r="J1259" s="18">
        <v>0</v>
      </c>
      <c r="K1259" s="18">
        <f t="shared" si="1070"/>
        <v>0</v>
      </c>
      <c r="L1259" s="28" t="s">
        <v>3635</v>
      </c>
      <c r="Z1259" s="34">
        <f t="shared" si="1071"/>
        <v>0</v>
      </c>
      <c r="AB1259" s="34">
        <f t="shared" si="1072"/>
        <v>0</v>
      </c>
      <c r="AC1259" s="34">
        <f t="shared" si="1073"/>
        <v>0</v>
      </c>
      <c r="AD1259" s="34">
        <f t="shared" si="1074"/>
        <v>0</v>
      </c>
      <c r="AE1259" s="34">
        <f t="shared" si="1075"/>
        <v>0</v>
      </c>
      <c r="AF1259" s="34">
        <f t="shared" si="1076"/>
        <v>0</v>
      </c>
      <c r="AG1259" s="34">
        <f t="shared" si="1077"/>
        <v>0</v>
      </c>
      <c r="AH1259" s="34">
        <f t="shared" si="1078"/>
        <v>0</v>
      </c>
      <c r="AI1259" s="27" t="s">
        <v>3650</v>
      </c>
      <c r="AJ1259" s="18">
        <f t="shared" si="1079"/>
        <v>0</v>
      </c>
      <c r="AK1259" s="18">
        <f t="shared" si="1080"/>
        <v>0</v>
      </c>
      <c r="AL1259" s="18">
        <f t="shared" si="1081"/>
        <v>0</v>
      </c>
      <c r="AN1259" s="34">
        <v>21</v>
      </c>
      <c r="AO1259" s="34">
        <f t="shared" si="1082"/>
        <v>0</v>
      </c>
      <c r="AP1259" s="34">
        <f t="shared" si="1083"/>
        <v>0</v>
      </c>
      <c r="AQ1259" s="28" t="s">
        <v>13</v>
      </c>
      <c r="AV1259" s="34">
        <f t="shared" si="1084"/>
        <v>0</v>
      </c>
      <c r="AW1259" s="34">
        <f t="shared" si="1085"/>
        <v>0</v>
      </c>
      <c r="AX1259" s="34">
        <f t="shared" si="1086"/>
        <v>0</v>
      </c>
      <c r="AY1259" s="35" t="s">
        <v>3678</v>
      </c>
      <c r="AZ1259" s="35" t="s">
        <v>3727</v>
      </c>
      <c r="BA1259" s="27" t="s">
        <v>3734</v>
      </c>
      <c r="BC1259" s="34">
        <f t="shared" si="1087"/>
        <v>0</v>
      </c>
      <c r="BD1259" s="34">
        <f t="shared" si="1088"/>
        <v>0</v>
      </c>
      <c r="BE1259" s="34">
        <v>0</v>
      </c>
      <c r="BF1259" s="34">
        <f>1258</f>
        <v>1258</v>
      </c>
      <c r="BH1259" s="18">
        <f t="shared" si="1089"/>
        <v>0</v>
      </c>
      <c r="BI1259" s="18">
        <f t="shared" si="1090"/>
        <v>0</v>
      </c>
      <c r="BJ1259" s="18">
        <f t="shared" si="1091"/>
        <v>0</v>
      </c>
    </row>
    <row r="1260" spans="1:62" x14ac:dyDescent="0.2">
      <c r="A1260" s="74" t="s">
        <v>1184</v>
      </c>
      <c r="B1260" s="5" t="s">
        <v>2360</v>
      </c>
      <c r="C1260" s="135" t="s">
        <v>3565</v>
      </c>
      <c r="D1260" s="136"/>
      <c r="E1260" s="136"/>
      <c r="F1260" s="136"/>
      <c r="G1260" s="136"/>
      <c r="H1260" s="5" t="s">
        <v>3614</v>
      </c>
      <c r="I1260" s="18">
        <v>50.5</v>
      </c>
      <c r="J1260" s="18">
        <v>0</v>
      </c>
      <c r="K1260" s="18">
        <f t="shared" si="1070"/>
        <v>0</v>
      </c>
      <c r="L1260" s="28" t="s">
        <v>3635</v>
      </c>
      <c r="Z1260" s="34">
        <f t="shared" si="1071"/>
        <v>0</v>
      </c>
      <c r="AB1260" s="34">
        <f t="shared" si="1072"/>
        <v>0</v>
      </c>
      <c r="AC1260" s="34">
        <f t="shared" si="1073"/>
        <v>0</v>
      </c>
      <c r="AD1260" s="34">
        <f t="shared" si="1074"/>
        <v>0</v>
      </c>
      <c r="AE1260" s="34">
        <f t="shared" si="1075"/>
        <v>0</v>
      </c>
      <c r="AF1260" s="34">
        <f t="shared" si="1076"/>
        <v>0</v>
      </c>
      <c r="AG1260" s="34">
        <f t="shared" si="1077"/>
        <v>0</v>
      </c>
      <c r="AH1260" s="34">
        <f t="shared" si="1078"/>
        <v>0</v>
      </c>
      <c r="AI1260" s="27" t="s">
        <v>3650</v>
      </c>
      <c r="AJ1260" s="18">
        <f t="shared" si="1079"/>
        <v>0</v>
      </c>
      <c r="AK1260" s="18">
        <f t="shared" si="1080"/>
        <v>0</v>
      </c>
      <c r="AL1260" s="18">
        <f t="shared" si="1081"/>
        <v>0</v>
      </c>
      <c r="AN1260" s="34">
        <v>21</v>
      </c>
      <c r="AO1260" s="34">
        <f t="shared" si="1082"/>
        <v>0</v>
      </c>
      <c r="AP1260" s="34">
        <f t="shared" si="1083"/>
        <v>0</v>
      </c>
      <c r="AQ1260" s="28" t="s">
        <v>13</v>
      </c>
      <c r="AV1260" s="34">
        <f t="shared" si="1084"/>
        <v>0</v>
      </c>
      <c r="AW1260" s="34">
        <f t="shared" si="1085"/>
        <v>0</v>
      </c>
      <c r="AX1260" s="34">
        <f t="shared" si="1086"/>
        <v>0</v>
      </c>
      <c r="AY1260" s="35" t="s">
        <v>3678</v>
      </c>
      <c r="AZ1260" s="35" t="s">
        <v>3727</v>
      </c>
      <c r="BA1260" s="27" t="s">
        <v>3734</v>
      </c>
      <c r="BC1260" s="34">
        <f t="shared" si="1087"/>
        <v>0</v>
      </c>
      <c r="BD1260" s="34">
        <f t="shared" si="1088"/>
        <v>0</v>
      </c>
      <c r="BE1260" s="34">
        <v>0</v>
      </c>
      <c r="BF1260" s="34">
        <f>1259</f>
        <v>1259</v>
      </c>
      <c r="BH1260" s="18">
        <f t="shared" si="1089"/>
        <v>0</v>
      </c>
      <c r="BI1260" s="18">
        <f t="shared" si="1090"/>
        <v>0</v>
      </c>
      <c r="BJ1260" s="18">
        <f t="shared" si="1091"/>
        <v>0</v>
      </c>
    </row>
    <row r="1261" spans="1:62" x14ac:dyDescent="0.2">
      <c r="A1261" s="74" t="s">
        <v>1185</v>
      </c>
      <c r="B1261" s="5" t="s">
        <v>2361</v>
      </c>
      <c r="C1261" s="135" t="s">
        <v>3566</v>
      </c>
      <c r="D1261" s="136"/>
      <c r="E1261" s="136"/>
      <c r="F1261" s="136"/>
      <c r="G1261" s="136"/>
      <c r="H1261" s="5" t="s">
        <v>3614</v>
      </c>
      <c r="I1261" s="18">
        <v>131.69999999999999</v>
      </c>
      <c r="J1261" s="18">
        <v>0</v>
      </c>
      <c r="K1261" s="18">
        <f t="shared" si="1070"/>
        <v>0</v>
      </c>
      <c r="L1261" s="28" t="s">
        <v>3635</v>
      </c>
      <c r="Z1261" s="34">
        <f t="shared" si="1071"/>
        <v>0</v>
      </c>
      <c r="AB1261" s="34">
        <f t="shared" si="1072"/>
        <v>0</v>
      </c>
      <c r="AC1261" s="34">
        <f t="shared" si="1073"/>
        <v>0</v>
      </c>
      <c r="AD1261" s="34">
        <f t="shared" si="1074"/>
        <v>0</v>
      </c>
      <c r="AE1261" s="34">
        <f t="shared" si="1075"/>
        <v>0</v>
      </c>
      <c r="AF1261" s="34">
        <f t="shared" si="1076"/>
        <v>0</v>
      </c>
      <c r="AG1261" s="34">
        <f t="shared" si="1077"/>
        <v>0</v>
      </c>
      <c r="AH1261" s="34">
        <f t="shared" si="1078"/>
        <v>0</v>
      </c>
      <c r="AI1261" s="27" t="s">
        <v>3650</v>
      </c>
      <c r="AJ1261" s="18">
        <f t="shared" si="1079"/>
        <v>0</v>
      </c>
      <c r="AK1261" s="18">
        <f t="shared" si="1080"/>
        <v>0</v>
      </c>
      <c r="AL1261" s="18">
        <f t="shared" si="1081"/>
        <v>0</v>
      </c>
      <c r="AN1261" s="34">
        <v>21</v>
      </c>
      <c r="AO1261" s="34">
        <f t="shared" si="1082"/>
        <v>0</v>
      </c>
      <c r="AP1261" s="34">
        <f t="shared" si="1083"/>
        <v>0</v>
      </c>
      <c r="AQ1261" s="28" t="s">
        <v>13</v>
      </c>
      <c r="AV1261" s="34">
        <f t="shared" si="1084"/>
        <v>0</v>
      </c>
      <c r="AW1261" s="34">
        <f t="shared" si="1085"/>
        <v>0</v>
      </c>
      <c r="AX1261" s="34">
        <f t="shared" si="1086"/>
        <v>0</v>
      </c>
      <c r="AY1261" s="35" t="s">
        <v>3678</v>
      </c>
      <c r="AZ1261" s="35" t="s">
        <v>3727</v>
      </c>
      <c r="BA1261" s="27" t="s">
        <v>3734</v>
      </c>
      <c r="BC1261" s="34">
        <f t="shared" si="1087"/>
        <v>0</v>
      </c>
      <c r="BD1261" s="34">
        <f t="shared" si="1088"/>
        <v>0</v>
      </c>
      <c r="BE1261" s="34">
        <v>0</v>
      </c>
      <c r="BF1261" s="34">
        <f>1260</f>
        <v>1260</v>
      </c>
      <c r="BH1261" s="18">
        <f t="shared" si="1089"/>
        <v>0</v>
      </c>
      <c r="BI1261" s="18">
        <f t="shared" si="1090"/>
        <v>0</v>
      </c>
      <c r="BJ1261" s="18">
        <f t="shared" si="1091"/>
        <v>0</v>
      </c>
    </row>
    <row r="1262" spans="1:62" x14ac:dyDescent="0.2">
      <c r="A1262" s="74" t="s">
        <v>1186</v>
      </c>
      <c r="B1262" s="5" t="s">
        <v>2362</v>
      </c>
      <c r="C1262" s="135" t="s">
        <v>3567</v>
      </c>
      <c r="D1262" s="136"/>
      <c r="E1262" s="136"/>
      <c r="F1262" s="136"/>
      <c r="G1262" s="136"/>
      <c r="H1262" s="5" t="s">
        <v>3614</v>
      </c>
      <c r="I1262" s="18">
        <v>131.69999999999999</v>
      </c>
      <c r="J1262" s="18">
        <v>0</v>
      </c>
      <c r="K1262" s="18">
        <f t="shared" si="1070"/>
        <v>0</v>
      </c>
      <c r="L1262" s="28" t="s">
        <v>3635</v>
      </c>
      <c r="Z1262" s="34">
        <f t="shared" si="1071"/>
        <v>0</v>
      </c>
      <c r="AB1262" s="34">
        <f t="shared" si="1072"/>
        <v>0</v>
      </c>
      <c r="AC1262" s="34">
        <f t="shared" si="1073"/>
        <v>0</v>
      </c>
      <c r="AD1262" s="34">
        <f t="shared" si="1074"/>
        <v>0</v>
      </c>
      <c r="AE1262" s="34">
        <f t="shared" si="1075"/>
        <v>0</v>
      </c>
      <c r="AF1262" s="34">
        <f t="shared" si="1076"/>
        <v>0</v>
      </c>
      <c r="AG1262" s="34">
        <f t="shared" si="1077"/>
        <v>0</v>
      </c>
      <c r="AH1262" s="34">
        <f t="shared" si="1078"/>
        <v>0</v>
      </c>
      <c r="AI1262" s="27" t="s">
        <v>3650</v>
      </c>
      <c r="AJ1262" s="18">
        <f t="shared" si="1079"/>
        <v>0</v>
      </c>
      <c r="AK1262" s="18">
        <f t="shared" si="1080"/>
        <v>0</v>
      </c>
      <c r="AL1262" s="18">
        <f t="shared" si="1081"/>
        <v>0</v>
      </c>
      <c r="AN1262" s="34">
        <v>21</v>
      </c>
      <c r="AO1262" s="34">
        <f t="shared" si="1082"/>
        <v>0</v>
      </c>
      <c r="AP1262" s="34">
        <f t="shared" si="1083"/>
        <v>0</v>
      </c>
      <c r="AQ1262" s="28" t="s">
        <v>13</v>
      </c>
      <c r="AV1262" s="34">
        <f t="shared" si="1084"/>
        <v>0</v>
      </c>
      <c r="AW1262" s="34">
        <f t="shared" si="1085"/>
        <v>0</v>
      </c>
      <c r="AX1262" s="34">
        <f t="shared" si="1086"/>
        <v>0</v>
      </c>
      <c r="AY1262" s="35" t="s">
        <v>3678</v>
      </c>
      <c r="AZ1262" s="35" t="s">
        <v>3727</v>
      </c>
      <c r="BA1262" s="27" t="s">
        <v>3734</v>
      </c>
      <c r="BC1262" s="34">
        <f t="shared" si="1087"/>
        <v>0</v>
      </c>
      <c r="BD1262" s="34">
        <f t="shared" si="1088"/>
        <v>0</v>
      </c>
      <c r="BE1262" s="34">
        <v>0</v>
      </c>
      <c r="BF1262" s="34">
        <f>1261</f>
        <v>1261</v>
      </c>
      <c r="BH1262" s="18">
        <f t="shared" si="1089"/>
        <v>0</v>
      </c>
      <c r="BI1262" s="18">
        <f t="shared" si="1090"/>
        <v>0</v>
      </c>
      <c r="BJ1262" s="18">
        <f t="shared" si="1091"/>
        <v>0</v>
      </c>
    </row>
    <row r="1263" spans="1:62" x14ac:dyDescent="0.2">
      <c r="A1263" s="74" t="s">
        <v>1187</v>
      </c>
      <c r="B1263" s="5" t="s">
        <v>2363</v>
      </c>
      <c r="C1263" s="135" t="s">
        <v>3568</v>
      </c>
      <c r="D1263" s="136"/>
      <c r="E1263" s="136"/>
      <c r="F1263" s="136"/>
      <c r="G1263" s="136"/>
      <c r="H1263" s="5" t="s">
        <v>3614</v>
      </c>
      <c r="I1263" s="18">
        <v>131.69999999999999</v>
      </c>
      <c r="J1263" s="18">
        <v>0</v>
      </c>
      <c r="K1263" s="18">
        <f t="shared" si="1070"/>
        <v>0</v>
      </c>
      <c r="L1263" s="28" t="s">
        <v>3635</v>
      </c>
      <c r="Z1263" s="34">
        <f t="shared" si="1071"/>
        <v>0</v>
      </c>
      <c r="AB1263" s="34">
        <f t="shared" si="1072"/>
        <v>0</v>
      </c>
      <c r="AC1263" s="34">
        <f t="shared" si="1073"/>
        <v>0</v>
      </c>
      <c r="AD1263" s="34">
        <f t="shared" si="1074"/>
        <v>0</v>
      </c>
      <c r="AE1263" s="34">
        <f t="shared" si="1075"/>
        <v>0</v>
      </c>
      <c r="AF1263" s="34">
        <f t="shared" si="1076"/>
        <v>0</v>
      </c>
      <c r="AG1263" s="34">
        <f t="shared" si="1077"/>
        <v>0</v>
      </c>
      <c r="AH1263" s="34">
        <f t="shared" si="1078"/>
        <v>0</v>
      </c>
      <c r="AI1263" s="27" t="s">
        <v>3650</v>
      </c>
      <c r="AJ1263" s="18">
        <f t="shared" si="1079"/>
        <v>0</v>
      </c>
      <c r="AK1263" s="18">
        <f t="shared" si="1080"/>
        <v>0</v>
      </c>
      <c r="AL1263" s="18">
        <f t="shared" si="1081"/>
        <v>0</v>
      </c>
      <c r="AN1263" s="34">
        <v>21</v>
      </c>
      <c r="AO1263" s="34">
        <f t="shared" si="1082"/>
        <v>0</v>
      </c>
      <c r="AP1263" s="34">
        <f t="shared" si="1083"/>
        <v>0</v>
      </c>
      <c r="AQ1263" s="28" t="s">
        <v>13</v>
      </c>
      <c r="AV1263" s="34">
        <f t="shared" si="1084"/>
        <v>0</v>
      </c>
      <c r="AW1263" s="34">
        <f t="shared" si="1085"/>
        <v>0</v>
      </c>
      <c r="AX1263" s="34">
        <f t="shared" si="1086"/>
        <v>0</v>
      </c>
      <c r="AY1263" s="35" t="s">
        <v>3678</v>
      </c>
      <c r="AZ1263" s="35" t="s">
        <v>3727</v>
      </c>
      <c r="BA1263" s="27" t="s">
        <v>3734</v>
      </c>
      <c r="BC1263" s="34">
        <f t="shared" si="1087"/>
        <v>0</v>
      </c>
      <c r="BD1263" s="34">
        <f t="shared" si="1088"/>
        <v>0</v>
      </c>
      <c r="BE1263" s="34">
        <v>0</v>
      </c>
      <c r="BF1263" s="34">
        <f>1262</f>
        <v>1262</v>
      </c>
      <c r="BH1263" s="18">
        <f t="shared" si="1089"/>
        <v>0</v>
      </c>
      <c r="BI1263" s="18">
        <f t="shared" si="1090"/>
        <v>0</v>
      </c>
      <c r="BJ1263" s="18">
        <f t="shared" si="1091"/>
        <v>0</v>
      </c>
    </row>
    <row r="1264" spans="1:62" x14ac:dyDescent="0.2">
      <c r="A1264" s="74" t="s">
        <v>1188</v>
      </c>
      <c r="B1264" s="5" t="s">
        <v>2364</v>
      </c>
      <c r="C1264" s="135" t="s">
        <v>3569</v>
      </c>
      <c r="D1264" s="136"/>
      <c r="E1264" s="136"/>
      <c r="F1264" s="136"/>
      <c r="G1264" s="136"/>
      <c r="H1264" s="5" t="s">
        <v>3614</v>
      </c>
      <c r="I1264" s="18">
        <v>131.69999999999999</v>
      </c>
      <c r="J1264" s="18">
        <v>0</v>
      </c>
      <c r="K1264" s="18">
        <f t="shared" si="1070"/>
        <v>0</v>
      </c>
      <c r="L1264" s="28" t="s">
        <v>3635</v>
      </c>
      <c r="Z1264" s="34">
        <f t="shared" si="1071"/>
        <v>0</v>
      </c>
      <c r="AB1264" s="34">
        <f t="shared" si="1072"/>
        <v>0</v>
      </c>
      <c r="AC1264" s="34">
        <f t="shared" si="1073"/>
        <v>0</v>
      </c>
      <c r="AD1264" s="34">
        <f t="shared" si="1074"/>
        <v>0</v>
      </c>
      <c r="AE1264" s="34">
        <f t="shared" si="1075"/>
        <v>0</v>
      </c>
      <c r="AF1264" s="34">
        <f t="shared" si="1076"/>
        <v>0</v>
      </c>
      <c r="AG1264" s="34">
        <f t="shared" si="1077"/>
        <v>0</v>
      </c>
      <c r="AH1264" s="34">
        <f t="shared" si="1078"/>
        <v>0</v>
      </c>
      <c r="AI1264" s="27" t="s">
        <v>3650</v>
      </c>
      <c r="AJ1264" s="18">
        <f t="shared" si="1079"/>
        <v>0</v>
      </c>
      <c r="AK1264" s="18">
        <f t="shared" si="1080"/>
        <v>0</v>
      </c>
      <c r="AL1264" s="18">
        <f t="shared" si="1081"/>
        <v>0</v>
      </c>
      <c r="AN1264" s="34">
        <v>21</v>
      </c>
      <c r="AO1264" s="34">
        <f t="shared" si="1082"/>
        <v>0</v>
      </c>
      <c r="AP1264" s="34">
        <f t="shared" si="1083"/>
        <v>0</v>
      </c>
      <c r="AQ1264" s="28" t="s">
        <v>13</v>
      </c>
      <c r="AV1264" s="34">
        <f t="shared" si="1084"/>
        <v>0</v>
      </c>
      <c r="AW1264" s="34">
        <f t="shared" si="1085"/>
        <v>0</v>
      </c>
      <c r="AX1264" s="34">
        <f t="shared" si="1086"/>
        <v>0</v>
      </c>
      <c r="AY1264" s="35" t="s">
        <v>3678</v>
      </c>
      <c r="AZ1264" s="35" t="s">
        <v>3727</v>
      </c>
      <c r="BA1264" s="27" t="s">
        <v>3734</v>
      </c>
      <c r="BC1264" s="34">
        <f t="shared" si="1087"/>
        <v>0</v>
      </c>
      <c r="BD1264" s="34">
        <f t="shared" si="1088"/>
        <v>0</v>
      </c>
      <c r="BE1264" s="34">
        <v>0</v>
      </c>
      <c r="BF1264" s="34">
        <f>1263</f>
        <v>1263</v>
      </c>
      <c r="BH1264" s="18">
        <f t="shared" si="1089"/>
        <v>0</v>
      </c>
      <c r="BI1264" s="18">
        <f t="shared" si="1090"/>
        <v>0</v>
      </c>
      <c r="BJ1264" s="18">
        <f t="shared" si="1091"/>
        <v>0</v>
      </c>
    </row>
    <row r="1265" spans="1:62" x14ac:dyDescent="0.2">
      <c r="A1265" s="74" t="s">
        <v>1189</v>
      </c>
      <c r="B1265" s="5" t="s">
        <v>2365</v>
      </c>
      <c r="C1265" s="135" t="s">
        <v>3570</v>
      </c>
      <c r="D1265" s="136"/>
      <c r="E1265" s="136"/>
      <c r="F1265" s="136"/>
      <c r="G1265" s="136"/>
      <c r="H1265" s="5" t="s">
        <v>3612</v>
      </c>
      <c r="I1265" s="18">
        <v>6</v>
      </c>
      <c r="J1265" s="18">
        <v>0</v>
      </c>
      <c r="K1265" s="18">
        <f t="shared" si="1070"/>
        <v>0</v>
      </c>
      <c r="L1265" s="28" t="s">
        <v>3635</v>
      </c>
      <c r="Z1265" s="34">
        <f t="shared" si="1071"/>
        <v>0</v>
      </c>
      <c r="AB1265" s="34">
        <f t="shared" si="1072"/>
        <v>0</v>
      </c>
      <c r="AC1265" s="34">
        <f t="shared" si="1073"/>
        <v>0</v>
      </c>
      <c r="AD1265" s="34">
        <f t="shared" si="1074"/>
        <v>0</v>
      </c>
      <c r="AE1265" s="34">
        <f t="shared" si="1075"/>
        <v>0</v>
      </c>
      <c r="AF1265" s="34">
        <f t="shared" si="1076"/>
        <v>0</v>
      </c>
      <c r="AG1265" s="34">
        <f t="shared" si="1077"/>
        <v>0</v>
      </c>
      <c r="AH1265" s="34">
        <f t="shared" si="1078"/>
        <v>0</v>
      </c>
      <c r="AI1265" s="27" t="s">
        <v>3650</v>
      </c>
      <c r="AJ1265" s="18">
        <f t="shared" si="1079"/>
        <v>0</v>
      </c>
      <c r="AK1265" s="18">
        <f t="shared" si="1080"/>
        <v>0</v>
      </c>
      <c r="AL1265" s="18">
        <f t="shared" si="1081"/>
        <v>0</v>
      </c>
      <c r="AN1265" s="34">
        <v>21</v>
      </c>
      <c r="AO1265" s="34">
        <f t="shared" si="1082"/>
        <v>0</v>
      </c>
      <c r="AP1265" s="34">
        <f t="shared" si="1083"/>
        <v>0</v>
      </c>
      <c r="AQ1265" s="28" t="s">
        <v>13</v>
      </c>
      <c r="AV1265" s="34">
        <f t="shared" si="1084"/>
        <v>0</v>
      </c>
      <c r="AW1265" s="34">
        <f t="shared" si="1085"/>
        <v>0</v>
      </c>
      <c r="AX1265" s="34">
        <f t="shared" si="1086"/>
        <v>0</v>
      </c>
      <c r="AY1265" s="35" t="s">
        <v>3678</v>
      </c>
      <c r="AZ1265" s="35" t="s">
        <v>3727</v>
      </c>
      <c r="BA1265" s="27" t="s">
        <v>3734</v>
      </c>
      <c r="BC1265" s="34">
        <f t="shared" si="1087"/>
        <v>0</v>
      </c>
      <c r="BD1265" s="34">
        <f t="shared" si="1088"/>
        <v>0</v>
      </c>
      <c r="BE1265" s="34">
        <v>0</v>
      </c>
      <c r="BF1265" s="34">
        <f>1264</f>
        <v>1264</v>
      </c>
      <c r="BH1265" s="18">
        <f t="shared" si="1089"/>
        <v>0</v>
      </c>
      <c r="BI1265" s="18">
        <f t="shared" si="1090"/>
        <v>0</v>
      </c>
      <c r="BJ1265" s="18">
        <f t="shared" si="1091"/>
        <v>0</v>
      </c>
    </row>
    <row r="1266" spans="1:62" x14ac:dyDescent="0.2">
      <c r="A1266" s="74" t="s">
        <v>1190</v>
      </c>
      <c r="B1266" s="5" t="s">
        <v>2366</v>
      </c>
      <c r="C1266" s="135" t="s">
        <v>3571</v>
      </c>
      <c r="D1266" s="136"/>
      <c r="E1266" s="136"/>
      <c r="F1266" s="136"/>
      <c r="G1266" s="136"/>
      <c r="H1266" s="5" t="s">
        <v>3612</v>
      </c>
      <c r="I1266" s="18">
        <v>1</v>
      </c>
      <c r="J1266" s="18">
        <v>0</v>
      </c>
      <c r="K1266" s="18">
        <f t="shared" si="1070"/>
        <v>0</v>
      </c>
      <c r="L1266" s="28" t="s">
        <v>3635</v>
      </c>
      <c r="Z1266" s="34">
        <f t="shared" si="1071"/>
        <v>0</v>
      </c>
      <c r="AB1266" s="34">
        <f t="shared" si="1072"/>
        <v>0</v>
      </c>
      <c r="AC1266" s="34">
        <f t="shared" si="1073"/>
        <v>0</v>
      </c>
      <c r="AD1266" s="34">
        <f t="shared" si="1074"/>
        <v>0</v>
      </c>
      <c r="AE1266" s="34">
        <f t="shared" si="1075"/>
        <v>0</v>
      </c>
      <c r="AF1266" s="34">
        <f t="shared" si="1076"/>
        <v>0</v>
      </c>
      <c r="AG1266" s="34">
        <f t="shared" si="1077"/>
        <v>0</v>
      </c>
      <c r="AH1266" s="34">
        <f t="shared" si="1078"/>
        <v>0</v>
      </c>
      <c r="AI1266" s="27" t="s">
        <v>3650</v>
      </c>
      <c r="AJ1266" s="18">
        <f t="shared" si="1079"/>
        <v>0</v>
      </c>
      <c r="AK1266" s="18">
        <f t="shared" si="1080"/>
        <v>0</v>
      </c>
      <c r="AL1266" s="18">
        <f t="shared" si="1081"/>
        <v>0</v>
      </c>
      <c r="AN1266" s="34">
        <v>21</v>
      </c>
      <c r="AO1266" s="34">
        <f t="shared" si="1082"/>
        <v>0</v>
      </c>
      <c r="AP1266" s="34">
        <f t="shared" si="1083"/>
        <v>0</v>
      </c>
      <c r="AQ1266" s="28" t="s">
        <v>13</v>
      </c>
      <c r="AV1266" s="34">
        <f t="shared" si="1084"/>
        <v>0</v>
      </c>
      <c r="AW1266" s="34">
        <f t="shared" si="1085"/>
        <v>0</v>
      </c>
      <c r="AX1266" s="34">
        <f t="shared" si="1086"/>
        <v>0</v>
      </c>
      <c r="AY1266" s="35" t="s">
        <v>3678</v>
      </c>
      <c r="AZ1266" s="35" t="s">
        <v>3727</v>
      </c>
      <c r="BA1266" s="27" t="s">
        <v>3734</v>
      </c>
      <c r="BC1266" s="34">
        <f t="shared" si="1087"/>
        <v>0</v>
      </c>
      <c r="BD1266" s="34">
        <f t="shared" si="1088"/>
        <v>0</v>
      </c>
      <c r="BE1266" s="34">
        <v>0</v>
      </c>
      <c r="BF1266" s="34">
        <f>1265</f>
        <v>1265</v>
      </c>
      <c r="BH1266" s="18">
        <f t="shared" si="1089"/>
        <v>0</v>
      </c>
      <c r="BI1266" s="18">
        <f t="shared" si="1090"/>
        <v>0</v>
      </c>
      <c r="BJ1266" s="18">
        <f t="shared" si="1091"/>
        <v>0</v>
      </c>
    </row>
    <row r="1267" spans="1:62" x14ac:dyDescent="0.2">
      <c r="A1267" s="74" t="s">
        <v>1191</v>
      </c>
      <c r="B1267" s="5" t="s">
        <v>2367</v>
      </c>
      <c r="C1267" s="135" t="s">
        <v>3572</v>
      </c>
      <c r="D1267" s="136"/>
      <c r="E1267" s="136"/>
      <c r="F1267" s="136"/>
      <c r="G1267" s="136"/>
      <c r="H1267" s="5" t="s">
        <v>3613</v>
      </c>
      <c r="I1267" s="18">
        <v>66</v>
      </c>
      <c r="J1267" s="18">
        <v>0</v>
      </c>
      <c r="K1267" s="18">
        <f t="shared" si="1070"/>
        <v>0</v>
      </c>
      <c r="L1267" s="28" t="s">
        <v>3635</v>
      </c>
      <c r="Z1267" s="34">
        <f t="shared" si="1071"/>
        <v>0</v>
      </c>
      <c r="AB1267" s="34">
        <f t="shared" si="1072"/>
        <v>0</v>
      </c>
      <c r="AC1267" s="34">
        <f t="shared" si="1073"/>
        <v>0</v>
      </c>
      <c r="AD1267" s="34">
        <f t="shared" si="1074"/>
        <v>0</v>
      </c>
      <c r="AE1267" s="34">
        <f t="shared" si="1075"/>
        <v>0</v>
      </c>
      <c r="AF1267" s="34">
        <f t="shared" si="1076"/>
        <v>0</v>
      </c>
      <c r="AG1267" s="34">
        <f t="shared" si="1077"/>
        <v>0</v>
      </c>
      <c r="AH1267" s="34">
        <f t="shared" si="1078"/>
        <v>0</v>
      </c>
      <c r="AI1267" s="27" t="s">
        <v>3650</v>
      </c>
      <c r="AJ1267" s="18">
        <f t="shared" si="1079"/>
        <v>0</v>
      </c>
      <c r="AK1267" s="18">
        <f t="shared" si="1080"/>
        <v>0</v>
      </c>
      <c r="AL1267" s="18">
        <f t="shared" si="1081"/>
        <v>0</v>
      </c>
      <c r="AN1267" s="34">
        <v>21</v>
      </c>
      <c r="AO1267" s="34">
        <f t="shared" si="1082"/>
        <v>0</v>
      </c>
      <c r="AP1267" s="34">
        <f t="shared" si="1083"/>
        <v>0</v>
      </c>
      <c r="AQ1267" s="28" t="s">
        <v>13</v>
      </c>
      <c r="AV1267" s="34">
        <f t="shared" si="1084"/>
        <v>0</v>
      </c>
      <c r="AW1267" s="34">
        <f t="shared" si="1085"/>
        <v>0</v>
      </c>
      <c r="AX1267" s="34">
        <f t="shared" si="1086"/>
        <v>0</v>
      </c>
      <c r="AY1267" s="35" t="s">
        <v>3678</v>
      </c>
      <c r="AZ1267" s="35" t="s">
        <v>3727</v>
      </c>
      <c r="BA1267" s="27" t="s">
        <v>3734</v>
      </c>
      <c r="BC1267" s="34">
        <f t="shared" si="1087"/>
        <v>0</v>
      </c>
      <c r="BD1267" s="34">
        <f t="shared" si="1088"/>
        <v>0</v>
      </c>
      <c r="BE1267" s="34">
        <v>0</v>
      </c>
      <c r="BF1267" s="34">
        <f>1266</f>
        <v>1266</v>
      </c>
      <c r="BH1267" s="18">
        <f t="shared" si="1089"/>
        <v>0</v>
      </c>
      <c r="BI1267" s="18">
        <f t="shared" si="1090"/>
        <v>0</v>
      </c>
      <c r="BJ1267" s="18">
        <f t="shared" si="1091"/>
        <v>0</v>
      </c>
    </row>
    <row r="1268" spans="1:62" x14ac:dyDescent="0.2">
      <c r="A1268" s="74" t="s">
        <v>1192</v>
      </c>
      <c r="B1268" s="5" t="s">
        <v>2368</v>
      </c>
      <c r="C1268" s="135" t="s">
        <v>3573</v>
      </c>
      <c r="D1268" s="136"/>
      <c r="E1268" s="136"/>
      <c r="F1268" s="136"/>
      <c r="G1268" s="136"/>
      <c r="H1268" s="5" t="s">
        <v>3613</v>
      </c>
      <c r="I1268" s="18">
        <v>27</v>
      </c>
      <c r="J1268" s="18">
        <v>0</v>
      </c>
      <c r="K1268" s="18">
        <f t="shared" si="1070"/>
        <v>0</v>
      </c>
      <c r="L1268" s="28" t="s">
        <v>3635</v>
      </c>
      <c r="Z1268" s="34">
        <f t="shared" si="1071"/>
        <v>0</v>
      </c>
      <c r="AB1268" s="34">
        <f t="shared" si="1072"/>
        <v>0</v>
      </c>
      <c r="AC1268" s="34">
        <f t="shared" si="1073"/>
        <v>0</v>
      </c>
      <c r="AD1268" s="34">
        <f t="shared" si="1074"/>
        <v>0</v>
      </c>
      <c r="AE1268" s="34">
        <f t="shared" si="1075"/>
        <v>0</v>
      </c>
      <c r="AF1268" s="34">
        <f t="shared" si="1076"/>
        <v>0</v>
      </c>
      <c r="AG1268" s="34">
        <f t="shared" si="1077"/>
        <v>0</v>
      </c>
      <c r="AH1268" s="34">
        <f t="shared" si="1078"/>
        <v>0</v>
      </c>
      <c r="AI1268" s="27" t="s">
        <v>3650</v>
      </c>
      <c r="AJ1268" s="18">
        <f t="shared" si="1079"/>
        <v>0</v>
      </c>
      <c r="AK1268" s="18">
        <f t="shared" si="1080"/>
        <v>0</v>
      </c>
      <c r="AL1268" s="18">
        <f t="shared" si="1081"/>
        <v>0</v>
      </c>
      <c r="AN1268" s="34">
        <v>21</v>
      </c>
      <c r="AO1268" s="34">
        <f t="shared" si="1082"/>
        <v>0</v>
      </c>
      <c r="AP1268" s="34">
        <f t="shared" si="1083"/>
        <v>0</v>
      </c>
      <c r="AQ1268" s="28" t="s">
        <v>13</v>
      </c>
      <c r="AV1268" s="34">
        <f t="shared" si="1084"/>
        <v>0</v>
      </c>
      <c r="AW1268" s="34">
        <f t="shared" si="1085"/>
        <v>0</v>
      </c>
      <c r="AX1268" s="34">
        <f t="shared" si="1086"/>
        <v>0</v>
      </c>
      <c r="AY1268" s="35" t="s">
        <v>3678</v>
      </c>
      <c r="AZ1268" s="35" t="s">
        <v>3727</v>
      </c>
      <c r="BA1268" s="27" t="s">
        <v>3734</v>
      </c>
      <c r="BC1268" s="34">
        <f t="shared" si="1087"/>
        <v>0</v>
      </c>
      <c r="BD1268" s="34">
        <f t="shared" si="1088"/>
        <v>0</v>
      </c>
      <c r="BE1268" s="34">
        <v>0</v>
      </c>
      <c r="BF1268" s="34">
        <f>1267</f>
        <v>1267</v>
      </c>
      <c r="BH1268" s="18">
        <f t="shared" si="1089"/>
        <v>0</v>
      </c>
      <c r="BI1268" s="18">
        <f t="shared" si="1090"/>
        <v>0</v>
      </c>
      <c r="BJ1268" s="18">
        <f t="shared" si="1091"/>
        <v>0</v>
      </c>
    </row>
    <row r="1269" spans="1:62" x14ac:dyDescent="0.2">
      <c r="A1269" s="74" t="s">
        <v>1193</v>
      </c>
      <c r="B1269" s="5" t="s">
        <v>2369</v>
      </c>
      <c r="C1269" s="135" t="s">
        <v>2434</v>
      </c>
      <c r="D1269" s="136"/>
      <c r="E1269" s="136"/>
      <c r="F1269" s="136"/>
      <c r="G1269" s="136"/>
      <c r="H1269" s="5" t="s">
        <v>3613</v>
      </c>
      <c r="I1269" s="18">
        <v>152</v>
      </c>
      <c r="J1269" s="18">
        <v>0</v>
      </c>
      <c r="K1269" s="18">
        <f t="shared" si="1070"/>
        <v>0</v>
      </c>
      <c r="L1269" s="28" t="s">
        <v>3635</v>
      </c>
      <c r="Z1269" s="34">
        <f t="shared" si="1071"/>
        <v>0</v>
      </c>
      <c r="AB1269" s="34">
        <f t="shared" si="1072"/>
        <v>0</v>
      </c>
      <c r="AC1269" s="34">
        <f t="shared" si="1073"/>
        <v>0</v>
      </c>
      <c r="AD1269" s="34">
        <f t="shared" si="1074"/>
        <v>0</v>
      </c>
      <c r="AE1269" s="34">
        <f t="shared" si="1075"/>
        <v>0</v>
      </c>
      <c r="AF1269" s="34">
        <f t="shared" si="1076"/>
        <v>0</v>
      </c>
      <c r="AG1269" s="34">
        <f t="shared" si="1077"/>
        <v>0</v>
      </c>
      <c r="AH1269" s="34">
        <f t="shared" si="1078"/>
        <v>0</v>
      </c>
      <c r="AI1269" s="27" t="s">
        <v>3650</v>
      </c>
      <c r="AJ1269" s="18">
        <f t="shared" si="1079"/>
        <v>0</v>
      </c>
      <c r="AK1269" s="18">
        <f t="shared" si="1080"/>
        <v>0</v>
      </c>
      <c r="AL1269" s="18">
        <f t="shared" si="1081"/>
        <v>0</v>
      </c>
      <c r="AN1269" s="34">
        <v>21</v>
      </c>
      <c r="AO1269" s="34">
        <f t="shared" si="1082"/>
        <v>0</v>
      </c>
      <c r="AP1269" s="34">
        <f t="shared" si="1083"/>
        <v>0</v>
      </c>
      <c r="AQ1269" s="28" t="s">
        <v>13</v>
      </c>
      <c r="AV1269" s="34">
        <f t="shared" si="1084"/>
        <v>0</v>
      </c>
      <c r="AW1269" s="34">
        <f t="shared" si="1085"/>
        <v>0</v>
      </c>
      <c r="AX1269" s="34">
        <f t="shared" si="1086"/>
        <v>0</v>
      </c>
      <c r="AY1269" s="35" t="s">
        <v>3678</v>
      </c>
      <c r="AZ1269" s="35" t="s">
        <v>3727</v>
      </c>
      <c r="BA1269" s="27" t="s">
        <v>3734</v>
      </c>
      <c r="BC1269" s="34">
        <f t="shared" si="1087"/>
        <v>0</v>
      </c>
      <c r="BD1269" s="34">
        <f t="shared" si="1088"/>
        <v>0</v>
      </c>
      <c r="BE1269" s="34">
        <v>0</v>
      </c>
      <c r="BF1269" s="34">
        <f>1268</f>
        <v>1268</v>
      </c>
      <c r="BH1269" s="18">
        <f t="shared" si="1089"/>
        <v>0</v>
      </c>
      <c r="BI1269" s="18">
        <f t="shared" si="1090"/>
        <v>0</v>
      </c>
      <c r="BJ1269" s="18">
        <f t="shared" si="1091"/>
        <v>0</v>
      </c>
    </row>
    <row r="1270" spans="1:62" x14ac:dyDescent="0.2">
      <c r="A1270" s="74" t="s">
        <v>1194</v>
      </c>
      <c r="B1270" s="5" t="s">
        <v>2370</v>
      </c>
      <c r="C1270" s="135" t="s">
        <v>3574</v>
      </c>
      <c r="D1270" s="136"/>
      <c r="E1270" s="136"/>
      <c r="F1270" s="136"/>
      <c r="G1270" s="136"/>
      <c r="H1270" s="5" t="s">
        <v>3614</v>
      </c>
      <c r="I1270" s="18">
        <v>14.5</v>
      </c>
      <c r="J1270" s="18">
        <v>0</v>
      </c>
      <c r="K1270" s="18">
        <f t="shared" si="1070"/>
        <v>0</v>
      </c>
      <c r="L1270" s="28" t="s">
        <v>3635</v>
      </c>
      <c r="Z1270" s="34">
        <f t="shared" si="1071"/>
        <v>0</v>
      </c>
      <c r="AB1270" s="34">
        <f t="shared" si="1072"/>
        <v>0</v>
      </c>
      <c r="AC1270" s="34">
        <f t="shared" si="1073"/>
        <v>0</v>
      </c>
      <c r="AD1270" s="34">
        <f t="shared" si="1074"/>
        <v>0</v>
      </c>
      <c r="AE1270" s="34">
        <f t="shared" si="1075"/>
        <v>0</v>
      </c>
      <c r="AF1270" s="34">
        <f t="shared" si="1076"/>
        <v>0</v>
      </c>
      <c r="AG1270" s="34">
        <f t="shared" si="1077"/>
        <v>0</v>
      </c>
      <c r="AH1270" s="34">
        <f t="shared" si="1078"/>
        <v>0</v>
      </c>
      <c r="AI1270" s="27" t="s">
        <v>3650</v>
      </c>
      <c r="AJ1270" s="18">
        <f t="shared" si="1079"/>
        <v>0</v>
      </c>
      <c r="AK1270" s="18">
        <f t="shared" si="1080"/>
        <v>0</v>
      </c>
      <c r="AL1270" s="18">
        <f t="shared" si="1081"/>
        <v>0</v>
      </c>
      <c r="AN1270" s="34">
        <v>21</v>
      </c>
      <c r="AO1270" s="34">
        <f t="shared" si="1082"/>
        <v>0</v>
      </c>
      <c r="AP1270" s="34">
        <f t="shared" si="1083"/>
        <v>0</v>
      </c>
      <c r="AQ1270" s="28" t="s">
        <v>13</v>
      </c>
      <c r="AV1270" s="34">
        <f t="shared" si="1084"/>
        <v>0</v>
      </c>
      <c r="AW1270" s="34">
        <f t="shared" si="1085"/>
        <v>0</v>
      </c>
      <c r="AX1270" s="34">
        <f t="shared" si="1086"/>
        <v>0</v>
      </c>
      <c r="AY1270" s="35" t="s">
        <v>3678</v>
      </c>
      <c r="AZ1270" s="35" t="s">
        <v>3727</v>
      </c>
      <c r="BA1270" s="27" t="s">
        <v>3734</v>
      </c>
      <c r="BC1270" s="34">
        <f t="shared" si="1087"/>
        <v>0</v>
      </c>
      <c r="BD1270" s="34">
        <f t="shared" si="1088"/>
        <v>0</v>
      </c>
      <c r="BE1270" s="34">
        <v>0</v>
      </c>
      <c r="BF1270" s="34">
        <f>1269</f>
        <v>1269</v>
      </c>
      <c r="BH1270" s="18">
        <f t="shared" si="1089"/>
        <v>0</v>
      </c>
      <c r="BI1270" s="18">
        <f t="shared" si="1090"/>
        <v>0</v>
      </c>
      <c r="BJ1270" s="18">
        <f t="shared" si="1091"/>
        <v>0</v>
      </c>
    </row>
    <row r="1271" spans="1:62" x14ac:dyDescent="0.2">
      <c r="A1271" s="74" t="s">
        <v>1195</v>
      </c>
      <c r="B1271" s="5" t="s">
        <v>2371</v>
      </c>
      <c r="C1271" s="135" t="s">
        <v>3575</v>
      </c>
      <c r="D1271" s="136"/>
      <c r="E1271" s="136"/>
      <c r="F1271" s="136"/>
      <c r="G1271" s="136"/>
      <c r="H1271" s="5" t="s">
        <v>3614</v>
      </c>
      <c r="I1271" s="18">
        <v>119.5</v>
      </c>
      <c r="J1271" s="18">
        <v>0</v>
      </c>
      <c r="K1271" s="18">
        <f t="shared" si="1070"/>
        <v>0</v>
      </c>
      <c r="L1271" s="28" t="s">
        <v>3635</v>
      </c>
      <c r="Z1271" s="34">
        <f t="shared" si="1071"/>
        <v>0</v>
      </c>
      <c r="AB1271" s="34">
        <f t="shared" si="1072"/>
        <v>0</v>
      </c>
      <c r="AC1271" s="34">
        <f t="shared" si="1073"/>
        <v>0</v>
      </c>
      <c r="AD1271" s="34">
        <f t="shared" si="1074"/>
        <v>0</v>
      </c>
      <c r="AE1271" s="34">
        <f t="shared" si="1075"/>
        <v>0</v>
      </c>
      <c r="AF1271" s="34">
        <f t="shared" si="1076"/>
        <v>0</v>
      </c>
      <c r="AG1271" s="34">
        <f t="shared" si="1077"/>
        <v>0</v>
      </c>
      <c r="AH1271" s="34">
        <f t="shared" si="1078"/>
        <v>0</v>
      </c>
      <c r="AI1271" s="27" t="s">
        <v>3650</v>
      </c>
      <c r="AJ1271" s="18">
        <f t="shared" si="1079"/>
        <v>0</v>
      </c>
      <c r="AK1271" s="18">
        <f t="shared" si="1080"/>
        <v>0</v>
      </c>
      <c r="AL1271" s="18">
        <f t="shared" si="1081"/>
        <v>0</v>
      </c>
      <c r="AN1271" s="34">
        <v>21</v>
      </c>
      <c r="AO1271" s="34">
        <f t="shared" si="1082"/>
        <v>0</v>
      </c>
      <c r="AP1271" s="34">
        <f t="shared" si="1083"/>
        <v>0</v>
      </c>
      <c r="AQ1271" s="28" t="s">
        <v>13</v>
      </c>
      <c r="AV1271" s="34">
        <f t="shared" si="1084"/>
        <v>0</v>
      </c>
      <c r="AW1271" s="34">
        <f t="shared" si="1085"/>
        <v>0</v>
      </c>
      <c r="AX1271" s="34">
        <f t="shared" si="1086"/>
        <v>0</v>
      </c>
      <c r="AY1271" s="35" t="s">
        <v>3678</v>
      </c>
      <c r="AZ1271" s="35" t="s">
        <v>3727</v>
      </c>
      <c r="BA1271" s="27" t="s">
        <v>3734</v>
      </c>
      <c r="BC1271" s="34">
        <f t="shared" si="1087"/>
        <v>0</v>
      </c>
      <c r="BD1271" s="34">
        <f t="shared" si="1088"/>
        <v>0</v>
      </c>
      <c r="BE1271" s="34">
        <v>0</v>
      </c>
      <c r="BF1271" s="34">
        <f>1270</f>
        <v>1270</v>
      </c>
      <c r="BH1271" s="18">
        <f t="shared" si="1089"/>
        <v>0</v>
      </c>
      <c r="BI1271" s="18">
        <f t="shared" si="1090"/>
        <v>0</v>
      </c>
      <c r="BJ1271" s="18">
        <f t="shared" si="1091"/>
        <v>0</v>
      </c>
    </row>
    <row r="1272" spans="1:62" x14ac:dyDescent="0.2">
      <c r="A1272" s="74" t="s">
        <v>1196</v>
      </c>
      <c r="B1272" s="5" t="s">
        <v>2372</v>
      </c>
      <c r="C1272" s="135" t="s">
        <v>3576</v>
      </c>
      <c r="D1272" s="136"/>
      <c r="E1272" s="136"/>
      <c r="F1272" s="136"/>
      <c r="G1272" s="136"/>
      <c r="H1272" s="5" t="s">
        <v>3614</v>
      </c>
      <c r="I1272" s="18">
        <v>16.5</v>
      </c>
      <c r="J1272" s="18">
        <v>0</v>
      </c>
      <c r="K1272" s="18">
        <f t="shared" si="1070"/>
        <v>0</v>
      </c>
      <c r="L1272" s="28" t="s">
        <v>3635</v>
      </c>
      <c r="Z1272" s="34">
        <f t="shared" si="1071"/>
        <v>0</v>
      </c>
      <c r="AB1272" s="34">
        <f t="shared" si="1072"/>
        <v>0</v>
      </c>
      <c r="AC1272" s="34">
        <f t="shared" si="1073"/>
        <v>0</v>
      </c>
      <c r="AD1272" s="34">
        <f t="shared" si="1074"/>
        <v>0</v>
      </c>
      <c r="AE1272" s="34">
        <f t="shared" si="1075"/>
        <v>0</v>
      </c>
      <c r="AF1272" s="34">
        <f t="shared" si="1076"/>
        <v>0</v>
      </c>
      <c r="AG1272" s="34">
        <f t="shared" si="1077"/>
        <v>0</v>
      </c>
      <c r="AH1272" s="34">
        <f t="shared" si="1078"/>
        <v>0</v>
      </c>
      <c r="AI1272" s="27" t="s">
        <v>3650</v>
      </c>
      <c r="AJ1272" s="18">
        <f t="shared" si="1079"/>
        <v>0</v>
      </c>
      <c r="AK1272" s="18">
        <f t="shared" si="1080"/>
        <v>0</v>
      </c>
      <c r="AL1272" s="18">
        <f t="shared" si="1081"/>
        <v>0</v>
      </c>
      <c r="AN1272" s="34">
        <v>21</v>
      </c>
      <c r="AO1272" s="34">
        <f t="shared" si="1082"/>
        <v>0</v>
      </c>
      <c r="AP1272" s="34">
        <f t="shared" si="1083"/>
        <v>0</v>
      </c>
      <c r="AQ1272" s="28" t="s">
        <v>13</v>
      </c>
      <c r="AV1272" s="34">
        <f t="shared" si="1084"/>
        <v>0</v>
      </c>
      <c r="AW1272" s="34">
        <f t="shared" si="1085"/>
        <v>0</v>
      </c>
      <c r="AX1272" s="34">
        <f t="shared" si="1086"/>
        <v>0</v>
      </c>
      <c r="AY1272" s="35" t="s">
        <v>3678</v>
      </c>
      <c r="AZ1272" s="35" t="s">
        <v>3727</v>
      </c>
      <c r="BA1272" s="27" t="s">
        <v>3734</v>
      </c>
      <c r="BC1272" s="34">
        <f t="shared" si="1087"/>
        <v>0</v>
      </c>
      <c r="BD1272" s="34">
        <f t="shared" si="1088"/>
        <v>0</v>
      </c>
      <c r="BE1272" s="34">
        <v>0</v>
      </c>
      <c r="BF1272" s="34">
        <f>1271</f>
        <v>1271</v>
      </c>
      <c r="BH1272" s="18">
        <f t="shared" si="1089"/>
        <v>0</v>
      </c>
      <c r="BI1272" s="18">
        <f t="shared" si="1090"/>
        <v>0</v>
      </c>
      <c r="BJ1272" s="18">
        <f t="shared" si="1091"/>
        <v>0</v>
      </c>
    </row>
    <row r="1273" spans="1:62" x14ac:dyDescent="0.2">
      <c r="A1273" s="74" t="s">
        <v>1197</v>
      </c>
      <c r="B1273" s="5" t="s">
        <v>2373</v>
      </c>
      <c r="C1273" s="135" t="s">
        <v>3577</v>
      </c>
      <c r="D1273" s="136"/>
      <c r="E1273" s="136"/>
      <c r="F1273" s="136"/>
      <c r="G1273" s="136"/>
      <c r="H1273" s="5" t="s">
        <v>3612</v>
      </c>
      <c r="I1273" s="18">
        <v>5</v>
      </c>
      <c r="J1273" s="18">
        <v>0</v>
      </c>
      <c r="K1273" s="18">
        <f t="shared" si="1070"/>
        <v>0</v>
      </c>
      <c r="L1273" s="28" t="s">
        <v>3635</v>
      </c>
      <c r="Z1273" s="34">
        <f t="shared" si="1071"/>
        <v>0</v>
      </c>
      <c r="AB1273" s="34">
        <f t="shared" si="1072"/>
        <v>0</v>
      </c>
      <c r="AC1273" s="34">
        <f t="shared" si="1073"/>
        <v>0</v>
      </c>
      <c r="AD1273" s="34">
        <f t="shared" si="1074"/>
        <v>0</v>
      </c>
      <c r="AE1273" s="34">
        <f t="shared" si="1075"/>
        <v>0</v>
      </c>
      <c r="AF1273" s="34">
        <f t="shared" si="1076"/>
        <v>0</v>
      </c>
      <c r="AG1273" s="34">
        <f t="shared" si="1077"/>
        <v>0</v>
      </c>
      <c r="AH1273" s="34">
        <f t="shared" si="1078"/>
        <v>0</v>
      </c>
      <c r="AI1273" s="27" t="s">
        <v>3650</v>
      </c>
      <c r="AJ1273" s="18">
        <f t="shared" si="1079"/>
        <v>0</v>
      </c>
      <c r="AK1273" s="18">
        <f t="shared" si="1080"/>
        <v>0</v>
      </c>
      <c r="AL1273" s="18">
        <f t="shared" si="1081"/>
        <v>0</v>
      </c>
      <c r="AN1273" s="34">
        <v>21</v>
      </c>
      <c r="AO1273" s="34">
        <f t="shared" si="1082"/>
        <v>0</v>
      </c>
      <c r="AP1273" s="34">
        <f t="shared" si="1083"/>
        <v>0</v>
      </c>
      <c r="AQ1273" s="28" t="s">
        <v>13</v>
      </c>
      <c r="AV1273" s="34">
        <f t="shared" si="1084"/>
        <v>0</v>
      </c>
      <c r="AW1273" s="34">
        <f t="shared" si="1085"/>
        <v>0</v>
      </c>
      <c r="AX1273" s="34">
        <f t="shared" si="1086"/>
        <v>0</v>
      </c>
      <c r="AY1273" s="35" t="s">
        <v>3678</v>
      </c>
      <c r="AZ1273" s="35" t="s">
        <v>3727</v>
      </c>
      <c r="BA1273" s="27" t="s">
        <v>3734</v>
      </c>
      <c r="BC1273" s="34">
        <f t="shared" si="1087"/>
        <v>0</v>
      </c>
      <c r="BD1273" s="34">
        <f t="shared" si="1088"/>
        <v>0</v>
      </c>
      <c r="BE1273" s="34">
        <v>0</v>
      </c>
      <c r="BF1273" s="34">
        <f>1272</f>
        <v>1272</v>
      </c>
      <c r="BH1273" s="18">
        <f t="shared" si="1089"/>
        <v>0</v>
      </c>
      <c r="BI1273" s="18">
        <f t="shared" si="1090"/>
        <v>0</v>
      </c>
      <c r="BJ1273" s="18">
        <f t="shared" si="1091"/>
        <v>0</v>
      </c>
    </row>
    <row r="1274" spans="1:62" x14ac:dyDescent="0.2">
      <c r="A1274" s="74" t="s">
        <v>1198</v>
      </c>
      <c r="B1274" s="5" t="s">
        <v>2374</v>
      </c>
      <c r="C1274" s="135" t="s">
        <v>3578</v>
      </c>
      <c r="D1274" s="136"/>
      <c r="E1274" s="136"/>
      <c r="F1274" s="136"/>
      <c r="G1274" s="136"/>
      <c r="H1274" s="5" t="s">
        <v>3612</v>
      </c>
      <c r="I1274" s="18">
        <v>1</v>
      </c>
      <c r="J1274" s="18">
        <v>0</v>
      </c>
      <c r="K1274" s="18">
        <f t="shared" si="1070"/>
        <v>0</v>
      </c>
      <c r="L1274" s="28" t="s">
        <v>3635</v>
      </c>
      <c r="Z1274" s="34">
        <f t="shared" si="1071"/>
        <v>0</v>
      </c>
      <c r="AB1274" s="34">
        <f t="shared" si="1072"/>
        <v>0</v>
      </c>
      <c r="AC1274" s="34">
        <f t="shared" si="1073"/>
        <v>0</v>
      </c>
      <c r="AD1274" s="34">
        <f t="shared" si="1074"/>
        <v>0</v>
      </c>
      <c r="AE1274" s="34">
        <f t="shared" si="1075"/>
        <v>0</v>
      </c>
      <c r="AF1274" s="34">
        <f t="shared" si="1076"/>
        <v>0</v>
      </c>
      <c r="AG1274" s="34">
        <f t="shared" si="1077"/>
        <v>0</v>
      </c>
      <c r="AH1274" s="34">
        <f t="shared" si="1078"/>
        <v>0</v>
      </c>
      <c r="AI1274" s="27" t="s">
        <v>3650</v>
      </c>
      <c r="AJ1274" s="18">
        <f t="shared" si="1079"/>
        <v>0</v>
      </c>
      <c r="AK1274" s="18">
        <f t="shared" si="1080"/>
        <v>0</v>
      </c>
      <c r="AL1274" s="18">
        <f t="shared" si="1081"/>
        <v>0</v>
      </c>
      <c r="AN1274" s="34">
        <v>21</v>
      </c>
      <c r="AO1274" s="34">
        <f t="shared" si="1082"/>
        <v>0</v>
      </c>
      <c r="AP1274" s="34">
        <f t="shared" si="1083"/>
        <v>0</v>
      </c>
      <c r="AQ1274" s="28" t="s">
        <v>13</v>
      </c>
      <c r="AV1274" s="34">
        <f t="shared" si="1084"/>
        <v>0</v>
      </c>
      <c r="AW1274" s="34">
        <f t="shared" si="1085"/>
        <v>0</v>
      </c>
      <c r="AX1274" s="34">
        <f t="shared" si="1086"/>
        <v>0</v>
      </c>
      <c r="AY1274" s="35" t="s">
        <v>3678</v>
      </c>
      <c r="AZ1274" s="35" t="s">
        <v>3727</v>
      </c>
      <c r="BA1274" s="27" t="s">
        <v>3734</v>
      </c>
      <c r="BC1274" s="34">
        <f t="shared" si="1087"/>
        <v>0</v>
      </c>
      <c r="BD1274" s="34">
        <f t="shared" si="1088"/>
        <v>0</v>
      </c>
      <c r="BE1274" s="34">
        <v>0</v>
      </c>
      <c r="BF1274" s="34">
        <f>1273</f>
        <v>1273</v>
      </c>
      <c r="BH1274" s="18">
        <f t="shared" si="1089"/>
        <v>0</v>
      </c>
      <c r="BI1274" s="18">
        <f t="shared" si="1090"/>
        <v>0</v>
      </c>
      <c r="BJ1274" s="18">
        <f t="shared" si="1091"/>
        <v>0</v>
      </c>
    </row>
    <row r="1275" spans="1:62" x14ac:dyDescent="0.2">
      <c r="A1275" s="74" t="s">
        <v>1199</v>
      </c>
      <c r="B1275" s="5" t="s">
        <v>2375</v>
      </c>
      <c r="C1275" s="135" t="s">
        <v>3579</v>
      </c>
      <c r="D1275" s="136"/>
      <c r="E1275" s="136"/>
      <c r="F1275" s="136"/>
      <c r="G1275" s="136"/>
      <c r="H1275" s="5" t="s">
        <v>3612</v>
      </c>
      <c r="I1275" s="18">
        <v>1</v>
      </c>
      <c r="J1275" s="18">
        <v>0</v>
      </c>
      <c r="K1275" s="18">
        <f t="shared" si="1070"/>
        <v>0</v>
      </c>
      <c r="L1275" s="28" t="s">
        <v>3635</v>
      </c>
      <c r="Z1275" s="34">
        <f t="shared" si="1071"/>
        <v>0</v>
      </c>
      <c r="AB1275" s="34">
        <f t="shared" si="1072"/>
        <v>0</v>
      </c>
      <c r="AC1275" s="34">
        <f t="shared" si="1073"/>
        <v>0</v>
      </c>
      <c r="AD1275" s="34">
        <f t="shared" si="1074"/>
        <v>0</v>
      </c>
      <c r="AE1275" s="34">
        <f t="shared" si="1075"/>
        <v>0</v>
      </c>
      <c r="AF1275" s="34">
        <f t="shared" si="1076"/>
        <v>0</v>
      </c>
      <c r="AG1275" s="34">
        <f t="shared" si="1077"/>
        <v>0</v>
      </c>
      <c r="AH1275" s="34">
        <f t="shared" si="1078"/>
        <v>0</v>
      </c>
      <c r="AI1275" s="27" t="s">
        <v>3650</v>
      </c>
      <c r="AJ1275" s="18">
        <f t="shared" si="1079"/>
        <v>0</v>
      </c>
      <c r="AK1275" s="18">
        <f t="shared" si="1080"/>
        <v>0</v>
      </c>
      <c r="AL1275" s="18">
        <f t="shared" si="1081"/>
        <v>0</v>
      </c>
      <c r="AN1275" s="34">
        <v>21</v>
      </c>
      <c r="AO1275" s="34">
        <f t="shared" si="1082"/>
        <v>0</v>
      </c>
      <c r="AP1275" s="34">
        <f t="shared" si="1083"/>
        <v>0</v>
      </c>
      <c r="AQ1275" s="28" t="s">
        <v>13</v>
      </c>
      <c r="AV1275" s="34">
        <f t="shared" si="1084"/>
        <v>0</v>
      </c>
      <c r="AW1275" s="34">
        <f t="shared" si="1085"/>
        <v>0</v>
      </c>
      <c r="AX1275" s="34">
        <f t="shared" si="1086"/>
        <v>0</v>
      </c>
      <c r="AY1275" s="35" t="s">
        <v>3678</v>
      </c>
      <c r="AZ1275" s="35" t="s">
        <v>3727</v>
      </c>
      <c r="BA1275" s="27" t="s">
        <v>3734</v>
      </c>
      <c r="BC1275" s="34">
        <f t="shared" si="1087"/>
        <v>0</v>
      </c>
      <c r="BD1275" s="34">
        <f t="shared" si="1088"/>
        <v>0</v>
      </c>
      <c r="BE1275" s="34">
        <v>0</v>
      </c>
      <c r="BF1275" s="34">
        <f>1274</f>
        <v>1274</v>
      </c>
      <c r="BH1275" s="18">
        <f t="shared" si="1089"/>
        <v>0</v>
      </c>
      <c r="BI1275" s="18">
        <f t="shared" si="1090"/>
        <v>0</v>
      </c>
      <c r="BJ1275" s="18">
        <f t="shared" si="1091"/>
        <v>0</v>
      </c>
    </row>
    <row r="1276" spans="1:62" x14ac:dyDescent="0.2">
      <c r="A1276" s="74" t="s">
        <v>1200</v>
      </c>
      <c r="B1276" s="5" t="s">
        <v>2376</v>
      </c>
      <c r="C1276" s="135" t="s">
        <v>3580</v>
      </c>
      <c r="D1276" s="136"/>
      <c r="E1276" s="136"/>
      <c r="F1276" s="136"/>
      <c r="G1276" s="136"/>
      <c r="H1276" s="5" t="s">
        <v>3612</v>
      </c>
      <c r="I1276" s="18">
        <v>6</v>
      </c>
      <c r="J1276" s="18">
        <v>0</v>
      </c>
      <c r="K1276" s="18">
        <f t="shared" si="1070"/>
        <v>0</v>
      </c>
      <c r="L1276" s="28" t="s">
        <v>3635</v>
      </c>
      <c r="Z1276" s="34">
        <f t="shared" si="1071"/>
        <v>0</v>
      </c>
      <c r="AB1276" s="34">
        <f t="shared" si="1072"/>
        <v>0</v>
      </c>
      <c r="AC1276" s="34">
        <f t="shared" si="1073"/>
        <v>0</v>
      </c>
      <c r="AD1276" s="34">
        <f t="shared" si="1074"/>
        <v>0</v>
      </c>
      <c r="AE1276" s="34">
        <f t="shared" si="1075"/>
        <v>0</v>
      </c>
      <c r="AF1276" s="34">
        <f t="shared" si="1076"/>
        <v>0</v>
      </c>
      <c r="AG1276" s="34">
        <f t="shared" si="1077"/>
        <v>0</v>
      </c>
      <c r="AH1276" s="34">
        <f t="shared" si="1078"/>
        <v>0</v>
      </c>
      <c r="AI1276" s="27" t="s">
        <v>3650</v>
      </c>
      <c r="AJ1276" s="18">
        <f t="shared" si="1079"/>
        <v>0</v>
      </c>
      <c r="AK1276" s="18">
        <f t="shared" si="1080"/>
        <v>0</v>
      </c>
      <c r="AL1276" s="18">
        <f t="shared" si="1081"/>
        <v>0</v>
      </c>
      <c r="AN1276" s="34">
        <v>21</v>
      </c>
      <c r="AO1276" s="34">
        <f t="shared" si="1082"/>
        <v>0</v>
      </c>
      <c r="AP1276" s="34">
        <f t="shared" si="1083"/>
        <v>0</v>
      </c>
      <c r="AQ1276" s="28" t="s">
        <v>13</v>
      </c>
      <c r="AV1276" s="34">
        <f t="shared" si="1084"/>
        <v>0</v>
      </c>
      <c r="AW1276" s="34">
        <f t="shared" si="1085"/>
        <v>0</v>
      </c>
      <c r="AX1276" s="34">
        <f t="shared" si="1086"/>
        <v>0</v>
      </c>
      <c r="AY1276" s="35" t="s">
        <v>3678</v>
      </c>
      <c r="AZ1276" s="35" t="s">
        <v>3727</v>
      </c>
      <c r="BA1276" s="27" t="s">
        <v>3734</v>
      </c>
      <c r="BC1276" s="34">
        <f t="shared" si="1087"/>
        <v>0</v>
      </c>
      <c r="BD1276" s="34">
        <f t="shared" si="1088"/>
        <v>0</v>
      </c>
      <c r="BE1276" s="34">
        <v>0</v>
      </c>
      <c r="BF1276" s="34">
        <f>1275</f>
        <v>1275</v>
      </c>
      <c r="BH1276" s="18">
        <f t="shared" si="1089"/>
        <v>0</v>
      </c>
      <c r="BI1276" s="18">
        <f t="shared" si="1090"/>
        <v>0</v>
      </c>
      <c r="BJ1276" s="18">
        <f t="shared" si="1091"/>
        <v>0</v>
      </c>
    </row>
    <row r="1277" spans="1:62" x14ac:dyDescent="0.2">
      <c r="A1277" s="74" t="s">
        <v>1201</v>
      </c>
      <c r="B1277" s="5" t="s">
        <v>2377</v>
      </c>
      <c r="C1277" s="135" t="s">
        <v>3581</v>
      </c>
      <c r="D1277" s="136"/>
      <c r="E1277" s="136"/>
      <c r="F1277" s="136"/>
      <c r="G1277" s="136"/>
      <c r="H1277" s="5" t="s">
        <v>3612</v>
      </c>
      <c r="I1277" s="18">
        <v>37</v>
      </c>
      <c r="J1277" s="18">
        <v>0</v>
      </c>
      <c r="K1277" s="18">
        <f t="shared" si="1070"/>
        <v>0</v>
      </c>
      <c r="L1277" s="28" t="s">
        <v>3635</v>
      </c>
      <c r="Z1277" s="34">
        <f t="shared" si="1071"/>
        <v>0</v>
      </c>
      <c r="AB1277" s="34">
        <f t="shared" si="1072"/>
        <v>0</v>
      </c>
      <c r="AC1277" s="34">
        <f t="shared" si="1073"/>
        <v>0</v>
      </c>
      <c r="AD1277" s="34">
        <f t="shared" si="1074"/>
        <v>0</v>
      </c>
      <c r="AE1277" s="34">
        <f t="shared" si="1075"/>
        <v>0</v>
      </c>
      <c r="AF1277" s="34">
        <f t="shared" si="1076"/>
        <v>0</v>
      </c>
      <c r="AG1277" s="34">
        <f t="shared" si="1077"/>
        <v>0</v>
      </c>
      <c r="AH1277" s="34">
        <f t="shared" si="1078"/>
        <v>0</v>
      </c>
      <c r="AI1277" s="27" t="s">
        <v>3650</v>
      </c>
      <c r="AJ1277" s="18">
        <f t="shared" si="1079"/>
        <v>0</v>
      </c>
      <c r="AK1277" s="18">
        <f t="shared" si="1080"/>
        <v>0</v>
      </c>
      <c r="AL1277" s="18">
        <f t="shared" si="1081"/>
        <v>0</v>
      </c>
      <c r="AN1277" s="34">
        <v>21</v>
      </c>
      <c r="AO1277" s="34">
        <f t="shared" si="1082"/>
        <v>0</v>
      </c>
      <c r="AP1277" s="34">
        <f t="shared" si="1083"/>
        <v>0</v>
      </c>
      <c r="AQ1277" s="28" t="s">
        <v>13</v>
      </c>
      <c r="AV1277" s="34">
        <f t="shared" si="1084"/>
        <v>0</v>
      </c>
      <c r="AW1277" s="34">
        <f t="shared" si="1085"/>
        <v>0</v>
      </c>
      <c r="AX1277" s="34">
        <f t="shared" si="1086"/>
        <v>0</v>
      </c>
      <c r="AY1277" s="35" t="s">
        <v>3678</v>
      </c>
      <c r="AZ1277" s="35" t="s">
        <v>3727</v>
      </c>
      <c r="BA1277" s="27" t="s">
        <v>3734</v>
      </c>
      <c r="BC1277" s="34">
        <f t="shared" si="1087"/>
        <v>0</v>
      </c>
      <c r="BD1277" s="34">
        <f t="shared" si="1088"/>
        <v>0</v>
      </c>
      <c r="BE1277" s="34">
        <v>0</v>
      </c>
      <c r="BF1277" s="34">
        <f>1276</f>
        <v>1276</v>
      </c>
      <c r="BH1277" s="18">
        <f t="shared" si="1089"/>
        <v>0</v>
      </c>
      <c r="BI1277" s="18">
        <f t="shared" si="1090"/>
        <v>0</v>
      </c>
      <c r="BJ1277" s="18">
        <f t="shared" si="1091"/>
        <v>0</v>
      </c>
    </row>
    <row r="1278" spans="1:62" x14ac:dyDescent="0.2">
      <c r="A1278" s="74" t="s">
        <v>1202</v>
      </c>
      <c r="B1278" s="5" t="s">
        <v>2378</v>
      </c>
      <c r="C1278" s="135" t="s">
        <v>3582</v>
      </c>
      <c r="D1278" s="136"/>
      <c r="E1278" s="136"/>
      <c r="F1278" s="136"/>
      <c r="G1278" s="136"/>
      <c r="H1278" s="5" t="s">
        <v>3612</v>
      </c>
      <c r="I1278" s="18">
        <v>2</v>
      </c>
      <c r="J1278" s="18">
        <v>0</v>
      </c>
      <c r="K1278" s="18">
        <f t="shared" si="1070"/>
        <v>0</v>
      </c>
      <c r="L1278" s="28" t="s">
        <v>3635</v>
      </c>
      <c r="Z1278" s="34">
        <f t="shared" si="1071"/>
        <v>0</v>
      </c>
      <c r="AB1278" s="34">
        <f t="shared" si="1072"/>
        <v>0</v>
      </c>
      <c r="AC1278" s="34">
        <f t="shared" si="1073"/>
        <v>0</v>
      </c>
      <c r="AD1278" s="34">
        <f t="shared" si="1074"/>
        <v>0</v>
      </c>
      <c r="AE1278" s="34">
        <f t="shared" si="1075"/>
        <v>0</v>
      </c>
      <c r="AF1278" s="34">
        <f t="shared" si="1076"/>
        <v>0</v>
      </c>
      <c r="AG1278" s="34">
        <f t="shared" si="1077"/>
        <v>0</v>
      </c>
      <c r="AH1278" s="34">
        <f t="shared" si="1078"/>
        <v>0</v>
      </c>
      <c r="AI1278" s="27" t="s">
        <v>3650</v>
      </c>
      <c r="AJ1278" s="18">
        <f t="shared" si="1079"/>
        <v>0</v>
      </c>
      <c r="AK1278" s="18">
        <f t="shared" si="1080"/>
        <v>0</v>
      </c>
      <c r="AL1278" s="18">
        <f t="shared" si="1081"/>
        <v>0</v>
      </c>
      <c r="AN1278" s="34">
        <v>21</v>
      </c>
      <c r="AO1278" s="34">
        <f t="shared" si="1082"/>
        <v>0</v>
      </c>
      <c r="AP1278" s="34">
        <f t="shared" si="1083"/>
        <v>0</v>
      </c>
      <c r="AQ1278" s="28" t="s">
        <v>13</v>
      </c>
      <c r="AV1278" s="34">
        <f t="shared" si="1084"/>
        <v>0</v>
      </c>
      <c r="AW1278" s="34">
        <f t="shared" si="1085"/>
        <v>0</v>
      </c>
      <c r="AX1278" s="34">
        <f t="shared" si="1086"/>
        <v>0</v>
      </c>
      <c r="AY1278" s="35" t="s">
        <v>3678</v>
      </c>
      <c r="AZ1278" s="35" t="s">
        <v>3727</v>
      </c>
      <c r="BA1278" s="27" t="s">
        <v>3734</v>
      </c>
      <c r="BC1278" s="34">
        <f t="shared" si="1087"/>
        <v>0</v>
      </c>
      <c r="BD1278" s="34">
        <f t="shared" si="1088"/>
        <v>0</v>
      </c>
      <c r="BE1278" s="34">
        <v>0</v>
      </c>
      <c r="BF1278" s="34">
        <f>1277</f>
        <v>1277</v>
      </c>
      <c r="BH1278" s="18">
        <f t="shared" si="1089"/>
        <v>0</v>
      </c>
      <c r="BI1278" s="18">
        <f t="shared" si="1090"/>
        <v>0</v>
      </c>
      <c r="BJ1278" s="18">
        <f t="shared" si="1091"/>
        <v>0</v>
      </c>
    </row>
    <row r="1279" spans="1:62" x14ac:dyDescent="0.2">
      <c r="A1279" s="74" t="s">
        <v>1203</v>
      </c>
      <c r="B1279" s="5" t="s">
        <v>2379</v>
      </c>
      <c r="C1279" s="135" t="s">
        <v>3583</v>
      </c>
      <c r="D1279" s="136"/>
      <c r="E1279" s="136"/>
      <c r="F1279" s="136"/>
      <c r="G1279" s="136"/>
      <c r="H1279" s="5" t="s">
        <v>3612</v>
      </c>
      <c r="I1279" s="18">
        <v>2</v>
      </c>
      <c r="J1279" s="18">
        <v>0</v>
      </c>
      <c r="K1279" s="18">
        <f t="shared" si="1070"/>
        <v>0</v>
      </c>
      <c r="L1279" s="28" t="s">
        <v>3635</v>
      </c>
      <c r="Z1279" s="34">
        <f t="shared" si="1071"/>
        <v>0</v>
      </c>
      <c r="AB1279" s="34">
        <f t="shared" si="1072"/>
        <v>0</v>
      </c>
      <c r="AC1279" s="34">
        <f t="shared" si="1073"/>
        <v>0</v>
      </c>
      <c r="AD1279" s="34">
        <f t="shared" si="1074"/>
        <v>0</v>
      </c>
      <c r="AE1279" s="34">
        <f t="shared" si="1075"/>
        <v>0</v>
      </c>
      <c r="AF1279" s="34">
        <f t="shared" si="1076"/>
        <v>0</v>
      </c>
      <c r="AG1279" s="34">
        <f t="shared" si="1077"/>
        <v>0</v>
      </c>
      <c r="AH1279" s="34">
        <f t="shared" si="1078"/>
        <v>0</v>
      </c>
      <c r="AI1279" s="27" t="s">
        <v>3650</v>
      </c>
      <c r="AJ1279" s="18">
        <f t="shared" si="1079"/>
        <v>0</v>
      </c>
      <c r="AK1279" s="18">
        <f t="shared" si="1080"/>
        <v>0</v>
      </c>
      <c r="AL1279" s="18">
        <f t="shared" si="1081"/>
        <v>0</v>
      </c>
      <c r="AN1279" s="34">
        <v>21</v>
      </c>
      <c r="AO1279" s="34">
        <f t="shared" si="1082"/>
        <v>0</v>
      </c>
      <c r="AP1279" s="34">
        <f t="shared" si="1083"/>
        <v>0</v>
      </c>
      <c r="AQ1279" s="28" t="s">
        <v>13</v>
      </c>
      <c r="AV1279" s="34">
        <f t="shared" si="1084"/>
        <v>0</v>
      </c>
      <c r="AW1279" s="34">
        <f t="shared" si="1085"/>
        <v>0</v>
      </c>
      <c r="AX1279" s="34">
        <f t="shared" si="1086"/>
        <v>0</v>
      </c>
      <c r="AY1279" s="35" t="s">
        <v>3678</v>
      </c>
      <c r="AZ1279" s="35" t="s">
        <v>3727</v>
      </c>
      <c r="BA1279" s="27" t="s">
        <v>3734</v>
      </c>
      <c r="BC1279" s="34">
        <f t="shared" si="1087"/>
        <v>0</v>
      </c>
      <c r="BD1279" s="34">
        <f t="shared" si="1088"/>
        <v>0</v>
      </c>
      <c r="BE1279" s="34">
        <v>0</v>
      </c>
      <c r="BF1279" s="34">
        <f>1278</f>
        <v>1278</v>
      </c>
      <c r="BH1279" s="18">
        <f t="shared" si="1089"/>
        <v>0</v>
      </c>
      <c r="BI1279" s="18">
        <f t="shared" si="1090"/>
        <v>0</v>
      </c>
      <c r="BJ1279" s="18">
        <f t="shared" si="1091"/>
        <v>0</v>
      </c>
    </row>
    <row r="1280" spans="1:62" x14ac:dyDescent="0.2">
      <c r="A1280" s="74" t="s">
        <v>1204</v>
      </c>
      <c r="B1280" s="5" t="s">
        <v>2380</v>
      </c>
      <c r="C1280" s="135" t="s">
        <v>3584</v>
      </c>
      <c r="D1280" s="136"/>
      <c r="E1280" s="136"/>
      <c r="F1280" s="136"/>
      <c r="G1280" s="136"/>
      <c r="H1280" s="5" t="s">
        <v>3612</v>
      </c>
      <c r="I1280" s="18">
        <v>4</v>
      </c>
      <c r="J1280" s="18">
        <v>0</v>
      </c>
      <c r="K1280" s="18">
        <f t="shared" si="1070"/>
        <v>0</v>
      </c>
      <c r="L1280" s="28" t="s">
        <v>3635</v>
      </c>
      <c r="Z1280" s="34">
        <f t="shared" si="1071"/>
        <v>0</v>
      </c>
      <c r="AB1280" s="34">
        <f t="shared" si="1072"/>
        <v>0</v>
      </c>
      <c r="AC1280" s="34">
        <f t="shared" si="1073"/>
        <v>0</v>
      </c>
      <c r="AD1280" s="34">
        <f t="shared" si="1074"/>
        <v>0</v>
      </c>
      <c r="AE1280" s="34">
        <f t="shared" si="1075"/>
        <v>0</v>
      </c>
      <c r="AF1280" s="34">
        <f t="shared" si="1076"/>
        <v>0</v>
      </c>
      <c r="AG1280" s="34">
        <f t="shared" si="1077"/>
        <v>0</v>
      </c>
      <c r="AH1280" s="34">
        <f t="shared" si="1078"/>
        <v>0</v>
      </c>
      <c r="AI1280" s="27" t="s">
        <v>3650</v>
      </c>
      <c r="AJ1280" s="18">
        <f t="shared" si="1079"/>
        <v>0</v>
      </c>
      <c r="AK1280" s="18">
        <f t="shared" si="1080"/>
        <v>0</v>
      </c>
      <c r="AL1280" s="18">
        <f t="shared" si="1081"/>
        <v>0</v>
      </c>
      <c r="AN1280" s="34">
        <v>21</v>
      </c>
      <c r="AO1280" s="34">
        <f t="shared" si="1082"/>
        <v>0</v>
      </c>
      <c r="AP1280" s="34">
        <f t="shared" si="1083"/>
        <v>0</v>
      </c>
      <c r="AQ1280" s="28" t="s">
        <v>13</v>
      </c>
      <c r="AV1280" s="34">
        <f t="shared" si="1084"/>
        <v>0</v>
      </c>
      <c r="AW1280" s="34">
        <f t="shared" si="1085"/>
        <v>0</v>
      </c>
      <c r="AX1280" s="34">
        <f t="shared" si="1086"/>
        <v>0</v>
      </c>
      <c r="AY1280" s="35" t="s">
        <v>3678</v>
      </c>
      <c r="AZ1280" s="35" t="s">
        <v>3727</v>
      </c>
      <c r="BA1280" s="27" t="s">
        <v>3734</v>
      </c>
      <c r="BC1280" s="34">
        <f t="shared" si="1087"/>
        <v>0</v>
      </c>
      <c r="BD1280" s="34">
        <f t="shared" si="1088"/>
        <v>0</v>
      </c>
      <c r="BE1280" s="34">
        <v>0</v>
      </c>
      <c r="BF1280" s="34">
        <f>1279</f>
        <v>1279</v>
      </c>
      <c r="BH1280" s="18">
        <f t="shared" si="1089"/>
        <v>0</v>
      </c>
      <c r="BI1280" s="18">
        <f t="shared" si="1090"/>
        <v>0</v>
      </c>
      <c r="BJ1280" s="18">
        <f t="shared" si="1091"/>
        <v>0</v>
      </c>
    </row>
    <row r="1281" spans="1:62" x14ac:dyDescent="0.2">
      <c r="A1281" s="74" t="s">
        <v>1205</v>
      </c>
      <c r="B1281" s="5" t="s">
        <v>2381</v>
      </c>
      <c r="C1281" s="135" t="s">
        <v>3585</v>
      </c>
      <c r="D1281" s="136"/>
      <c r="E1281" s="136"/>
      <c r="F1281" s="136"/>
      <c r="G1281" s="136"/>
      <c r="H1281" s="5" t="s">
        <v>3618</v>
      </c>
      <c r="I1281" s="18">
        <v>1</v>
      </c>
      <c r="J1281" s="18">
        <v>0</v>
      </c>
      <c r="K1281" s="18">
        <f t="shared" si="1070"/>
        <v>0</v>
      </c>
      <c r="L1281" s="28" t="s">
        <v>3635</v>
      </c>
      <c r="Z1281" s="34">
        <f t="shared" si="1071"/>
        <v>0</v>
      </c>
      <c r="AB1281" s="34">
        <f t="shared" si="1072"/>
        <v>0</v>
      </c>
      <c r="AC1281" s="34">
        <f t="shared" si="1073"/>
        <v>0</v>
      </c>
      <c r="AD1281" s="34">
        <f t="shared" si="1074"/>
        <v>0</v>
      </c>
      <c r="AE1281" s="34">
        <f t="shared" si="1075"/>
        <v>0</v>
      </c>
      <c r="AF1281" s="34">
        <f t="shared" si="1076"/>
        <v>0</v>
      </c>
      <c r="AG1281" s="34">
        <f t="shared" si="1077"/>
        <v>0</v>
      </c>
      <c r="AH1281" s="34">
        <f t="shared" si="1078"/>
        <v>0</v>
      </c>
      <c r="AI1281" s="27" t="s">
        <v>3650</v>
      </c>
      <c r="AJ1281" s="18">
        <f t="shared" si="1079"/>
        <v>0</v>
      </c>
      <c r="AK1281" s="18">
        <f t="shared" si="1080"/>
        <v>0</v>
      </c>
      <c r="AL1281" s="18">
        <f t="shared" si="1081"/>
        <v>0</v>
      </c>
      <c r="AN1281" s="34">
        <v>21</v>
      </c>
      <c r="AO1281" s="34">
        <f t="shared" si="1082"/>
        <v>0</v>
      </c>
      <c r="AP1281" s="34">
        <f t="shared" si="1083"/>
        <v>0</v>
      </c>
      <c r="AQ1281" s="28" t="s">
        <v>13</v>
      </c>
      <c r="AV1281" s="34">
        <f t="shared" si="1084"/>
        <v>0</v>
      </c>
      <c r="AW1281" s="34">
        <f t="shared" si="1085"/>
        <v>0</v>
      </c>
      <c r="AX1281" s="34">
        <f t="shared" si="1086"/>
        <v>0</v>
      </c>
      <c r="AY1281" s="35" t="s">
        <v>3678</v>
      </c>
      <c r="AZ1281" s="35" t="s">
        <v>3727</v>
      </c>
      <c r="BA1281" s="27" t="s">
        <v>3734</v>
      </c>
      <c r="BC1281" s="34">
        <f t="shared" si="1087"/>
        <v>0</v>
      </c>
      <c r="BD1281" s="34">
        <f t="shared" si="1088"/>
        <v>0</v>
      </c>
      <c r="BE1281" s="34">
        <v>0</v>
      </c>
      <c r="BF1281" s="34">
        <f>1280</f>
        <v>1280</v>
      </c>
      <c r="BH1281" s="18">
        <f t="shared" si="1089"/>
        <v>0</v>
      </c>
      <c r="BI1281" s="18">
        <f t="shared" si="1090"/>
        <v>0</v>
      </c>
      <c r="BJ1281" s="18">
        <f t="shared" si="1091"/>
        <v>0</v>
      </c>
    </row>
    <row r="1282" spans="1:62" x14ac:dyDescent="0.2">
      <c r="A1282" s="74" t="s">
        <v>1206</v>
      </c>
      <c r="B1282" s="5" t="s">
        <v>2382</v>
      </c>
      <c r="C1282" s="135" t="s">
        <v>3586</v>
      </c>
      <c r="D1282" s="136"/>
      <c r="E1282" s="136"/>
      <c r="F1282" s="136"/>
      <c r="G1282" s="136"/>
      <c r="H1282" s="5" t="s">
        <v>3618</v>
      </c>
      <c r="I1282" s="18">
        <v>1</v>
      </c>
      <c r="J1282" s="18">
        <v>0</v>
      </c>
      <c r="K1282" s="18">
        <f t="shared" si="1070"/>
        <v>0</v>
      </c>
      <c r="L1282" s="28" t="s">
        <v>3635</v>
      </c>
      <c r="Z1282" s="34">
        <f t="shared" si="1071"/>
        <v>0</v>
      </c>
      <c r="AB1282" s="34">
        <f t="shared" si="1072"/>
        <v>0</v>
      </c>
      <c r="AC1282" s="34">
        <f t="shared" si="1073"/>
        <v>0</v>
      </c>
      <c r="AD1282" s="34">
        <f t="shared" si="1074"/>
        <v>0</v>
      </c>
      <c r="AE1282" s="34">
        <f t="shared" si="1075"/>
        <v>0</v>
      </c>
      <c r="AF1282" s="34">
        <f t="shared" si="1076"/>
        <v>0</v>
      </c>
      <c r="AG1282" s="34">
        <f t="shared" si="1077"/>
        <v>0</v>
      </c>
      <c r="AH1282" s="34">
        <f t="shared" si="1078"/>
        <v>0</v>
      </c>
      <c r="AI1282" s="27" t="s">
        <v>3650</v>
      </c>
      <c r="AJ1282" s="18">
        <f t="shared" si="1079"/>
        <v>0</v>
      </c>
      <c r="AK1282" s="18">
        <f t="shared" si="1080"/>
        <v>0</v>
      </c>
      <c r="AL1282" s="18">
        <f t="shared" si="1081"/>
        <v>0</v>
      </c>
      <c r="AN1282" s="34">
        <v>21</v>
      </c>
      <c r="AO1282" s="34">
        <f t="shared" si="1082"/>
        <v>0</v>
      </c>
      <c r="AP1282" s="34">
        <f t="shared" si="1083"/>
        <v>0</v>
      </c>
      <c r="AQ1282" s="28" t="s">
        <v>13</v>
      </c>
      <c r="AV1282" s="34">
        <f t="shared" si="1084"/>
        <v>0</v>
      </c>
      <c r="AW1282" s="34">
        <f t="shared" si="1085"/>
        <v>0</v>
      </c>
      <c r="AX1282" s="34">
        <f t="shared" si="1086"/>
        <v>0</v>
      </c>
      <c r="AY1282" s="35" t="s">
        <v>3678</v>
      </c>
      <c r="AZ1282" s="35" t="s">
        <v>3727</v>
      </c>
      <c r="BA1282" s="27" t="s">
        <v>3734</v>
      </c>
      <c r="BC1282" s="34">
        <f t="shared" si="1087"/>
        <v>0</v>
      </c>
      <c r="BD1282" s="34">
        <f t="shared" si="1088"/>
        <v>0</v>
      </c>
      <c r="BE1282" s="34">
        <v>0</v>
      </c>
      <c r="BF1282" s="34">
        <f>1281</f>
        <v>1281</v>
      </c>
      <c r="BH1282" s="18">
        <f t="shared" si="1089"/>
        <v>0</v>
      </c>
      <c r="BI1282" s="18">
        <f t="shared" si="1090"/>
        <v>0</v>
      </c>
      <c r="BJ1282" s="18">
        <f t="shared" si="1091"/>
        <v>0</v>
      </c>
    </row>
    <row r="1283" spans="1:62" x14ac:dyDescent="0.2">
      <c r="A1283" s="74" t="s">
        <v>1207</v>
      </c>
      <c r="B1283" s="5" t="s">
        <v>2383</v>
      </c>
      <c r="C1283" s="135" t="s">
        <v>3587</v>
      </c>
      <c r="D1283" s="136"/>
      <c r="E1283" s="136"/>
      <c r="F1283" s="136"/>
      <c r="G1283" s="136"/>
      <c r="H1283" s="5" t="s">
        <v>3618</v>
      </c>
      <c r="I1283" s="18">
        <v>1</v>
      </c>
      <c r="J1283" s="18">
        <v>0</v>
      </c>
      <c r="K1283" s="18">
        <f t="shared" si="1070"/>
        <v>0</v>
      </c>
      <c r="L1283" s="28" t="s">
        <v>3635</v>
      </c>
      <c r="Z1283" s="34">
        <f t="shared" si="1071"/>
        <v>0</v>
      </c>
      <c r="AB1283" s="34">
        <f t="shared" si="1072"/>
        <v>0</v>
      </c>
      <c r="AC1283" s="34">
        <f t="shared" si="1073"/>
        <v>0</v>
      </c>
      <c r="AD1283" s="34">
        <f t="shared" si="1074"/>
        <v>0</v>
      </c>
      <c r="AE1283" s="34">
        <f t="shared" si="1075"/>
        <v>0</v>
      </c>
      <c r="AF1283" s="34">
        <f t="shared" si="1076"/>
        <v>0</v>
      </c>
      <c r="AG1283" s="34">
        <f t="shared" si="1077"/>
        <v>0</v>
      </c>
      <c r="AH1283" s="34">
        <f t="shared" si="1078"/>
        <v>0</v>
      </c>
      <c r="AI1283" s="27" t="s">
        <v>3650</v>
      </c>
      <c r="AJ1283" s="18">
        <f t="shared" si="1079"/>
        <v>0</v>
      </c>
      <c r="AK1283" s="18">
        <f t="shared" si="1080"/>
        <v>0</v>
      </c>
      <c r="AL1283" s="18">
        <f t="shared" si="1081"/>
        <v>0</v>
      </c>
      <c r="AN1283" s="34">
        <v>21</v>
      </c>
      <c r="AO1283" s="34">
        <f t="shared" si="1082"/>
        <v>0</v>
      </c>
      <c r="AP1283" s="34">
        <f t="shared" si="1083"/>
        <v>0</v>
      </c>
      <c r="AQ1283" s="28" t="s">
        <v>13</v>
      </c>
      <c r="AV1283" s="34">
        <f t="shared" si="1084"/>
        <v>0</v>
      </c>
      <c r="AW1283" s="34">
        <f t="shared" si="1085"/>
        <v>0</v>
      </c>
      <c r="AX1283" s="34">
        <f t="shared" si="1086"/>
        <v>0</v>
      </c>
      <c r="AY1283" s="35" t="s">
        <v>3678</v>
      </c>
      <c r="AZ1283" s="35" t="s">
        <v>3727</v>
      </c>
      <c r="BA1283" s="27" t="s">
        <v>3734</v>
      </c>
      <c r="BC1283" s="34">
        <f t="shared" si="1087"/>
        <v>0</v>
      </c>
      <c r="BD1283" s="34">
        <f t="shared" si="1088"/>
        <v>0</v>
      </c>
      <c r="BE1283" s="34">
        <v>0</v>
      </c>
      <c r="BF1283" s="34">
        <f>1282</f>
        <v>1282</v>
      </c>
      <c r="BH1283" s="18">
        <f t="shared" si="1089"/>
        <v>0</v>
      </c>
      <c r="BI1283" s="18">
        <f t="shared" si="1090"/>
        <v>0</v>
      </c>
      <c r="BJ1283" s="18">
        <f t="shared" si="1091"/>
        <v>0</v>
      </c>
    </row>
    <row r="1284" spans="1:62" x14ac:dyDescent="0.2">
      <c r="A1284" s="74" t="s">
        <v>1208</v>
      </c>
      <c r="B1284" s="5" t="s">
        <v>2384</v>
      </c>
      <c r="C1284" s="135" t="s">
        <v>3588</v>
      </c>
      <c r="D1284" s="136"/>
      <c r="E1284" s="136"/>
      <c r="F1284" s="136"/>
      <c r="G1284" s="136"/>
      <c r="H1284" s="5" t="s">
        <v>3618</v>
      </c>
      <c r="I1284" s="18">
        <v>1</v>
      </c>
      <c r="J1284" s="18">
        <v>0</v>
      </c>
      <c r="K1284" s="18">
        <f t="shared" si="1070"/>
        <v>0</v>
      </c>
      <c r="L1284" s="28" t="s">
        <v>3635</v>
      </c>
      <c r="Z1284" s="34">
        <f t="shared" si="1071"/>
        <v>0</v>
      </c>
      <c r="AB1284" s="34">
        <f t="shared" si="1072"/>
        <v>0</v>
      </c>
      <c r="AC1284" s="34">
        <f t="shared" si="1073"/>
        <v>0</v>
      </c>
      <c r="AD1284" s="34">
        <f t="shared" si="1074"/>
        <v>0</v>
      </c>
      <c r="AE1284" s="34">
        <f t="shared" si="1075"/>
        <v>0</v>
      </c>
      <c r="AF1284" s="34">
        <f t="shared" si="1076"/>
        <v>0</v>
      </c>
      <c r="AG1284" s="34">
        <f t="shared" si="1077"/>
        <v>0</v>
      </c>
      <c r="AH1284" s="34">
        <f t="shared" si="1078"/>
        <v>0</v>
      </c>
      <c r="AI1284" s="27" t="s">
        <v>3650</v>
      </c>
      <c r="AJ1284" s="18">
        <f t="shared" si="1079"/>
        <v>0</v>
      </c>
      <c r="AK1284" s="18">
        <f t="shared" si="1080"/>
        <v>0</v>
      </c>
      <c r="AL1284" s="18">
        <f t="shared" si="1081"/>
        <v>0</v>
      </c>
      <c r="AN1284" s="34">
        <v>21</v>
      </c>
      <c r="AO1284" s="34">
        <f t="shared" si="1082"/>
        <v>0</v>
      </c>
      <c r="AP1284" s="34">
        <f t="shared" si="1083"/>
        <v>0</v>
      </c>
      <c r="AQ1284" s="28" t="s">
        <v>13</v>
      </c>
      <c r="AV1284" s="34">
        <f t="shared" si="1084"/>
        <v>0</v>
      </c>
      <c r="AW1284" s="34">
        <f t="shared" si="1085"/>
        <v>0</v>
      </c>
      <c r="AX1284" s="34">
        <f t="shared" si="1086"/>
        <v>0</v>
      </c>
      <c r="AY1284" s="35" t="s">
        <v>3678</v>
      </c>
      <c r="AZ1284" s="35" t="s">
        <v>3727</v>
      </c>
      <c r="BA1284" s="27" t="s">
        <v>3734</v>
      </c>
      <c r="BC1284" s="34">
        <f t="shared" si="1087"/>
        <v>0</v>
      </c>
      <c r="BD1284" s="34">
        <f t="shared" si="1088"/>
        <v>0</v>
      </c>
      <c r="BE1284" s="34">
        <v>0</v>
      </c>
      <c r="BF1284" s="34">
        <f>1283</f>
        <v>1283</v>
      </c>
      <c r="BH1284" s="18">
        <f t="shared" si="1089"/>
        <v>0</v>
      </c>
      <c r="BI1284" s="18">
        <f t="shared" si="1090"/>
        <v>0</v>
      </c>
      <c r="BJ1284" s="18">
        <f t="shared" si="1091"/>
        <v>0</v>
      </c>
    </row>
    <row r="1285" spans="1:62" x14ac:dyDescent="0.2">
      <c r="A1285" s="74" t="s">
        <v>1209</v>
      </c>
      <c r="B1285" s="5" t="s">
        <v>2385</v>
      </c>
      <c r="C1285" s="135" t="s">
        <v>2792</v>
      </c>
      <c r="D1285" s="136"/>
      <c r="E1285" s="136"/>
      <c r="F1285" s="136"/>
      <c r="G1285" s="136"/>
      <c r="H1285" s="5" t="s">
        <v>3619</v>
      </c>
      <c r="I1285" s="18">
        <v>3</v>
      </c>
      <c r="J1285" s="18">
        <v>0</v>
      </c>
      <c r="K1285" s="18">
        <f t="shared" si="1070"/>
        <v>0</v>
      </c>
      <c r="L1285" s="28" t="s">
        <v>3635</v>
      </c>
      <c r="Z1285" s="34">
        <f t="shared" si="1071"/>
        <v>0</v>
      </c>
      <c r="AB1285" s="34">
        <f t="shared" si="1072"/>
        <v>0</v>
      </c>
      <c r="AC1285" s="34">
        <f t="shared" si="1073"/>
        <v>0</v>
      </c>
      <c r="AD1285" s="34">
        <f t="shared" si="1074"/>
        <v>0</v>
      </c>
      <c r="AE1285" s="34">
        <f t="shared" si="1075"/>
        <v>0</v>
      </c>
      <c r="AF1285" s="34">
        <f t="shared" si="1076"/>
        <v>0</v>
      </c>
      <c r="AG1285" s="34">
        <f t="shared" si="1077"/>
        <v>0</v>
      </c>
      <c r="AH1285" s="34">
        <f t="shared" si="1078"/>
        <v>0</v>
      </c>
      <c r="AI1285" s="27" t="s">
        <v>3650</v>
      </c>
      <c r="AJ1285" s="18">
        <f t="shared" si="1079"/>
        <v>0</v>
      </c>
      <c r="AK1285" s="18">
        <f t="shared" si="1080"/>
        <v>0</v>
      </c>
      <c r="AL1285" s="18">
        <f t="shared" si="1081"/>
        <v>0</v>
      </c>
      <c r="AN1285" s="34">
        <v>21</v>
      </c>
      <c r="AO1285" s="34">
        <f t="shared" si="1082"/>
        <v>0</v>
      </c>
      <c r="AP1285" s="34">
        <f t="shared" si="1083"/>
        <v>0</v>
      </c>
      <c r="AQ1285" s="28" t="s">
        <v>13</v>
      </c>
      <c r="AV1285" s="34">
        <f t="shared" si="1084"/>
        <v>0</v>
      </c>
      <c r="AW1285" s="34">
        <f t="shared" si="1085"/>
        <v>0</v>
      </c>
      <c r="AX1285" s="34">
        <f t="shared" si="1086"/>
        <v>0</v>
      </c>
      <c r="AY1285" s="35" t="s">
        <v>3678</v>
      </c>
      <c r="AZ1285" s="35" t="s">
        <v>3727</v>
      </c>
      <c r="BA1285" s="27" t="s">
        <v>3734</v>
      </c>
      <c r="BC1285" s="34">
        <f t="shared" si="1087"/>
        <v>0</v>
      </c>
      <c r="BD1285" s="34">
        <f t="shared" si="1088"/>
        <v>0</v>
      </c>
      <c r="BE1285" s="34">
        <v>0</v>
      </c>
      <c r="BF1285" s="34">
        <f>1284</f>
        <v>1284</v>
      </c>
      <c r="BH1285" s="18">
        <f t="shared" si="1089"/>
        <v>0</v>
      </c>
      <c r="BI1285" s="18">
        <f t="shared" si="1090"/>
        <v>0</v>
      </c>
      <c r="BJ1285" s="18">
        <f t="shared" si="1091"/>
        <v>0</v>
      </c>
    </row>
    <row r="1286" spans="1:62" x14ac:dyDescent="0.2">
      <c r="A1286" s="74" t="s">
        <v>1210</v>
      </c>
      <c r="B1286" s="5" t="s">
        <v>2386</v>
      </c>
      <c r="C1286" s="135" t="s">
        <v>3589</v>
      </c>
      <c r="D1286" s="136"/>
      <c r="E1286" s="136"/>
      <c r="F1286" s="136"/>
      <c r="G1286" s="136"/>
      <c r="H1286" s="5" t="s">
        <v>3614</v>
      </c>
      <c r="I1286" s="18">
        <v>150.5</v>
      </c>
      <c r="J1286" s="18">
        <v>0</v>
      </c>
      <c r="K1286" s="18">
        <f t="shared" si="1070"/>
        <v>0</v>
      </c>
      <c r="L1286" s="28" t="s">
        <v>3635</v>
      </c>
      <c r="Z1286" s="34">
        <f t="shared" si="1071"/>
        <v>0</v>
      </c>
      <c r="AB1286" s="34">
        <f t="shared" si="1072"/>
        <v>0</v>
      </c>
      <c r="AC1286" s="34">
        <f t="shared" si="1073"/>
        <v>0</v>
      </c>
      <c r="AD1286" s="34">
        <f t="shared" si="1074"/>
        <v>0</v>
      </c>
      <c r="AE1286" s="34">
        <f t="shared" si="1075"/>
        <v>0</v>
      </c>
      <c r="AF1286" s="34">
        <f t="shared" si="1076"/>
        <v>0</v>
      </c>
      <c r="AG1286" s="34">
        <f t="shared" si="1077"/>
        <v>0</v>
      </c>
      <c r="AH1286" s="34">
        <f t="shared" si="1078"/>
        <v>0</v>
      </c>
      <c r="AI1286" s="27" t="s">
        <v>3650</v>
      </c>
      <c r="AJ1286" s="18">
        <f t="shared" si="1079"/>
        <v>0</v>
      </c>
      <c r="AK1286" s="18">
        <f t="shared" si="1080"/>
        <v>0</v>
      </c>
      <c r="AL1286" s="18">
        <f t="shared" si="1081"/>
        <v>0</v>
      </c>
      <c r="AN1286" s="34">
        <v>21</v>
      </c>
      <c r="AO1286" s="34">
        <f t="shared" si="1082"/>
        <v>0</v>
      </c>
      <c r="AP1286" s="34">
        <f t="shared" si="1083"/>
        <v>0</v>
      </c>
      <c r="AQ1286" s="28" t="s">
        <v>13</v>
      </c>
      <c r="AV1286" s="34">
        <f t="shared" si="1084"/>
        <v>0</v>
      </c>
      <c r="AW1286" s="34">
        <f t="shared" si="1085"/>
        <v>0</v>
      </c>
      <c r="AX1286" s="34">
        <f t="shared" si="1086"/>
        <v>0</v>
      </c>
      <c r="AY1286" s="35" t="s">
        <v>3678</v>
      </c>
      <c r="AZ1286" s="35" t="s">
        <v>3727</v>
      </c>
      <c r="BA1286" s="27" t="s">
        <v>3734</v>
      </c>
      <c r="BC1286" s="34">
        <f t="shared" si="1087"/>
        <v>0</v>
      </c>
      <c r="BD1286" s="34">
        <f t="shared" si="1088"/>
        <v>0</v>
      </c>
      <c r="BE1286" s="34">
        <v>0</v>
      </c>
      <c r="BF1286" s="34">
        <f>1285</f>
        <v>1285</v>
      </c>
      <c r="BH1286" s="18">
        <f t="shared" si="1089"/>
        <v>0</v>
      </c>
      <c r="BI1286" s="18">
        <f t="shared" si="1090"/>
        <v>0</v>
      </c>
      <c r="BJ1286" s="18">
        <f t="shared" si="1091"/>
        <v>0</v>
      </c>
    </row>
    <row r="1287" spans="1:62" x14ac:dyDescent="0.2">
      <c r="A1287" s="74" t="s">
        <v>1211</v>
      </c>
      <c r="B1287" s="5" t="s">
        <v>2387</v>
      </c>
      <c r="C1287" s="135" t="s">
        <v>3590</v>
      </c>
      <c r="D1287" s="136"/>
      <c r="E1287" s="136"/>
      <c r="F1287" s="136"/>
      <c r="G1287" s="136"/>
      <c r="H1287" s="5" t="s">
        <v>3614</v>
      </c>
      <c r="I1287" s="18">
        <v>150.5</v>
      </c>
      <c r="J1287" s="18">
        <v>0</v>
      </c>
      <c r="K1287" s="18">
        <f t="shared" si="1070"/>
        <v>0</v>
      </c>
      <c r="L1287" s="28" t="s">
        <v>3635</v>
      </c>
      <c r="Z1287" s="34">
        <f t="shared" si="1071"/>
        <v>0</v>
      </c>
      <c r="AB1287" s="34">
        <f t="shared" si="1072"/>
        <v>0</v>
      </c>
      <c r="AC1287" s="34">
        <f t="shared" si="1073"/>
        <v>0</v>
      </c>
      <c r="AD1287" s="34">
        <f t="shared" si="1074"/>
        <v>0</v>
      </c>
      <c r="AE1287" s="34">
        <f t="shared" si="1075"/>
        <v>0</v>
      </c>
      <c r="AF1287" s="34">
        <f t="shared" si="1076"/>
        <v>0</v>
      </c>
      <c r="AG1287" s="34">
        <f t="shared" si="1077"/>
        <v>0</v>
      </c>
      <c r="AH1287" s="34">
        <f t="shared" si="1078"/>
        <v>0</v>
      </c>
      <c r="AI1287" s="27" t="s">
        <v>3650</v>
      </c>
      <c r="AJ1287" s="18">
        <f t="shared" si="1079"/>
        <v>0</v>
      </c>
      <c r="AK1287" s="18">
        <f t="shared" si="1080"/>
        <v>0</v>
      </c>
      <c r="AL1287" s="18">
        <f t="shared" si="1081"/>
        <v>0</v>
      </c>
      <c r="AN1287" s="34">
        <v>21</v>
      </c>
      <c r="AO1287" s="34">
        <f t="shared" si="1082"/>
        <v>0</v>
      </c>
      <c r="AP1287" s="34">
        <f t="shared" si="1083"/>
        <v>0</v>
      </c>
      <c r="AQ1287" s="28" t="s">
        <v>13</v>
      </c>
      <c r="AV1287" s="34">
        <f t="shared" si="1084"/>
        <v>0</v>
      </c>
      <c r="AW1287" s="34">
        <f t="shared" si="1085"/>
        <v>0</v>
      </c>
      <c r="AX1287" s="34">
        <f t="shared" si="1086"/>
        <v>0</v>
      </c>
      <c r="AY1287" s="35" t="s">
        <v>3678</v>
      </c>
      <c r="AZ1287" s="35" t="s">
        <v>3727</v>
      </c>
      <c r="BA1287" s="27" t="s">
        <v>3734</v>
      </c>
      <c r="BC1287" s="34">
        <f t="shared" si="1087"/>
        <v>0</v>
      </c>
      <c r="BD1287" s="34">
        <f t="shared" si="1088"/>
        <v>0</v>
      </c>
      <c r="BE1287" s="34">
        <v>0</v>
      </c>
      <c r="BF1287" s="34">
        <f>1286</f>
        <v>1286</v>
      </c>
      <c r="BH1287" s="18">
        <f t="shared" si="1089"/>
        <v>0</v>
      </c>
      <c r="BI1287" s="18">
        <f t="shared" si="1090"/>
        <v>0</v>
      </c>
      <c r="BJ1287" s="18">
        <f t="shared" si="1091"/>
        <v>0</v>
      </c>
    </row>
    <row r="1288" spans="1:62" x14ac:dyDescent="0.2">
      <c r="A1288" s="74" t="s">
        <v>1212</v>
      </c>
      <c r="B1288" s="5" t="s">
        <v>2388</v>
      </c>
      <c r="C1288" s="135" t="s">
        <v>3591</v>
      </c>
      <c r="D1288" s="136"/>
      <c r="E1288" s="136"/>
      <c r="F1288" s="136"/>
      <c r="G1288" s="136"/>
      <c r="H1288" s="5" t="s">
        <v>3614</v>
      </c>
      <c r="I1288" s="18">
        <v>150.5</v>
      </c>
      <c r="J1288" s="18">
        <v>0</v>
      </c>
      <c r="K1288" s="18">
        <f t="shared" si="1070"/>
        <v>0</v>
      </c>
      <c r="L1288" s="28" t="s">
        <v>3635</v>
      </c>
      <c r="Z1288" s="34">
        <f t="shared" si="1071"/>
        <v>0</v>
      </c>
      <c r="AB1288" s="34">
        <f t="shared" si="1072"/>
        <v>0</v>
      </c>
      <c r="AC1288" s="34">
        <f t="shared" si="1073"/>
        <v>0</v>
      </c>
      <c r="AD1288" s="34">
        <f t="shared" si="1074"/>
        <v>0</v>
      </c>
      <c r="AE1288" s="34">
        <f t="shared" si="1075"/>
        <v>0</v>
      </c>
      <c r="AF1288" s="34">
        <f t="shared" si="1076"/>
        <v>0</v>
      </c>
      <c r="AG1288" s="34">
        <f t="shared" si="1077"/>
        <v>0</v>
      </c>
      <c r="AH1288" s="34">
        <f t="shared" si="1078"/>
        <v>0</v>
      </c>
      <c r="AI1288" s="27" t="s">
        <v>3650</v>
      </c>
      <c r="AJ1288" s="18">
        <f t="shared" si="1079"/>
        <v>0</v>
      </c>
      <c r="AK1288" s="18">
        <f t="shared" si="1080"/>
        <v>0</v>
      </c>
      <c r="AL1288" s="18">
        <f t="shared" si="1081"/>
        <v>0</v>
      </c>
      <c r="AN1288" s="34">
        <v>21</v>
      </c>
      <c r="AO1288" s="34">
        <f t="shared" si="1082"/>
        <v>0</v>
      </c>
      <c r="AP1288" s="34">
        <f t="shared" si="1083"/>
        <v>0</v>
      </c>
      <c r="AQ1288" s="28" t="s">
        <v>13</v>
      </c>
      <c r="AV1288" s="34">
        <f t="shared" si="1084"/>
        <v>0</v>
      </c>
      <c r="AW1288" s="34">
        <f t="shared" si="1085"/>
        <v>0</v>
      </c>
      <c r="AX1288" s="34">
        <f t="shared" si="1086"/>
        <v>0</v>
      </c>
      <c r="AY1288" s="35" t="s">
        <v>3678</v>
      </c>
      <c r="AZ1288" s="35" t="s">
        <v>3727</v>
      </c>
      <c r="BA1288" s="27" t="s">
        <v>3734</v>
      </c>
      <c r="BC1288" s="34">
        <f t="shared" si="1087"/>
        <v>0</v>
      </c>
      <c r="BD1288" s="34">
        <f t="shared" si="1088"/>
        <v>0</v>
      </c>
      <c r="BE1288" s="34">
        <v>0</v>
      </c>
      <c r="BF1288" s="34">
        <f>1287</f>
        <v>1287</v>
      </c>
      <c r="BH1288" s="18">
        <f t="shared" si="1089"/>
        <v>0</v>
      </c>
      <c r="BI1288" s="18">
        <f t="shared" si="1090"/>
        <v>0</v>
      </c>
      <c r="BJ1288" s="18">
        <f t="shared" si="1091"/>
        <v>0</v>
      </c>
    </row>
    <row r="1289" spans="1:62" x14ac:dyDescent="0.2">
      <c r="A1289" s="74" t="s">
        <v>1213</v>
      </c>
      <c r="B1289" s="5" t="s">
        <v>2389</v>
      </c>
      <c r="C1289" s="135" t="s">
        <v>3592</v>
      </c>
      <c r="D1289" s="136"/>
      <c r="E1289" s="136"/>
      <c r="F1289" s="136"/>
      <c r="G1289" s="136"/>
      <c r="H1289" s="5" t="s">
        <v>3612</v>
      </c>
      <c r="I1289" s="18">
        <v>1</v>
      </c>
      <c r="J1289" s="18">
        <v>0</v>
      </c>
      <c r="K1289" s="18">
        <f t="shared" si="1070"/>
        <v>0</v>
      </c>
      <c r="L1289" s="28" t="s">
        <v>3635</v>
      </c>
      <c r="Z1289" s="34">
        <f t="shared" si="1071"/>
        <v>0</v>
      </c>
      <c r="AB1289" s="34">
        <f t="shared" si="1072"/>
        <v>0</v>
      </c>
      <c r="AC1289" s="34">
        <f t="shared" si="1073"/>
        <v>0</v>
      </c>
      <c r="AD1289" s="34">
        <f t="shared" si="1074"/>
        <v>0</v>
      </c>
      <c r="AE1289" s="34">
        <f t="shared" si="1075"/>
        <v>0</v>
      </c>
      <c r="AF1289" s="34">
        <f t="shared" si="1076"/>
        <v>0</v>
      </c>
      <c r="AG1289" s="34">
        <f t="shared" si="1077"/>
        <v>0</v>
      </c>
      <c r="AH1289" s="34">
        <f t="shared" si="1078"/>
        <v>0</v>
      </c>
      <c r="AI1289" s="27" t="s">
        <v>3650</v>
      </c>
      <c r="AJ1289" s="18">
        <f t="shared" si="1079"/>
        <v>0</v>
      </c>
      <c r="AK1289" s="18">
        <f t="shared" si="1080"/>
        <v>0</v>
      </c>
      <c r="AL1289" s="18">
        <f t="shared" si="1081"/>
        <v>0</v>
      </c>
      <c r="AN1289" s="34">
        <v>21</v>
      </c>
      <c r="AO1289" s="34">
        <f t="shared" si="1082"/>
        <v>0</v>
      </c>
      <c r="AP1289" s="34">
        <f t="shared" si="1083"/>
        <v>0</v>
      </c>
      <c r="AQ1289" s="28" t="s">
        <v>13</v>
      </c>
      <c r="AV1289" s="34">
        <f t="shared" si="1084"/>
        <v>0</v>
      </c>
      <c r="AW1289" s="34">
        <f t="shared" si="1085"/>
        <v>0</v>
      </c>
      <c r="AX1289" s="34">
        <f t="shared" si="1086"/>
        <v>0</v>
      </c>
      <c r="AY1289" s="35" t="s">
        <v>3678</v>
      </c>
      <c r="AZ1289" s="35" t="s">
        <v>3727</v>
      </c>
      <c r="BA1289" s="27" t="s">
        <v>3734</v>
      </c>
      <c r="BC1289" s="34">
        <f t="shared" si="1087"/>
        <v>0</v>
      </c>
      <c r="BD1289" s="34">
        <f t="shared" si="1088"/>
        <v>0</v>
      </c>
      <c r="BE1289" s="34">
        <v>0</v>
      </c>
      <c r="BF1289" s="34">
        <f>1288</f>
        <v>1288</v>
      </c>
      <c r="BH1289" s="18">
        <f t="shared" si="1089"/>
        <v>0</v>
      </c>
      <c r="BI1289" s="18">
        <f t="shared" si="1090"/>
        <v>0</v>
      </c>
      <c r="BJ1289" s="18">
        <f t="shared" si="1091"/>
        <v>0</v>
      </c>
    </row>
    <row r="1290" spans="1:62" x14ac:dyDescent="0.2">
      <c r="A1290" s="74" t="s">
        <v>1214</v>
      </c>
      <c r="B1290" s="5" t="s">
        <v>2390</v>
      </c>
      <c r="C1290" s="135" t="s">
        <v>3593</v>
      </c>
      <c r="D1290" s="136"/>
      <c r="E1290" s="136"/>
      <c r="F1290" s="136"/>
      <c r="G1290" s="136"/>
      <c r="H1290" s="5" t="s">
        <v>3612</v>
      </c>
      <c r="I1290" s="18">
        <v>1</v>
      </c>
      <c r="J1290" s="18">
        <v>0</v>
      </c>
      <c r="K1290" s="18">
        <f t="shared" si="1070"/>
        <v>0</v>
      </c>
      <c r="L1290" s="28" t="s">
        <v>3635</v>
      </c>
      <c r="Z1290" s="34">
        <f t="shared" si="1071"/>
        <v>0</v>
      </c>
      <c r="AB1290" s="34">
        <f t="shared" si="1072"/>
        <v>0</v>
      </c>
      <c r="AC1290" s="34">
        <f t="shared" si="1073"/>
        <v>0</v>
      </c>
      <c r="AD1290" s="34">
        <f t="shared" si="1074"/>
        <v>0</v>
      </c>
      <c r="AE1290" s="34">
        <f t="shared" si="1075"/>
        <v>0</v>
      </c>
      <c r="AF1290" s="34">
        <f t="shared" si="1076"/>
        <v>0</v>
      </c>
      <c r="AG1290" s="34">
        <f t="shared" si="1077"/>
        <v>0</v>
      </c>
      <c r="AH1290" s="34">
        <f t="shared" si="1078"/>
        <v>0</v>
      </c>
      <c r="AI1290" s="27" t="s">
        <v>3650</v>
      </c>
      <c r="AJ1290" s="18">
        <f t="shared" si="1079"/>
        <v>0</v>
      </c>
      <c r="AK1290" s="18">
        <f t="shared" si="1080"/>
        <v>0</v>
      </c>
      <c r="AL1290" s="18">
        <f t="shared" si="1081"/>
        <v>0</v>
      </c>
      <c r="AN1290" s="34">
        <v>21</v>
      </c>
      <c r="AO1290" s="34">
        <f t="shared" si="1082"/>
        <v>0</v>
      </c>
      <c r="AP1290" s="34">
        <f t="shared" si="1083"/>
        <v>0</v>
      </c>
      <c r="AQ1290" s="28" t="s">
        <v>13</v>
      </c>
      <c r="AV1290" s="34">
        <f t="shared" si="1084"/>
        <v>0</v>
      </c>
      <c r="AW1290" s="34">
        <f t="shared" si="1085"/>
        <v>0</v>
      </c>
      <c r="AX1290" s="34">
        <f t="shared" si="1086"/>
        <v>0</v>
      </c>
      <c r="AY1290" s="35" t="s">
        <v>3678</v>
      </c>
      <c r="AZ1290" s="35" t="s">
        <v>3727</v>
      </c>
      <c r="BA1290" s="27" t="s">
        <v>3734</v>
      </c>
      <c r="BC1290" s="34">
        <f t="shared" si="1087"/>
        <v>0</v>
      </c>
      <c r="BD1290" s="34">
        <f t="shared" si="1088"/>
        <v>0</v>
      </c>
      <c r="BE1290" s="34">
        <v>0</v>
      </c>
      <c r="BF1290" s="34">
        <f>1289</f>
        <v>1289</v>
      </c>
      <c r="BH1290" s="18">
        <f t="shared" si="1089"/>
        <v>0</v>
      </c>
      <c r="BI1290" s="18">
        <f t="shared" si="1090"/>
        <v>0</v>
      </c>
      <c r="BJ1290" s="18">
        <f t="shared" si="1091"/>
        <v>0</v>
      </c>
    </row>
    <row r="1291" spans="1:62" x14ac:dyDescent="0.2">
      <c r="A1291" s="74" t="s">
        <v>1215</v>
      </c>
      <c r="B1291" s="5" t="s">
        <v>2391</v>
      </c>
      <c r="C1291" s="135" t="s">
        <v>3594</v>
      </c>
      <c r="D1291" s="136"/>
      <c r="E1291" s="136"/>
      <c r="F1291" s="136"/>
      <c r="G1291" s="136"/>
      <c r="H1291" s="5" t="s">
        <v>3612</v>
      </c>
      <c r="I1291" s="18">
        <v>1</v>
      </c>
      <c r="J1291" s="18">
        <v>0</v>
      </c>
      <c r="K1291" s="18">
        <f t="shared" si="1070"/>
        <v>0</v>
      </c>
      <c r="L1291" s="28" t="s">
        <v>3635</v>
      </c>
      <c r="Z1291" s="34">
        <f t="shared" si="1071"/>
        <v>0</v>
      </c>
      <c r="AB1291" s="34">
        <f t="shared" si="1072"/>
        <v>0</v>
      </c>
      <c r="AC1291" s="34">
        <f t="shared" si="1073"/>
        <v>0</v>
      </c>
      <c r="AD1291" s="34">
        <f t="shared" si="1074"/>
        <v>0</v>
      </c>
      <c r="AE1291" s="34">
        <f t="shared" si="1075"/>
        <v>0</v>
      </c>
      <c r="AF1291" s="34">
        <f t="shared" si="1076"/>
        <v>0</v>
      </c>
      <c r="AG1291" s="34">
        <f t="shared" si="1077"/>
        <v>0</v>
      </c>
      <c r="AH1291" s="34">
        <f t="shared" si="1078"/>
        <v>0</v>
      </c>
      <c r="AI1291" s="27" t="s">
        <v>3650</v>
      </c>
      <c r="AJ1291" s="18">
        <f t="shared" si="1079"/>
        <v>0</v>
      </c>
      <c r="AK1291" s="18">
        <f t="shared" si="1080"/>
        <v>0</v>
      </c>
      <c r="AL1291" s="18">
        <f t="shared" si="1081"/>
        <v>0</v>
      </c>
      <c r="AN1291" s="34">
        <v>21</v>
      </c>
      <c r="AO1291" s="34">
        <f t="shared" si="1082"/>
        <v>0</v>
      </c>
      <c r="AP1291" s="34">
        <f t="shared" si="1083"/>
        <v>0</v>
      </c>
      <c r="AQ1291" s="28" t="s">
        <v>13</v>
      </c>
      <c r="AV1291" s="34">
        <f t="shared" si="1084"/>
        <v>0</v>
      </c>
      <c r="AW1291" s="34">
        <f t="shared" si="1085"/>
        <v>0</v>
      </c>
      <c r="AX1291" s="34">
        <f t="shared" si="1086"/>
        <v>0</v>
      </c>
      <c r="AY1291" s="35" t="s">
        <v>3678</v>
      </c>
      <c r="AZ1291" s="35" t="s">
        <v>3727</v>
      </c>
      <c r="BA1291" s="27" t="s">
        <v>3734</v>
      </c>
      <c r="BC1291" s="34">
        <f t="shared" si="1087"/>
        <v>0</v>
      </c>
      <c r="BD1291" s="34">
        <f t="shared" si="1088"/>
        <v>0</v>
      </c>
      <c r="BE1291" s="34">
        <v>0</v>
      </c>
      <c r="BF1291" s="34">
        <f>1290</f>
        <v>1290</v>
      </c>
      <c r="BH1291" s="18">
        <f t="shared" si="1089"/>
        <v>0</v>
      </c>
      <c r="BI1291" s="18">
        <f t="shared" si="1090"/>
        <v>0</v>
      </c>
      <c r="BJ1291" s="18">
        <f t="shared" si="1091"/>
        <v>0</v>
      </c>
    </row>
    <row r="1292" spans="1:62" x14ac:dyDescent="0.2">
      <c r="A1292" s="74" t="s">
        <v>1216</v>
      </c>
      <c r="B1292" s="5" t="s">
        <v>2392</v>
      </c>
      <c r="C1292" s="135" t="s">
        <v>2799</v>
      </c>
      <c r="D1292" s="136"/>
      <c r="E1292" s="136"/>
      <c r="F1292" s="136"/>
      <c r="G1292" s="136"/>
      <c r="H1292" s="5" t="s">
        <v>3612</v>
      </c>
      <c r="I1292" s="18">
        <v>1</v>
      </c>
      <c r="J1292" s="18">
        <v>0</v>
      </c>
      <c r="K1292" s="18">
        <f t="shared" si="1070"/>
        <v>0</v>
      </c>
      <c r="L1292" s="28" t="s">
        <v>3635</v>
      </c>
      <c r="Z1292" s="34">
        <f t="shared" si="1071"/>
        <v>0</v>
      </c>
      <c r="AB1292" s="34">
        <f t="shared" si="1072"/>
        <v>0</v>
      </c>
      <c r="AC1292" s="34">
        <f t="shared" si="1073"/>
        <v>0</v>
      </c>
      <c r="AD1292" s="34">
        <f t="shared" si="1074"/>
        <v>0</v>
      </c>
      <c r="AE1292" s="34">
        <f t="shared" si="1075"/>
        <v>0</v>
      </c>
      <c r="AF1292" s="34">
        <f t="shared" si="1076"/>
        <v>0</v>
      </c>
      <c r="AG1292" s="34">
        <f t="shared" si="1077"/>
        <v>0</v>
      </c>
      <c r="AH1292" s="34">
        <f t="shared" si="1078"/>
        <v>0</v>
      </c>
      <c r="AI1292" s="27" t="s">
        <v>3650</v>
      </c>
      <c r="AJ1292" s="18">
        <f t="shared" si="1079"/>
        <v>0</v>
      </c>
      <c r="AK1292" s="18">
        <f t="shared" si="1080"/>
        <v>0</v>
      </c>
      <c r="AL1292" s="18">
        <f t="shared" si="1081"/>
        <v>0</v>
      </c>
      <c r="AN1292" s="34">
        <v>21</v>
      </c>
      <c r="AO1292" s="34">
        <f t="shared" si="1082"/>
        <v>0</v>
      </c>
      <c r="AP1292" s="34">
        <f t="shared" si="1083"/>
        <v>0</v>
      </c>
      <c r="AQ1292" s="28" t="s">
        <v>13</v>
      </c>
      <c r="AV1292" s="34">
        <f t="shared" si="1084"/>
        <v>0</v>
      </c>
      <c r="AW1292" s="34">
        <f t="shared" si="1085"/>
        <v>0</v>
      </c>
      <c r="AX1292" s="34">
        <f t="shared" si="1086"/>
        <v>0</v>
      </c>
      <c r="AY1292" s="35" t="s">
        <v>3678</v>
      </c>
      <c r="AZ1292" s="35" t="s">
        <v>3727</v>
      </c>
      <c r="BA1292" s="27" t="s">
        <v>3734</v>
      </c>
      <c r="BC1292" s="34">
        <f t="shared" si="1087"/>
        <v>0</v>
      </c>
      <c r="BD1292" s="34">
        <f t="shared" si="1088"/>
        <v>0</v>
      </c>
      <c r="BE1292" s="34">
        <v>0</v>
      </c>
      <c r="BF1292" s="34">
        <f>1291</f>
        <v>1291</v>
      </c>
      <c r="BH1292" s="18">
        <f t="shared" si="1089"/>
        <v>0</v>
      </c>
      <c r="BI1292" s="18">
        <f t="shared" si="1090"/>
        <v>0</v>
      </c>
      <c r="BJ1292" s="18">
        <f t="shared" si="1091"/>
        <v>0</v>
      </c>
    </row>
    <row r="1293" spans="1:62" x14ac:dyDescent="0.2">
      <c r="A1293" s="74" t="s">
        <v>1217</v>
      </c>
      <c r="B1293" s="5" t="s">
        <v>2393</v>
      </c>
      <c r="C1293" s="135" t="s">
        <v>2800</v>
      </c>
      <c r="D1293" s="136"/>
      <c r="E1293" s="136"/>
      <c r="F1293" s="136"/>
      <c r="G1293" s="136"/>
      <c r="H1293" s="5" t="s">
        <v>3612</v>
      </c>
      <c r="I1293" s="18">
        <v>1</v>
      </c>
      <c r="J1293" s="18">
        <v>0</v>
      </c>
      <c r="K1293" s="18">
        <f t="shared" si="1070"/>
        <v>0</v>
      </c>
      <c r="L1293" s="28" t="s">
        <v>3635</v>
      </c>
      <c r="Z1293" s="34">
        <f t="shared" si="1071"/>
        <v>0</v>
      </c>
      <c r="AB1293" s="34">
        <f t="shared" si="1072"/>
        <v>0</v>
      </c>
      <c r="AC1293" s="34">
        <f t="shared" si="1073"/>
        <v>0</v>
      </c>
      <c r="AD1293" s="34">
        <f t="shared" si="1074"/>
        <v>0</v>
      </c>
      <c r="AE1293" s="34">
        <f t="shared" si="1075"/>
        <v>0</v>
      </c>
      <c r="AF1293" s="34">
        <f t="shared" si="1076"/>
        <v>0</v>
      </c>
      <c r="AG1293" s="34">
        <f t="shared" si="1077"/>
        <v>0</v>
      </c>
      <c r="AH1293" s="34">
        <f t="shared" si="1078"/>
        <v>0</v>
      </c>
      <c r="AI1293" s="27" t="s">
        <v>3650</v>
      </c>
      <c r="AJ1293" s="18">
        <f t="shared" si="1079"/>
        <v>0</v>
      </c>
      <c r="AK1293" s="18">
        <f t="shared" si="1080"/>
        <v>0</v>
      </c>
      <c r="AL1293" s="18">
        <f t="shared" si="1081"/>
        <v>0</v>
      </c>
      <c r="AN1293" s="34">
        <v>21</v>
      </c>
      <c r="AO1293" s="34">
        <f t="shared" si="1082"/>
        <v>0</v>
      </c>
      <c r="AP1293" s="34">
        <f t="shared" si="1083"/>
        <v>0</v>
      </c>
      <c r="AQ1293" s="28" t="s">
        <v>13</v>
      </c>
      <c r="AV1293" s="34">
        <f t="shared" si="1084"/>
        <v>0</v>
      </c>
      <c r="AW1293" s="34">
        <f t="shared" si="1085"/>
        <v>0</v>
      </c>
      <c r="AX1293" s="34">
        <f t="shared" si="1086"/>
        <v>0</v>
      </c>
      <c r="AY1293" s="35" t="s">
        <v>3678</v>
      </c>
      <c r="AZ1293" s="35" t="s">
        <v>3727</v>
      </c>
      <c r="BA1293" s="27" t="s">
        <v>3734</v>
      </c>
      <c r="BC1293" s="34">
        <f t="shared" si="1087"/>
        <v>0</v>
      </c>
      <c r="BD1293" s="34">
        <f t="shared" si="1088"/>
        <v>0</v>
      </c>
      <c r="BE1293" s="34">
        <v>0</v>
      </c>
      <c r="BF1293" s="34">
        <f>1292</f>
        <v>1292</v>
      </c>
      <c r="BH1293" s="18">
        <f t="shared" si="1089"/>
        <v>0</v>
      </c>
      <c r="BI1293" s="18">
        <f t="shared" si="1090"/>
        <v>0</v>
      </c>
      <c r="BJ1293" s="18">
        <f t="shared" si="1091"/>
        <v>0</v>
      </c>
    </row>
    <row r="1294" spans="1:62" x14ac:dyDescent="0.2">
      <c r="A1294" s="74" t="s">
        <v>1218</v>
      </c>
      <c r="B1294" s="5" t="s">
        <v>2394</v>
      </c>
      <c r="C1294" s="135" t="s">
        <v>2801</v>
      </c>
      <c r="D1294" s="136"/>
      <c r="E1294" s="136"/>
      <c r="F1294" s="136"/>
      <c r="G1294" s="136"/>
      <c r="H1294" s="5" t="s">
        <v>3612</v>
      </c>
      <c r="I1294" s="18">
        <v>1</v>
      </c>
      <c r="J1294" s="18">
        <v>0</v>
      </c>
      <c r="K1294" s="18">
        <f t="shared" si="1070"/>
        <v>0</v>
      </c>
      <c r="L1294" s="28" t="s">
        <v>3635</v>
      </c>
      <c r="Z1294" s="34">
        <f t="shared" si="1071"/>
        <v>0</v>
      </c>
      <c r="AB1294" s="34">
        <f t="shared" si="1072"/>
        <v>0</v>
      </c>
      <c r="AC1294" s="34">
        <f t="shared" si="1073"/>
        <v>0</v>
      </c>
      <c r="AD1294" s="34">
        <f t="shared" si="1074"/>
        <v>0</v>
      </c>
      <c r="AE1294" s="34">
        <f t="shared" si="1075"/>
        <v>0</v>
      </c>
      <c r="AF1294" s="34">
        <f t="shared" si="1076"/>
        <v>0</v>
      </c>
      <c r="AG1294" s="34">
        <f t="shared" si="1077"/>
        <v>0</v>
      </c>
      <c r="AH1294" s="34">
        <f t="shared" si="1078"/>
        <v>0</v>
      </c>
      <c r="AI1294" s="27" t="s">
        <v>3650</v>
      </c>
      <c r="AJ1294" s="18">
        <f t="shared" si="1079"/>
        <v>0</v>
      </c>
      <c r="AK1294" s="18">
        <f t="shared" si="1080"/>
        <v>0</v>
      </c>
      <c r="AL1294" s="18">
        <f t="shared" si="1081"/>
        <v>0</v>
      </c>
      <c r="AN1294" s="34">
        <v>21</v>
      </c>
      <c r="AO1294" s="34">
        <f t="shared" si="1082"/>
        <v>0</v>
      </c>
      <c r="AP1294" s="34">
        <f t="shared" si="1083"/>
        <v>0</v>
      </c>
      <c r="AQ1294" s="28" t="s">
        <v>13</v>
      </c>
      <c r="AV1294" s="34">
        <f t="shared" si="1084"/>
        <v>0</v>
      </c>
      <c r="AW1294" s="34">
        <f t="shared" si="1085"/>
        <v>0</v>
      </c>
      <c r="AX1294" s="34">
        <f t="shared" si="1086"/>
        <v>0</v>
      </c>
      <c r="AY1294" s="35" t="s">
        <v>3678</v>
      </c>
      <c r="AZ1294" s="35" t="s">
        <v>3727</v>
      </c>
      <c r="BA1294" s="27" t="s">
        <v>3734</v>
      </c>
      <c r="BC1294" s="34">
        <f t="shared" si="1087"/>
        <v>0</v>
      </c>
      <c r="BD1294" s="34">
        <f t="shared" si="1088"/>
        <v>0</v>
      </c>
      <c r="BE1294" s="34">
        <v>0</v>
      </c>
      <c r="BF1294" s="34">
        <f>1293</f>
        <v>1293</v>
      </c>
      <c r="BH1294" s="18">
        <f t="shared" si="1089"/>
        <v>0</v>
      </c>
      <c r="BI1294" s="18">
        <f t="shared" si="1090"/>
        <v>0</v>
      </c>
      <c r="BJ1294" s="18">
        <f t="shared" si="1091"/>
        <v>0</v>
      </c>
    </row>
    <row r="1295" spans="1:62" x14ac:dyDescent="0.2">
      <c r="A1295" s="7"/>
      <c r="B1295" s="15"/>
      <c r="C1295" s="131" t="s">
        <v>3595</v>
      </c>
      <c r="D1295" s="132"/>
      <c r="E1295" s="132"/>
      <c r="F1295" s="132"/>
      <c r="G1295" s="132"/>
      <c r="H1295" s="7" t="s">
        <v>6</v>
      </c>
      <c r="I1295" s="7" t="s">
        <v>6</v>
      </c>
      <c r="J1295" s="7" t="s">
        <v>6</v>
      </c>
      <c r="K1295" s="38">
        <f>K1296</f>
        <v>0</v>
      </c>
      <c r="L1295" s="30"/>
    </row>
    <row r="1296" spans="1:62" x14ac:dyDescent="0.2">
      <c r="A1296" s="4"/>
      <c r="B1296" s="14" t="s">
        <v>2395</v>
      </c>
      <c r="C1296" s="133" t="s">
        <v>3596</v>
      </c>
      <c r="D1296" s="134"/>
      <c r="E1296" s="134"/>
      <c r="F1296" s="134"/>
      <c r="G1296" s="134"/>
      <c r="H1296" s="4" t="s">
        <v>6</v>
      </c>
      <c r="I1296" s="4" t="s">
        <v>6</v>
      </c>
      <c r="J1296" s="4" t="s">
        <v>6</v>
      </c>
      <c r="K1296" s="37">
        <f>SUM(K1297:K1301)</f>
        <v>0</v>
      </c>
      <c r="L1296" s="27"/>
      <c r="AI1296" s="27" t="s">
        <v>3651</v>
      </c>
      <c r="AS1296" s="37">
        <f>SUM(AJ1297:AJ1301)</f>
        <v>0</v>
      </c>
      <c r="AT1296" s="37">
        <f>SUM(AK1297:AK1301)</f>
        <v>0</v>
      </c>
      <c r="AU1296" s="37">
        <f>SUM(AL1297:AL1301)</f>
        <v>0</v>
      </c>
    </row>
    <row r="1297" spans="1:62" x14ac:dyDescent="0.2">
      <c r="A1297" s="74" t="s">
        <v>1219</v>
      </c>
      <c r="B1297" s="5" t="s">
        <v>2396</v>
      </c>
      <c r="C1297" s="135" t="s">
        <v>3597</v>
      </c>
      <c r="D1297" s="136"/>
      <c r="E1297" s="136"/>
      <c r="F1297" s="136"/>
      <c r="G1297" s="136"/>
      <c r="H1297" s="5" t="s">
        <v>3612</v>
      </c>
      <c r="I1297" s="18">
        <v>1</v>
      </c>
      <c r="J1297" s="18">
        <v>0</v>
      </c>
      <c r="K1297" s="18">
        <f>I1297*J1297</f>
        <v>0</v>
      </c>
      <c r="L1297" s="28" t="s">
        <v>3635</v>
      </c>
      <c r="Z1297" s="34">
        <f>IF(AQ1297="5",BJ1297,0)</f>
        <v>0</v>
      </c>
      <c r="AB1297" s="34">
        <f>IF(AQ1297="1",BH1297,0)</f>
        <v>0</v>
      </c>
      <c r="AC1297" s="34">
        <f>IF(AQ1297="1",BI1297,0)</f>
        <v>0</v>
      </c>
      <c r="AD1297" s="34">
        <f>IF(AQ1297="7",BH1297,0)</f>
        <v>0</v>
      </c>
      <c r="AE1297" s="34">
        <f>IF(AQ1297="7",BI1297,0)</f>
        <v>0</v>
      </c>
      <c r="AF1297" s="34">
        <f>IF(AQ1297="2",BH1297,0)</f>
        <v>0</v>
      </c>
      <c r="AG1297" s="34">
        <f>IF(AQ1297="2",BI1297,0)</f>
        <v>0</v>
      </c>
      <c r="AH1297" s="34">
        <f>IF(AQ1297="0",BJ1297,0)</f>
        <v>0</v>
      </c>
      <c r="AI1297" s="27" t="s">
        <v>3651</v>
      </c>
      <c r="AJ1297" s="18">
        <f>IF(AN1297=0,K1297,0)</f>
        <v>0</v>
      </c>
      <c r="AK1297" s="18">
        <f>IF(AN1297=15,K1297,0)</f>
        <v>0</v>
      </c>
      <c r="AL1297" s="18">
        <f>IF(AN1297=21,K1297,0)</f>
        <v>0</v>
      </c>
      <c r="AN1297" s="34">
        <v>21</v>
      </c>
      <c r="AO1297" s="34">
        <f>J1297*0</f>
        <v>0</v>
      </c>
      <c r="AP1297" s="34">
        <f>J1297*(1-0)</f>
        <v>0</v>
      </c>
      <c r="AQ1297" s="28" t="s">
        <v>7</v>
      </c>
      <c r="AV1297" s="34">
        <f>AW1297+AX1297</f>
        <v>0</v>
      </c>
      <c r="AW1297" s="34">
        <f>I1297*AO1297</f>
        <v>0</v>
      </c>
      <c r="AX1297" s="34">
        <f>I1297*AP1297</f>
        <v>0</v>
      </c>
      <c r="AY1297" s="35" t="s">
        <v>3706</v>
      </c>
      <c r="AZ1297" s="35" t="s">
        <v>3728</v>
      </c>
      <c r="BA1297" s="27" t="s">
        <v>3735</v>
      </c>
      <c r="BC1297" s="34">
        <f>AW1297+AX1297</f>
        <v>0</v>
      </c>
      <c r="BD1297" s="34">
        <f>J1297/(100-BE1297)*100</f>
        <v>0</v>
      </c>
      <c r="BE1297" s="34">
        <v>0</v>
      </c>
      <c r="BF1297" s="34">
        <f>1296</f>
        <v>1296</v>
      </c>
      <c r="BH1297" s="18">
        <f>I1297*AO1297</f>
        <v>0</v>
      </c>
      <c r="BI1297" s="18">
        <f>I1297*AP1297</f>
        <v>0</v>
      </c>
      <c r="BJ1297" s="18">
        <f>I1297*J1297</f>
        <v>0</v>
      </c>
    </row>
    <row r="1298" spans="1:62" x14ac:dyDescent="0.2">
      <c r="A1298" s="74" t="s">
        <v>1220</v>
      </c>
      <c r="B1298" s="5" t="s">
        <v>2397</v>
      </c>
      <c r="C1298" s="135" t="s">
        <v>3598</v>
      </c>
      <c r="D1298" s="136"/>
      <c r="E1298" s="136"/>
      <c r="F1298" s="136"/>
      <c r="G1298" s="136"/>
      <c r="H1298" s="5" t="s">
        <v>3612</v>
      </c>
      <c r="I1298" s="18">
        <v>1</v>
      </c>
      <c r="J1298" s="18">
        <v>0</v>
      </c>
      <c r="K1298" s="18">
        <f>I1298*J1298</f>
        <v>0</v>
      </c>
      <c r="L1298" s="28" t="s">
        <v>3635</v>
      </c>
      <c r="Z1298" s="34">
        <f>IF(AQ1298="5",BJ1298,0)</f>
        <v>0</v>
      </c>
      <c r="AB1298" s="34">
        <f>IF(AQ1298="1",BH1298,0)</f>
        <v>0</v>
      </c>
      <c r="AC1298" s="34">
        <f>IF(AQ1298="1",BI1298,0)</f>
        <v>0</v>
      </c>
      <c r="AD1298" s="34">
        <f>IF(AQ1298="7",BH1298,0)</f>
        <v>0</v>
      </c>
      <c r="AE1298" s="34">
        <f>IF(AQ1298="7",BI1298,0)</f>
        <v>0</v>
      </c>
      <c r="AF1298" s="34">
        <f>IF(AQ1298="2",BH1298,0)</f>
        <v>0</v>
      </c>
      <c r="AG1298" s="34">
        <f>IF(AQ1298="2",BI1298,0)</f>
        <v>0</v>
      </c>
      <c r="AH1298" s="34">
        <f>IF(AQ1298="0",BJ1298,0)</f>
        <v>0</v>
      </c>
      <c r="AI1298" s="27" t="s">
        <v>3651</v>
      </c>
      <c r="AJ1298" s="18">
        <f>IF(AN1298=0,K1298,0)</f>
        <v>0</v>
      </c>
      <c r="AK1298" s="18">
        <f>IF(AN1298=15,K1298,0)</f>
        <v>0</v>
      </c>
      <c r="AL1298" s="18">
        <f>IF(AN1298=21,K1298,0)</f>
        <v>0</v>
      </c>
      <c r="AN1298" s="34">
        <v>21</v>
      </c>
      <c r="AO1298" s="34">
        <f>J1298*0</f>
        <v>0</v>
      </c>
      <c r="AP1298" s="34">
        <f>J1298*(1-0)</f>
        <v>0</v>
      </c>
      <c r="AQ1298" s="28" t="s">
        <v>7</v>
      </c>
      <c r="AV1298" s="34">
        <f>AW1298+AX1298</f>
        <v>0</v>
      </c>
      <c r="AW1298" s="34">
        <f>I1298*AO1298</f>
        <v>0</v>
      </c>
      <c r="AX1298" s="34">
        <f>I1298*AP1298</f>
        <v>0</v>
      </c>
      <c r="AY1298" s="35" t="s">
        <v>3706</v>
      </c>
      <c r="AZ1298" s="35" t="s">
        <v>3728</v>
      </c>
      <c r="BA1298" s="27" t="s">
        <v>3735</v>
      </c>
      <c r="BC1298" s="34">
        <f>AW1298+AX1298</f>
        <v>0</v>
      </c>
      <c r="BD1298" s="34">
        <f>J1298/(100-BE1298)*100</f>
        <v>0</v>
      </c>
      <c r="BE1298" s="34">
        <v>0</v>
      </c>
      <c r="BF1298" s="34">
        <f>1297</f>
        <v>1297</v>
      </c>
      <c r="BH1298" s="18">
        <f>I1298*AO1298</f>
        <v>0</v>
      </c>
      <c r="BI1298" s="18">
        <f>I1298*AP1298</f>
        <v>0</v>
      </c>
      <c r="BJ1298" s="18">
        <f>I1298*J1298</f>
        <v>0</v>
      </c>
    </row>
    <row r="1299" spans="1:62" x14ac:dyDescent="0.2">
      <c r="A1299" s="74" t="s">
        <v>1221</v>
      </c>
      <c r="B1299" s="5" t="s">
        <v>2398</v>
      </c>
      <c r="C1299" s="135" t="s">
        <v>3599</v>
      </c>
      <c r="D1299" s="136"/>
      <c r="E1299" s="136"/>
      <c r="F1299" s="136"/>
      <c r="G1299" s="136"/>
      <c r="H1299" s="5" t="s">
        <v>3612</v>
      </c>
      <c r="I1299" s="18">
        <v>1</v>
      </c>
      <c r="J1299" s="18">
        <v>0</v>
      </c>
      <c r="K1299" s="18">
        <f>I1299*J1299</f>
        <v>0</v>
      </c>
      <c r="L1299" s="28" t="s">
        <v>3635</v>
      </c>
      <c r="Z1299" s="34">
        <f>IF(AQ1299="5",BJ1299,0)</f>
        <v>0</v>
      </c>
      <c r="AB1299" s="34">
        <f>IF(AQ1299="1",BH1299,0)</f>
        <v>0</v>
      </c>
      <c r="AC1299" s="34">
        <f>IF(AQ1299="1",BI1299,0)</f>
        <v>0</v>
      </c>
      <c r="AD1299" s="34">
        <f>IF(AQ1299="7",BH1299,0)</f>
        <v>0</v>
      </c>
      <c r="AE1299" s="34">
        <f>IF(AQ1299="7",BI1299,0)</f>
        <v>0</v>
      </c>
      <c r="AF1299" s="34">
        <f>IF(AQ1299="2",BH1299,0)</f>
        <v>0</v>
      </c>
      <c r="AG1299" s="34">
        <f>IF(AQ1299="2",BI1299,0)</f>
        <v>0</v>
      </c>
      <c r="AH1299" s="34">
        <f>IF(AQ1299="0",BJ1299,0)</f>
        <v>0</v>
      </c>
      <c r="AI1299" s="27" t="s">
        <v>3651</v>
      </c>
      <c r="AJ1299" s="18">
        <f>IF(AN1299=0,K1299,0)</f>
        <v>0</v>
      </c>
      <c r="AK1299" s="18">
        <f>IF(AN1299=15,K1299,0)</f>
        <v>0</v>
      </c>
      <c r="AL1299" s="18">
        <f>IF(AN1299=21,K1299,0)</f>
        <v>0</v>
      </c>
      <c r="AN1299" s="34">
        <v>21</v>
      </c>
      <c r="AO1299" s="34">
        <f>J1299*0</f>
        <v>0</v>
      </c>
      <c r="AP1299" s="34">
        <f>J1299*(1-0)</f>
        <v>0</v>
      </c>
      <c r="AQ1299" s="28" t="s">
        <v>7</v>
      </c>
      <c r="AV1299" s="34">
        <f>AW1299+AX1299</f>
        <v>0</v>
      </c>
      <c r="AW1299" s="34">
        <f>I1299*AO1299</f>
        <v>0</v>
      </c>
      <c r="AX1299" s="34">
        <f>I1299*AP1299</f>
        <v>0</v>
      </c>
      <c r="AY1299" s="35" t="s">
        <v>3706</v>
      </c>
      <c r="AZ1299" s="35" t="s">
        <v>3728</v>
      </c>
      <c r="BA1299" s="27" t="s">
        <v>3735</v>
      </c>
      <c r="BC1299" s="34">
        <f>AW1299+AX1299</f>
        <v>0</v>
      </c>
      <c r="BD1299" s="34">
        <f>J1299/(100-BE1299)*100</f>
        <v>0</v>
      </c>
      <c r="BE1299" s="34">
        <v>0</v>
      </c>
      <c r="BF1299" s="34">
        <f>1298</f>
        <v>1298</v>
      </c>
      <c r="BH1299" s="18">
        <f>I1299*AO1299</f>
        <v>0</v>
      </c>
      <c r="BI1299" s="18">
        <f>I1299*AP1299</f>
        <v>0</v>
      </c>
      <c r="BJ1299" s="18">
        <f>I1299*J1299</f>
        <v>0</v>
      </c>
    </row>
    <row r="1300" spans="1:62" x14ac:dyDescent="0.2">
      <c r="A1300" s="74" t="s">
        <v>1222</v>
      </c>
      <c r="B1300" s="5" t="s">
        <v>2399</v>
      </c>
      <c r="C1300" s="135" t="s">
        <v>3600</v>
      </c>
      <c r="D1300" s="136"/>
      <c r="E1300" s="136"/>
      <c r="F1300" s="136"/>
      <c r="G1300" s="136"/>
      <c r="H1300" s="5" t="s">
        <v>3612</v>
      </c>
      <c r="I1300" s="18">
        <v>1</v>
      </c>
      <c r="J1300" s="18">
        <v>0</v>
      </c>
      <c r="K1300" s="18">
        <f>I1300*J1300</f>
        <v>0</v>
      </c>
      <c r="L1300" s="28" t="s">
        <v>3635</v>
      </c>
      <c r="Z1300" s="34">
        <f>IF(AQ1300="5",BJ1300,0)</f>
        <v>0</v>
      </c>
      <c r="AB1300" s="34">
        <f>IF(AQ1300="1",BH1300,0)</f>
        <v>0</v>
      </c>
      <c r="AC1300" s="34">
        <f>IF(AQ1300="1",BI1300,0)</f>
        <v>0</v>
      </c>
      <c r="AD1300" s="34">
        <f>IF(AQ1300="7",BH1300,0)</f>
        <v>0</v>
      </c>
      <c r="AE1300" s="34">
        <f>IF(AQ1300="7",BI1300,0)</f>
        <v>0</v>
      </c>
      <c r="AF1300" s="34">
        <f>IF(AQ1300="2",BH1300,0)</f>
        <v>0</v>
      </c>
      <c r="AG1300" s="34">
        <f>IF(AQ1300="2",BI1300,0)</f>
        <v>0</v>
      </c>
      <c r="AH1300" s="34">
        <f>IF(AQ1300="0",BJ1300,0)</f>
        <v>0</v>
      </c>
      <c r="AI1300" s="27" t="s">
        <v>3651</v>
      </c>
      <c r="AJ1300" s="18">
        <f>IF(AN1300=0,K1300,0)</f>
        <v>0</v>
      </c>
      <c r="AK1300" s="18">
        <f>IF(AN1300=15,K1300,0)</f>
        <v>0</v>
      </c>
      <c r="AL1300" s="18">
        <f>IF(AN1300=21,K1300,0)</f>
        <v>0</v>
      </c>
      <c r="AN1300" s="34">
        <v>21</v>
      </c>
      <c r="AO1300" s="34">
        <f>J1300*0</f>
        <v>0</v>
      </c>
      <c r="AP1300" s="34">
        <f>J1300*(1-0)</f>
        <v>0</v>
      </c>
      <c r="AQ1300" s="28" t="s">
        <v>7</v>
      </c>
      <c r="AV1300" s="34">
        <f>AW1300+AX1300</f>
        <v>0</v>
      </c>
      <c r="AW1300" s="34">
        <f>I1300*AO1300</f>
        <v>0</v>
      </c>
      <c r="AX1300" s="34">
        <f>I1300*AP1300</f>
        <v>0</v>
      </c>
      <c r="AY1300" s="35" t="s">
        <v>3706</v>
      </c>
      <c r="AZ1300" s="35" t="s">
        <v>3728</v>
      </c>
      <c r="BA1300" s="27" t="s">
        <v>3735</v>
      </c>
      <c r="BC1300" s="34">
        <f>AW1300+AX1300</f>
        <v>0</v>
      </c>
      <c r="BD1300" s="34">
        <f>J1300/(100-BE1300)*100</f>
        <v>0</v>
      </c>
      <c r="BE1300" s="34">
        <v>0</v>
      </c>
      <c r="BF1300" s="34">
        <f>1299</f>
        <v>1299</v>
      </c>
      <c r="BH1300" s="18">
        <f>I1300*AO1300</f>
        <v>0</v>
      </c>
      <c r="BI1300" s="18">
        <f>I1300*AP1300</f>
        <v>0</v>
      </c>
      <c r="BJ1300" s="18">
        <f>I1300*J1300</f>
        <v>0</v>
      </c>
    </row>
    <row r="1301" spans="1:62" x14ac:dyDescent="0.2">
      <c r="A1301" s="74" t="s">
        <v>4194</v>
      </c>
      <c r="B1301" s="8" t="s">
        <v>2400</v>
      </c>
      <c r="C1301" s="129" t="s">
        <v>3601</v>
      </c>
      <c r="D1301" s="130"/>
      <c r="E1301" s="130"/>
      <c r="F1301" s="130"/>
      <c r="G1301" s="130"/>
      <c r="H1301" s="8" t="s">
        <v>3612</v>
      </c>
      <c r="I1301" s="20">
        <v>1</v>
      </c>
      <c r="J1301" s="20">
        <v>0</v>
      </c>
      <c r="K1301" s="20">
        <f>I1301*J1301</f>
        <v>0</v>
      </c>
      <c r="L1301" s="31" t="s">
        <v>3635</v>
      </c>
      <c r="Z1301" s="34">
        <f>IF(AQ1301="5",BJ1301,0)</f>
        <v>0</v>
      </c>
      <c r="AB1301" s="34">
        <f>IF(AQ1301="1",BH1301,0)</f>
        <v>0</v>
      </c>
      <c r="AC1301" s="34">
        <f>IF(AQ1301="1",BI1301,0)</f>
        <v>0</v>
      </c>
      <c r="AD1301" s="34">
        <f>IF(AQ1301="7",BH1301,0)</f>
        <v>0</v>
      </c>
      <c r="AE1301" s="34">
        <f>IF(AQ1301="7",BI1301,0)</f>
        <v>0</v>
      </c>
      <c r="AF1301" s="34">
        <f>IF(AQ1301="2",BH1301,0)</f>
        <v>0</v>
      </c>
      <c r="AG1301" s="34">
        <f>IF(AQ1301="2",BI1301,0)</f>
        <v>0</v>
      </c>
      <c r="AH1301" s="34">
        <f>IF(AQ1301="0",BJ1301,0)</f>
        <v>0</v>
      </c>
      <c r="AI1301" s="27" t="s">
        <v>3651</v>
      </c>
      <c r="AJ1301" s="18">
        <f>IF(AN1301=0,K1301,0)</f>
        <v>0</v>
      </c>
      <c r="AK1301" s="18">
        <f>IF(AN1301=15,K1301,0)</f>
        <v>0</v>
      </c>
      <c r="AL1301" s="18">
        <f>IF(AN1301=21,K1301,0)</f>
        <v>0</v>
      </c>
      <c r="AN1301" s="34">
        <v>21</v>
      </c>
      <c r="AO1301" s="34">
        <f>J1301*0</f>
        <v>0</v>
      </c>
      <c r="AP1301" s="34">
        <f>J1301*(1-0)</f>
        <v>0</v>
      </c>
      <c r="AQ1301" s="28" t="s">
        <v>7</v>
      </c>
      <c r="AV1301" s="34">
        <f>AW1301+AX1301</f>
        <v>0</v>
      </c>
      <c r="AW1301" s="34">
        <f>I1301*AO1301</f>
        <v>0</v>
      </c>
      <c r="AX1301" s="34">
        <f>I1301*AP1301</f>
        <v>0</v>
      </c>
      <c r="AY1301" s="35" t="s">
        <v>3706</v>
      </c>
      <c r="AZ1301" s="35" t="s">
        <v>3728</v>
      </c>
      <c r="BA1301" s="27" t="s">
        <v>3735</v>
      </c>
      <c r="BC1301" s="34">
        <f>AW1301+AX1301</f>
        <v>0</v>
      </c>
      <c r="BD1301" s="34">
        <f>J1301/(100-BE1301)*100</f>
        <v>0</v>
      </c>
      <c r="BE1301" s="34">
        <v>0</v>
      </c>
      <c r="BF1301" s="34">
        <f>1300</f>
        <v>1300</v>
      </c>
      <c r="BH1301" s="18">
        <f>I1301*AO1301</f>
        <v>0</v>
      </c>
      <c r="BI1301" s="18">
        <f>I1301*AP1301</f>
        <v>0</v>
      </c>
      <c r="BJ1301" s="18">
        <f>I1301*J1301</f>
        <v>0</v>
      </c>
    </row>
    <row r="1302" spans="1:62" x14ac:dyDescent="0.2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39">
        <f>K13+K15+K22+K36+K41+K45+K47+K50+K83+K85+K103+K121+K127+K143+K154+K169+K171+K182+K186+K225+K265+K285+K287+K289+K309+K319+K338+K414+K500+K596+K667+K677+K694+K720+K773+K786+K796+K802+K813+K819+K823+K849+K892+K1046+K1048+K1053+K1056+K1058+K1062+K1068+K1070+K1073+K1154+K1208+K1219+K1224+K1229+K1239+K1251+K1256+K1296</f>
        <v>0</v>
      </c>
      <c r="L1302" s="9"/>
    </row>
    <row r="1303" spans="1:62" ht="11.25" customHeight="1" x14ac:dyDescent="0.2">
      <c r="A1303" s="10" t="s">
        <v>1223</v>
      </c>
    </row>
    <row r="1304" spans="1:62" x14ac:dyDescent="0.2">
      <c r="A1304" s="80"/>
      <c r="B1304" s="81"/>
      <c r="C1304" s="81"/>
      <c r="D1304" s="81"/>
      <c r="E1304" s="81"/>
      <c r="F1304" s="81"/>
      <c r="G1304" s="81"/>
      <c r="H1304" s="81"/>
      <c r="I1304" s="81"/>
      <c r="J1304" s="81"/>
      <c r="K1304" s="81"/>
      <c r="L1304" s="81"/>
    </row>
  </sheetData>
  <mergeCells count="1318">
    <mergeCell ref="C904:G904"/>
    <mergeCell ref="H8:L9"/>
    <mergeCell ref="A6:B7"/>
    <mergeCell ref="C6:C7"/>
    <mergeCell ref="D6:E7"/>
    <mergeCell ref="F6:F7"/>
    <mergeCell ref="G6:G7"/>
    <mergeCell ref="H6:L7"/>
    <mergeCell ref="A4:B5"/>
    <mergeCell ref="C4:C5"/>
    <mergeCell ref="D4:E5"/>
    <mergeCell ref="F4:F5"/>
    <mergeCell ref="G4:G5"/>
    <mergeCell ref="H4:L5"/>
    <mergeCell ref="A1:L1"/>
    <mergeCell ref="A2:B3"/>
    <mergeCell ref="C2:C3"/>
    <mergeCell ref="D2:E3"/>
    <mergeCell ref="F2:F3"/>
    <mergeCell ref="G2:G3"/>
    <mergeCell ref="H2:L3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A8:B9"/>
    <mergeCell ref="C8:C9"/>
    <mergeCell ref="D8:E9"/>
    <mergeCell ref="F8:F9"/>
    <mergeCell ref="G8:G9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C33:G33"/>
    <mergeCell ref="C22:G22"/>
    <mergeCell ref="C23:G23"/>
    <mergeCell ref="C24:G24"/>
    <mergeCell ref="C25:G25"/>
    <mergeCell ref="C26:G26"/>
    <mergeCell ref="C27:G27"/>
    <mergeCell ref="C52:G52"/>
    <mergeCell ref="C53:G53"/>
    <mergeCell ref="C54:G54"/>
    <mergeCell ref="C55:G55"/>
    <mergeCell ref="C56:G56"/>
    <mergeCell ref="C57:G57"/>
    <mergeCell ref="C46:G46"/>
    <mergeCell ref="C47:G47"/>
    <mergeCell ref="C48:G48"/>
    <mergeCell ref="C49:G49"/>
    <mergeCell ref="C50:G50"/>
    <mergeCell ref="C51:G51"/>
    <mergeCell ref="C40:G40"/>
    <mergeCell ref="C41:G41"/>
    <mergeCell ref="C42:G42"/>
    <mergeCell ref="C43:G43"/>
    <mergeCell ref="C44:G44"/>
    <mergeCell ref="C45:G45"/>
    <mergeCell ref="C70:G70"/>
    <mergeCell ref="C71:G71"/>
    <mergeCell ref="C72:G72"/>
    <mergeCell ref="C73:G73"/>
    <mergeCell ref="C74:G74"/>
    <mergeCell ref="C75:G75"/>
    <mergeCell ref="C64:G64"/>
    <mergeCell ref="C65:G65"/>
    <mergeCell ref="C66:G66"/>
    <mergeCell ref="C67:G67"/>
    <mergeCell ref="C68:G68"/>
    <mergeCell ref="C69:G69"/>
    <mergeCell ref="C58:G58"/>
    <mergeCell ref="C59:G59"/>
    <mergeCell ref="C60:G60"/>
    <mergeCell ref="C61:G61"/>
    <mergeCell ref="C62:G62"/>
    <mergeCell ref="C63:G63"/>
    <mergeCell ref="C88:G88"/>
    <mergeCell ref="C89:G89"/>
    <mergeCell ref="C90:G90"/>
    <mergeCell ref="C91:G91"/>
    <mergeCell ref="C92:G92"/>
    <mergeCell ref="C93:G93"/>
    <mergeCell ref="C82:G82"/>
    <mergeCell ref="C83:G83"/>
    <mergeCell ref="C84:G84"/>
    <mergeCell ref="C85:G85"/>
    <mergeCell ref="C86:G86"/>
    <mergeCell ref="C87:G87"/>
    <mergeCell ref="C76:G76"/>
    <mergeCell ref="C77:G77"/>
    <mergeCell ref="C78:G78"/>
    <mergeCell ref="C79:G79"/>
    <mergeCell ref="C80:G80"/>
    <mergeCell ref="C81:G81"/>
    <mergeCell ref="C106:G106"/>
    <mergeCell ref="C107:G107"/>
    <mergeCell ref="C108:G108"/>
    <mergeCell ref="C109:G109"/>
    <mergeCell ref="C110:G110"/>
    <mergeCell ref="C111:G111"/>
    <mergeCell ref="C100:G100"/>
    <mergeCell ref="C101:G101"/>
    <mergeCell ref="C102:G102"/>
    <mergeCell ref="C103:G103"/>
    <mergeCell ref="C104:G104"/>
    <mergeCell ref="C105:G105"/>
    <mergeCell ref="C94:G94"/>
    <mergeCell ref="C95:G95"/>
    <mergeCell ref="C96:G96"/>
    <mergeCell ref="C97:G97"/>
    <mergeCell ref="C98:G98"/>
    <mergeCell ref="C99:G99"/>
    <mergeCell ref="C124:G124"/>
    <mergeCell ref="C125:G125"/>
    <mergeCell ref="C126:G126"/>
    <mergeCell ref="C127:G127"/>
    <mergeCell ref="C128:G128"/>
    <mergeCell ref="C129:G129"/>
    <mergeCell ref="C118:G118"/>
    <mergeCell ref="C119:G119"/>
    <mergeCell ref="C120:G120"/>
    <mergeCell ref="C121:G121"/>
    <mergeCell ref="C122:G122"/>
    <mergeCell ref="C123:G123"/>
    <mergeCell ref="C112:G112"/>
    <mergeCell ref="C113:G113"/>
    <mergeCell ref="C114:G114"/>
    <mergeCell ref="C115:G115"/>
    <mergeCell ref="C116:G116"/>
    <mergeCell ref="C117:G117"/>
    <mergeCell ref="C142:G142"/>
    <mergeCell ref="C143:G143"/>
    <mergeCell ref="C144:G144"/>
    <mergeCell ref="C145:G145"/>
    <mergeCell ref="C146:G146"/>
    <mergeCell ref="C147:G147"/>
    <mergeCell ref="C136:G136"/>
    <mergeCell ref="C137:G137"/>
    <mergeCell ref="C138:G138"/>
    <mergeCell ref="C139:G139"/>
    <mergeCell ref="C140:G140"/>
    <mergeCell ref="C141:G141"/>
    <mergeCell ref="C130:G130"/>
    <mergeCell ref="C131:G131"/>
    <mergeCell ref="C132:G132"/>
    <mergeCell ref="C133:G133"/>
    <mergeCell ref="C134:G134"/>
    <mergeCell ref="C135:G135"/>
    <mergeCell ref="C160:G160"/>
    <mergeCell ref="C161:G161"/>
    <mergeCell ref="C162:G162"/>
    <mergeCell ref="C163:G163"/>
    <mergeCell ref="C164:G164"/>
    <mergeCell ref="C165:G165"/>
    <mergeCell ref="C154:G154"/>
    <mergeCell ref="C155:G155"/>
    <mergeCell ref="C156:G156"/>
    <mergeCell ref="C157:G157"/>
    <mergeCell ref="C158:G158"/>
    <mergeCell ref="C159:G159"/>
    <mergeCell ref="C148:G148"/>
    <mergeCell ref="C149:G149"/>
    <mergeCell ref="C150:G150"/>
    <mergeCell ref="C151:G151"/>
    <mergeCell ref="C152:G152"/>
    <mergeCell ref="C153:G153"/>
    <mergeCell ref="C178:G178"/>
    <mergeCell ref="C179:G179"/>
    <mergeCell ref="C180:G180"/>
    <mergeCell ref="C181:G181"/>
    <mergeCell ref="C182:G182"/>
    <mergeCell ref="C183:G183"/>
    <mergeCell ref="C172:G172"/>
    <mergeCell ref="C173:G173"/>
    <mergeCell ref="C174:G174"/>
    <mergeCell ref="C175:G175"/>
    <mergeCell ref="C176:G176"/>
    <mergeCell ref="C177:G177"/>
    <mergeCell ref="C166:G166"/>
    <mergeCell ref="C167:G167"/>
    <mergeCell ref="C168:G168"/>
    <mergeCell ref="C169:G169"/>
    <mergeCell ref="C170:G170"/>
    <mergeCell ref="C171:G171"/>
    <mergeCell ref="C196:G196"/>
    <mergeCell ref="C197:G197"/>
    <mergeCell ref="C198:G198"/>
    <mergeCell ref="C199:G199"/>
    <mergeCell ref="C200:G200"/>
    <mergeCell ref="C201:G201"/>
    <mergeCell ref="C190:G190"/>
    <mergeCell ref="C191:G191"/>
    <mergeCell ref="C192:G192"/>
    <mergeCell ref="C193:G193"/>
    <mergeCell ref="C194:G194"/>
    <mergeCell ref="C195:G195"/>
    <mergeCell ref="C184:G184"/>
    <mergeCell ref="C185:G185"/>
    <mergeCell ref="C186:G186"/>
    <mergeCell ref="C187:G187"/>
    <mergeCell ref="C188:G188"/>
    <mergeCell ref="C189:G189"/>
    <mergeCell ref="C214:G214"/>
    <mergeCell ref="C215:G215"/>
    <mergeCell ref="C216:G216"/>
    <mergeCell ref="C217:G217"/>
    <mergeCell ref="C218:G218"/>
    <mergeCell ref="C219:G219"/>
    <mergeCell ref="C208:G208"/>
    <mergeCell ref="C209:G209"/>
    <mergeCell ref="C210:G210"/>
    <mergeCell ref="C211:G211"/>
    <mergeCell ref="C212:G212"/>
    <mergeCell ref="C213:G213"/>
    <mergeCell ref="C202:G202"/>
    <mergeCell ref="C203:G203"/>
    <mergeCell ref="C204:G204"/>
    <mergeCell ref="C205:G205"/>
    <mergeCell ref="C206:G206"/>
    <mergeCell ref="C207:G207"/>
    <mergeCell ref="C232:G232"/>
    <mergeCell ref="C233:G233"/>
    <mergeCell ref="C234:G234"/>
    <mergeCell ref="C235:G235"/>
    <mergeCell ref="C236:G236"/>
    <mergeCell ref="C237:G237"/>
    <mergeCell ref="C226:G226"/>
    <mergeCell ref="C227:G227"/>
    <mergeCell ref="C228:G228"/>
    <mergeCell ref="C229:G229"/>
    <mergeCell ref="C230:G230"/>
    <mergeCell ref="C231:G231"/>
    <mergeCell ref="C220:G220"/>
    <mergeCell ref="C221:G221"/>
    <mergeCell ref="C222:G222"/>
    <mergeCell ref="C223:G223"/>
    <mergeCell ref="C224:G224"/>
    <mergeCell ref="C225:G225"/>
    <mergeCell ref="C250:G250"/>
    <mergeCell ref="C251:G251"/>
    <mergeCell ref="C252:G252"/>
    <mergeCell ref="C253:G253"/>
    <mergeCell ref="C254:G254"/>
    <mergeCell ref="C255:G255"/>
    <mergeCell ref="C244:G244"/>
    <mergeCell ref="C245:G245"/>
    <mergeCell ref="C246:G246"/>
    <mergeCell ref="C247:G247"/>
    <mergeCell ref="C248:G248"/>
    <mergeCell ref="C249:G249"/>
    <mergeCell ref="C238:G238"/>
    <mergeCell ref="C239:G239"/>
    <mergeCell ref="C240:G240"/>
    <mergeCell ref="C241:G241"/>
    <mergeCell ref="C242:G242"/>
    <mergeCell ref="C243:G243"/>
    <mergeCell ref="C268:G268"/>
    <mergeCell ref="C269:G269"/>
    <mergeCell ref="C270:G270"/>
    <mergeCell ref="C271:G271"/>
    <mergeCell ref="C272:G272"/>
    <mergeCell ref="C273:G273"/>
    <mergeCell ref="C262:G262"/>
    <mergeCell ref="C263:G263"/>
    <mergeCell ref="C264:G264"/>
    <mergeCell ref="C265:G265"/>
    <mergeCell ref="C266:G266"/>
    <mergeCell ref="C267:G267"/>
    <mergeCell ref="C256:G256"/>
    <mergeCell ref="C257:G257"/>
    <mergeCell ref="C258:G258"/>
    <mergeCell ref="C259:G259"/>
    <mergeCell ref="C260:G260"/>
    <mergeCell ref="C261:G261"/>
    <mergeCell ref="C286:G286"/>
    <mergeCell ref="C287:G287"/>
    <mergeCell ref="C288:G288"/>
    <mergeCell ref="C289:G289"/>
    <mergeCell ref="C290:G290"/>
    <mergeCell ref="C291:G291"/>
    <mergeCell ref="C280:G280"/>
    <mergeCell ref="C281:G281"/>
    <mergeCell ref="C282:G282"/>
    <mergeCell ref="C283:G283"/>
    <mergeCell ref="C284:G284"/>
    <mergeCell ref="C285:G285"/>
    <mergeCell ref="C274:G274"/>
    <mergeCell ref="C275:G275"/>
    <mergeCell ref="C276:G276"/>
    <mergeCell ref="C277:G277"/>
    <mergeCell ref="C278:G278"/>
    <mergeCell ref="C279:G279"/>
    <mergeCell ref="C304:G304"/>
    <mergeCell ref="C305:G305"/>
    <mergeCell ref="C306:G306"/>
    <mergeCell ref="C307:G307"/>
    <mergeCell ref="C308:G308"/>
    <mergeCell ref="C309:G309"/>
    <mergeCell ref="C298:G298"/>
    <mergeCell ref="C299:G299"/>
    <mergeCell ref="C300:G300"/>
    <mergeCell ref="C301:G301"/>
    <mergeCell ref="C302:G302"/>
    <mergeCell ref="C303:G303"/>
    <mergeCell ref="C292:G292"/>
    <mergeCell ref="C293:G293"/>
    <mergeCell ref="C294:G294"/>
    <mergeCell ref="C295:G295"/>
    <mergeCell ref="C296:G296"/>
    <mergeCell ref="C297:G297"/>
    <mergeCell ref="C322:G322"/>
    <mergeCell ref="C323:G323"/>
    <mergeCell ref="C324:G324"/>
    <mergeCell ref="C325:G325"/>
    <mergeCell ref="C326:G326"/>
    <mergeCell ref="C327:G327"/>
    <mergeCell ref="C316:G316"/>
    <mergeCell ref="C317:G317"/>
    <mergeCell ref="C318:G318"/>
    <mergeCell ref="C319:G319"/>
    <mergeCell ref="C320:G320"/>
    <mergeCell ref="C321:G321"/>
    <mergeCell ref="C310:G310"/>
    <mergeCell ref="C311:G311"/>
    <mergeCell ref="C312:G312"/>
    <mergeCell ref="C313:G313"/>
    <mergeCell ref="C314:G314"/>
    <mergeCell ref="C315:G315"/>
    <mergeCell ref="C340:G340"/>
    <mergeCell ref="C341:G341"/>
    <mergeCell ref="C342:G342"/>
    <mergeCell ref="C343:G343"/>
    <mergeCell ref="C344:G344"/>
    <mergeCell ref="C345:G345"/>
    <mergeCell ref="C334:G334"/>
    <mergeCell ref="C335:G335"/>
    <mergeCell ref="C336:G336"/>
    <mergeCell ref="C337:G337"/>
    <mergeCell ref="C338:G338"/>
    <mergeCell ref="C339:G339"/>
    <mergeCell ref="C328:G328"/>
    <mergeCell ref="C329:G329"/>
    <mergeCell ref="C330:G330"/>
    <mergeCell ref="C331:G331"/>
    <mergeCell ref="C332:G332"/>
    <mergeCell ref="C333:G333"/>
    <mergeCell ref="C358:G358"/>
    <mergeCell ref="C359:G359"/>
    <mergeCell ref="C360:G360"/>
    <mergeCell ref="C361:G361"/>
    <mergeCell ref="C362:G362"/>
    <mergeCell ref="C363:G363"/>
    <mergeCell ref="C352:G352"/>
    <mergeCell ref="C353:G353"/>
    <mergeCell ref="C354:G354"/>
    <mergeCell ref="C355:G355"/>
    <mergeCell ref="C356:G356"/>
    <mergeCell ref="C357:G357"/>
    <mergeCell ref="C346:G346"/>
    <mergeCell ref="C347:G347"/>
    <mergeCell ref="C348:G348"/>
    <mergeCell ref="C349:G349"/>
    <mergeCell ref="C350:G350"/>
    <mergeCell ref="C351:G351"/>
    <mergeCell ref="C376:G376"/>
    <mergeCell ref="C377:G377"/>
    <mergeCell ref="C378:G378"/>
    <mergeCell ref="C379:G379"/>
    <mergeCell ref="C380:G380"/>
    <mergeCell ref="C381:G381"/>
    <mergeCell ref="C370:G370"/>
    <mergeCell ref="C371:G371"/>
    <mergeCell ref="C372:G372"/>
    <mergeCell ref="C373:G373"/>
    <mergeCell ref="C374:G374"/>
    <mergeCell ref="C375:G375"/>
    <mergeCell ref="C364:G364"/>
    <mergeCell ref="C365:G365"/>
    <mergeCell ref="C366:G366"/>
    <mergeCell ref="C367:G367"/>
    <mergeCell ref="C368:G368"/>
    <mergeCell ref="C369:G369"/>
    <mergeCell ref="C394:G394"/>
    <mergeCell ref="C395:G395"/>
    <mergeCell ref="C396:G396"/>
    <mergeCell ref="C397:G397"/>
    <mergeCell ref="C398:G398"/>
    <mergeCell ref="C399:G399"/>
    <mergeCell ref="C388:G388"/>
    <mergeCell ref="C389:G389"/>
    <mergeCell ref="C390:G390"/>
    <mergeCell ref="C391:G391"/>
    <mergeCell ref="C392:G392"/>
    <mergeCell ref="C393:G393"/>
    <mergeCell ref="C382:G382"/>
    <mergeCell ref="C383:G383"/>
    <mergeCell ref="C384:G384"/>
    <mergeCell ref="C385:G385"/>
    <mergeCell ref="C386:G386"/>
    <mergeCell ref="C387:G387"/>
    <mergeCell ref="C412:G412"/>
    <mergeCell ref="C413:G413"/>
    <mergeCell ref="C414:G414"/>
    <mergeCell ref="C415:G415"/>
    <mergeCell ref="C416:G416"/>
    <mergeCell ref="C417:G417"/>
    <mergeCell ref="C406:G406"/>
    <mergeCell ref="C407:G407"/>
    <mergeCell ref="C408:G408"/>
    <mergeCell ref="C409:G409"/>
    <mergeCell ref="C410:G410"/>
    <mergeCell ref="C411:G411"/>
    <mergeCell ref="C400:G400"/>
    <mergeCell ref="C401:G401"/>
    <mergeCell ref="C402:G402"/>
    <mergeCell ref="C403:G403"/>
    <mergeCell ref="C404:G404"/>
    <mergeCell ref="C405:G405"/>
    <mergeCell ref="C430:G430"/>
    <mergeCell ref="C431:G431"/>
    <mergeCell ref="C432:G432"/>
    <mergeCell ref="C433:G433"/>
    <mergeCell ref="C434:G434"/>
    <mergeCell ref="C435:G435"/>
    <mergeCell ref="C424:G424"/>
    <mergeCell ref="C425:G425"/>
    <mergeCell ref="C426:G426"/>
    <mergeCell ref="C427:G427"/>
    <mergeCell ref="C428:G428"/>
    <mergeCell ref="C429:G429"/>
    <mergeCell ref="C418:G418"/>
    <mergeCell ref="C419:G419"/>
    <mergeCell ref="C420:G420"/>
    <mergeCell ref="C421:G421"/>
    <mergeCell ref="C422:G422"/>
    <mergeCell ref="C423:G423"/>
    <mergeCell ref="C448:G448"/>
    <mergeCell ref="C449:G449"/>
    <mergeCell ref="C450:G450"/>
    <mergeCell ref="C451:G451"/>
    <mergeCell ref="C452:G452"/>
    <mergeCell ref="C453:G453"/>
    <mergeCell ref="C442:G442"/>
    <mergeCell ref="C443:G443"/>
    <mergeCell ref="C444:G444"/>
    <mergeCell ref="C445:G445"/>
    <mergeCell ref="C446:G446"/>
    <mergeCell ref="C447:G447"/>
    <mergeCell ref="C436:G436"/>
    <mergeCell ref="C437:G437"/>
    <mergeCell ref="C438:G438"/>
    <mergeCell ref="C439:G439"/>
    <mergeCell ref="C440:G440"/>
    <mergeCell ref="C441:G441"/>
    <mergeCell ref="C466:G466"/>
    <mergeCell ref="C467:G467"/>
    <mergeCell ref="C468:G468"/>
    <mergeCell ref="C469:G469"/>
    <mergeCell ref="C470:G470"/>
    <mergeCell ref="C471:G471"/>
    <mergeCell ref="C460:G460"/>
    <mergeCell ref="C461:G461"/>
    <mergeCell ref="C462:G462"/>
    <mergeCell ref="C463:G463"/>
    <mergeCell ref="C464:G464"/>
    <mergeCell ref="C465:G465"/>
    <mergeCell ref="C454:G454"/>
    <mergeCell ref="C455:G455"/>
    <mergeCell ref="C456:G456"/>
    <mergeCell ref="C457:G457"/>
    <mergeCell ref="C458:G458"/>
    <mergeCell ref="C459:G459"/>
    <mergeCell ref="C484:G484"/>
    <mergeCell ref="C485:G485"/>
    <mergeCell ref="C486:G486"/>
    <mergeCell ref="C487:G487"/>
    <mergeCell ref="C488:G488"/>
    <mergeCell ref="C489:G489"/>
    <mergeCell ref="C478:G478"/>
    <mergeCell ref="C479:G479"/>
    <mergeCell ref="C480:G480"/>
    <mergeCell ref="C481:G481"/>
    <mergeCell ref="C482:G482"/>
    <mergeCell ref="C483:G483"/>
    <mergeCell ref="C472:G472"/>
    <mergeCell ref="C473:G473"/>
    <mergeCell ref="C474:G474"/>
    <mergeCell ref="C475:G475"/>
    <mergeCell ref="C476:G476"/>
    <mergeCell ref="C477:G477"/>
    <mergeCell ref="C502:G502"/>
    <mergeCell ref="C503:G503"/>
    <mergeCell ref="C504:G504"/>
    <mergeCell ref="C505:G505"/>
    <mergeCell ref="C506:G506"/>
    <mergeCell ref="C507:G507"/>
    <mergeCell ref="C496:G496"/>
    <mergeCell ref="C497:G497"/>
    <mergeCell ref="C498:G498"/>
    <mergeCell ref="C499:G499"/>
    <mergeCell ref="C500:G500"/>
    <mergeCell ref="C501:G501"/>
    <mergeCell ref="C490:G490"/>
    <mergeCell ref="C491:G491"/>
    <mergeCell ref="C492:G492"/>
    <mergeCell ref="C493:G493"/>
    <mergeCell ref="C494:G494"/>
    <mergeCell ref="C495:G495"/>
    <mergeCell ref="C520:G520"/>
    <mergeCell ref="C521:G521"/>
    <mergeCell ref="C522:G522"/>
    <mergeCell ref="C523:G523"/>
    <mergeCell ref="C524:G524"/>
    <mergeCell ref="C525:G525"/>
    <mergeCell ref="C514:G514"/>
    <mergeCell ref="C515:G515"/>
    <mergeCell ref="C516:G516"/>
    <mergeCell ref="C517:G517"/>
    <mergeCell ref="C518:G518"/>
    <mergeCell ref="C519:G519"/>
    <mergeCell ref="C508:G508"/>
    <mergeCell ref="C509:G509"/>
    <mergeCell ref="C510:G510"/>
    <mergeCell ref="C511:G511"/>
    <mergeCell ref="C512:G512"/>
    <mergeCell ref="C513:G513"/>
    <mergeCell ref="C538:G538"/>
    <mergeCell ref="C539:G539"/>
    <mergeCell ref="C540:G540"/>
    <mergeCell ref="C541:G541"/>
    <mergeCell ref="C542:G542"/>
    <mergeCell ref="C543:G543"/>
    <mergeCell ref="C532:G532"/>
    <mergeCell ref="C533:G533"/>
    <mergeCell ref="C534:G534"/>
    <mergeCell ref="C535:G535"/>
    <mergeCell ref="C536:G536"/>
    <mergeCell ref="C537:G537"/>
    <mergeCell ref="C526:G526"/>
    <mergeCell ref="C527:G527"/>
    <mergeCell ref="C528:G528"/>
    <mergeCell ref="C529:G529"/>
    <mergeCell ref="C530:G530"/>
    <mergeCell ref="C531:G531"/>
    <mergeCell ref="C556:G556"/>
    <mergeCell ref="C557:G557"/>
    <mergeCell ref="C558:G558"/>
    <mergeCell ref="C559:G559"/>
    <mergeCell ref="C560:G560"/>
    <mergeCell ref="C561:G561"/>
    <mergeCell ref="C550:G550"/>
    <mergeCell ref="C551:G551"/>
    <mergeCell ref="C552:G552"/>
    <mergeCell ref="C553:G553"/>
    <mergeCell ref="C554:G554"/>
    <mergeCell ref="C555:G555"/>
    <mergeCell ref="C544:G544"/>
    <mergeCell ref="C545:G545"/>
    <mergeCell ref="C546:G546"/>
    <mergeCell ref="C547:G547"/>
    <mergeCell ref="C548:G548"/>
    <mergeCell ref="C549:G549"/>
    <mergeCell ref="C574:G574"/>
    <mergeCell ref="C575:G575"/>
    <mergeCell ref="C576:G576"/>
    <mergeCell ref="C577:G577"/>
    <mergeCell ref="C578:G578"/>
    <mergeCell ref="C579:G579"/>
    <mergeCell ref="C568:G568"/>
    <mergeCell ref="C569:G569"/>
    <mergeCell ref="C570:G570"/>
    <mergeCell ref="C571:G571"/>
    <mergeCell ref="C572:G572"/>
    <mergeCell ref="C573:G573"/>
    <mergeCell ref="C562:G562"/>
    <mergeCell ref="C563:G563"/>
    <mergeCell ref="C564:G564"/>
    <mergeCell ref="C565:G565"/>
    <mergeCell ref="C566:G566"/>
    <mergeCell ref="C567:G567"/>
    <mergeCell ref="C592:G592"/>
    <mergeCell ref="C593:G593"/>
    <mergeCell ref="C594:G594"/>
    <mergeCell ref="C595:G595"/>
    <mergeCell ref="C596:G596"/>
    <mergeCell ref="C597:G597"/>
    <mergeCell ref="C586:G586"/>
    <mergeCell ref="C587:G587"/>
    <mergeCell ref="C588:G588"/>
    <mergeCell ref="C589:G589"/>
    <mergeCell ref="C590:G590"/>
    <mergeCell ref="C591:G591"/>
    <mergeCell ref="C580:G580"/>
    <mergeCell ref="C581:G581"/>
    <mergeCell ref="C582:G582"/>
    <mergeCell ref="C583:G583"/>
    <mergeCell ref="C584:G584"/>
    <mergeCell ref="C585:G585"/>
    <mergeCell ref="C610:G610"/>
    <mergeCell ref="C611:G611"/>
    <mergeCell ref="C612:G612"/>
    <mergeCell ref="C613:G613"/>
    <mergeCell ref="C614:G614"/>
    <mergeCell ref="C615:G615"/>
    <mergeCell ref="C604:G604"/>
    <mergeCell ref="C605:G605"/>
    <mergeCell ref="C606:G606"/>
    <mergeCell ref="C607:G607"/>
    <mergeCell ref="C608:G608"/>
    <mergeCell ref="C609:G609"/>
    <mergeCell ref="C598:G598"/>
    <mergeCell ref="C599:G599"/>
    <mergeCell ref="C600:G600"/>
    <mergeCell ref="C601:G601"/>
    <mergeCell ref="C602:G602"/>
    <mergeCell ref="C603:G603"/>
    <mergeCell ref="C628:G628"/>
    <mergeCell ref="C629:G629"/>
    <mergeCell ref="C630:G630"/>
    <mergeCell ref="C631:G631"/>
    <mergeCell ref="C632:G632"/>
    <mergeCell ref="C633:G633"/>
    <mergeCell ref="C622:G622"/>
    <mergeCell ref="C623:G623"/>
    <mergeCell ref="C624:G624"/>
    <mergeCell ref="C625:G625"/>
    <mergeCell ref="C626:G626"/>
    <mergeCell ref="C627:G627"/>
    <mergeCell ref="C616:G616"/>
    <mergeCell ref="C617:G617"/>
    <mergeCell ref="C618:G618"/>
    <mergeCell ref="C619:G619"/>
    <mergeCell ref="C620:G620"/>
    <mergeCell ref="C621:G621"/>
    <mergeCell ref="C646:G646"/>
    <mergeCell ref="C647:G647"/>
    <mergeCell ref="C648:G648"/>
    <mergeCell ref="C649:G649"/>
    <mergeCell ref="C650:G650"/>
    <mergeCell ref="C651:G651"/>
    <mergeCell ref="C640:G640"/>
    <mergeCell ref="C641:G641"/>
    <mergeCell ref="C642:G642"/>
    <mergeCell ref="C643:G643"/>
    <mergeCell ref="C644:G644"/>
    <mergeCell ref="C645:G645"/>
    <mergeCell ref="C634:G634"/>
    <mergeCell ref="C635:G635"/>
    <mergeCell ref="C636:G636"/>
    <mergeCell ref="C637:G637"/>
    <mergeCell ref="C638:G638"/>
    <mergeCell ref="C639:G639"/>
    <mergeCell ref="C664:G664"/>
    <mergeCell ref="C665:G665"/>
    <mergeCell ref="C666:G666"/>
    <mergeCell ref="C667:G667"/>
    <mergeCell ref="C668:G668"/>
    <mergeCell ref="C669:G669"/>
    <mergeCell ref="C658:G658"/>
    <mergeCell ref="C659:G659"/>
    <mergeCell ref="C660:G660"/>
    <mergeCell ref="C661:G661"/>
    <mergeCell ref="C662:G662"/>
    <mergeCell ref="C663:G663"/>
    <mergeCell ref="C652:G652"/>
    <mergeCell ref="C653:G653"/>
    <mergeCell ref="C654:G654"/>
    <mergeCell ref="C655:G655"/>
    <mergeCell ref="C656:G656"/>
    <mergeCell ref="C657:G657"/>
    <mergeCell ref="C682:G682"/>
    <mergeCell ref="C683:G683"/>
    <mergeCell ref="C684:G684"/>
    <mergeCell ref="C685:G685"/>
    <mergeCell ref="C686:G686"/>
    <mergeCell ref="C687:G687"/>
    <mergeCell ref="C676:G676"/>
    <mergeCell ref="C677:G677"/>
    <mergeCell ref="C678:G678"/>
    <mergeCell ref="C679:G679"/>
    <mergeCell ref="C680:G680"/>
    <mergeCell ref="C681:G681"/>
    <mergeCell ref="C670:G670"/>
    <mergeCell ref="C671:G671"/>
    <mergeCell ref="C672:G672"/>
    <mergeCell ref="C673:G673"/>
    <mergeCell ref="C674:G674"/>
    <mergeCell ref="C675:G675"/>
    <mergeCell ref="C700:G700"/>
    <mergeCell ref="C701:G701"/>
    <mergeCell ref="C702:G702"/>
    <mergeCell ref="C703:G703"/>
    <mergeCell ref="C704:G704"/>
    <mergeCell ref="C705:G705"/>
    <mergeCell ref="C694:G694"/>
    <mergeCell ref="C695:G695"/>
    <mergeCell ref="C696:G696"/>
    <mergeCell ref="C697:G697"/>
    <mergeCell ref="C698:G698"/>
    <mergeCell ref="C699:G699"/>
    <mergeCell ref="C688:G688"/>
    <mergeCell ref="C689:G689"/>
    <mergeCell ref="C690:G690"/>
    <mergeCell ref="C691:G691"/>
    <mergeCell ref="C692:G692"/>
    <mergeCell ref="C693:G693"/>
    <mergeCell ref="C718:G718"/>
    <mergeCell ref="C719:G719"/>
    <mergeCell ref="C720:G720"/>
    <mergeCell ref="C721:G721"/>
    <mergeCell ref="C722:G722"/>
    <mergeCell ref="C723:G723"/>
    <mergeCell ref="C712:G712"/>
    <mergeCell ref="C713:G713"/>
    <mergeCell ref="C714:G714"/>
    <mergeCell ref="C715:G715"/>
    <mergeCell ref="C716:G716"/>
    <mergeCell ref="C717:G717"/>
    <mergeCell ref="C706:G706"/>
    <mergeCell ref="C707:G707"/>
    <mergeCell ref="C708:G708"/>
    <mergeCell ref="C709:G709"/>
    <mergeCell ref="C710:G710"/>
    <mergeCell ref="C711:G711"/>
    <mergeCell ref="C736:G736"/>
    <mergeCell ref="C737:G737"/>
    <mergeCell ref="C738:G738"/>
    <mergeCell ref="C739:G739"/>
    <mergeCell ref="C740:G740"/>
    <mergeCell ref="C741:G741"/>
    <mergeCell ref="C730:G730"/>
    <mergeCell ref="C731:G731"/>
    <mergeCell ref="C732:G732"/>
    <mergeCell ref="C733:G733"/>
    <mergeCell ref="C734:G734"/>
    <mergeCell ref="C735:G735"/>
    <mergeCell ref="C724:G724"/>
    <mergeCell ref="C725:G725"/>
    <mergeCell ref="C726:G726"/>
    <mergeCell ref="C727:G727"/>
    <mergeCell ref="C728:G728"/>
    <mergeCell ref="C729:G729"/>
    <mergeCell ref="C754:G754"/>
    <mergeCell ref="C755:G755"/>
    <mergeCell ref="C756:G756"/>
    <mergeCell ref="C757:G757"/>
    <mergeCell ref="C758:G758"/>
    <mergeCell ref="C759:G759"/>
    <mergeCell ref="C748:G748"/>
    <mergeCell ref="C749:G749"/>
    <mergeCell ref="C750:G750"/>
    <mergeCell ref="C751:G751"/>
    <mergeCell ref="C752:G752"/>
    <mergeCell ref="C753:G753"/>
    <mergeCell ref="C742:G742"/>
    <mergeCell ref="C743:G743"/>
    <mergeCell ref="C744:G744"/>
    <mergeCell ref="C745:G745"/>
    <mergeCell ref="C746:G746"/>
    <mergeCell ref="C747:G747"/>
    <mergeCell ref="C772:G772"/>
    <mergeCell ref="C773:G773"/>
    <mergeCell ref="C774:G774"/>
    <mergeCell ref="C775:G775"/>
    <mergeCell ref="C776:G776"/>
    <mergeCell ref="C777:G777"/>
    <mergeCell ref="C766:G766"/>
    <mergeCell ref="C767:G767"/>
    <mergeCell ref="C768:G768"/>
    <mergeCell ref="C769:G769"/>
    <mergeCell ref="C770:G770"/>
    <mergeCell ref="C771:G771"/>
    <mergeCell ref="C760:G760"/>
    <mergeCell ref="C761:G761"/>
    <mergeCell ref="C762:G762"/>
    <mergeCell ref="C763:G763"/>
    <mergeCell ref="C764:G764"/>
    <mergeCell ref="C765:G765"/>
    <mergeCell ref="C790:G790"/>
    <mergeCell ref="C791:G791"/>
    <mergeCell ref="C792:G792"/>
    <mergeCell ref="C793:G793"/>
    <mergeCell ref="C794:G794"/>
    <mergeCell ref="C795:G795"/>
    <mergeCell ref="C784:G784"/>
    <mergeCell ref="C785:G785"/>
    <mergeCell ref="C786:G786"/>
    <mergeCell ref="C787:G787"/>
    <mergeCell ref="C788:G788"/>
    <mergeCell ref="C789:G789"/>
    <mergeCell ref="C778:G778"/>
    <mergeCell ref="C779:G779"/>
    <mergeCell ref="C780:G780"/>
    <mergeCell ref="C781:G781"/>
    <mergeCell ref="C782:G782"/>
    <mergeCell ref="C783:G783"/>
    <mergeCell ref="C808:G808"/>
    <mergeCell ref="C809:G809"/>
    <mergeCell ref="C810:G810"/>
    <mergeCell ref="C811:G811"/>
    <mergeCell ref="C812:G812"/>
    <mergeCell ref="C813:G813"/>
    <mergeCell ref="C802:G802"/>
    <mergeCell ref="C803:G803"/>
    <mergeCell ref="C804:G804"/>
    <mergeCell ref="C805:G805"/>
    <mergeCell ref="C806:G806"/>
    <mergeCell ref="C807:G807"/>
    <mergeCell ref="C796:G796"/>
    <mergeCell ref="C797:G797"/>
    <mergeCell ref="C798:G798"/>
    <mergeCell ref="C799:G799"/>
    <mergeCell ref="C800:G800"/>
    <mergeCell ref="C801:G801"/>
    <mergeCell ref="C826:G826"/>
    <mergeCell ref="C827:G827"/>
    <mergeCell ref="C828:G828"/>
    <mergeCell ref="C829:G829"/>
    <mergeCell ref="C830:G830"/>
    <mergeCell ref="C831:G831"/>
    <mergeCell ref="C820:G820"/>
    <mergeCell ref="C821:G821"/>
    <mergeCell ref="C822:G822"/>
    <mergeCell ref="C823:G823"/>
    <mergeCell ref="C824:G824"/>
    <mergeCell ref="C825:G825"/>
    <mergeCell ref="C814:G814"/>
    <mergeCell ref="C815:G815"/>
    <mergeCell ref="C816:G816"/>
    <mergeCell ref="C817:G817"/>
    <mergeCell ref="C818:G818"/>
    <mergeCell ref="C819:G819"/>
    <mergeCell ref="C844:G844"/>
    <mergeCell ref="C845:G845"/>
    <mergeCell ref="C846:G846"/>
    <mergeCell ref="C847:G847"/>
    <mergeCell ref="C848:G848"/>
    <mergeCell ref="C849:G849"/>
    <mergeCell ref="C838:G838"/>
    <mergeCell ref="C839:G839"/>
    <mergeCell ref="C840:G840"/>
    <mergeCell ref="C841:G841"/>
    <mergeCell ref="C842:G842"/>
    <mergeCell ref="C843:G843"/>
    <mergeCell ref="C832:G832"/>
    <mergeCell ref="C833:G833"/>
    <mergeCell ref="C834:G834"/>
    <mergeCell ref="C835:G835"/>
    <mergeCell ref="C836:G836"/>
    <mergeCell ref="C837:G837"/>
    <mergeCell ref="C862:G862"/>
    <mergeCell ref="C863:G863"/>
    <mergeCell ref="C864:G864"/>
    <mergeCell ref="C865:G865"/>
    <mergeCell ref="C866:G866"/>
    <mergeCell ref="C867:G867"/>
    <mergeCell ref="C856:G856"/>
    <mergeCell ref="C857:G857"/>
    <mergeCell ref="C858:G858"/>
    <mergeCell ref="C859:G859"/>
    <mergeCell ref="C860:G860"/>
    <mergeCell ref="C861:G861"/>
    <mergeCell ref="C850:G850"/>
    <mergeCell ref="C851:G851"/>
    <mergeCell ref="C852:G852"/>
    <mergeCell ref="C853:G853"/>
    <mergeCell ref="C854:G854"/>
    <mergeCell ref="C855:G855"/>
    <mergeCell ref="C880:G880"/>
    <mergeCell ref="C881:G881"/>
    <mergeCell ref="C882:G882"/>
    <mergeCell ref="C883:G883"/>
    <mergeCell ref="C884:G884"/>
    <mergeCell ref="C885:G885"/>
    <mergeCell ref="C874:G874"/>
    <mergeCell ref="C875:G875"/>
    <mergeCell ref="C876:G876"/>
    <mergeCell ref="C877:G877"/>
    <mergeCell ref="C878:G878"/>
    <mergeCell ref="C879:G879"/>
    <mergeCell ref="C868:G868"/>
    <mergeCell ref="C869:G869"/>
    <mergeCell ref="C870:G870"/>
    <mergeCell ref="C871:G871"/>
    <mergeCell ref="C872:G872"/>
    <mergeCell ref="C873:G873"/>
    <mergeCell ref="C898:G898"/>
    <mergeCell ref="C899:G899"/>
    <mergeCell ref="C900:G900"/>
    <mergeCell ref="C901:G901"/>
    <mergeCell ref="C902:G902"/>
    <mergeCell ref="C903:G903"/>
    <mergeCell ref="C892:G892"/>
    <mergeCell ref="C893:G893"/>
    <mergeCell ref="C894:G894"/>
    <mergeCell ref="C895:G895"/>
    <mergeCell ref="C896:G896"/>
    <mergeCell ref="C897:G897"/>
    <mergeCell ref="C886:G886"/>
    <mergeCell ref="C887:G887"/>
    <mergeCell ref="C888:G888"/>
    <mergeCell ref="C889:G889"/>
    <mergeCell ref="C890:G890"/>
    <mergeCell ref="C891:G891"/>
    <mergeCell ref="C917:G917"/>
    <mergeCell ref="C918:G918"/>
    <mergeCell ref="C919:G919"/>
    <mergeCell ref="C920:G920"/>
    <mergeCell ref="C921:G921"/>
    <mergeCell ref="C922:G922"/>
    <mergeCell ref="C911:G911"/>
    <mergeCell ref="C912:G912"/>
    <mergeCell ref="C913:G913"/>
    <mergeCell ref="C914:G914"/>
    <mergeCell ref="C915:G915"/>
    <mergeCell ref="C916:G916"/>
    <mergeCell ref="C905:G905"/>
    <mergeCell ref="C906:G906"/>
    <mergeCell ref="C907:G907"/>
    <mergeCell ref="C908:G908"/>
    <mergeCell ref="C909:G909"/>
    <mergeCell ref="C910:G910"/>
    <mergeCell ref="C935:G935"/>
    <mergeCell ref="C936:G936"/>
    <mergeCell ref="C937:G937"/>
    <mergeCell ref="C938:G938"/>
    <mergeCell ref="C939:G939"/>
    <mergeCell ref="C940:G940"/>
    <mergeCell ref="C929:G929"/>
    <mergeCell ref="C930:G930"/>
    <mergeCell ref="C931:G931"/>
    <mergeCell ref="C932:G932"/>
    <mergeCell ref="C933:G933"/>
    <mergeCell ref="C934:G934"/>
    <mergeCell ref="C923:G923"/>
    <mergeCell ref="C924:G924"/>
    <mergeCell ref="C925:G925"/>
    <mergeCell ref="C926:G926"/>
    <mergeCell ref="C927:G927"/>
    <mergeCell ref="C928:G928"/>
    <mergeCell ref="C953:G953"/>
    <mergeCell ref="C954:G954"/>
    <mergeCell ref="C955:G955"/>
    <mergeCell ref="C956:G956"/>
    <mergeCell ref="C957:G957"/>
    <mergeCell ref="C958:G958"/>
    <mergeCell ref="C947:G947"/>
    <mergeCell ref="C948:G948"/>
    <mergeCell ref="C949:G949"/>
    <mergeCell ref="C950:G950"/>
    <mergeCell ref="C951:G951"/>
    <mergeCell ref="C952:G952"/>
    <mergeCell ref="C941:G941"/>
    <mergeCell ref="C942:G942"/>
    <mergeCell ref="C943:G943"/>
    <mergeCell ref="C944:G944"/>
    <mergeCell ref="C945:G945"/>
    <mergeCell ref="C946:G946"/>
    <mergeCell ref="C971:G971"/>
    <mergeCell ref="C972:G972"/>
    <mergeCell ref="C973:G973"/>
    <mergeCell ref="C974:G974"/>
    <mergeCell ref="C975:G975"/>
    <mergeCell ref="C976:G976"/>
    <mergeCell ref="C965:G965"/>
    <mergeCell ref="C966:G966"/>
    <mergeCell ref="C967:G967"/>
    <mergeCell ref="C968:G968"/>
    <mergeCell ref="C969:G969"/>
    <mergeCell ref="C970:G970"/>
    <mergeCell ref="C959:G959"/>
    <mergeCell ref="C960:G960"/>
    <mergeCell ref="C961:G961"/>
    <mergeCell ref="C962:G962"/>
    <mergeCell ref="C963:G963"/>
    <mergeCell ref="C964:G964"/>
    <mergeCell ref="C989:G989"/>
    <mergeCell ref="C990:G990"/>
    <mergeCell ref="C991:G991"/>
    <mergeCell ref="C992:G992"/>
    <mergeCell ref="C993:G993"/>
    <mergeCell ref="C994:G994"/>
    <mergeCell ref="C983:G983"/>
    <mergeCell ref="C984:G984"/>
    <mergeCell ref="C985:G985"/>
    <mergeCell ref="C986:G986"/>
    <mergeCell ref="C987:G987"/>
    <mergeCell ref="C988:G988"/>
    <mergeCell ref="C977:G977"/>
    <mergeCell ref="C978:G978"/>
    <mergeCell ref="C979:G979"/>
    <mergeCell ref="C980:G980"/>
    <mergeCell ref="C981:G981"/>
    <mergeCell ref="C982:G982"/>
    <mergeCell ref="C1007:G1007"/>
    <mergeCell ref="C1008:G1008"/>
    <mergeCell ref="C1009:G1009"/>
    <mergeCell ref="C1010:G1010"/>
    <mergeCell ref="C1011:G1011"/>
    <mergeCell ref="C1012:G1012"/>
    <mergeCell ref="C1001:G1001"/>
    <mergeCell ref="C1002:G1002"/>
    <mergeCell ref="C1003:G1003"/>
    <mergeCell ref="C1004:G1004"/>
    <mergeCell ref="C1005:G1005"/>
    <mergeCell ref="C1006:G1006"/>
    <mergeCell ref="C995:G995"/>
    <mergeCell ref="C996:G996"/>
    <mergeCell ref="C997:G997"/>
    <mergeCell ref="C998:G998"/>
    <mergeCell ref="C999:G999"/>
    <mergeCell ref="C1000:G1000"/>
    <mergeCell ref="C1025:G1025"/>
    <mergeCell ref="C1026:G1026"/>
    <mergeCell ref="C1027:G1027"/>
    <mergeCell ref="C1028:G1028"/>
    <mergeCell ref="C1029:G1029"/>
    <mergeCell ref="C1030:G1030"/>
    <mergeCell ref="C1019:G1019"/>
    <mergeCell ref="C1020:G1020"/>
    <mergeCell ref="C1021:G1021"/>
    <mergeCell ref="C1022:G1022"/>
    <mergeCell ref="C1023:G1023"/>
    <mergeCell ref="C1024:G1024"/>
    <mergeCell ref="C1013:G1013"/>
    <mergeCell ref="C1014:G1014"/>
    <mergeCell ref="C1015:G1015"/>
    <mergeCell ref="C1016:G1016"/>
    <mergeCell ref="C1017:G1017"/>
    <mergeCell ref="C1018:G1018"/>
    <mergeCell ref="C1043:G1043"/>
    <mergeCell ref="C1044:G1044"/>
    <mergeCell ref="C1045:G1045"/>
    <mergeCell ref="C1046:G1046"/>
    <mergeCell ref="C1047:G1047"/>
    <mergeCell ref="C1048:G1048"/>
    <mergeCell ref="C1037:G1037"/>
    <mergeCell ref="C1038:G1038"/>
    <mergeCell ref="C1039:G1039"/>
    <mergeCell ref="C1040:G1040"/>
    <mergeCell ref="C1041:G1041"/>
    <mergeCell ref="C1042:G1042"/>
    <mergeCell ref="C1031:G1031"/>
    <mergeCell ref="C1032:G1032"/>
    <mergeCell ref="C1033:G1033"/>
    <mergeCell ref="C1034:G1034"/>
    <mergeCell ref="C1035:G1035"/>
    <mergeCell ref="C1036:G1036"/>
    <mergeCell ref="C1061:G1061"/>
    <mergeCell ref="C1062:G1062"/>
    <mergeCell ref="C1063:G1063"/>
    <mergeCell ref="C1064:G1064"/>
    <mergeCell ref="C1065:G1065"/>
    <mergeCell ref="C1066:G1066"/>
    <mergeCell ref="C1055:G1055"/>
    <mergeCell ref="C1056:G1056"/>
    <mergeCell ref="C1057:G1057"/>
    <mergeCell ref="C1058:G1058"/>
    <mergeCell ref="C1059:G1059"/>
    <mergeCell ref="C1060:G1060"/>
    <mergeCell ref="C1049:G1049"/>
    <mergeCell ref="C1050:G1050"/>
    <mergeCell ref="C1051:G1051"/>
    <mergeCell ref="C1052:G1052"/>
    <mergeCell ref="C1053:G1053"/>
    <mergeCell ref="C1054:G1054"/>
    <mergeCell ref="C1079:G1079"/>
    <mergeCell ref="C1080:G1080"/>
    <mergeCell ref="C1081:G1081"/>
    <mergeCell ref="C1082:G1082"/>
    <mergeCell ref="C1083:G1083"/>
    <mergeCell ref="C1084:G1084"/>
    <mergeCell ref="C1073:G1073"/>
    <mergeCell ref="C1074:G1074"/>
    <mergeCell ref="C1075:G1075"/>
    <mergeCell ref="C1076:G1076"/>
    <mergeCell ref="C1077:G1077"/>
    <mergeCell ref="C1078:G1078"/>
    <mergeCell ref="C1067:G1067"/>
    <mergeCell ref="C1068:G1068"/>
    <mergeCell ref="C1069:G1069"/>
    <mergeCell ref="C1070:G1070"/>
    <mergeCell ref="C1071:G1071"/>
    <mergeCell ref="C1072:G1072"/>
    <mergeCell ref="C1097:G1097"/>
    <mergeCell ref="C1098:G1098"/>
    <mergeCell ref="C1099:G1099"/>
    <mergeCell ref="C1100:G1100"/>
    <mergeCell ref="C1101:G1101"/>
    <mergeCell ref="C1102:G1102"/>
    <mergeCell ref="C1091:G1091"/>
    <mergeCell ref="C1092:G1092"/>
    <mergeCell ref="C1093:G1093"/>
    <mergeCell ref="C1094:G1094"/>
    <mergeCell ref="C1095:G1095"/>
    <mergeCell ref="C1096:G1096"/>
    <mergeCell ref="C1085:G1085"/>
    <mergeCell ref="C1086:G1086"/>
    <mergeCell ref="C1087:G1087"/>
    <mergeCell ref="C1088:G1088"/>
    <mergeCell ref="C1089:G1089"/>
    <mergeCell ref="C1090:G1090"/>
    <mergeCell ref="C1115:G1115"/>
    <mergeCell ref="C1116:G1116"/>
    <mergeCell ref="C1117:G1117"/>
    <mergeCell ref="C1118:G1118"/>
    <mergeCell ref="C1119:G1119"/>
    <mergeCell ref="C1120:G1120"/>
    <mergeCell ref="C1109:G1109"/>
    <mergeCell ref="C1110:G1110"/>
    <mergeCell ref="C1111:G1111"/>
    <mergeCell ref="C1112:G1112"/>
    <mergeCell ref="C1113:G1113"/>
    <mergeCell ref="C1114:G1114"/>
    <mergeCell ref="C1103:G1103"/>
    <mergeCell ref="C1104:G1104"/>
    <mergeCell ref="C1105:G1105"/>
    <mergeCell ref="C1106:G1106"/>
    <mergeCell ref="C1107:G1107"/>
    <mergeCell ref="C1108:G1108"/>
    <mergeCell ref="C1133:G1133"/>
    <mergeCell ref="C1134:G1134"/>
    <mergeCell ref="C1135:G1135"/>
    <mergeCell ref="C1136:G1136"/>
    <mergeCell ref="C1137:G1137"/>
    <mergeCell ref="C1138:G1138"/>
    <mergeCell ref="C1127:G1127"/>
    <mergeCell ref="C1128:G1128"/>
    <mergeCell ref="C1129:G1129"/>
    <mergeCell ref="C1130:G1130"/>
    <mergeCell ref="C1131:G1131"/>
    <mergeCell ref="C1132:G1132"/>
    <mergeCell ref="C1121:G1121"/>
    <mergeCell ref="C1122:G1122"/>
    <mergeCell ref="C1123:G1123"/>
    <mergeCell ref="C1124:G1124"/>
    <mergeCell ref="C1125:G1125"/>
    <mergeCell ref="C1126:G1126"/>
    <mergeCell ref="C1151:G1151"/>
    <mergeCell ref="C1152:G1152"/>
    <mergeCell ref="C1153:G1153"/>
    <mergeCell ref="C1154:G1154"/>
    <mergeCell ref="C1155:G1155"/>
    <mergeCell ref="C1156:G1156"/>
    <mergeCell ref="C1145:G1145"/>
    <mergeCell ref="C1146:G1146"/>
    <mergeCell ref="C1147:G1147"/>
    <mergeCell ref="C1148:G1148"/>
    <mergeCell ref="C1149:G1149"/>
    <mergeCell ref="C1150:G1150"/>
    <mergeCell ref="C1139:G1139"/>
    <mergeCell ref="C1140:G1140"/>
    <mergeCell ref="C1141:G1141"/>
    <mergeCell ref="C1142:G1142"/>
    <mergeCell ref="C1143:G1143"/>
    <mergeCell ref="C1144:G1144"/>
    <mergeCell ref="C1169:G1169"/>
    <mergeCell ref="C1170:G1170"/>
    <mergeCell ref="C1171:G1171"/>
    <mergeCell ref="C1172:G1172"/>
    <mergeCell ref="C1173:G1173"/>
    <mergeCell ref="C1174:G1174"/>
    <mergeCell ref="C1163:G1163"/>
    <mergeCell ref="C1164:G1164"/>
    <mergeCell ref="C1165:G1165"/>
    <mergeCell ref="C1166:G1166"/>
    <mergeCell ref="C1167:G1167"/>
    <mergeCell ref="C1168:G1168"/>
    <mergeCell ref="C1157:G1157"/>
    <mergeCell ref="C1158:G1158"/>
    <mergeCell ref="C1159:G1159"/>
    <mergeCell ref="C1160:G1160"/>
    <mergeCell ref="C1161:G1161"/>
    <mergeCell ref="C1162:G1162"/>
    <mergeCell ref="C1187:G1187"/>
    <mergeCell ref="C1188:G1188"/>
    <mergeCell ref="C1189:G1189"/>
    <mergeCell ref="C1190:G1190"/>
    <mergeCell ref="C1191:G1191"/>
    <mergeCell ref="C1192:G1192"/>
    <mergeCell ref="C1181:G1181"/>
    <mergeCell ref="C1182:G1182"/>
    <mergeCell ref="C1183:G1183"/>
    <mergeCell ref="C1184:G1184"/>
    <mergeCell ref="C1185:G1185"/>
    <mergeCell ref="C1186:G1186"/>
    <mergeCell ref="C1175:G1175"/>
    <mergeCell ref="C1176:G1176"/>
    <mergeCell ref="C1177:G1177"/>
    <mergeCell ref="C1178:G1178"/>
    <mergeCell ref="C1179:G1179"/>
    <mergeCell ref="C1180:G1180"/>
    <mergeCell ref="C1205:G1205"/>
    <mergeCell ref="C1206:G1206"/>
    <mergeCell ref="C1207:G1207"/>
    <mergeCell ref="C1208:G1208"/>
    <mergeCell ref="C1209:G1209"/>
    <mergeCell ref="C1210:G1210"/>
    <mergeCell ref="C1199:G1199"/>
    <mergeCell ref="C1200:G1200"/>
    <mergeCell ref="C1201:G1201"/>
    <mergeCell ref="C1202:G1202"/>
    <mergeCell ref="C1203:G1203"/>
    <mergeCell ref="C1204:G1204"/>
    <mergeCell ref="C1193:G1193"/>
    <mergeCell ref="C1194:G1194"/>
    <mergeCell ref="C1195:G1195"/>
    <mergeCell ref="C1196:G1196"/>
    <mergeCell ref="C1197:G1197"/>
    <mergeCell ref="C1198:G1198"/>
    <mergeCell ref="C1223:G1223"/>
    <mergeCell ref="C1224:G1224"/>
    <mergeCell ref="C1225:G1225"/>
    <mergeCell ref="C1226:G1226"/>
    <mergeCell ref="C1227:G1227"/>
    <mergeCell ref="C1228:G1228"/>
    <mergeCell ref="C1217:G1217"/>
    <mergeCell ref="C1218:G1218"/>
    <mergeCell ref="C1219:G1219"/>
    <mergeCell ref="C1220:G1220"/>
    <mergeCell ref="C1221:G1221"/>
    <mergeCell ref="C1222:G1222"/>
    <mergeCell ref="C1211:G1211"/>
    <mergeCell ref="C1212:G1212"/>
    <mergeCell ref="C1213:G1213"/>
    <mergeCell ref="C1214:G1214"/>
    <mergeCell ref="C1215:G1215"/>
    <mergeCell ref="C1216:G1216"/>
    <mergeCell ref="C1241:G1241"/>
    <mergeCell ref="C1242:G1242"/>
    <mergeCell ref="C1243:G1243"/>
    <mergeCell ref="C1244:G1244"/>
    <mergeCell ref="C1245:G1245"/>
    <mergeCell ref="C1246:G1246"/>
    <mergeCell ref="C1235:G1235"/>
    <mergeCell ref="C1236:G1236"/>
    <mergeCell ref="C1237:G1237"/>
    <mergeCell ref="C1238:G1238"/>
    <mergeCell ref="C1239:G1239"/>
    <mergeCell ref="C1240:G1240"/>
    <mergeCell ref="C1229:G1229"/>
    <mergeCell ref="C1230:G1230"/>
    <mergeCell ref="C1231:G1231"/>
    <mergeCell ref="C1232:G1232"/>
    <mergeCell ref="C1233:G1233"/>
    <mergeCell ref="C1234:G1234"/>
    <mergeCell ref="C1259:G1259"/>
    <mergeCell ref="C1260:G1260"/>
    <mergeCell ref="C1261:G1261"/>
    <mergeCell ref="C1262:G1262"/>
    <mergeCell ref="C1263:G1263"/>
    <mergeCell ref="C1264:G1264"/>
    <mergeCell ref="C1253:G1253"/>
    <mergeCell ref="C1254:G1254"/>
    <mergeCell ref="C1255:G1255"/>
    <mergeCell ref="C1256:G1256"/>
    <mergeCell ref="C1257:G1257"/>
    <mergeCell ref="C1258:G1258"/>
    <mergeCell ref="C1247:G1247"/>
    <mergeCell ref="C1248:G1248"/>
    <mergeCell ref="C1249:G1249"/>
    <mergeCell ref="C1250:G1250"/>
    <mergeCell ref="C1251:G1251"/>
    <mergeCell ref="C1252:G1252"/>
    <mergeCell ref="C1277:G1277"/>
    <mergeCell ref="C1278:G1278"/>
    <mergeCell ref="C1279:G1279"/>
    <mergeCell ref="C1280:G1280"/>
    <mergeCell ref="C1281:G1281"/>
    <mergeCell ref="C1282:G1282"/>
    <mergeCell ref="C1271:G1271"/>
    <mergeCell ref="C1272:G1272"/>
    <mergeCell ref="C1273:G1273"/>
    <mergeCell ref="C1274:G1274"/>
    <mergeCell ref="C1275:G1275"/>
    <mergeCell ref="C1276:G1276"/>
    <mergeCell ref="C1265:G1265"/>
    <mergeCell ref="C1266:G1266"/>
    <mergeCell ref="C1267:G1267"/>
    <mergeCell ref="C1268:G1268"/>
    <mergeCell ref="C1269:G1269"/>
    <mergeCell ref="C1270:G1270"/>
    <mergeCell ref="C1301:G1301"/>
    <mergeCell ref="A1304:L1304"/>
    <mergeCell ref="C1295:G1295"/>
    <mergeCell ref="C1296:G1296"/>
    <mergeCell ref="C1297:G1297"/>
    <mergeCell ref="C1298:G1298"/>
    <mergeCell ref="C1299:G1299"/>
    <mergeCell ref="C1300:G1300"/>
    <mergeCell ref="C1289:G1289"/>
    <mergeCell ref="C1290:G1290"/>
    <mergeCell ref="C1291:G1291"/>
    <mergeCell ref="C1292:G1292"/>
    <mergeCell ref="C1293:G1293"/>
    <mergeCell ref="C1294:G1294"/>
    <mergeCell ref="C1283:G1283"/>
    <mergeCell ref="C1284:G1284"/>
    <mergeCell ref="C1285:G1285"/>
    <mergeCell ref="C1286:G1286"/>
    <mergeCell ref="C1287:G1287"/>
    <mergeCell ref="C1288:G1288"/>
  </mergeCells>
  <pageMargins left="0.39400000000000002" right="0.39400000000000002" top="0.59099999999999997" bottom="0.59099999999999997" header="0.5" footer="0.5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3"/>
  <sheetViews>
    <sheetView workbookViewId="0">
      <pane ySplit="10" topLeftCell="A11" activePane="bottomLeft" state="frozenSplit"/>
      <selection pane="bottomLeft" activeCell="A2" sqref="A2:B3"/>
    </sheetView>
  </sheetViews>
  <sheetFormatPr defaultColWidth="11.5703125" defaultRowHeight="12.75" x14ac:dyDescent="0.2"/>
  <cols>
    <col min="1" max="2" width="9.140625" customWidth="1"/>
    <col min="3" max="3" width="13.28515625" customWidth="1"/>
    <col min="4" max="4" width="134.42578125" customWidth="1"/>
    <col min="5" max="5" width="14.5703125" customWidth="1"/>
    <col min="6" max="6" width="6.85546875" customWidth="1"/>
    <col min="7" max="7" width="11.140625" customWidth="1"/>
    <col min="8" max="8" width="18.140625" hidden="1" customWidth="1"/>
  </cols>
  <sheetData>
    <row r="1" spans="1:9" ht="72.95" customHeight="1" x14ac:dyDescent="0.35">
      <c r="A1" s="127" t="s">
        <v>3746</v>
      </c>
      <c r="B1" s="111"/>
      <c r="C1" s="111"/>
      <c r="D1" s="111"/>
      <c r="E1" s="111"/>
      <c r="F1" s="111"/>
      <c r="G1" s="111"/>
      <c r="H1" s="111"/>
    </row>
    <row r="2" spans="1:9" x14ac:dyDescent="0.2">
      <c r="A2" s="112" t="s">
        <v>1</v>
      </c>
      <c r="B2" s="113"/>
      <c r="C2" s="114" t="str">
        <f>'Stavební rozpočet'!C2</f>
        <v>Rekonstrukce Denního stacionáře domovinky Hofmanova č.p.568, Jičín</v>
      </c>
      <c r="D2" s="115"/>
      <c r="E2" s="117" t="s">
        <v>3606</v>
      </c>
      <c r="F2" s="117" t="str">
        <f>'Stavební rozpočet'!H2</f>
        <v> </v>
      </c>
      <c r="G2" s="113"/>
      <c r="H2" s="128"/>
      <c r="I2" s="32"/>
    </row>
    <row r="3" spans="1:9" x14ac:dyDescent="0.2">
      <c r="A3" s="104"/>
      <c r="B3" s="81"/>
      <c r="C3" s="116"/>
      <c r="D3" s="116"/>
      <c r="E3" s="81"/>
      <c r="F3" s="81"/>
      <c r="G3" s="81"/>
      <c r="H3" s="107"/>
      <c r="I3" s="32"/>
    </row>
    <row r="4" spans="1:9" x14ac:dyDescent="0.2">
      <c r="A4" s="103" t="s">
        <v>2</v>
      </c>
      <c r="B4" s="81"/>
      <c r="C4" s="80" t="str">
        <f>'Stavební rozpočet'!C4</f>
        <v xml:space="preserve"> </v>
      </c>
      <c r="D4" s="81"/>
      <c r="E4" s="80" t="s">
        <v>3607</v>
      </c>
      <c r="F4" s="80" t="str">
        <f>'Stavební rozpočet'!H4</f>
        <v> </v>
      </c>
      <c r="G4" s="81"/>
      <c r="H4" s="107"/>
      <c r="I4" s="32"/>
    </row>
    <row r="5" spans="1:9" x14ac:dyDescent="0.2">
      <c r="A5" s="104"/>
      <c r="B5" s="81"/>
      <c r="C5" s="81"/>
      <c r="D5" s="81"/>
      <c r="E5" s="81"/>
      <c r="F5" s="81"/>
      <c r="G5" s="81"/>
      <c r="H5" s="107"/>
      <c r="I5" s="32"/>
    </row>
    <row r="6" spans="1:9" x14ac:dyDescent="0.2">
      <c r="A6" s="103" t="s">
        <v>3</v>
      </c>
      <c r="B6" s="81"/>
      <c r="C6" s="80" t="str">
        <f>'Stavební rozpočet'!C6</f>
        <v xml:space="preserve"> </v>
      </c>
      <c r="D6" s="81"/>
      <c r="E6" s="80" t="s">
        <v>3608</v>
      </c>
      <c r="F6" s="80" t="str">
        <f>'Stavební rozpočet'!H6</f>
        <v> </v>
      </c>
      <c r="G6" s="81"/>
      <c r="H6" s="107"/>
      <c r="I6" s="32"/>
    </row>
    <row r="7" spans="1:9" x14ac:dyDescent="0.2">
      <c r="A7" s="104"/>
      <c r="B7" s="81"/>
      <c r="C7" s="81"/>
      <c r="D7" s="81"/>
      <c r="E7" s="81"/>
      <c r="F7" s="81"/>
      <c r="G7" s="81"/>
      <c r="H7" s="107"/>
      <c r="I7" s="32"/>
    </row>
    <row r="8" spans="1:9" x14ac:dyDescent="0.2">
      <c r="A8" s="103" t="s">
        <v>3609</v>
      </c>
      <c r="B8" s="81"/>
      <c r="C8" s="80" t="str">
        <f>'Stavební rozpočet'!H8</f>
        <v> </v>
      </c>
      <c r="D8" s="81"/>
      <c r="E8" s="80" t="s">
        <v>3605</v>
      </c>
      <c r="F8" s="80"/>
      <c r="G8" s="81"/>
      <c r="H8" s="107"/>
      <c r="I8" s="32"/>
    </row>
    <row r="9" spans="1:9" x14ac:dyDescent="0.2">
      <c r="A9" s="124"/>
      <c r="B9" s="125"/>
      <c r="C9" s="125"/>
      <c r="D9" s="125"/>
      <c r="E9" s="125"/>
      <c r="F9" s="125"/>
      <c r="G9" s="125"/>
      <c r="H9" s="126"/>
      <c r="I9" s="32"/>
    </row>
    <row r="10" spans="1:9" x14ac:dyDescent="0.2">
      <c r="A10" s="42" t="s">
        <v>5</v>
      </c>
      <c r="B10" s="48" t="s">
        <v>3740</v>
      </c>
      <c r="C10" s="48" t="s">
        <v>1224</v>
      </c>
      <c r="D10" s="119" t="s">
        <v>2402</v>
      </c>
      <c r="E10" s="121"/>
      <c r="F10" s="48" t="s">
        <v>3611</v>
      </c>
      <c r="G10" s="49" t="s">
        <v>3628</v>
      </c>
      <c r="H10" s="40" t="s">
        <v>4148</v>
      </c>
      <c r="I10" s="33"/>
    </row>
    <row r="11" spans="1:9" x14ac:dyDescent="0.2">
      <c r="A11" s="47"/>
      <c r="B11" s="47"/>
      <c r="C11" s="47" t="s">
        <v>2395</v>
      </c>
      <c r="D11" s="157" t="s">
        <v>3596</v>
      </c>
      <c r="E11" s="158"/>
      <c r="F11" s="47"/>
      <c r="G11" s="50"/>
      <c r="H11" s="50"/>
    </row>
    <row r="12" spans="1:9" x14ac:dyDescent="0.2">
      <c r="A12" s="5" t="s">
        <v>7</v>
      </c>
      <c r="B12" s="5" t="s">
        <v>3651</v>
      </c>
      <c r="C12" s="5" t="s">
        <v>2396</v>
      </c>
      <c r="D12" s="135" t="s">
        <v>3597</v>
      </c>
      <c r="E12" s="136"/>
      <c r="F12" s="5" t="s">
        <v>3612</v>
      </c>
      <c r="G12" s="18">
        <v>1</v>
      </c>
      <c r="H12" s="18">
        <v>0</v>
      </c>
    </row>
    <row r="13" spans="1:9" x14ac:dyDescent="0.2">
      <c r="A13" s="5" t="s">
        <v>8</v>
      </c>
      <c r="B13" s="5" t="s">
        <v>3651</v>
      </c>
      <c r="C13" s="5" t="s">
        <v>2397</v>
      </c>
      <c r="D13" s="135" t="s">
        <v>3598</v>
      </c>
      <c r="E13" s="136"/>
      <c r="F13" s="5" t="s">
        <v>3612</v>
      </c>
      <c r="G13" s="18">
        <v>1</v>
      </c>
      <c r="H13" s="18">
        <v>0</v>
      </c>
    </row>
    <row r="14" spans="1:9" x14ac:dyDescent="0.2">
      <c r="A14" s="5" t="s">
        <v>9</v>
      </c>
      <c r="B14" s="5" t="s">
        <v>3651</v>
      </c>
      <c r="C14" s="5" t="s">
        <v>2398</v>
      </c>
      <c r="D14" s="135" t="s">
        <v>3599</v>
      </c>
      <c r="E14" s="136"/>
      <c r="F14" s="5" t="s">
        <v>3612</v>
      </c>
      <c r="G14" s="18">
        <v>1</v>
      </c>
      <c r="H14" s="18">
        <v>0</v>
      </c>
    </row>
    <row r="15" spans="1:9" x14ac:dyDescent="0.2">
      <c r="A15" s="5" t="s">
        <v>10</v>
      </c>
      <c r="B15" s="5" t="s">
        <v>3651</v>
      </c>
      <c r="C15" s="5" t="s">
        <v>2399</v>
      </c>
      <c r="D15" s="135" t="s">
        <v>3600</v>
      </c>
      <c r="E15" s="136"/>
      <c r="F15" s="5" t="s">
        <v>3612</v>
      </c>
      <c r="G15" s="18">
        <v>1</v>
      </c>
      <c r="H15" s="18">
        <v>0</v>
      </c>
    </row>
    <row r="16" spans="1:9" x14ac:dyDescent="0.2">
      <c r="A16" s="5" t="s">
        <v>11</v>
      </c>
      <c r="B16" s="5" t="s">
        <v>3651</v>
      </c>
      <c r="C16" s="5" t="s">
        <v>2400</v>
      </c>
      <c r="D16" s="135" t="s">
        <v>3601</v>
      </c>
      <c r="E16" s="136"/>
      <c r="F16" s="5" t="s">
        <v>3612</v>
      </c>
      <c r="G16" s="18">
        <v>1</v>
      </c>
      <c r="H16" s="18">
        <v>0</v>
      </c>
    </row>
    <row r="17" spans="1:8" x14ac:dyDescent="0.2">
      <c r="A17" s="14"/>
      <c r="B17" s="14"/>
      <c r="C17" s="14" t="s">
        <v>17</v>
      </c>
      <c r="D17" s="133" t="s">
        <v>2405</v>
      </c>
      <c r="E17" s="134"/>
      <c r="F17" s="14"/>
      <c r="G17" s="27"/>
      <c r="H17" s="27"/>
    </row>
    <row r="18" spans="1:8" x14ac:dyDescent="0.2">
      <c r="A18" s="5" t="s">
        <v>12</v>
      </c>
      <c r="B18" s="5" t="s">
        <v>3645</v>
      </c>
      <c r="C18" s="5" t="s">
        <v>1225</v>
      </c>
      <c r="D18" s="135" t="s">
        <v>2406</v>
      </c>
      <c r="E18" s="136"/>
      <c r="F18" s="5" t="s">
        <v>3612</v>
      </c>
      <c r="G18" s="18">
        <v>1</v>
      </c>
      <c r="H18" s="18">
        <v>0</v>
      </c>
    </row>
    <row r="19" spans="1:8" ht="12.2" customHeight="1" x14ac:dyDescent="0.2">
      <c r="D19" s="153" t="s">
        <v>3747</v>
      </c>
      <c r="E19" s="154"/>
      <c r="F19" s="154"/>
      <c r="G19" s="51">
        <v>1</v>
      </c>
    </row>
    <row r="20" spans="1:8" x14ac:dyDescent="0.2">
      <c r="A20" s="5" t="s">
        <v>13</v>
      </c>
      <c r="B20" s="5" t="s">
        <v>3646</v>
      </c>
      <c r="C20" s="5" t="s">
        <v>2168</v>
      </c>
      <c r="D20" s="135" t="s">
        <v>3371</v>
      </c>
      <c r="E20" s="136"/>
      <c r="F20" s="5" t="s">
        <v>3612</v>
      </c>
      <c r="G20" s="18">
        <v>2</v>
      </c>
      <c r="H20" s="18">
        <v>0</v>
      </c>
    </row>
    <row r="21" spans="1:8" ht="12.2" customHeight="1" x14ac:dyDescent="0.2">
      <c r="D21" s="153" t="s">
        <v>3748</v>
      </c>
      <c r="E21" s="154"/>
      <c r="F21" s="154"/>
      <c r="G21" s="51">
        <v>2</v>
      </c>
    </row>
    <row r="22" spans="1:8" x14ac:dyDescent="0.2">
      <c r="A22" s="5" t="s">
        <v>14</v>
      </c>
      <c r="B22" s="5" t="s">
        <v>3646</v>
      </c>
      <c r="C22" s="5" t="s">
        <v>2169</v>
      </c>
      <c r="D22" s="135" t="s">
        <v>3372</v>
      </c>
      <c r="E22" s="136"/>
      <c r="F22" s="5" t="s">
        <v>3615</v>
      </c>
      <c r="G22" s="18">
        <v>50</v>
      </c>
      <c r="H22" s="18">
        <v>0</v>
      </c>
    </row>
    <row r="23" spans="1:8" ht="12.2" customHeight="1" x14ac:dyDescent="0.2">
      <c r="D23" s="153" t="s">
        <v>3749</v>
      </c>
      <c r="E23" s="154"/>
      <c r="F23" s="154"/>
      <c r="G23" s="51">
        <v>50</v>
      </c>
    </row>
    <row r="24" spans="1:8" x14ac:dyDescent="0.2">
      <c r="A24" s="14"/>
      <c r="B24" s="14"/>
      <c r="C24" s="14" t="s">
        <v>18</v>
      </c>
      <c r="D24" s="133" t="s">
        <v>2407</v>
      </c>
      <c r="E24" s="134"/>
      <c r="F24" s="14"/>
      <c r="G24" s="27"/>
      <c r="H24" s="27"/>
    </row>
    <row r="25" spans="1:8" x14ac:dyDescent="0.2">
      <c r="A25" s="5" t="s">
        <v>15</v>
      </c>
      <c r="B25" s="5" t="s">
        <v>3645</v>
      </c>
      <c r="C25" s="5" t="s">
        <v>1226</v>
      </c>
      <c r="D25" s="135" t="s">
        <v>2408</v>
      </c>
      <c r="E25" s="136"/>
      <c r="F25" s="5" t="s">
        <v>3613</v>
      </c>
      <c r="G25" s="18">
        <v>12.776999999999999</v>
      </c>
      <c r="H25" s="18">
        <v>0</v>
      </c>
    </row>
    <row r="26" spans="1:8" ht="12.2" customHeight="1" x14ac:dyDescent="0.2">
      <c r="D26" s="153" t="s">
        <v>3750</v>
      </c>
      <c r="E26" s="154"/>
      <c r="F26" s="154"/>
      <c r="G26" s="51">
        <v>12.776999999999999</v>
      </c>
    </row>
    <row r="27" spans="1:8" x14ac:dyDescent="0.2">
      <c r="A27" s="5" t="s">
        <v>16</v>
      </c>
      <c r="B27" s="5" t="s">
        <v>3645</v>
      </c>
      <c r="C27" s="5" t="s">
        <v>1227</v>
      </c>
      <c r="D27" s="135" t="s">
        <v>2409</v>
      </c>
      <c r="E27" s="136"/>
      <c r="F27" s="5" t="s">
        <v>3613</v>
      </c>
      <c r="G27" s="18">
        <v>98.71705</v>
      </c>
      <c r="H27" s="18">
        <v>0</v>
      </c>
    </row>
    <row r="28" spans="1:8" ht="12.2" customHeight="1" x14ac:dyDescent="0.2">
      <c r="D28" s="153" t="s">
        <v>3751</v>
      </c>
      <c r="E28" s="154"/>
      <c r="F28" s="154"/>
      <c r="G28" s="51">
        <v>98.71705</v>
      </c>
    </row>
    <row r="29" spans="1:8" x14ac:dyDescent="0.2">
      <c r="A29" s="5" t="s">
        <v>17</v>
      </c>
      <c r="B29" s="5" t="s">
        <v>3645</v>
      </c>
      <c r="C29" s="5" t="s">
        <v>1228</v>
      </c>
      <c r="D29" s="135" t="s">
        <v>2410</v>
      </c>
      <c r="E29" s="136"/>
      <c r="F29" s="5" t="s">
        <v>3613</v>
      </c>
      <c r="G29" s="18">
        <v>407.20783</v>
      </c>
      <c r="H29" s="18">
        <v>0</v>
      </c>
    </row>
    <row r="30" spans="1:8" ht="12.2" customHeight="1" x14ac:dyDescent="0.2">
      <c r="D30" s="153" t="s">
        <v>3752</v>
      </c>
      <c r="E30" s="154"/>
      <c r="F30" s="154"/>
      <c r="G30" s="51">
        <v>407.20783</v>
      </c>
    </row>
    <row r="31" spans="1:8" x14ac:dyDescent="0.2">
      <c r="A31" s="5" t="s">
        <v>18</v>
      </c>
      <c r="B31" s="5" t="s">
        <v>3645</v>
      </c>
      <c r="C31" s="5" t="s">
        <v>1229</v>
      </c>
      <c r="D31" s="135" t="s">
        <v>2411</v>
      </c>
      <c r="E31" s="136"/>
      <c r="F31" s="5" t="s">
        <v>3613</v>
      </c>
      <c r="G31" s="18">
        <v>407.20783</v>
      </c>
      <c r="H31" s="18">
        <v>0</v>
      </c>
    </row>
    <row r="32" spans="1:8" ht="12.2" customHeight="1" x14ac:dyDescent="0.2">
      <c r="D32" s="153" t="s">
        <v>3752</v>
      </c>
      <c r="E32" s="154"/>
      <c r="F32" s="154"/>
      <c r="G32" s="51">
        <v>407.20783</v>
      </c>
    </row>
    <row r="33" spans="1:8" x14ac:dyDescent="0.2">
      <c r="A33" s="5" t="s">
        <v>19</v>
      </c>
      <c r="B33" s="5" t="s">
        <v>3645</v>
      </c>
      <c r="C33" s="5" t="s">
        <v>1230</v>
      </c>
      <c r="D33" s="135" t="s">
        <v>2412</v>
      </c>
      <c r="E33" s="136"/>
      <c r="F33" s="5" t="s">
        <v>3613</v>
      </c>
      <c r="G33" s="18">
        <v>407.20783</v>
      </c>
      <c r="H33" s="18">
        <v>0</v>
      </c>
    </row>
    <row r="34" spans="1:8" ht="12.2" customHeight="1" x14ac:dyDescent="0.2">
      <c r="D34" s="153" t="s">
        <v>3752</v>
      </c>
      <c r="E34" s="154"/>
      <c r="F34" s="154"/>
      <c r="G34" s="51">
        <v>407.20783</v>
      </c>
    </row>
    <row r="35" spans="1:8" x14ac:dyDescent="0.2">
      <c r="A35" s="5" t="s">
        <v>20</v>
      </c>
      <c r="B35" s="5" t="s">
        <v>3645</v>
      </c>
      <c r="C35" s="5" t="s">
        <v>1231</v>
      </c>
      <c r="D35" s="135" t="s">
        <v>2413</v>
      </c>
      <c r="E35" s="136"/>
      <c r="F35" s="5" t="s">
        <v>3613</v>
      </c>
      <c r="G35" s="18">
        <v>407.20783</v>
      </c>
      <c r="H35" s="18">
        <v>0</v>
      </c>
    </row>
    <row r="36" spans="1:8" ht="12.2" customHeight="1" x14ac:dyDescent="0.2">
      <c r="D36" s="153" t="s">
        <v>3752</v>
      </c>
      <c r="E36" s="154"/>
      <c r="F36" s="154"/>
      <c r="G36" s="51">
        <v>407.20783</v>
      </c>
    </row>
    <row r="37" spans="1:8" x14ac:dyDescent="0.2">
      <c r="A37" s="14"/>
      <c r="B37" s="14"/>
      <c r="C37" s="14" t="s">
        <v>19</v>
      </c>
      <c r="D37" s="133" t="s">
        <v>2414</v>
      </c>
      <c r="E37" s="134"/>
      <c r="F37" s="14"/>
      <c r="G37" s="27"/>
      <c r="H37" s="27"/>
    </row>
    <row r="38" spans="1:8" x14ac:dyDescent="0.2">
      <c r="A38" s="5" t="s">
        <v>21</v>
      </c>
      <c r="B38" s="5" t="s">
        <v>3645</v>
      </c>
      <c r="C38" s="5" t="s">
        <v>1232</v>
      </c>
      <c r="D38" s="135" t="s">
        <v>2415</v>
      </c>
      <c r="E38" s="136"/>
      <c r="F38" s="5" t="s">
        <v>3613</v>
      </c>
      <c r="G38" s="18">
        <v>59.868299999999998</v>
      </c>
      <c r="H38" s="18">
        <v>0</v>
      </c>
    </row>
    <row r="39" spans="1:8" ht="12.2" customHeight="1" x14ac:dyDescent="0.2">
      <c r="D39" s="153" t="s">
        <v>3753</v>
      </c>
      <c r="E39" s="154"/>
      <c r="F39" s="154"/>
      <c r="G39" s="51">
        <v>59.868299999999998</v>
      </c>
    </row>
    <row r="40" spans="1:8" x14ac:dyDescent="0.2">
      <c r="A40" s="5" t="s">
        <v>22</v>
      </c>
      <c r="B40" s="5" t="s">
        <v>3645</v>
      </c>
      <c r="C40" s="5" t="s">
        <v>1233</v>
      </c>
      <c r="D40" s="135" t="s">
        <v>2416</v>
      </c>
      <c r="E40" s="136"/>
      <c r="F40" s="5" t="s">
        <v>3613</v>
      </c>
      <c r="G40" s="18">
        <v>20.507999999999999</v>
      </c>
      <c r="H40" s="18">
        <v>0</v>
      </c>
    </row>
    <row r="41" spans="1:8" ht="12.2" customHeight="1" x14ac:dyDescent="0.2">
      <c r="D41" s="153" t="s">
        <v>3754</v>
      </c>
      <c r="E41" s="154"/>
      <c r="F41" s="154"/>
      <c r="G41" s="51">
        <v>7.5287499999999996</v>
      </c>
    </row>
    <row r="42" spans="1:8" ht="12.2" customHeight="1" x14ac:dyDescent="0.2">
      <c r="A42" s="5"/>
      <c r="B42" s="5"/>
      <c r="C42" s="5"/>
      <c r="D42" s="153" t="s">
        <v>3755</v>
      </c>
      <c r="E42" s="154"/>
      <c r="F42" s="153"/>
      <c r="G42" s="51">
        <v>28.515750000000001</v>
      </c>
      <c r="H42" s="28"/>
    </row>
    <row r="43" spans="1:8" ht="12.2" customHeight="1" x14ac:dyDescent="0.2">
      <c r="A43" s="5"/>
      <c r="B43" s="5"/>
      <c r="C43" s="5"/>
      <c r="D43" s="153" t="s">
        <v>3756</v>
      </c>
      <c r="E43" s="154"/>
      <c r="F43" s="153"/>
      <c r="G43" s="51">
        <v>4.9714999999999998</v>
      </c>
      <c r="H43" s="28"/>
    </row>
    <row r="44" spans="1:8" ht="12.2" customHeight="1" x14ac:dyDescent="0.2">
      <c r="A44" s="5"/>
      <c r="B44" s="5"/>
      <c r="C44" s="5"/>
      <c r="D44" s="153" t="s">
        <v>3757</v>
      </c>
      <c r="E44" s="154"/>
      <c r="F44" s="153"/>
      <c r="G44" s="51">
        <v>-20.507999999999999</v>
      </c>
      <c r="H44" s="28"/>
    </row>
    <row r="45" spans="1:8" x14ac:dyDescent="0.2">
      <c r="A45" s="5" t="s">
        <v>23</v>
      </c>
      <c r="B45" s="5" t="s">
        <v>3645</v>
      </c>
      <c r="C45" s="5" t="s">
        <v>1234</v>
      </c>
      <c r="D45" s="135" t="s">
        <v>2417</v>
      </c>
      <c r="E45" s="136"/>
      <c r="F45" s="5" t="s">
        <v>3613</v>
      </c>
      <c r="G45" s="18">
        <v>20.507999999999999</v>
      </c>
      <c r="H45" s="18">
        <v>0</v>
      </c>
    </row>
    <row r="46" spans="1:8" ht="12.2" customHeight="1" x14ac:dyDescent="0.2">
      <c r="D46" s="153" t="s">
        <v>3758</v>
      </c>
      <c r="E46" s="154"/>
      <c r="F46" s="154"/>
      <c r="G46" s="51">
        <v>20.507999999999999</v>
      </c>
    </row>
    <row r="47" spans="1:8" x14ac:dyDescent="0.2">
      <c r="A47" s="5" t="s">
        <v>24</v>
      </c>
      <c r="B47" s="5" t="s">
        <v>3645</v>
      </c>
      <c r="C47" s="5" t="s">
        <v>1235</v>
      </c>
      <c r="D47" s="135" t="s">
        <v>2418</v>
      </c>
      <c r="E47" s="136"/>
      <c r="F47" s="5" t="s">
        <v>3613</v>
      </c>
      <c r="G47" s="18">
        <v>26.690770000000001</v>
      </c>
      <c r="H47" s="18">
        <v>0</v>
      </c>
    </row>
    <row r="48" spans="1:8" ht="12.2" customHeight="1" x14ac:dyDescent="0.2">
      <c r="D48" s="153" t="s">
        <v>3759</v>
      </c>
      <c r="E48" s="154"/>
      <c r="F48" s="154"/>
      <c r="G48" s="51">
        <v>34.790799999999997</v>
      </c>
    </row>
    <row r="49" spans="1:8" ht="12.2" customHeight="1" x14ac:dyDescent="0.2">
      <c r="A49" s="5"/>
      <c r="B49" s="5"/>
      <c r="C49" s="5"/>
      <c r="D49" s="153" t="s">
        <v>3760</v>
      </c>
      <c r="E49" s="154"/>
      <c r="F49" s="153"/>
      <c r="G49" s="51">
        <v>4.9725000000000001</v>
      </c>
      <c r="H49" s="28"/>
    </row>
    <row r="50" spans="1:8" ht="12.2" customHeight="1" x14ac:dyDescent="0.2">
      <c r="A50" s="5"/>
      <c r="B50" s="5"/>
      <c r="C50" s="5"/>
      <c r="D50" s="153" t="s">
        <v>3761</v>
      </c>
      <c r="E50" s="154"/>
      <c r="F50" s="153"/>
      <c r="G50" s="51">
        <v>13.61825</v>
      </c>
      <c r="H50" s="28"/>
    </row>
    <row r="51" spans="1:8" ht="12.2" customHeight="1" x14ac:dyDescent="0.2">
      <c r="A51" s="5"/>
      <c r="B51" s="5"/>
      <c r="C51" s="5"/>
      <c r="D51" s="153" t="s">
        <v>3762</v>
      </c>
      <c r="E51" s="154"/>
      <c r="F51" s="153"/>
      <c r="G51" s="51">
        <v>-26.69078</v>
      </c>
      <c r="H51" s="28"/>
    </row>
    <row r="52" spans="1:8" x14ac:dyDescent="0.2">
      <c r="A52" s="5" t="s">
        <v>25</v>
      </c>
      <c r="B52" s="5" t="s">
        <v>3645</v>
      </c>
      <c r="C52" s="5" t="s">
        <v>1236</v>
      </c>
      <c r="D52" s="135" t="s">
        <v>2419</v>
      </c>
      <c r="E52" s="136"/>
      <c r="F52" s="5" t="s">
        <v>3613</v>
      </c>
      <c r="G52" s="18">
        <v>26.690770000000001</v>
      </c>
      <c r="H52" s="18">
        <v>0</v>
      </c>
    </row>
    <row r="53" spans="1:8" ht="12.2" customHeight="1" x14ac:dyDescent="0.2">
      <c r="D53" s="153" t="s">
        <v>3763</v>
      </c>
      <c r="E53" s="154"/>
      <c r="F53" s="154"/>
      <c r="G53" s="51">
        <v>26.690770000000001</v>
      </c>
    </row>
    <row r="54" spans="1:8" x14ac:dyDescent="0.2">
      <c r="A54" s="5" t="s">
        <v>26</v>
      </c>
      <c r="B54" s="5" t="s">
        <v>3645</v>
      </c>
      <c r="C54" s="5" t="s">
        <v>1237</v>
      </c>
      <c r="D54" s="135" t="s">
        <v>2420</v>
      </c>
      <c r="E54" s="136"/>
      <c r="F54" s="5" t="s">
        <v>3613</v>
      </c>
      <c r="G54" s="18">
        <v>20.507999999999999</v>
      </c>
      <c r="H54" s="18">
        <v>0</v>
      </c>
    </row>
    <row r="55" spans="1:8" ht="12.2" customHeight="1" x14ac:dyDescent="0.2">
      <c r="D55" s="153" t="s">
        <v>3758</v>
      </c>
      <c r="E55" s="154"/>
      <c r="F55" s="154"/>
      <c r="G55" s="51">
        <v>20.507999999999999</v>
      </c>
    </row>
    <row r="56" spans="1:8" x14ac:dyDescent="0.2">
      <c r="A56" s="5" t="s">
        <v>27</v>
      </c>
      <c r="B56" s="5" t="s">
        <v>3645</v>
      </c>
      <c r="C56" s="5" t="s">
        <v>1238</v>
      </c>
      <c r="D56" s="135" t="s">
        <v>2421</v>
      </c>
      <c r="E56" s="136"/>
      <c r="F56" s="5" t="s">
        <v>3613</v>
      </c>
      <c r="G56" s="18">
        <v>20.507999999999999</v>
      </c>
      <c r="H56" s="18">
        <v>0</v>
      </c>
    </row>
    <row r="57" spans="1:8" ht="12.2" customHeight="1" x14ac:dyDescent="0.2">
      <c r="D57" s="153" t="s">
        <v>3758</v>
      </c>
      <c r="E57" s="154"/>
      <c r="F57" s="154"/>
      <c r="G57" s="51">
        <v>20.507999999999999</v>
      </c>
    </row>
    <row r="58" spans="1:8" x14ac:dyDescent="0.2">
      <c r="A58" s="5" t="s">
        <v>28</v>
      </c>
      <c r="B58" s="5" t="s">
        <v>3645</v>
      </c>
      <c r="C58" s="5" t="s">
        <v>1239</v>
      </c>
      <c r="D58" s="135" t="s">
        <v>2422</v>
      </c>
      <c r="E58" s="136"/>
      <c r="F58" s="5" t="s">
        <v>3613</v>
      </c>
      <c r="G58" s="18">
        <v>26.690770000000001</v>
      </c>
      <c r="H58" s="18">
        <v>0</v>
      </c>
    </row>
    <row r="59" spans="1:8" ht="12.2" customHeight="1" x14ac:dyDescent="0.2">
      <c r="D59" s="153" t="s">
        <v>3763</v>
      </c>
      <c r="E59" s="154"/>
      <c r="F59" s="154"/>
      <c r="G59" s="51">
        <v>26.690770000000001</v>
      </c>
    </row>
    <row r="60" spans="1:8" x14ac:dyDescent="0.2">
      <c r="A60" s="5" t="s">
        <v>29</v>
      </c>
      <c r="B60" s="5" t="s">
        <v>3645</v>
      </c>
      <c r="C60" s="5" t="s">
        <v>1240</v>
      </c>
      <c r="D60" s="135" t="s">
        <v>2423</v>
      </c>
      <c r="E60" s="136"/>
      <c r="F60" s="5" t="s">
        <v>3613</v>
      </c>
      <c r="G60" s="18">
        <v>26.690770000000001</v>
      </c>
      <c r="H60" s="18">
        <v>0</v>
      </c>
    </row>
    <row r="61" spans="1:8" ht="12.2" customHeight="1" x14ac:dyDescent="0.2">
      <c r="D61" s="153" t="s">
        <v>3763</v>
      </c>
      <c r="E61" s="154"/>
      <c r="F61" s="154"/>
      <c r="G61" s="51">
        <v>26.690770000000001</v>
      </c>
    </row>
    <row r="62" spans="1:8" x14ac:dyDescent="0.2">
      <c r="A62" s="5" t="s">
        <v>30</v>
      </c>
      <c r="B62" s="5" t="s">
        <v>3645</v>
      </c>
      <c r="C62" s="5" t="s">
        <v>1241</v>
      </c>
      <c r="D62" s="135" t="s">
        <v>2424</v>
      </c>
      <c r="E62" s="136"/>
      <c r="F62" s="5" t="s">
        <v>3613</v>
      </c>
      <c r="G62" s="18">
        <v>16.026150000000001</v>
      </c>
      <c r="H62" s="18">
        <v>0</v>
      </c>
    </row>
    <row r="63" spans="1:8" ht="12.2" customHeight="1" x14ac:dyDescent="0.2">
      <c r="D63" s="153" t="s">
        <v>3764</v>
      </c>
      <c r="E63" s="154"/>
      <c r="F63" s="154"/>
      <c r="G63" s="51">
        <v>16.026150000000001</v>
      </c>
    </row>
    <row r="64" spans="1:8" x14ac:dyDescent="0.2">
      <c r="A64" s="5" t="s">
        <v>31</v>
      </c>
      <c r="B64" s="5" t="s">
        <v>3645</v>
      </c>
      <c r="C64" s="5" t="s">
        <v>1242</v>
      </c>
      <c r="D64" s="135" t="s">
        <v>2425</v>
      </c>
      <c r="E64" s="136"/>
      <c r="F64" s="5" t="s">
        <v>3613</v>
      </c>
      <c r="G64" s="18">
        <v>16.026150000000001</v>
      </c>
      <c r="H64" s="18">
        <v>0</v>
      </c>
    </row>
    <row r="65" spans="1:8" ht="12.2" customHeight="1" x14ac:dyDescent="0.2">
      <c r="D65" s="153" t="s">
        <v>3764</v>
      </c>
      <c r="E65" s="154"/>
      <c r="F65" s="154"/>
      <c r="G65" s="51">
        <v>16.026150000000001</v>
      </c>
    </row>
    <row r="66" spans="1:8" x14ac:dyDescent="0.2">
      <c r="A66" s="5" t="s">
        <v>32</v>
      </c>
      <c r="B66" s="5" t="s">
        <v>3645</v>
      </c>
      <c r="C66" s="5" t="s">
        <v>1243</v>
      </c>
      <c r="D66" s="135" t="s">
        <v>2426</v>
      </c>
      <c r="E66" s="136"/>
      <c r="F66" s="5" t="s">
        <v>3613</v>
      </c>
      <c r="G66" s="18">
        <v>16.026150000000001</v>
      </c>
      <c r="H66" s="18">
        <v>0</v>
      </c>
    </row>
    <row r="67" spans="1:8" ht="12.2" customHeight="1" x14ac:dyDescent="0.2">
      <c r="D67" s="153" t="s">
        <v>3764</v>
      </c>
      <c r="E67" s="154"/>
      <c r="F67" s="154"/>
      <c r="G67" s="51">
        <v>16.026150000000001</v>
      </c>
    </row>
    <row r="68" spans="1:8" x14ac:dyDescent="0.2">
      <c r="A68" s="5" t="s">
        <v>33</v>
      </c>
      <c r="B68" s="5" t="s">
        <v>3645</v>
      </c>
      <c r="C68" s="5" t="s">
        <v>1244</v>
      </c>
      <c r="D68" s="135" t="s">
        <v>2427</v>
      </c>
      <c r="E68" s="136"/>
      <c r="F68" s="5" t="s">
        <v>3613</v>
      </c>
      <c r="G68" s="18">
        <v>16.026150000000001</v>
      </c>
      <c r="H68" s="18">
        <v>0</v>
      </c>
    </row>
    <row r="69" spans="1:8" ht="12.2" customHeight="1" x14ac:dyDescent="0.2">
      <c r="D69" s="153" t="s">
        <v>3764</v>
      </c>
      <c r="E69" s="154"/>
      <c r="F69" s="154"/>
      <c r="G69" s="51">
        <v>16.026150000000001</v>
      </c>
    </row>
    <row r="70" spans="1:8" x14ac:dyDescent="0.2">
      <c r="A70" s="14"/>
      <c r="B70" s="14"/>
      <c r="C70" s="14" t="s">
        <v>22</v>
      </c>
      <c r="D70" s="133" t="s">
        <v>2428</v>
      </c>
      <c r="E70" s="134"/>
      <c r="F70" s="14"/>
      <c r="G70" s="27"/>
      <c r="H70" s="27"/>
    </row>
    <row r="71" spans="1:8" x14ac:dyDescent="0.2">
      <c r="A71" s="5" t="s">
        <v>34</v>
      </c>
      <c r="B71" s="5" t="s">
        <v>3645</v>
      </c>
      <c r="C71" s="5" t="s">
        <v>1245</v>
      </c>
      <c r="D71" s="135" t="s">
        <v>2429</v>
      </c>
      <c r="E71" s="136"/>
      <c r="F71" s="5" t="s">
        <v>3613</v>
      </c>
      <c r="G71" s="18">
        <v>32.054600000000001</v>
      </c>
      <c r="H71" s="18">
        <v>0</v>
      </c>
    </row>
    <row r="72" spans="1:8" ht="12.2" customHeight="1" x14ac:dyDescent="0.2">
      <c r="D72" s="153" t="s">
        <v>3765</v>
      </c>
      <c r="E72" s="154"/>
      <c r="F72" s="154"/>
      <c r="G72" s="51">
        <v>32.054600000000001</v>
      </c>
    </row>
    <row r="73" spans="1:8" x14ac:dyDescent="0.2">
      <c r="A73" s="5" t="s">
        <v>35</v>
      </c>
      <c r="B73" s="5" t="s">
        <v>3645</v>
      </c>
      <c r="C73" s="5" t="s">
        <v>1246</v>
      </c>
      <c r="D73" s="135" t="s">
        <v>2430</v>
      </c>
      <c r="E73" s="136"/>
      <c r="F73" s="5" t="s">
        <v>3613</v>
      </c>
      <c r="G73" s="18">
        <v>968.67920000000004</v>
      </c>
      <c r="H73" s="18">
        <v>0</v>
      </c>
    </row>
    <row r="74" spans="1:8" ht="12.2" customHeight="1" x14ac:dyDescent="0.2">
      <c r="D74" s="153" t="s">
        <v>3766</v>
      </c>
      <c r="E74" s="154"/>
      <c r="F74" s="154"/>
      <c r="G74" s="51">
        <v>968.67920000000004</v>
      </c>
    </row>
    <row r="75" spans="1:8" x14ac:dyDescent="0.2">
      <c r="A75" s="5" t="s">
        <v>36</v>
      </c>
      <c r="B75" s="5" t="s">
        <v>3645</v>
      </c>
      <c r="C75" s="5" t="s">
        <v>1247</v>
      </c>
      <c r="D75" s="135" t="s">
        <v>2431</v>
      </c>
      <c r="E75" s="136"/>
      <c r="F75" s="5" t="s">
        <v>3613</v>
      </c>
      <c r="G75" s="18">
        <v>32.054600000000001</v>
      </c>
      <c r="H75" s="18">
        <v>0</v>
      </c>
    </row>
    <row r="76" spans="1:8" ht="12.2" customHeight="1" x14ac:dyDescent="0.2">
      <c r="D76" s="153" t="s">
        <v>3767</v>
      </c>
      <c r="E76" s="154"/>
      <c r="F76" s="154"/>
      <c r="G76" s="51">
        <v>32.054600000000001</v>
      </c>
    </row>
    <row r="77" spans="1:8" x14ac:dyDescent="0.2">
      <c r="A77" s="5" t="s">
        <v>37</v>
      </c>
      <c r="B77" s="5" t="s">
        <v>3645</v>
      </c>
      <c r="C77" s="5" t="s">
        <v>1248</v>
      </c>
      <c r="D77" s="135" t="s">
        <v>2432</v>
      </c>
      <c r="E77" s="136"/>
      <c r="F77" s="5" t="s">
        <v>3613</v>
      </c>
      <c r="G77" s="18">
        <v>968.67920000000004</v>
      </c>
      <c r="H77" s="18">
        <v>0</v>
      </c>
    </row>
    <row r="78" spans="1:8" ht="12.2" customHeight="1" x14ac:dyDescent="0.2">
      <c r="D78" s="153" t="s">
        <v>3768</v>
      </c>
      <c r="E78" s="154"/>
      <c r="F78" s="154"/>
      <c r="G78" s="51">
        <v>968.67920000000004</v>
      </c>
    </row>
    <row r="79" spans="1:8" x14ac:dyDescent="0.2">
      <c r="A79" s="14"/>
      <c r="B79" s="14"/>
      <c r="C79" s="14" t="s">
        <v>23</v>
      </c>
      <c r="D79" s="133" t="s">
        <v>2433</v>
      </c>
      <c r="E79" s="134"/>
      <c r="F79" s="14"/>
      <c r="G79" s="27"/>
      <c r="H79" s="27"/>
    </row>
    <row r="80" spans="1:8" x14ac:dyDescent="0.2">
      <c r="A80" s="5" t="s">
        <v>38</v>
      </c>
      <c r="B80" s="5" t="s">
        <v>3645</v>
      </c>
      <c r="C80" s="5" t="s">
        <v>1249</v>
      </c>
      <c r="D80" s="135" t="s">
        <v>2434</v>
      </c>
      <c r="E80" s="136"/>
      <c r="F80" s="5" t="s">
        <v>3613</v>
      </c>
      <c r="G80" s="18">
        <v>30.521000000000001</v>
      </c>
      <c r="H80" s="18">
        <v>0</v>
      </c>
    </row>
    <row r="81" spans="1:8" ht="12.2" customHeight="1" x14ac:dyDescent="0.2">
      <c r="D81" s="153" t="s">
        <v>3769</v>
      </c>
      <c r="E81" s="154"/>
      <c r="F81" s="154"/>
      <c r="G81" s="51">
        <v>30.521000000000001</v>
      </c>
    </row>
    <row r="82" spans="1:8" x14ac:dyDescent="0.2">
      <c r="A82" s="5" t="s">
        <v>39</v>
      </c>
      <c r="B82" s="5" t="s">
        <v>3645</v>
      </c>
      <c r="C82" s="5" t="s">
        <v>1249</v>
      </c>
      <c r="D82" s="135" t="s">
        <v>2435</v>
      </c>
      <c r="E82" s="136"/>
      <c r="F82" s="5" t="s">
        <v>3613</v>
      </c>
      <c r="G82" s="18">
        <v>1.5336000000000001</v>
      </c>
      <c r="H82" s="18">
        <v>0</v>
      </c>
    </row>
    <row r="83" spans="1:8" ht="12.2" customHeight="1" x14ac:dyDescent="0.2">
      <c r="D83" s="153" t="s">
        <v>3770</v>
      </c>
      <c r="E83" s="154"/>
      <c r="F83" s="154"/>
      <c r="G83" s="51">
        <v>1.5336000000000001</v>
      </c>
    </row>
    <row r="84" spans="1:8" x14ac:dyDescent="0.2">
      <c r="A84" s="5" t="s">
        <v>40</v>
      </c>
      <c r="B84" s="5" t="s">
        <v>3645</v>
      </c>
      <c r="C84" s="5" t="s">
        <v>1250</v>
      </c>
      <c r="D84" s="135" t="s">
        <v>2436</v>
      </c>
      <c r="E84" s="136"/>
      <c r="F84" s="5" t="s">
        <v>3613</v>
      </c>
      <c r="G84" s="18">
        <v>968.67920000000004</v>
      </c>
      <c r="H84" s="18">
        <v>0</v>
      </c>
    </row>
    <row r="85" spans="1:8" ht="12.2" customHeight="1" x14ac:dyDescent="0.2">
      <c r="D85" s="153" t="s">
        <v>3768</v>
      </c>
      <c r="E85" s="154"/>
      <c r="F85" s="154"/>
      <c r="G85" s="51">
        <v>968.67920000000004</v>
      </c>
    </row>
    <row r="86" spans="1:8" x14ac:dyDescent="0.2">
      <c r="A86" s="14"/>
      <c r="B86" s="14"/>
      <c r="C86" s="14" t="s">
        <v>25</v>
      </c>
      <c r="D86" s="133" t="s">
        <v>2437</v>
      </c>
      <c r="E86" s="134"/>
      <c r="F86" s="14"/>
      <c r="G86" s="27"/>
      <c r="H86" s="27"/>
    </row>
    <row r="87" spans="1:8" x14ac:dyDescent="0.2">
      <c r="A87" s="5" t="s">
        <v>41</v>
      </c>
      <c r="B87" s="5" t="s">
        <v>3645</v>
      </c>
      <c r="C87" s="5" t="s">
        <v>1251</v>
      </c>
      <c r="D87" s="135" t="s">
        <v>2438</v>
      </c>
      <c r="E87" s="136"/>
      <c r="F87" s="5" t="s">
        <v>3613</v>
      </c>
      <c r="G87" s="18">
        <v>968.67920000000004</v>
      </c>
      <c r="H87" s="18">
        <v>0</v>
      </c>
    </row>
    <row r="88" spans="1:8" ht="12.2" customHeight="1" x14ac:dyDescent="0.2">
      <c r="D88" s="153" t="s">
        <v>3768</v>
      </c>
      <c r="E88" s="154"/>
      <c r="F88" s="154"/>
      <c r="G88" s="51">
        <v>968.67920000000004</v>
      </c>
    </row>
    <row r="89" spans="1:8" x14ac:dyDescent="0.2">
      <c r="A89" s="14"/>
      <c r="B89" s="14"/>
      <c r="C89" s="14" t="s">
        <v>27</v>
      </c>
      <c r="D89" s="133" t="s">
        <v>2439</v>
      </c>
      <c r="E89" s="134"/>
      <c r="F89" s="14"/>
      <c r="G89" s="27"/>
      <c r="H89" s="27"/>
    </row>
    <row r="90" spans="1:8" x14ac:dyDescent="0.2">
      <c r="A90" s="5" t="s">
        <v>42</v>
      </c>
      <c r="B90" s="5" t="s">
        <v>3645</v>
      </c>
      <c r="C90" s="5" t="s">
        <v>1252</v>
      </c>
      <c r="D90" s="135" t="s">
        <v>2440</v>
      </c>
      <c r="E90" s="136"/>
      <c r="F90" s="5" t="s">
        <v>3614</v>
      </c>
      <c r="G90" s="18">
        <v>22</v>
      </c>
      <c r="H90" s="18">
        <v>0</v>
      </c>
    </row>
    <row r="91" spans="1:8" ht="12.2" customHeight="1" x14ac:dyDescent="0.2">
      <c r="D91" s="153" t="s">
        <v>3771</v>
      </c>
      <c r="E91" s="154"/>
      <c r="F91" s="154"/>
      <c r="G91" s="51">
        <v>22</v>
      </c>
    </row>
    <row r="92" spans="1:8" x14ac:dyDescent="0.2">
      <c r="A92" s="5" t="s">
        <v>43</v>
      </c>
      <c r="B92" s="5" t="s">
        <v>3645</v>
      </c>
      <c r="C92" s="5" t="s">
        <v>1253</v>
      </c>
      <c r="D92" s="135" t="s">
        <v>2441</v>
      </c>
      <c r="E92" s="136"/>
      <c r="F92" s="5" t="s">
        <v>3615</v>
      </c>
      <c r="G92" s="18">
        <v>155.35599999999999</v>
      </c>
      <c r="H92" s="18">
        <v>0</v>
      </c>
    </row>
    <row r="93" spans="1:8" ht="12.2" customHeight="1" x14ac:dyDescent="0.2">
      <c r="D93" s="153" t="s">
        <v>3772</v>
      </c>
      <c r="E93" s="154"/>
      <c r="F93" s="154"/>
      <c r="G93" s="51">
        <v>155.35599999999999</v>
      </c>
    </row>
    <row r="94" spans="1:8" x14ac:dyDescent="0.2">
      <c r="A94" s="14"/>
      <c r="B94" s="14"/>
      <c r="C94" s="14" t="s">
        <v>33</v>
      </c>
      <c r="D94" s="133" t="s">
        <v>2442</v>
      </c>
      <c r="E94" s="134"/>
      <c r="F94" s="14"/>
      <c r="G94" s="27"/>
      <c r="H94" s="27"/>
    </row>
    <row r="95" spans="1:8" x14ac:dyDescent="0.2">
      <c r="A95" s="5" t="s">
        <v>44</v>
      </c>
      <c r="B95" s="5" t="s">
        <v>3645</v>
      </c>
      <c r="C95" s="5" t="s">
        <v>1254</v>
      </c>
      <c r="D95" s="135" t="s">
        <v>2443</v>
      </c>
      <c r="E95" s="136"/>
      <c r="F95" s="5" t="s">
        <v>3613</v>
      </c>
      <c r="G95" s="18">
        <v>23.3034</v>
      </c>
      <c r="H95" s="18">
        <v>0</v>
      </c>
    </row>
    <row r="96" spans="1:8" ht="12.2" customHeight="1" x14ac:dyDescent="0.2">
      <c r="D96" s="153" t="s">
        <v>3773</v>
      </c>
      <c r="E96" s="154"/>
      <c r="F96" s="154"/>
      <c r="G96" s="51">
        <v>23.3034</v>
      </c>
    </row>
    <row r="97" spans="1:8" x14ac:dyDescent="0.2">
      <c r="A97" s="5" t="s">
        <v>45</v>
      </c>
      <c r="B97" s="5" t="s">
        <v>3645</v>
      </c>
      <c r="C97" s="5" t="s">
        <v>1255</v>
      </c>
      <c r="D97" s="135" t="s">
        <v>2444</v>
      </c>
      <c r="E97" s="136"/>
      <c r="F97" s="5" t="s">
        <v>3613</v>
      </c>
      <c r="G97" s="18">
        <v>44.738779999999998</v>
      </c>
      <c r="H97" s="18">
        <v>0</v>
      </c>
    </row>
    <row r="98" spans="1:8" ht="12.2" customHeight="1" x14ac:dyDescent="0.2">
      <c r="D98" s="153" t="s">
        <v>3774</v>
      </c>
      <c r="E98" s="154"/>
      <c r="F98" s="154"/>
      <c r="G98" s="51">
        <v>44.738779999999998</v>
      </c>
    </row>
    <row r="99" spans="1:8" x14ac:dyDescent="0.2">
      <c r="A99" s="5" t="s">
        <v>46</v>
      </c>
      <c r="B99" s="5" t="s">
        <v>3645</v>
      </c>
      <c r="C99" s="5" t="s">
        <v>1256</v>
      </c>
      <c r="D99" s="135" t="s">
        <v>2445</v>
      </c>
      <c r="E99" s="136"/>
      <c r="F99" s="5" t="s">
        <v>3613</v>
      </c>
      <c r="G99" s="18">
        <v>1.0557000000000001</v>
      </c>
      <c r="H99" s="18">
        <v>0</v>
      </c>
    </row>
    <row r="100" spans="1:8" ht="12.2" customHeight="1" x14ac:dyDescent="0.2">
      <c r="D100" s="153" t="s">
        <v>3775</v>
      </c>
      <c r="E100" s="154"/>
      <c r="F100" s="154"/>
      <c r="G100" s="51">
        <v>1.0557000000000001</v>
      </c>
    </row>
    <row r="101" spans="1:8" x14ac:dyDescent="0.2">
      <c r="A101" s="5" t="s">
        <v>47</v>
      </c>
      <c r="B101" s="5" t="s">
        <v>3645</v>
      </c>
      <c r="C101" s="5" t="s">
        <v>1256</v>
      </c>
      <c r="D101" s="135" t="s">
        <v>2446</v>
      </c>
      <c r="E101" s="136"/>
      <c r="F101" s="5" t="s">
        <v>3613</v>
      </c>
      <c r="G101" s="18">
        <v>0.9</v>
      </c>
      <c r="H101" s="18">
        <v>0</v>
      </c>
    </row>
    <row r="102" spans="1:8" ht="12.2" customHeight="1" x14ac:dyDescent="0.2">
      <c r="D102" s="153" t="s">
        <v>3776</v>
      </c>
      <c r="E102" s="154"/>
      <c r="F102" s="154"/>
      <c r="G102" s="51">
        <v>0.9</v>
      </c>
    </row>
    <row r="103" spans="1:8" x14ac:dyDescent="0.2">
      <c r="A103" s="5" t="s">
        <v>48</v>
      </c>
      <c r="B103" s="5" t="s">
        <v>3645</v>
      </c>
      <c r="C103" s="5" t="s">
        <v>1256</v>
      </c>
      <c r="D103" s="135" t="s">
        <v>2447</v>
      </c>
      <c r="E103" s="136"/>
      <c r="F103" s="5" t="s">
        <v>3613</v>
      </c>
      <c r="G103" s="18">
        <v>2.5321500000000001</v>
      </c>
      <c r="H103" s="18">
        <v>0</v>
      </c>
    </row>
    <row r="104" spans="1:8" ht="12.2" customHeight="1" x14ac:dyDescent="0.2">
      <c r="D104" s="153" t="s">
        <v>3777</v>
      </c>
      <c r="E104" s="154"/>
      <c r="F104" s="154"/>
      <c r="G104" s="51">
        <v>2.5321500000000001</v>
      </c>
    </row>
    <row r="105" spans="1:8" x14ac:dyDescent="0.2">
      <c r="A105" s="5" t="s">
        <v>49</v>
      </c>
      <c r="B105" s="5" t="s">
        <v>3645</v>
      </c>
      <c r="C105" s="5" t="s">
        <v>1257</v>
      </c>
      <c r="D105" s="135" t="s">
        <v>2448</v>
      </c>
      <c r="E105" s="136"/>
      <c r="F105" s="5" t="s">
        <v>3615</v>
      </c>
      <c r="G105" s="18">
        <v>20.79</v>
      </c>
      <c r="H105" s="18">
        <v>0</v>
      </c>
    </row>
    <row r="106" spans="1:8" ht="12.2" customHeight="1" x14ac:dyDescent="0.2">
      <c r="D106" s="153" t="s">
        <v>3778</v>
      </c>
      <c r="E106" s="154"/>
      <c r="F106" s="154"/>
      <c r="G106" s="51">
        <v>20.79</v>
      </c>
    </row>
    <row r="107" spans="1:8" x14ac:dyDescent="0.2">
      <c r="A107" s="5" t="s">
        <v>50</v>
      </c>
      <c r="B107" s="5" t="s">
        <v>3645</v>
      </c>
      <c r="C107" s="5" t="s">
        <v>1257</v>
      </c>
      <c r="D107" s="135" t="s">
        <v>2449</v>
      </c>
      <c r="E107" s="136"/>
      <c r="F107" s="5" t="s">
        <v>3615</v>
      </c>
      <c r="G107" s="18">
        <v>3.516</v>
      </c>
      <c r="H107" s="18">
        <v>0</v>
      </c>
    </row>
    <row r="108" spans="1:8" ht="12.2" customHeight="1" x14ac:dyDescent="0.2">
      <c r="D108" s="153" t="s">
        <v>3779</v>
      </c>
      <c r="E108" s="154"/>
      <c r="F108" s="154"/>
      <c r="G108" s="51">
        <v>3.516</v>
      </c>
    </row>
    <row r="109" spans="1:8" x14ac:dyDescent="0.2">
      <c r="A109" s="5" t="s">
        <v>51</v>
      </c>
      <c r="B109" s="5" t="s">
        <v>3645</v>
      </c>
      <c r="C109" s="5" t="s">
        <v>1258</v>
      </c>
      <c r="D109" s="135" t="s">
        <v>2450</v>
      </c>
      <c r="E109" s="136"/>
      <c r="F109" s="5" t="s">
        <v>3615</v>
      </c>
      <c r="G109" s="18">
        <v>20.79</v>
      </c>
      <c r="H109" s="18">
        <v>0</v>
      </c>
    </row>
    <row r="110" spans="1:8" ht="12.2" customHeight="1" x14ac:dyDescent="0.2">
      <c r="D110" s="153" t="s">
        <v>3780</v>
      </c>
      <c r="E110" s="154"/>
      <c r="F110" s="154"/>
      <c r="G110" s="51">
        <v>20.79</v>
      </c>
    </row>
    <row r="111" spans="1:8" x14ac:dyDescent="0.2">
      <c r="A111" s="5" t="s">
        <v>52</v>
      </c>
      <c r="B111" s="5" t="s">
        <v>3645</v>
      </c>
      <c r="C111" s="5" t="s">
        <v>1258</v>
      </c>
      <c r="D111" s="135" t="s">
        <v>2451</v>
      </c>
      <c r="E111" s="136"/>
      <c r="F111" s="5" t="s">
        <v>3615</v>
      </c>
      <c r="G111" s="18">
        <v>3.516</v>
      </c>
      <c r="H111" s="18">
        <v>0</v>
      </c>
    </row>
    <row r="112" spans="1:8" ht="12.2" customHeight="1" x14ac:dyDescent="0.2">
      <c r="D112" s="153" t="s">
        <v>3781</v>
      </c>
      <c r="E112" s="154"/>
      <c r="F112" s="154"/>
      <c r="G112" s="51">
        <v>3.516</v>
      </c>
    </row>
    <row r="113" spans="1:8" x14ac:dyDescent="0.2">
      <c r="A113" s="5" t="s">
        <v>53</v>
      </c>
      <c r="B113" s="5" t="s">
        <v>3645</v>
      </c>
      <c r="C113" s="5" t="s">
        <v>1259</v>
      </c>
      <c r="D113" s="135" t="s">
        <v>2452</v>
      </c>
      <c r="E113" s="136"/>
      <c r="F113" s="5" t="s">
        <v>3616</v>
      </c>
      <c r="G113" s="18">
        <v>4.0834599999999996</v>
      </c>
      <c r="H113" s="18">
        <v>0</v>
      </c>
    </row>
    <row r="114" spans="1:8" ht="12.2" customHeight="1" x14ac:dyDescent="0.2">
      <c r="D114" s="153" t="s">
        <v>3782</v>
      </c>
      <c r="E114" s="154"/>
      <c r="F114" s="154"/>
      <c r="G114" s="51">
        <v>5.697E-2</v>
      </c>
    </row>
    <row r="115" spans="1:8" ht="12.2" customHeight="1" x14ac:dyDescent="0.2">
      <c r="A115" s="5"/>
      <c r="B115" s="5"/>
      <c r="C115" s="5"/>
      <c r="D115" s="153" t="s">
        <v>3783</v>
      </c>
      <c r="E115" s="154"/>
      <c r="F115" s="153"/>
      <c r="G115" s="51">
        <v>4.0264899999999999</v>
      </c>
      <c r="H115" s="28"/>
    </row>
    <row r="116" spans="1:8" x14ac:dyDescent="0.2">
      <c r="A116" s="5" t="s">
        <v>54</v>
      </c>
      <c r="B116" s="5" t="s">
        <v>3645</v>
      </c>
      <c r="C116" s="5" t="s">
        <v>1260</v>
      </c>
      <c r="D116" s="135" t="s">
        <v>2453</v>
      </c>
      <c r="E116" s="136"/>
      <c r="F116" s="5" t="s">
        <v>3613</v>
      </c>
      <c r="G116" s="18">
        <v>124.39755</v>
      </c>
      <c r="H116" s="18">
        <v>0</v>
      </c>
    </row>
    <row r="117" spans="1:8" ht="12.2" customHeight="1" x14ac:dyDescent="0.2">
      <c r="D117" s="153" t="s">
        <v>3759</v>
      </c>
      <c r="E117" s="154"/>
      <c r="F117" s="154"/>
      <c r="G117" s="51">
        <v>34.790799999999997</v>
      </c>
    </row>
    <row r="118" spans="1:8" ht="12.2" customHeight="1" x14ac:dyDescent="0.2">
      <c r="A118" s="5"/>
      <c r="B118" s="5"/>
      <c r="C118" s="5"/>
      <c r="D118" s="153" t="s">
        <v>3784</v>
      </c>
      <c r="E118" s="154"/>
      <c r="F118" s="153"/>
      <c r="G118" s="51">
        <v>12.501250000000001</v>
      </c>
      <c r="H118" s="28"/>
    </row>
    <row r="119" spans="1:8" ht="12.2" customHeight="1" x14ac:dyDescent="0.2">
      <c r="A119" s="5"/>
      <c r="B119" s="5"/>
      <c r="C119" s="5"/>
      <c r="D119" s="153" t="s">
        <v>3755</v>
      </c>
      <c r="E119" s="154"/>
      <c r="F119" s="153"/>
      <c r="G119" s="51">
        <v>28.515750000000001</v>
      </c>
      <c r="H119" s="28"/>
    </row>
    <row r="120" spans="1:8" ht="12.2" customHeight="1" x14ac:dyDescent="0.2">
      <c r="A120" s="5"/>
      <c r="B120" s="5"/>
      <c r="C120" s="5"/>
      <c r="D120" s="153" t="s">
        <v>3785</v>
      </c>
      <c r="E120" s="154"/>
      <c r="F120" s="153"/>
      <c r="G120" s="51">
        <v>18.589749999999999</v>
      </c>
      <c r="H120" s="28"/>
    </row>
    <row r="121" spans="1:8" ht="12.2" customHeight="1" x14ac:dyDescent="0.2">
      <c r="A121" s="5"/>
      <c r="B121" s="5"/>
      <c r="C121" s="5"/>
      <c r="D121" s="153" t="s">
        <v>3786</v>
      </c>
      <c r="E121" s="154"/>
      <c r="F121" s="153"/>
      <c r="G121" s="51">
        <v>30</v>
      </c>
      <c r="H121" s="28"/>
    </row>
    <row r="122" spans="1:8" x14ac:dyDescent="0.2">
      <c r="A122" s="5" t="s">
        <v>55</v>
      </c>
      <c r="B122" s="5" t="s">
        <v>3645</v>
      </c>
      <c r="C122" s="5" t="s">
        <v>1261</v>
      </c>
      <c r="D122" s="135" t="s">
        <v>2454</v>
      </c>
      <c r="E122" s="136"/>
      <c r="F122" s="5" t="s">
        <v>3612</v>
      </c>
      <c r="G122" s="18">
        <v>1</v>
      </c>
      <c r="H122" s="18">
        <v>0</v>
      </c>
    </row>
    <row r="123" spans="1:8" ht="12.2" customHeight="1" x14ac:dyDescent="0.2">
      <c r="D123" s="153" t="s">
        <v>3747</v>
      </c>
      <c r="E123" s="154"/>
      <c r="F123" s="154"/>
      <c r="G123" s="51">
        <v>1</v>
      </c>
    </row>
    <row r="124" spans="1:8" x14ac:dyDescent="0.2">
      <c r="A124" s="5" t="s">
        <v>56</v>
      </c>
      <c r="B124" s="5" t="s">
        <v>3645</v>
      </c>
      <c r="C124" s="5" t="s">
        <v>1262</v>
      </c>
      <c r="D124" s="135" t="s">
        <v>2455</v>
      </c>
      <c r="E124" s="136"/>
      <c r="F124" s="5" t="s">
        <v>3612</v>
      </c>
      <c r="G124" s="18">
        <v>1</v>
      </c>
      <c r="H124" s="18">
        <v>0</v>
      </c>
    </row>
    <row r="125" spans="1:8" ht="12.2" customHeight="1" x14ac:dyDescent="0.2">
      <c r="D125" s="153" t="s">
        <v>3747</v>
      </c>
      <c r="E125" s="154"/>
      <c r="F125" s="154"/>
      <c r="G125" s="51">
        <v>1</v>
      </c>
    </row>
    <row r="126" spans="1:8" x14ac:dyDescent="0.2">
      <c r="A126" s="5" t="s">
        <v>57</v>
      </c>
      <c r="B126" s="5" t="s">
        <v>3645</v>
      </c>
      <c r="C126" s="5" t="s">
        <v>1262</v>
      </c>
      <c r="D126" s="135" t="s">
        <v>2456</v>
      </c>
      <c r="E126" s="136"/>
      <c r="F126" s="5" t="s">
        <v>3612</v>
      </c>
      <c r="G126" s="18">
        <v>1</v>
      </c>
      <c r="H126" s="18">
        <v>0</v>
      </c>
    </row>
    <row r="127" spans="1:8" ht="12.2" customHeight="1" x14ac:dyDescent="0.2">
      <c r="D127" s="153" t="s">
        <v>3747</v>
      </c>
      <c r="E127" s="154"/>
      <c r="F127" s="154"/>
      <c r="G127" s="51">
        <v>1</v>
      </c>
    </row>
    <row r="128" spans="1:8" x14ac:dyDescent="0.2">
      <c r="A128" s="5" t="s">
        <v>58</v>
      </c>
      <c r="B128" s="5" t="s">
        <v>3645</v>
      </c>
      <c r="C128" s="5" t="s">
        <v>1263</v>
      </c>
      <c r="D128" s="135" t="s">
        <v>2457</v>
      </c>
      <c r="E128" s="136"/>
      <c r="F128" s="5" t="s">
        <v>3612</v>
      </c>
      <c r="G128" s="18">
        <v>1</v>
      </c>
      <c r="H128" s="18">
        <v>0</v>
      </c>
    </row>
    <row r="129" spans="1:8" ht="12.2" customHeight="1" x14ac:dyDescent="0.2">
      <c r="D129" s="153" t="s">
        <v>3747</v>
      </c>
      <c r="E129" s="154"/>
      <c r="F129" s="154"/>
      <c r="G129" s="51">
        <v>1</v>
      </c>
    </row>
    <row r="130" spans="1:8" x14ac:dyDescent="0.2">
      <c r="A130" s="5" t="s">
        <v>59</v>
      </c>
      <c r="B130" s="5" t="s">
        <v>3645</v>
      </c>
      <c r="C130" s="5" t="s">
        <v>1264</v>
      </c>
      <c r="D130" s="135" t="s">
        <v>2458</v>
      </c>
      <c r="E130" s="136"/>
      <c r="F130" s="5" t="s">
        <v>3612</v>
      </c>
      <c r="G130" s="18">
        <v>2</v>
      </c>
      <c r="H130" s="18">
        <v>0</v>
      </c>
    </row>
    <row r="131" spans="1:8" ht="12.2" customHeight="1" x14ac:dyDescent="0.2">
      <c r="D131" s="153" t="s">
        <v>3787</v>
      </c>
      <c r="E131" s="154"/>
      <c r="F131" s="154"/>
      <c r="G131" s="51">
        <v>2</v>
      </c>
    </row>
    <row r="132" spans="1:8" x14ac:dyDescent="0.2">
      <c r="A132" s="5" t="s">
        <v>60</v>
      </c>
      <c r="B132" s="5" t="s">
        <v>3645</v>
      </c>
      <c r="C132" s="5" t="s">
        <v>1264</v>
      </c>
      <c r="D132" s="135" t="s">
        <v>2459</v>
      </c>
      <c r="E132" s="136"/>
      <c r="F132" s="5" t="s">
        <v>3612</v>
      </c>
      <c r="G132" s="18">
        <v>1</v>
      </c>
      <c r="H132" s="18">
        <v>0</v>
      </c>
    </row>
    <row r="133" spans="1:8" ht="12.2" customHeight="1" x14ac:dyDescent="0.2">
      <c r="D133" s="153" t="s">
        <v>3747</v>
      </c>
      <c r="E133" s="154"/>
      <c r="F133" s="154"/>
      <c r="G133" s="51">
        <v>1</v>
      </c>
    </row>
    <row r="134" spans="1:8" x14ac:dyDescent="0.2">
      <c r="A134" s="5" t="s">
        <v>61</v>
      </c>
      <c r="B134" s="5" t="s">
        <v>3645</v>
      </c>
      <c r="C134" s="5" t="s">
        <v>1265</v>
      </c>
      <c r="D134" s="135" t="s">
        <v>2460</v>
      </c>
      <c r="E134" s="136"/>
      <c r="F134" s="5" t="s">
        <v>3612</v>
      </c>
      <c r="G134" s="18">
        <v>1</v>
      </c>
      <c r="H134" s="18">
        <v>0</v>
      </c>
    </row>
    <row r="135" spans="1:8" ht="12.2" customHeight="1" x14ac:dyDescent="0.2">
      <c r="D135" s="153" t="s">
        <v>3747</v>
      </c>
      <c r="E135" s="154"/>
      <c r="F135" s="154"/>
      <c r="G135" s="51">
        <v>1</v>
      </c>
    </row>
    <row r="136" spans="1:8" x14ac:dyDescent="0.2">
      <c r="A136" s="5" t="s">
        <v>62</v>
      </c>
      <c r="B136" s="5" t="s">
        <v>3645</v>
      </c>
      <c r="C136" s="5" t="s">
        <v>1265</v>
      </c>
      <c r="D136" s="135" t="s">
        <v>2461</v>
      </c>
      <c r="E136" s="136"/>
      <c r="F136" s="5" t="s">
        <v>3612</v>
      </c>
      <c r="G136" s="18">
        <v>2</v>
      </c>
      <c r="H136" s="18">
        <v>0</v>
      </c>
    </row>
    <row r="137" spans="1:8" ht="12.2" customHeight="1" x14ac:dyDescent="0.2">
      <c r="D137" s="153" t="s">
        <v>3787</v>
      </c>
      <c r="E137" s="154"/>
      <c r="F137" s="154"/>
      <c r="G137" s="51">
        <v>2</v>
      </c>
    </row>
    <row r="138" spans="1:8" x14ac:dyDescent="0.2">
      <c r="A138" s="5" t="s">
        <v>63</v>
      </c>
      <c r="B138" s="5" t="s">
        <v>3645</v>
      </c>
      <c r="C138" s="5" t="s">
        <v>1265</v>
      </c>
      <c r="D138" s="135" t="s">
        <v>2462</v>
      </c>
      <c r="E138" s="136"/>
      <c r="F138" s="5" t="s">
        <v>3612</v>
      </c>
      <c r="G138" s="18">
        <v>1</v>
      </c>
      <c r="H138" s="18">
        <v>0</v>
      </c>
    </row>
    <row r="139" spans="1:8" ht="12.2" customHeight="1" x14ac:dyDescent="0.2">
      <c r="D139" s="153" t="s">
        <v>3747</v>
      </c>
      <c r="E139" s="154"/>
      <c r="F139" s="154"/>
      <c r="G139" s="51">
        <v>1</v>
      </c>
    </row>
    <row r="140" spans="1:8" x14ac:dyDescent="0.2">
      <c r="A140" s="5" t="s">
        <v>64</v>
      </c>
      <c r="B140" s="5" t="s">
        <v>3645</v>
      </c>
      <c r="C140" s="5" t="s">
        <v>1266</v>
      </c>
      <c r="D140" s="135" t="s">
        <v>2463</v>
      </c>
      <c r="E140" s="136"/>
      <c r="F140" s="5" t="s">
        <v>3612</v>
      </c>
      <c r="G140" s="18">
        <v>1</v>
      </c>
      <c r="H140" s="18">
        <v>0</v>
      </c>
    </row>
    <row r="141" spans="1:8" ht="12.2" customHeight="1" x14ac:dyDescent="0.2">
      <c r="D141" s="153" t="s">
        <v>3747</v>
      </c>
      <c r="E141" s="154"/>
      <c r="F141" s="154"/>
      <c r="G141" s="51">
        <v>1</v>
      </c>
    </row>
    <row r="142" spans="1:8" x14ac:dyDescent="0.2">
      <c r="A142" s="5" t="s">
        <v>65</v>
      </c>
      <c r="B142" s="5" t="s">
        <v>3645</v>
      </c>
      <c r="C142" s="5" t="s">
        <v>1266</v>
      </c>
      <c r="D142" s="135" t="s">
        <v>2464</v>
      </c>
      <c r="E142" s="136"/>
      <c r="F142" s="5" t="s">
        <v>3612</v>
      </c>
      <c r="G142" s="18">
        <v>1</v>
      </c>
      <c r="H142" s="18">
        <v>0</v>
      </c>
    </row>
    <row r="143" spans="1:8" ht="12.2" customHeight="1" x14ac:dyDescent="0.2">
      <c r="D143" s="153" t="s">
        <v>3747</v>
      </c>
      <c r="E143" s="154"/>
      <c r="F143" s="154"/>
      <c r="G143" s="51">
        <v>1</v>
      </c>
    </row>
    <row r="144" spans="1:8" x14ac:dyDescent="0.2">
      <c r="A144" s="5" t="s">
        <v>66</v>
      </c>
      <c r="B144" s="5" t="s">
        <v>3645</v>
      </c>
      <c r="C144" s="5" t="s">
        <v>1266</v>
      </c>
      <c r="D144" s="135" t="s">
        <v>2465</v>
      </c>
      <c r="E144" s="136"/>
      <c r="F144" s="5" t="s">
        <v>3612</v>
      </c>
      <c r="G144" s="18">
        <v>2</v>
      </c>
      <c r="H144" s="18">
        <v>0</v>
      </c>
    </row>
    <row r="145" spans="1:8" ht="12.2" customHeight="1" x14ac:dyDescent="0.2">
      <c r="D145" s="153" t="s">
        <v>3787</v>
      </c>
      <c r="E145" s="154"/>
      <c r="F145" s="154"/>
      <c r="G145" s="51">
        <v>2</v>
      </c>
    </row>
    <row r="146" spans="1:8" x14ac:dyDescent="0.2">
      <c r="A146" s="5" t="s">
        <v>67</v>
      </c>
      <c r="B146" s="5" t="s">
        <v>3645</v>
      </c>
      <c r="C146" s="5" t="s">
        <v>1267</v>
      </c>
      <c r="D146" s="135" t="s">
        <v>2466</v>
      </c>
      <c r="E146" s="136"/>
      <c r="F146" s="5" t="s">
        <v>3615</v>
      </c>
      <c r="G146" s="18">
        <v>34.826000000000001</v>
      </c>
      <c r="H146" s="18">
        <v>0</v>
      </c>
    </row>
    <row r="147" spans="1:8" ht="12.2" customHeight="1" x14ac:dyDescent="0.2">
      <c r="D147" s="153" t="s">
        <v>3788</v>
      </c>
      <c r="E147" s="154"/>
      <c r="F147" s="154"/>
      <c r="G147" s="51">
        <v>34.826000000000001</v>
      </c>
    </row>
    <row r="148" spans="1:8" x14ac:dyDescent="0.2">
      <c r="A148" s="5" t="s">
        <v>68</v>
      </c>
      <c r="B148" s="5" t="s">
        <v>3645</v>
      </c>
      <c r="C148" s="5" t="s">
        <v>1268</v>
      </c>
      <c r="D148" s="135" t="s">
        <v>2467</v>
      </c>
      <c r="E148" s="136"/>
      <c r="F148" s="5" t="s">
        <v>3615</v>
      </c>
      <c r="G148" s="18">
        <v>34.826000000000001</v>
      </c>
      <c r="H148" s="18">
        <v>0</v>
      </c>
    </row>
    <row r="149" spans="1:8" ht="12.2" customHeight="1" x14ac:dyDescent="0.2">
      <c r="D149" s="153" t="s">
        <v>3788</v>
      </c>
      <c r="E149" s="154"/>
      <c r="F149" s="154"/>
      <c r="G149" s="51">
        <v>34.826000000000001</v>
      </c>
    </row>
    <row r="150" spans="1:8" x14ac:dyDescent="0.2">
      <c r="A150" s="5" t="s">
        <v>69</v>
      </c>
      <c r="B150" s="5" t="s">
        <v>3645</v>
      </c>
      <c r="C150" s="5" t="s">
        <v>1269</v>
      </c>
      <c r="D150" s="135" t="s">
        <v>2468</v>
      </c>
      <c r="E150" s="136"/>
      <c r="F150" s="5" t="s">
        <v>3612</v>
      </c>
      <c r="G150" s="18">
        <v>1</v>
      </c>
      <c r="H150" s="18">
        <v>0</v>
      </c>
    </row>
    <row r="151" spans="1:8" ht="12.2" customHeight="1" x14ac:dyDescent="0.2">
      <c r="D151" s="153" t="s">
        <v>3747</v>
      </c>
      <c r="E151" s="154"/>
      <c r="F151" s="154"/>
      <c r="G151" s="51">
        <v>1</v>
      </c>
    </row>
    <row r="152" spans="1:8" x14ac:dyDescent="0.2">
      <c r="A152" s="5" t="s">
        <v>70</v>
      </c>
      <c r="B152" s="5" t="s">
        <v>3645</v>
      </c>
      <c r="C152" s="5" t="s">
        <v>1270</v>
      </c>
      <c r="D152" s="135" t="s">
        <v>2469</v>
      </c>
      <c r="E152" s="136"/>
      <c r="F152" s="5" t="s">
        <v>3615</v>
      </c>
      <c r="G152" s="18">
        <v>12.03</v>
      </c>
      <c r="H152" s="18">
        <v>0</v>
      </c>
    </row>
    <row r="153" spans="1:8" ht="12.2" customHeight="1" x14ac:dyDescent="0.2">
      <c r="D153" s="153" t="s">
        <v>3789</v>
      </c>
      <c r="E153" s="154"/>
      <c r="F153" s="154"/>
      <c r="G153" s="51">
        <v>12.03</v>
      </c>
    </row>
    <row r="154" spans="1:8" x14ac:dyDescent="0.2">
      <c r="A154" s="5" t="s">
        <v>71</v>
      </c>
      <c r="B154" s="5" t="s">
        <v>3645</v>
      </c>
      <c r="C154" s="5" t="s">
        <v>1271</v>
      </c>
      <c r="D154" s="135" t="s">
        <v>2470</v>
      </c>
      <c r="E154" s="136"/>
      <c r="F154" s="5" t="s">
        <v>3613</v>
      </c>
      <c r="G154" s="18">
        <v>7.266</v>
      </c>
      <c r="H154" s="18">
        <v>0</v>
      </c>
    </row>
    <row r="155" spans="1:8" ht="12.2" customHeight="1" x14ac:dyDescent="0.2">
      <c r="D155" s="153" t="s">
        <v>3790</v>
      </c>
      <c r="E155" s="154"/>
      <c r="F155" s="154"/>
      <c r="G155" s="51">
        <v>7.266</v>
      </c>
    </row>
    <row r="156" spans="1:8" x14ac:dyDescent="0.2">
      <c r="A156" s="5" t="s">
        <v>72</v>
      </c>
      <c r="B156" s="5" t="s">
        <v>3645</v>
      </c>
      <c r="C156" s="5" t="s">
        <v>1272</v>
      </c>
      <c r="D156" s="135" t="s">
        <v>2471</v>
      </c>
      <c r="E156" s="136"/>
      <c r="F156" s="5" t="s">
        <v>3613</v>
      </c>
      <c r="G156" s="18">
        <v>3.7871999999999999</v>
      </c>
      <c r="H156" s="18">
        <v>0</v>
      </c>
    </row>
    <row r="157" spans="1:8" ht="12.2" customHeight="1" x14ac:dyDescent="0.2">
      <c r="D157" s="153" t="s">
        <v>3791</v>
      </c>
      <c r="E157" s="154"/>
      <c r="F157" s="154"/>
      <c r="G157" s="51">
        <v>3.7871999999999999</v>
      </c>
    </row>
    <row r="158" spans="1:8" x14ac:dyDescent="0.2">
      <c r="A158" s="5" t="s">
        <v>73</v>
      </c>
      <c r="B158" s="5" t="s">
        <v>3645</v>
      </c>
      <c r="C158" s="5" t="s">
        <v>1273</v>
      </c>
      <c r="D158" s="135" t="s">
        <v>2472</v>
      </c>
      <c r="E158" s="136"/>
      <c r="F158" s="5" t="s">
        <v>3615</v>
      </c>
      <c r="G158" s="18">
        <v>25.128</v>
      </c>
      <c r="H158" s="18">
        <v>0</v>
      </c>
    </row>
    <row r="159" spans="1:8" ht="12.2" customHeight="1" x14ac:dyDescent="0.2">
      <c r="D159" s="153" t="s">
        <v>3792</v>
      </c>
      <c r="E159" s="154"/>
      <c r="F159" s="154"/>
      <c r="G159" s="51">
        <v>25.128</v>
      </c>
    </row>
    <row r="160" spans="1:8" x14ac:dyDescent="0.2">
      <c r="A160" s="5" t="s">
        <v>74</v>
      </c>
      <c r="B160" s="5" t="s">
        <v>3645</v>
      </c>
      <c r="C160" s="5" t="s">
        <v>1274</v>
      </c>
      <c r="D160" s="135" t="s">
        <v>2473</v>
      </c>
      <c r="E160" s="136"/>
      <c r="F160" s="5" t="s">
        <v>3615</v>
      </c>
      <c r="G160" s="18">
        <v>25.128</v>
      </c>
      <c r="H160" s="18">
        <v>0</v>
      </c>
    </row>
    <row r="161" spans="1:8" ht="12.2" customHeight="1" x14ac:dyDescent="0.2">
      <c r="D161" s="153" t="s">
        <v>3792</v>
      </c>
      <c r="E161" s="154"/>
      <c r="F161" s="154"/>
      <c r="G161" s="51">
        <v>25.128</v>
      </c>
    </row>
    <row r="162" spans="1:8" x14ac:dyDescent="0.2">
      <c r="A162" s="5" t="s">
        <v>75</v>
      </c>
      <c r="B162" s="5" t="s">
        <v>3645</v>
      </c>
      <c r="C162" s="5" t="s">
        <v>1275</v>
      </c>
      <c r="D162" s="135" t="s">
        <v>2474</v>
      </c>
      <c r="E162" s="136"/>
      <c r="F162" s="5" t="s">
        <v>3616</v>
      </c>
      <c r="G162" s="18">
        <v>0.56808000000000003</v>
      </c>
      <c r="H162" s="18">
        <v>0</v>
      </c>
    </row>
    <row r="163" spans="1:8" ht="12.2" customHeight="1" x14ac:dyDescent="0.2">
      <c r="D163" s="153" t="s">
        <v>3793</v>
      </c>
      <c r="E163" s="154"/>
      <c r="F163" s="154"/>
      <c r="G163" s="51">
        <v>0.56808000000000003</v>
      </c>
    </row>
    <row r="164" spans="1:8" x14ac:dyDescent="0.2">
      <c r="A164" s="14"/>
      <c r="B164" s="14"/>
      <c r="C164" s="14" t="s">
        <v>9</v>
      </c>
      <c r="D164" s="133" t="s">
        <v>2475</v>
      </c>
      <c r="E164" s="134"/>
      <c r="F164" s="14"/>
      <c r="G164" s="27"/>
      <c r="H164" s="27"/>
    </row>
    <row r="165" spans="1:8" x14ac:dyDescent="0.2">
      <c r="A165" s="5" t="s">
        <v>76</v>
      </c>
      <c r="B165" s="5" t="s">
        <v>3645</v>
      </c>
      <c r="C165" s="5" t="s">
        <v>1276</v>
      </c>
      <c r="D165" s="135" t="s">
        <v>2476</v>
      </c>
      <c r="E165" s="136"/>
      <c r="F165" s="5" t="s">
        <v>3613</v>
      </c>
      <c r="G165" s="18">
        <v>12.409000000000001</v>
      </c>
      <c r="H165" s="18">
        <v>0</v>
      </c>
    </row>
    <row r="166" spans="1:8" ht="12.2" customHeight="1" x14ac:dyDescent="0.2">
      <c r="D166" s="153" t="s">
        <v>3794</v>
      </c>
      <c r="E166" s="154"/>
      <c r="F166" s="154"/>
      <c r="G166" s="51">
        <v>12.409000000000001</v>
      </c>
    </row>
    <row r="167" spans="1:8" x14ac:dyDescent="0.2">
      <c r="A167" s="14"/>
      <c r="B167" s="14"/>
      <c r="C167" s="14" t="s">
        <v>37</v>
      </c>
      <c r="D167" s="133" t="s">
        <v>2477</v>
      </c>
      <c r="E167" s="134"/>
      <c r="F167" s="14"/>
      <c r="G167" s="27"/>
      <c r="H167" s="27"/>
    </row>
    <row r="168" spans="1:8" x14ac:dyDescent="0.2">
      <c r="A168" s="5" t="s">
        <v>77</v>
      </c>
      <c r="B168" s="5" t="s">
        <v>3645</v>
      </c>
      <c r="C168" s="5" t="s">
        <v>1277</v>
      </c>
      <c r="D168" s="135" t="s">
        <v>2478</v>
      </c>
      <c r="E168" s="136"/>
      <c r="F168" s="5" t="s">
        <v>3615</v>
      </c>
      <c r="G168" s="18">
        <v>336.38749999999999</v>
      </c>
      <c r="H168" s="18">
        <v>0</v>
      </c>
    </row>
    <row r="169" spans="1:8" ht="12.2" customHeight="1" x14ac:dyDescent="0.2">
      <c r="D169" s="153" t="s">
        <v>3795</v>
      </c>
      <c r="E169" s="154"/>
      <c r="F169" s="154"/>
      <c r="G169" s="51">
        <v>65.547499999999999</v>
      </c>
    </row>
    <row r="170" spans="1:8" ht="12.2" customHeight="1" x14ac:dyDescent="0.2">
      <c r="A170" s="5"/>
      <c r="B170" s="5"/>
      <c r="C170" s="5"/>
      <c r="D170" s="153" t="s">
        <v>3796</v>
      </c>
      <c r="E170" s="154"/>
      <c r="F170" s="153"/>
      <c r="G170" s="51">
        <v>86.340500000000006</v>
      </c>
      <c r="H170" s="28"/>
    </row>
    <row r="171" spans="1:8" ht="12.2" customHeight="1" x14ac:dyDescent="0.2">
      <c r="A171" s="5"/>
      <c r="B171" s="5"/>
      <c r="C171" s="5"/>
      <c r="D171" s="153" t="s">
        <v>3797</v>
      </c>
      <c r="E171" s="154"/>
      <c r="F171" s="153"/>
      <c r="G171" s="51">
        <v>62.414400000000001</v>
      </c>
      <c r="H171" s="28"/>
    </row>
    <row r="172" spans="1:8" ht="12.2" customHeight="1" x14ac:dyDescent="0.2">
      <c r="A172" s="5"/>
      <c r="B172" s="5"/>
      <c r="C172" s="5"/>
      <c r="D172" s="153" t="s">
        <v>3798</v>
      </c>
      <c r="E172" s="154"/>
      <c r="F172" s="153"/>
      <c r="G172" s="51">
        <v>122.0851</v>
      </c>
      <c r="H172" s="28"/>
    </row>
    <row r="173" spans="1:8" x14ac:dyDescent="0.2">
      <c r="A173" s="5" t="s">
        <v>78</v>
      </c>
      <c r="B173" s="5" t="s">
        <v>3645</v>
      </c>
      <c r="C173" s="5" t="s">
        <v>1278</v>
      </c>
      <c r="D173" s="135" t="s">
        <v>2479</v>
      </c>
      <c r="E173" s="136"/>
      <c r="F173" s="5" t="s">
        <v>3615</v>
      </c>
      <c r="G173" s="18">
        <v>48.2</v>
      </c>
      <c r="H173" s="18">
        <v>0</v>
      </c>
    </row>
    <row r="174" spans="1:8" ht="12.2" customHeight="1" x14ac:dyDescent="0.2">
      <c r="D174" s="153" t="s">
        <v>3799</v>
      </c>
      <c r="E174" s="154"/>
      <c r="F174" s="154"/>
      <c r="G174" s="51">
        <v>48.2</v>
      </c>
    </row>
    <row r="175" spans="1:8" x14ac:dyDescent="0.2">
      <c r="A175" s="5" t="s">
        <v>79</v>
      </c>
      <c r="B175" s="5" t="s">
        <v>3645</v>
      </c>
      <c r="C175" s="5" t="s">
        <v>1279</v>
      </c>
      <c r="D175" s="135" t="s">
        <v>2480</v>
      </c>
      <c r="E175" s="136"/>
      <c r="F175" s="5" t="s">
        <v>3613</v>
      </c>
      <c r="G175" s="18">
        <v>6.4236500000000003</v>
      </c>
      <c r="H175" s="18">
        <v>0</v>
      </c>
    </row>
    <row r="176" spans="1:8" ht="12.2" customHeight="1" x14ac:dyDescent="0.2">
      <c r="D176" s="153" t="s">
        <v>3800</v>
      </c>
      <c r="E176" s="154"/>
      <c r="F176" s="154"/>
      <c r="G176" s="51">
        <v>6.4236500000000003</v>
      </c>
    </row>
    <row r="177" spans="1:8" x14ac:dyDescent="0.2">
      <c r="A177" s="5" t="s">
        <v>80</v>
      </c>
      <c r="B177" s="5" t="s">
        <v>3645</v>
      </c>
      <c r="C177" s="5" t="s">
        <v>1280</v>
      </c>
      <c r="D177" s="135" t="s">
        <v>2481</v>
      </c>
      <c r="E177" s="136"/>
      <c r="F177" s="5" t="s">
        <v>3612</v>
      </c>
      <c r="G177" s="18">
        <v>30</v>
      </c>
      <c r="H177" s="18">
        <v>0</v>
      </c>
    </row>
    <row r="178" spans="1:8" ht="12.2" customHeight="1" x14ac:dyDescent="0.2">
      <c r="D178" s="153" t="s">
        <v>3801</v>
      </c>
      <c r="E178" s="154"/>
      <c r="F178" s="154"/>
      <c r="G178" s="51">
        <v>30</v>
      </c>
    </row>
    <row r="179" spans="1:8" x14ac:dyDescent="0.2">
      <c r="A179" s="5" t="s">
        <v>81</v>
      </c>
      <c r="B179" s="5" t="s">
        <v>3645</v>
      </c>
      <c r="C179" s="5" t="s">
        <v>1281</v>
      </c>
      <c r="D179" s="135" t="s">
        <v>2482</v>
      </c>
      <c r="E179" s="136"/>
      <c r="F179" s="5" t="s">
        <v>3612</v>
      </c>
      <c r="G179" s="18">
        <v>6</v>
      </c>
      <c r="H179" s="18">
        <v>0</v>
      </c>
    </row>
    <row r="180" spans="1:8" ht="12.2" customHeight="1" x14ac:dyDescent="0.2">
      <c r="D180" s="153" t="s">
        <v>3802</v>
      </c>
      <c r="E180" s="154"/>
      <c r="F180" s="154"/>
      <c r="G180" s="51">
        <v>6</v>
      </c>
    </row>
    <row r="181" spans="1:8" x14ac:dyDescent="0.2">
      <c r="A181" s="5" t="s">
        <v>82</v>
      </c>
      <c r="B181" s="5" t="s">
        <v>3645</v>
      </c>
      <c r="C181" s="5" t="s">
        <v>1282</v>
      </c>
      <c r="D181" s="135" t="s">
        <v>2483</v>
      </c>
      <c r="E181" s="136"/>
      <c r="F181" s="5" t="s">
        <v>3612</v>
      </c>
      <c r="G181" s="18">
        <v>32</v>
      </c>
      <c r="H181" s="18">
        <v>0</v>
      </c>
    </row>
    <row r="182" spans="1:8" ht="12.2" customHeight="1" x14ac:dyDescent="0.2">
      <c r="D182" s="153" t="s">
        <v>3803</v>
      </c>
      <c r="E182" s="154"/>
      <c r="F182" s="154"/>
      <c r="G182" s="51">
        <v>32</v>
      </c>
    </row>
    <row r="183" spans="1:8" x14ac:dyDescent="0.2">
      <c r="A183" s="5" t="s">
        <v>83</v>
      </c>
      <c r="B183" s="5" t="s">
        <v>3645</v>
      </c>
      <c r="C183" s="5" t="s">
        <v>1283</v>
      </c>
      <c r="D183" s="135" t="s">
        <v>2484</v>
      </c>
      <c r="E183" s="136"/>
      <c r="F183" s="5" t="s">
        <v>3612</v>
      </c>
      <c r="G183" s="18">
        <v>8</v>
      </c>
      <c r="H183" s="18">
        <v>0</v>
      </c>
    </row>
    <row r="184" spans="1:8" ht="12.2" customHeight="1" x14ac:dyDescent="0.2">
      <c r="D184" s="153" t="s">
        <v>3804</v>
      </c>
      <c r="E184" s="154"/>
      <c r="F184" s="154"/>
      <c r="G184" s="51">
        <v>8</v>
      </c>
    </row>
    <row r="185" spans="1:8" x14ac:dyDescent="0.2">
      <c r="A185" s="5" t="s">
        <v>84</v>
      </c>
      <c r="B185" s="5" t="s">
        <v>3645</v>
      </c>
      <c r="C185" s="5" t="s">
        <v>1283</v>
      </c>
      <c r="D185" s="135" t="s">
        <v>2485</v>
      </c>
      <c r="E185" s="136"/>
      <c r="F185" s="5" t="s">
        <v>3612</v>
      </c>
      <c r="G185" s="18">
        <v>6</v>
      </c>
      <c r="H185" s="18">
        <v>0</v>
      </c>
    </row>
    <row r="186" spans="1:8" ht="12.2" customHeight="1" x14ac:dyDescent="0.2">
      <c r="D186" s="153" t="s">
        <v>3805</v>
      </c>
      <c r="E186" s="154"/>
      <c r="F186" s="154"/>
      <c r="G186" s="51">
        <v>6</v>
      </c>
    </row>
    <row r="187" spans="1:8" x14ac:dyDescent="0.2">
      <c r="A187" s="5" t="s">
        <v>85</v>
      </c>
      <c r="B187" s="5" t="s">
        <v>3645</v>
      </c>
      <c r="C187" s="5" t="s">
        <v>1284</v>
      </c>
      <c r="D187" s="135" t="s">
        <v>2486</v>
      </c>
      <c r="E187" s="136"/>
      <c r="F187" s="5" t="s">
        <v>3612</v>
      </c>
      <c r="G187" s="18">
        <v>12</v>
      </c>
      <c r="H187" s="18">
        <v>0</v>
      </c>
    </row>
    <row r="188" spans="1:8" ht="12.2" customHeight="1" x14ac:dyDescent="0.2">
      <c r="D188" s="153" t="s">
        <v>3806</v>
      </c>
      <c r="E188" s="154"/>
      <c r="F188" s="154"/>
      <c r="G188" s="51">
        <v>12</v>
      </c>
    </row>
    <row r="189" spans="1:8" x14ac:dyDescent="0.2">
      <c r="A189" s="5" t="s">
        <v>86</v>
      </c>
      <c r="B189" s="5" t="s">
        <v>3645</v>
      </c>
      <c r="C189" s="5" t="s">
        <v>1284</v>
      </c>
      <c r="D189" s="135" t="s">
        <v>2487</v>
      </c>
      <c r="E189" s="136"/>
      <c r="F189" s="5" t="s">
        <v>3612</v>
      </c>
      <c r="G189" s="18">
        <v>9</v>
      </c>
      <c r="H189" s="18">
        <v>0</v>
      </c>
    </row>
    <row r="190" spans="1:8" ht="12.2" customHeight="1" x14ac:dyDescent="0.2">
      <c r="D190" s="153" t="s">
        <v>3807</v>
      </c>
      <c r="E190" s="154"/>
      <c r="F190" s="154"/>
      <c r="G190" s="51">
        <v>9</v>
      </c>
    </row>
    <row r="191" spans="1:8" x14ac:dyDescent="0.2">
      <c r="A191" s="5" t="s">
        <v>87</v>
      </c>
      <c r="B191" s="5" t="s">
        <v>3645</v>
      </c>
      <c r="C191" s="5" t="s">
        <v>1285</v>
      </c>
      <c r="D191" s="135" t="s">
        <v>2488</v>
      </c>
      <c r="E191" s="136"/>
      <c r="F191" s="5" t="s">
        <v>3613</v>
      </c>
      <c r="G191" s="18">
        <v>0.91559999999999997</v>
      </c>
      <c r="H191" s="18">
        <v>0</v>
      </c>
    </row>
    <row r="192" spans="1:8" ht="12.2" customHeight="1" x14ac:dyDescent="0.2">
      <c r="D192" s="153" t="s">
        <v>3808</v>
      </c>
      <c r="E192" s="154"/>
      <c r="F192" s="154"/>
      <c r="G192" s="51">
        <v>0.91559999999999997</v>
      </c>
    </row>
    <row r="193" spans="1:8" x14ac:dyDescent="0.2">
      <c r="A193" s="5" t="s">
        <v>88</v>
      </c>
      <c r="B193" s="5" t="s">
        <v>3645</v>
      </c>
      <c r="C193" s="5" t="s">
        <v>1286</v>
      </c>
      <c r="D193" s="135" t="s">
        <v>2489</v>
      </c>
      <c r="E193" s="136"/>
      <c r="F193" s="5" t="s">
        <v>3614</v>
      </c>
      <c r="G193" s="18">
        <v>45</v>
      </c>
      <c r="H193" s="18">
        <v>0</v>
      </c>
    </row>
    <row r="194" spans="1:8" ht="12.2" customHeight="1" x14ac:dyDescent="0.2">
      <c r="D194" s="153" t="s">
        <v>3809</v>
      </c>
      <c r="E194" s="154"/>
      <c r="F194" s="154"/>
      <c r="G194" s="51">
        <v>45</v>
      </c>
    </row>
    <row r="195" spans="1:8" x14ac:dyDescent="0.2">
      <c r="A195" s="5" t="s">
        <v>89</v>
      </c>
      <c r="B195" s="5" t="s">
        <v>3645</v>
      </c>
      <c r="C195" s="5" t="s">
        <v>1287</v>
      </c>
      <c r="D195" s="135" t="s">
        <v>2490</v>
      </c>
      <c r="E195" s="136"/>
      <c r="F195" s="5" t="s">
        <v>3613</v>
      </c>
      <c r="G195" s="18">
        <v>14.204050000000001</v>
      </c>
      <c r="H195" s="18">
        <v>0</v>
      </c>
    </row>
    <row r="196" spans="1:8" ht="12.2" customHeight="1" x14ac:dyDescent="0.2">
      <c r="D196" s="153" t="s">
        <v>3810</v>
      </c>
      <c r="E196" s="154"/>
      <c r="F196" s="154"/>
      <c r="G196" s="51">
        <v>5.0823</v>
      </c>
    </row>
    <row r="197" spans="1:8" ht="12.2" customHeight="1" x14ac:dyDescent="0.2">
      <c r="A197" s="5"/>
      <c r="B197" s="5"/>
      <c r="C197" s="5"/>
      <c r="D197" s="153" t="s">
        <v>3811</v>
      </c>
      <c r="E197" s="154"/>
      <c r="F197" s="153"/>
      <c r="G197" s="51">
        <v>9.1217500000000005</v>
      </c>
      <c r="H197" s="28"/>
    </row>
    <row r="198" spans="1:8" x14ac:dyDescent="0.2">
      <c r="A198" s="5" t="s">
        <v>90</v>
      </c>
      <c r="B198" s="5" t="s">
        <v>3645</v>
      </c>
      <c r="C198" s="5" t="s">
        <v>1288</v>
      </c>
      <c r="D198" s="135" t="s">
        <v>2491</v>
      </c>
      <c r="E198" s="136"/>
      <c r="F198" s="5" t="s">
        <v>3615</v>
      </c>
      <c r="G198" s="18">
        <v>141.04400000000001</v>
      </c>
      <c r="H198" s="18">
        <v>0</v>
      </c>
    </row>
    <row r="199" spans="1:8" ht="12.2" customHeight="1" x14ac:dyDescent="0.2">
      <c r="D199" s="153" t="s">
        <v>3812</v>
      </c>
      <c r="E199" s="154"/>
      <c r="F199" s="154"/>
      <c r="G199" s="51">
        <v>46.323</v>
      </c>
    </row>
    <row r="200" spans="1:8" ht="12.2" customHeight="1" x14ac:dyDescent="0.2">
      <c r="A200" s="5"/>
      <c r="B200" s="5"/>
      <c r="C200" s="5"/>
      <c r="D200" s="153" t="s">
        <v>3813</v>
      </c>
      <c r="E200" s="154"/>
      <c r="F200" s="153"/>
      <c r="G200" s="51">
        <v>94.721000000000004</v>
      </c>
      <c r="H200" s="28"/>
    </row>
    <row r="201" spans="1:8" x14ac:dyDescent="0.2">
      <c r="A201" s="5" t="s">
        <v>91</v>
      </c>
      <c r="B201" s="5" t="s">
        <v>3645</v>
      </c>
      <c r="C201" s="5" t="s">
        <v>1289</v>
      </c>
      <c r="D201" s="135" t="s">
        <v>2492</v>
      </c>
      <c r="E201" s="136"/>
      <c r="F201" s="5" t="s">
        <v>3615</v>
      </c>
      <c r="G201" s="18">
        <v>141.04400000000001</v>
      </c>
      <c r="H201" s="18">
        <v>0</v>
      </c>
    </row>
    <row r="202" spans="1:8" ht="12.2" customHeight="1" x14ac:dyDescent="0.2">
      <c r="D202" s="153" t="s">
        <v>3814</v>
      </c>
      <c r="E202" s="154"/>
      <c r="F202" s="154"/>
      <c r="G202" s="51">
        <v>141.04400000000001</v>
      </c>
    </row>
    <row r="203" spans="1:8" x14ac:dyDescent="0.2">
      <c r="A203" s="5" t="s">
        <v>92</v>
      </c>
      <c r="B203" s="5" t="s">
        <v>3645</v>
      </c>
      <c r="C203" s="5" t="s">
        <v>1290</v>
      </c>
      <c r="D203" s="135" t="s">
        <v>2493</v>
      </c>
      <c r="E203" s="136"/>
      <c r="F203" s="5" t="s">
        <v>3616</v>
      </c>
      <c r="G203" s="18">
        <v>2.1306099999999999</v>
      </c>
      <c r="H203" s="18">
        <v>0</v>
      </c>
    </row>
    <row r="204" spans="1:8" ht="12.2" customHeight="1" x14ac:dyDescent="0.2">
      <c r="D204" s="153" t="s">
        <v>3815</v>
      </c>
      <c r="E204" s="154"/>
      <c r="F204" s="154"/>
      <c r="G204" s="51">
        <v>2.1306099999999999</v>
      </c>
    </row>
    <row r="205" spans="1:8" x14ac:dyDescent="0.2">
      <c r="A205" s="5" t="s">
        <v>93</v>
      </c>
      <c r="B205" s="5" t="s">
        <v>3645</v>
      </c>
      <c r="C205" s="5" t="s">
        <v>1291</v>
      </c>
      <c r="D205" s="135" t="s">
        <v>2494</v>
      </c>
      <c r="E205" s="136"/>
      <c r="F205" s="5" t="s">
        <v>3616</v>
      </c>
      <c r="G205" s="18">
        <v>0.98250000000000004</v>
      </c>
      <c r="H205" s="18">
        <v>0</v>
      </c>
    </row>
    <row r="206" spans="1:8" ht="12.2" customHeight="1" x14ac:dyDescent="0.2">
      <c r="D206" s="153" t="s">
        <v>3816</v>
      </c>
      <c r="E206" s="154"/>
      <c r="F206" s="154"/>
      <c r="G206" s="51">
        <v>0.98250000000000004</v>
      </c>
    </row>
    <row r="207" spans="1:8" x14ac:dyDescent="0.2">
      <c r="A207" s="14"/>
      <c r="B207" s="14"/>
      <c r="C207" s="14" t="s">
        <v>40</v>
      </c>
      <c r="D207" s="133" t="s">
        <v>2495</v>
      </c>
      <c r="E207" s="134"/>
      <c r="F207" s="14"/>
      <c r="G207" s="27"/>
      <c r="H207" s="27"/>
    </row>
    <row r="208" spans="1:8" x14ac:dyDescent="0.2">
      <c r="A208" s="5" t="s">
        <v>94</v>
      </c>
      <c r="B208" s="5" t="s">
        <v>3645</v>
      </c>
      <c r="C208" s="5" t="s">
        <v>1292</v>
      </c>
      <c r="D208" s="135" t="s">
        <v>2496</v>
      </c>
      <c r="E208" s="136"/>
      <c r="F208" s="5" t="s">
        <v>3615</v>
      </c>
      <c r="G208" s="18">
        <v>87.011499999999998</v>
      </c>
      <c r="H208" s="18">
        <v>0</v>
      </c>
    </row>
    <row r="209" spans="1:8" ht="12.2" customHeight="1" x14ac:dyDescent="0.2">
      <c r="D209" s="153" t="s">
        <v>3817</v>
      </c>
      <c r="E209" s="154"/>
      <c r="F209" s="154"/>
      <c r="G209" s="51">
        <v>21.4114</v>
      </c>
    </row>
    <row r="210" spans="1:8" ht="12.2" customHeight="1" x14ac:dyDescent="0.2">
      <c r="A210" s="5"/>
      <c r="B210" s="5"/>
      <c r="C210" s="5"/>
      <c r="D210" s="153" t="s">
        <v>3818</v>
      </c>
      <c r="E210" s="154"/>
      <c r="F210" s="153"/>
      <c r="G210" s="51">
        <v>65.600099999999998</v>
      </c>
      <c r="H210" s="28"/>
    </row>
    <row r="211" spans="1:8" x14ac:dyDescent="0.2">
      <c r="A211" s="5" t="s">
        <v>95</v>
      </c>
      <c r="B211" s="5" t="s">
        <v>3645</v>
      </c>
      <c r="C211" s="5" t="s">
        <v>1293</v>
      </c>
      <c r="D211" s="135" t="s">
        <v>2497</v>
      </c>
      <c r="E211" s="136"/>
      <c r="F211" s="5" t="s">
        <v>3615</v>
      </c>
      <c r="G211" s="18">
        <v>249.86365000000001</v>
      </c>
      <c r="H211" s="18">
        <v>0</v>
      </c>
    </row>
    <row r="212" spans="1:8" ht="12.2" customHeight="1" x14ac:dyDescent="0.2">
      <c r="D212" s="153" t="s">
        <v>3819</v>
      </c>
      <c r="E212" s="154"/>
      <c r="F212" s="154"/>
      <c r="G212" s="51">
        <v>25.844999999999999</v>
      </c>
    </row>
    <row r="213" spans="1:8" ht="12.2" customHeight="1" x14ac:dyDescent="0.2">
      <c r="A213" s="5"/>
      <c r="B213" s="5"/>
      <c r="C213" s="5"/>
      <c r="D213" s="153" t="s">
        <v>3820</v>
      </c>
      <c r="E213" s="154"/>
      <c r="F213" s="153"/>
      <c r="G213" s="51">
        <v>108.59325</v>
      </c>
      <c r="H213" s="28"/>
    </row>
    <row r="214" spans="1:8" ht="12.2" customHeight="1" x14ac:dyDescent="0.2">
      <c r="A214" s="5"/>
      <c r="B214" s="5"/>
      <c r="C214" s="5"/>
      <c r="D214" s="153" t="s">
        <v>3821</v>
      </c>
      <c r="E214" s="154"/>
      <c r="F214" s="153"/>
      <c r="G214" s="51">
        <v>130.7774</v>
      </c>
      <c r="H214" s="28"/>
    </row>
    <row r="215" spans="1:8" ht="12.2" customHeight="1" x14ac:dyDescent="0.2">
      <c r="A215" s="5"/>
      <c r="B215" s="5"/>
      <c r="C215" s="5"/>
      <c r="D215" s="153" t="s">
        <v>3822</v>
      </c>
      <c r="E215" s="154"/>
      <c r="F215" s="153"/>
      <c r="G215" s="51">
        <v>-15.352</v>
      </c>
      <c r="H215" s="28"/>
    </row>
    <row r="216" spans="1:8" x14ac:dyDescent="0.2">
      <c r="A216" s="5" t="s">
        <v>96</v>
      </c>
      <c r="B216" s="5" t="s">
        <v>3645</v>
      </c>
      <c r="C216" s="5" t="s">
        <v>1294</v>
      </c>
      <c r="D216" s="135" t="s">
        <v>2498</v>
      </c>
      <c r="E216" s="136"/>
      <c r="F216" s="5" t="s">
        <v>3615</v>
      </c>
      <c r="G216" s="18">
        <v>8.1135000000000002</v>
      </c>
      <c r="H216" s="18">
        <v>0</v>
      </c>
    </row>
    <row r="217" spans="1:8" ht="12.2" customHeight="1" x14ac:dyDescent="0.2">
      <c r="D217" s="153" t="s">
        <v>3823</v>
      </c>
      <c r="E217" s="154"/>
      <c r="F217" s="154"/>
      <c r="G217" s="51">
        <v>8.1135000000000002</v>
      </c>
    </row>
    <row r="218" spans="1:8" x14ac:dyDescent="0.2">
      <c r="A218" s="5" t="s">
        <v>97</v>
      </c>
      <c r="B218" s="5" t="s">
        <v>3645</v>
      </c>
      <c r="C218" s="5" t="s">
        <v>1295</v>
      </c>
      <c r="D218" s="135" t="s">
        <v>2499</v>
      </c>
      <c r="E218" s="136"/>
      <c r="F218" s="5" t="s">
        <v>3614</v>
      </c>
      <c r="G218" s="18">
        <v>4.16</v>
      </c>
      <c r="H218" s="18">
        <v>0</v>
      </c>
    </row>
    <row r="219" spans="1:8" ht="12.2" customHeight="1" x14ac:dyDescent="0.2">
      <c r="D219" s="153" t="s">
        <v>3824</v>
      </c>
      <c r="E219" s="154"/>
      <c r="F219" s="154"/>
      <c r="G219" s="51">
        <v>4.16</v>
      </c>
    </row>
    <row r="220" spans="1:8" x14ac:dyDescent="0.2">
      <c r="A220" s="5" t="s">
        <v>98</v>
      </c>
      <c r="B220" s="5" t="s">
        <v>3645</v>
      </c>
      <c r="C220" s="5" t="s">
        <v>1295</v>
      </c>
      <c r="D220" s="135" t="s">
        <v>2500</v>
      </c>
      <c r="E220" s="136"/>
      <c r="F220" s="5" t="s">
        <v>3614</v>
      </c>
      <c r="G220" s="18">
        <v>6</v>
      </c>
      <c r="H220" s="18">
        <v>0</v>
      </c>
    </row>
    <row r="221" spans="1:8" ht="12.2" customHeight="1" x14ac:dyDescent="0.2">
      <c r="D221" s="153" t="s">
        <v>3825</v>
      </c>
      <c r="E221" s="154"/>
      <c r="F221" s="154"/>
      <c r="G221" s="51">
        <v>6</v>
      </c>
    </row>
    <row r="222" spans="1:8" x14ac:dyDescent="0.2">
      <c r="A222" s="5" t="s">
        <v>99</v>
      </c>
      <c r="B222" s="5" t="s">
        <v>3645</v>
      </c>
      <c r="C222" s="5" t="s">
        <v>1296</v>
      </c>
      <c r="D222" s="135" t="s">
        <v>2501</v>
      </c>
      <c r="E222" s="136"/>
      <c r="F222" s="5" t="s">
        <v>3614</v>
      </c>
      <c r="G222" s="18">
        <v>28.8</v>
      </c>
      <c r="H222" s="18">
        <v>0</v>
      </c>
    </row>
    <row r="223" spans="1:8" ht="12.2" customHeight="1" x14ac:dyDescent="0.2">
      <c r="D223" s="153" t="s">
        <v>3826</v>
      </c>
      <c r="E223" s="154"/>
      <c r="F223" s="154"/>
      <c r="G223" s="51">
        <v>28.8</v>
      </c>
    </row>
    <row r="224" spans="1:8" x14ac:dyDescent="0.2">
      <c r="A224" s="5" t="s">
        <v>100</v>
      </c>
      <c r="B224" s="5" t="s">
        <v>3645</v>
      </c>
      <c r="C224" s="5" t="s">
        <v>1297</v>
      </c>
      <c r="D224" s="135" t="s">
        <v>2502</v>
      </c>
      <c r="E224" s="136"/>
      <c r="F224" s="5" t="s">
        <v>3612</v>
      </c>
      <c r="G224" s="18">
        <v>4</v>
      </c>
      <c r="H224" s="18">
        <v>0</v>
      </c>
    </row>
    <row r="225" spans="1:8" ht="12.2" customHeight="1" x14ac:dyDescent="0.2">
      <c r="D225" s="153" t="s">
        <v>3827</v>
      </c>
      <c r="E225" s="154"/>
      <c r="F225" s="154"/>
      <c r="G225" s="51">
        <v>4</v>
      </c>
    </row>
    <row r="226" spans="1:8" x14ac:dyDescent="0.2">
      <c r="A226" s="5" t="s">
        <v>101</v>
      </c>
      <c r="B226" s="5" t="s">
        <v>3645</v>
      </c>
      <c r="C226" s="5" t="s">
        <v>1297</v>
      </c>
      <c r="D226" s="135" t="s">
        <v>2503</v>
      </c>
      <c r="E226" s="136"/>
      <c r="F226" s="5" t="s">
        <v>3614</v>
      </c>
      <c r="G226" s="18">
        <v>5</v>
      </c>
      <c r="H226" s="18">
        <v>0</v>
      </c>
    </row>
    <row r="227" spans="1:8" ht="12.2" customHeight="1" x14ac:dyDescent="0.2">
      <c r="D227" s="153" t="s">
        <v>3828</v>
      </c>
      <c r="E227" s="154"/>
      <c r="F227" s="154"/>
      <c r="G227" s="51">
        <v>5</v>
      </c>
    </row>
    <row r="228" spans="1:8" x14ac:dyDescent="0.2">
      <c r="A228" s="5" t="s">
        <v>102</v>
      </c>
      <c r="B228" s="5" t="s">
        <v>3645</v>
      </c>
      <c r="C228" s="5" t="s">
        <v>1298</v>
      </c>
      <c r="D228" s="135" t="s">
        <v>2504</v>
      </c>
      <c r="E228" s="136"/>
      <c r="F228" s="5" t="s">
        <v>3614</v>
      </c>
      <c r="G228" s="18">
        <v>137.48500000000001</v>
      </c>
      <c r="H228" s="18">
        <v>0</v>
      </c>
    </row>
    <row r="229" spans="1:8" ht="12.2" customHeight="1" x14ac:dyDescent="0.2">
      <c r="D229" s="153" t="s">
        <v>3829</v>
      </c>
      <c r="E229" s="154"/>
      <c r="F229" s="154"/>
      <c r="G229" s="51">
        <v>35.78</v>
      </c>
    </row>
    <row r="230" spans="1:8" ht="12.2" customHeight="1" x14ac:dyDescent="0.2">
      <c r="A230" s="5"/>
      <c r="B230" s="5"/>
      <c r="C230" s="5"/>
      <c r="D230" s="153" t="s">
        <v>3830</v>
      </c>
      <c r="E230" s="154"/>
      <c r="F230" s="153"/>
      <c r="G230" s="51">
        <v>49.994999999999997</v>
      </c>
      <c r="H230" s="28"/>
    </row>
    <row r="231" spans="1:8" ht="12.2" customHeight="1" x14ac:dyDescent="0.2">
      <c r="A231" s="5"/>
      <c r="B231" s="5"/>
      <c r="C231" s="5"/>
      <c r="D231" s="153" t="s">
        <v>3831</v>
      </c>
      <c r="E231" s="154"/>
      <c r="F231" s="153"/>
      <c r="G231" s="51">
        <v>51.71</v>
      </c>
      <c r="H231" s="28"/>
    </row>
    <row r="232" spans="1:8" x14ac:dyDescent="0.2">
      <c r="A232" s="5" t="s">
        <v>103</v>
      </c>
      <c r="B232" s="5" t="s">
        <v>3645</v>
      </c>
      <c r="C232" s="5" t="s">
        <v>1299</v>
      </c>
      <c r="D232" s="135" t="s">
        <v>2505</v>
      </c>
      <c r="E232" s="136"/>
      <c r="F232" s="5" t="s">
        <v>3614</v>
      </c>
      <c r="G232" s="18">
        <v>100.08</v>
      </c>
      <c r="H232" s="18">
        <v>0</v>
      </c>
    </row>
    <row r="233" spans="1:8" ht="12.2" customHeight="1" x14ac:dyDescent="0.2">
      <c r="D233" s="153" t="s">
        <v>3832</v>
      </c>
      <c r="E233" s="154"/>
      <c r="F233" s="154"/>
      <c r="G233" s="51">
        <v>100.08</v>
      </c>
    </row>
    <row r="234" spans="1:8" x14ac:dyDescent="0.2">
      <c r="A234" s="5" t="s">
        <v>104</v>
      </c>
      <c r="B234" s="5" t="s">
        <v>3645</v>
      </c>
      <c r="C234" s="5" t="s">
        <v>1300</v>
      </c>
      <c r="D234" s="135" t="s">
        <v>2506</v>
      </c>
      <c r="E234" s="136"/>
      <c r="F234" s="5" t="s">
        <v>3614</v>
      </c>
      <c r="G234" s="18">
        <v>107.28</v>
      </c>
      <c r="H234" s="18">
        <v>0</v>
      </c>
    </row>
    <row r="235" spans="1:8" ht="12.2" customHeight="1" x14ac:dyDescent="0.2">
      <c r="D235" s="153" t="s">
        <v>3833</v>
      </c>
      <c r="E235" s="154"/>
      <c r="F235" s="154"/>
      <c r="G235" s="51">
        <v>107.28</v>
      </c>
    </row>
    <row r="236" spans="1:8" x14ac:dyDescent="0.2">
      <c r="A236" s="5" t="s">
        <v>105</v>
      </c>
      <c r="B236" s="5" t="s">
        <v>3645</v>
      </c>
      <c r="C236" s="5" t="s">
        <v>1301</v>
      </c>
      <c r="D236" s="135" t="s">
        <v>2507</v>
      </c>
      <c r="E236" s="136"/>
      <c r="F236" s="5" t="s">
        <v>3615</v>
      </c>
      <c r="G236" s="18">
        <v>20.16</v>
      </c>
      <c r="H236" s="18">
        <v>0</v>
      </c>
    </row>
    <row r="237" spans="1:8" ht="12.2" customHeight="1" x14ac:dyDescent="0.2">
      <c r="D237" s="153" t="s">
        <v>3834</v>
      </c>
      <c r="E237" s="154"/>
      <c r="F237" s="154"/>
      <c r="G237" s="51">
        <v>20.16</v>
      </c>
    </row>
    <row r="238" spans="1:8" x14ac:dyDescent="0.2">
      <c r="A238" s="5" t="s">
        <v>106</v>
      </c>
      <c r="B238" s="5" t="s">
        <v>3645</v>
      </c>
      <c r="C238" s="5" t="s">
        <v>1302</v>
      </c>
      <c r="D238" s="135" t="s">
        <v>2508</v>
      </c>
      <c r="E238" s="136"/>
      <c r="F238" s="5" t="s">
        <v>3615</v>
      </c>
      <c r="G238" s="18">
        <v>15.634</v>
      </c>
      <c r="H238" s="18">
        <v>0</v>
      </c>
    </row>
    <row r="239" spans="1:8" ht="12.2" customHeight="1" x14ac:dyDescent="0.2">
      <c r="D239" s="153" t="s">
        <v>3835</v>
      </c>
      <c r="E239" s="154"/>
      <c r="F239" s="154"/>
      <c r="G239" s="51">
        <v>15.634</v>
      </c>
    </row>
    <row r="240" spans="1:8" x14ac:dyDescent="0.2">
      <c r="A240" s="5" t="s">
        <v>107</v>
      </c>
      <c r="B240" s="5" t="s">
        <v>3645</v>
      </c>
      <c r="C240" s="5" t="s">
        <v>1303</v>
      </c>
      <c r="D240" s="135" t="s">
        <v>2509</v>
      </c>
      <c r="E240" s="136"/>
      <c r="F240" s="5" t="s">
        <v>3615</v>
      </c>
      <c r="G240" s="18">
        <v>28.122</v>
      </c>
      <c r="H240" s="18">
        <v>0</v>
      </c>
    </row>
    <row r="241" spans="1:8" ht="12.2" customHeight="1" x14ac:dyDescent="0.2">
      <c r="D241" s="153" t="s">
        <v>3836</v>
      </c>
      <c r="E241" s="154"/>
      <c r="F241" s="154"/>
      <c r="G241" s="51">
        <v>28.122</v>
      </c>
    </row>
    <row r="242" spans="1:8" x14ac:dyDescent="0.2">
      <c r="A242" s="5" t="s">
        <v>108</v>
      </c>
      <c r="B242" s="5" t="s">
        <v>3645</v>
      </c>
      <c r="C242" s="5" t="s">
        <v>1304</v>
      </c>
      <c r="D242" s="135" t="s">
        <v>2510</v>
      </c>
      <c r="E242" s="136"/>
      <c r="F242" s="5" t="s">
        <v>3615</v>
      </c>
      <c r="G242" s="18">
        <v>39.756</v>
      </c>
      <c r="H242" s="18">
        <v>0</v>
      </c>
    </row>
    <row r="243" spans="1:8" ht="12.2" customHeight="1" x14ac:dyDescent="0.2">
      <c r="D243" s="153" t="s">
        <v>3837</v>
      </c>
      <c r="E243" s="154"/>
      <c r="F243" s="154"/>
      <c r="G243" s="51">
        <v>39.756</v>
      </c>
    </row>
    <row r="244" spans="1:8" x14ac:dyDescent="0.2">
      <c r="A244" s="5" t="s">
        <v>109</v>
      </c>
      <c r="B244" s="5" t="s">
        <v>3645</v>
      </c>
      <c r="C244" s="5" t="s">
        <v>1305</v>
      </c>
      <c r="D244" s="135" t="s">
        <v>2511</v>
      </c>
      <c r="E244" s="136"/>
      <c r="F244" s="5" t="s">
        <v>3614</v>
      </c>
      <c r="G244" s="18">
        <v>137.48500000000001</v>
      </c>
      <c r="H244" s="18">
        <v>0</v>
      </c>
    </row>
    <row r="245" spans="1:8" ht="12.2" customHeight="1" x14ac:dyDescent="0.2">
      <c r="D245" s="153" t="s">
        <v>3838</v>
      </c>
      <c r="E245" s="154"/>
      <c r="F245" s="154"/>
      <c r="G245" s="51">
        <v>137.48500000000001</v>
      </c>
    </row>
    <row r="246" spans="1:8" x14ac:dyDescent="0.2">
      <c r="A246" s="5" t="s">
        <v>110</v>
      </c>
      <c r="B246" s="5" t="s">
        <v>3645</v>
      </c>
      <c r="C246" s="5" t="s">
        <v>1306</v>
      </c>
      <c r="D246" s="135" t="s">
        <v>2512</v>
      </c>
      <c r="E246" s="136"/>
      <c r="F246" s="5" t="s">
        <v>3615</v>
      </c>
      <c r="G246" s="18">
        <v>23.24</v>
      </c>
      <c r="H246" s="18">
        <v>0</v>
      </c>
    </row>
    <row r="247" spans="1:8" ht="12.2" customHeight="1" x14ac:dyDescent="0.2">
      <c r="D247" s="153" t="s">
        <v>3839</v>
      </c>
      <c r="E247" s="154"/>
      <c r="F247" s="154"/>
      <c r="G247" s="51">
        <v>23.24</v>
      </c>
    </row>
    <row r="248" spans="1:8" x14ac:dyDescent="0.2">
      <c r="A248" s="14"/>
      <c r="B248" s="14"/>
      <c r="C248" s="14" t="s">
        <v>47</v>
      </c>
      <c r="D248" s="133" t="s">
        <v>2513</v>
      </c>
      <c r="E248" s="134"/>
      <c r="F248" s="14"/>
      <c r="G248" s="27"/>
      <c r="H248" s="27"/>
    </row>
    <row r="249" spans="1:8" x14ac:dyDescent="0.2">
      <c r="A249" s="5" t="s">
        <v>111</v>
      </c>
      <c r="B249" s="5" t="s">
        <v>3645</v>
      </c>
      <c r="C249" s="5" t="s">
        <v>1307</v>
      </c>
      <c r="D249" s="135" t="s">
        <v>2514</v>
      </c>
      <c r="E249" s="136"/>
      <c r="F249" s="5" t="s">
        <v>3615</v>
      </c>
      <c r="G249" s="18">
        <v>67.77</v>
      </c>
      <c r="H249" s="18">
        <v>0</v>
      </c>
    </row>
    <row r="250" spans="1:8" ht="12.2" customHeight="1" x14ac:dyDescent="0.2">
      <c r="D250" s="153" t="s">
        <v>3840</v>
      </c>
      <c r="E250" s="154"/>
      <c r="F250" s="154"/>
      <c r="G250" s="51">
        <v>62.46</v>
      </c>
    </row>
    <row r="251" spans="1:8" ht="12.2" customHeight="1" x14ac:dyDescent="0.2">
      <c r="A251" s="5"/>
      <c r="B251" s="5"/>
      <c r="C251" s="5"/>
      <c r="D251" s="153" t="s">
        <v>3841</v>
      </c>
      <c r="E251" s="154"/>
      <c r="F251" s="153"/>
      <c r="G251" s="51">
        <v>5.31</v>
      </c>
      <c r="H251" s="28"/>
    </row>
    <row r="252" spans="1:8" x14ac:dyDescent="0.2">
      <c r="A252" s="5" t="s">
        <v>112</v>
      </c>
      <c r="B252" s="5" t="s">
        <v>3645</v>
      </c>
      <c r="C252" s="5" t="s">
        <v>1308</v>
      </c>
      <c r="D252" s="135" t="s">
        <v>2515</v>
      </c>
      <c r="E252" s="136"/>
      <c r="F252" s="5" t="s">
        <v>3615</v>
      </c>
      <c r="G252" s="18">
        <v>154.47999999999999</v>
      </c>
      <c r="H252" s="18">
        <v>0</v>
      </c>
    </row>
    <row r="253" spans="1:8" ht="12.2" customHeight="1" x14ac:dyDescent="0.2">
      <c r="D253" s="153" t="s">
        <v>3842</v>
      </c>
      <c r="E253" s="154"/>
      <c r="F253" s="154"/>
      <c r="G253" s="51">
        <v>154.47999999999999</v>
      </c>
    </row>
    <row r="254" spans="1:8" x14ac:dyDescent="0.2">
      <c r="A254" s="5" t="s">
        <v>113</v>
      </c>
      <c r="B254" s="5" t="s">
        <v>3645</v>
      </c>
      <c r="C254" s="5" t="s">
        <v>1309</v>
      </c>
      <c r="D254" s="135" t="s">
        <v>2516</v>
      </c>
      <c r="E254" s="136"/>
      <c r="F254" s="5" t="s">
        <v>3615</v>
      </c>
      <c r="G254" s="18">
        <v>327.0856</v>
      </c>
      <c r="H254" s="18">
        <v>0</v>
      </c>
    </row>
    <row r="255" spans="1:8" ht="12.2" customHeight="1" x14ac:dyDescent="0.2">
      <c r="D255" s="153" t="s">
        <v>3843</v>
      </c>
      <c r="E255" s="154"/>
      <c r="F255" s="154"/>
      <c r="G255" s="51">
        <v>163.6045</v>
      </c>
    </row>
    <row r="256" spans="1:8" ht="12.2" customHeight="1" x14ac:dyDescent="0.2">
      <c r="A256" s="5"/>
      <c r="B256" s="5"/>
      <c r="C256" s="5"/>
      <c r="D256" s="153" t="s">
        <v>3844</v>
      </c>
      <c r="E256" s="154"/>
      <c r="F256" s="153"/>
      <c r="G256" s="51">
        <v>163.4811</v>
      </c>
      <c r="H256" s="28"/>
    </row>
    <row r="257" spans="1:8" x14ac:dyDescent="0.2">
      <c r="A257" s="5" t="s">
        <v>114</v>
      </c>
      <c r="B257" s="5" t="s">
        <v>3645</v>
      </c>
      <c r="C257" s="5" t="s">
        <v>1310</v>
      </c>
      <c r="D257" s="135" t="s">
        <v>2517</v>
      </c>
      <c r="E257" s="136"/>
      <c r="F257" s="5" t="s">
        <v>3615</v>
      </c>
      <c r="G257" s="18">
        <v>8.2750000000000004</v>
      </c>
      <c r="H257" s="18">
        <v>0</v>
      </c>
    </row>
    <row r="258" spans="1:8" ht="12.2" customHeight="1" x14ac:dyDescent="0.2">
      <c r="D258" s="153" t="s">
        <v>3845</v>
      </c>
      <c r="E258" s="154"/>
      <c r="F258" s="154"/>
      <c r="G258" s="51">
        <v>8.2750000000000004</v>
      </c>
    </row>
    <row r="259" spans="1:8" x14ac:dyDescent="0.2">
      <c r="A259" s="5" t="s">
        <v>115</v>
      </c>
      <c r="B259" s="5" t="s">
        <v>3645</v>
      </c>
      <c r="C259" s="5" t="s">
        <v>1311</v>
      </c>
      <c r="D259" s="135" t="s">
        <v>2518</v>
      </c>
      <c r="E259" s="136"/>
      <c r="F259" s="5" t="s">
        <v>3615</v>
      </c>
      <c r="G259" s="18">
        <v>188.4</v>
      </c>
      <c r="H259" s="18">
        <v>0</v>
      </c>
    </row>
    <row r="260" spans="1:8" ht="12.2" customHeight="1" x14ac:dyDescent="0.2">
      <c r="D260" s="153" t="s">
        <v>3846</v>
      </c>
      <c r="E260" s="154"/>
      <c r="F260" s="154"/>
      <c r="G260" s="51">
        <v>188.4</v>
      </c>
    </row>
    <row r="261" spans="1:8" x14ac:dyDescent="0.2">
      <c r="A261" s="14"/>
      <c r="B261" s="14"/>
      <c r="C261" s="14" t="s">
        <v>63</v>
      </c>
      <c r="D261" s="133" t="s">
        <v>3373</v>
      </c>
      <c r="E261" s="134"/>
      <c r="F261" s="14"/>
      <c r="G261" s="27"/>
      <c r="H261" s="27"/>
    </row>
    <row r="262" spans="1:8" x14ac:dyDescent="0.2">
      <c r="A262" s="5" t="s">
        <v>116</v>
      </c>
      <c r="B262" s="5" t="s">
        <v>3646</v>
      </c>
      <c r="C262" s="5" t="s">
        <v>2170</v>
      </c>
      <c r="D262" s="135" t="s">
        <v>3374</v>
      </c>
      <c r="E262" s="136"/>
      <c r="F262" s="5" t="s">
        <v>3615</v>
      </c>
      <c r="G262" s="18">
        <v>192.8</v>
      </c>
      <c r="H262" s="18">
        <v>0</v>
      </c>
    </row>
    <row r="263" spans="1:8" ht="12.2" customHeight="1" x14ac:dyDescent="0.2">
      <c r="D263" s="153" t="s">
        <v>3847</v>
      </c>
      <c r="E263" s="154"/>
      <c r="F263" s="154"/>
      <c r="G263" s="51">
        <v>192.8</v>
      </c>
    </row>
    <row r="264" spans="1:8" x14ac:dyDescent="0.2">
      <c r="A264" s="14"/>
      <c r="B264" s="14"/>
      <c r="C264" s="14" t="s">
        <v>65</v>
      </c>
      <c r="D264" s="133" t="s">
        <v>3375</v>
      </c>
      <c r="E264" s="134"/>
      <c r="F264" s="14"/>
      <c r="G264" s="27"/>
      <c r="H264" s="27"/>
    </row>
    <row r="265" spans="1:8" x14ac:dyDescent="0.2">
      <c r="A265" s="5" t="s">
        <v>117</v>
      </c>
      <c r="B265" s="5" t="s">
        <v>3646</v>
      </c>
      <c r="C265" s="5" t="s">
        <v>2171</v>
      </c>
      <c r="D265" s="135" t="s">
        <v>3376</v>
      </c>
      <c r="E265" s="136"/>
      <c r="F265" s="5" t="s">
        <v>3615</v>
      </c>
      <c r="G265" s="18">
        <v>33.950000000000003</v>
      </c>
      <c r="H265" s="18">
        <v>0</v>
      </c>
    </row>
    <row r="266" spans="1:8" ht="12.2" customHeight="1" x14ac:dyDescent="0.2">
      <c r="D266" s="153" t="s">
        <v>3848</v>
      </c>
      <c r="E266" s="154"/>
      <c r="F266" s="154"/>
      <c r="G266" s="51">
        <v>33.950000000000003</v>
      </c>
    </row>
    <row r="267" spans="1:8" x14ac:dyDescent="0.2">
      <c r="A267" s="5" t="s">
        <v>118</v>
      </c>
      <c r="B267" s="5" t="s">
        <v>3646</v>
      </c>
      <c r="C267" s="5" t="s">
        <v>2172</v>
      </c>
      <c r="D267" s="135" t="s">
        <v>3377</v>
      </c>
      <c r="E267" s="136"/>
      <c r="F267" s="5" t="s">
        <v>3615</v>
      </c>
      <c r="G267" s="18">
        <v>184.5</v>
      </c>
      <c r="H267" s="18">
        <v>0</v>
      </c>
    </row>
    <row r="268" spans="1:8" ht="12.2" customHeight="1" x14ac:dyDescent="0.2">
      <c r="D268" s="153" t="s">
        <v>3849</v>
      </c>
      <c r="E268" s="154"/>
      <c r="F268" s="154"/>
      <c r="G268" s="51">
        <v>184.5</v>
      </c>
    </row>
    <row r="269" spans="1:8" x14ac:dyDescent="0.2">
      <c r="A269" s="5" t="s">
        <v>119</v>
      </c>
      <c r="B269" s="5" t="s">
        <v>3646</v>
      </c>
      <c r="C269" s="5" t="s">
        <v>2173</v>
      </c>
      <c r="D269" s="135" t="s">
        <v>3378</v>
      </c>
      <c r="E269" s="136"/>
      <c r="F269" s="5" t="s">
        <v>3615</v>
      </c>
      <c r="G269" s="18">
        <v>10.65</v>
      </c>
      <c r="H269" s="18">
        <v>0</v>
      </c>
    </row>
    <row r="270" spans="1:8" ht="12.2" customHeight="1" x14ac:dyDescent="0.2">
      <c r="D270" s="153" t="s">
        <v>3850</v>
      </c>
      <c r="E270" s="154"/>
      <c r="F270" s="154"/>
      <c r="G270" s="51">
        <v>10.65</v>
      </c>
    </row>
    <row r="271" spans="1:8" x14ac:dyDescent="0.2">
      <c r="A271" s="14"/>
      <c r="B271" s="14"/>
      <c r="C271" s="14" t="s">
        <v>67</v>
      </c>
      <c r="D271" s="133" t="s">
        <v>2519</v>
      </c>
      <c r="E271" s="134"/>
      <c r="F271" s="14"/>
      <c r="G271" s="27"/>
      <c r="H271" s="27"/>
    </row>
    <row r="272" spans="1:8" x14ac:dyDescent="0.2">
      <c r="A272" s="5" t="s">
        <v>120</v>
      </c>
      <c r="B272" s="5" t="s">
        <v>3645</v>
      </c>
      <c r="C272" s="5" t="s">
        <v>1312</v>
      </c>
      <c r="D272" s="135" t="s">
        <v>2520</v>
      </c>
      <c r="E272" s="136"/>
      <c r="F272" s="5" t="s">
        <v>3614</v>
      </c>
      <c r="G272" s="18">
        <v>168.16</v>
      </c>
      <c r="H272" s="18">
        <v>0</v>
      </c>
    </row>
    <row r="273" spans="1:8" ht="12.2" customHeight="1" x14ac:dyDescent="0.2">
      <c r="D273" s="153" t="s">
        <v>3851</v>
      </c>
      <c r="E273" s="154"/>
      <c r="F273" s="154"/>
      <c r="G273" s="51">
        <v>168.16</v>
      </c>
    </row>
    <row r="274" spans="1:8" x14ac:dyDescent="0.2">
      <c r="A274" s="5" t="s">
        <v>121</v>
      </c>
      <c r="B274" s="5" t="s">
        <v>3645</v>
      </c>
      <c r="C274" s="5" t="s">
        <v>1313</v>
      </c>
      <c r="D274" s="135" t="s">
        <v>2521</v>
      </c>
      <c r="E274" s="136"/>
      <c r="F274" s="5" t="s">
        <v>3615</v>
      </c>
      <c r="G274" s="18">
        <v>179.81299999999999</v>
      </c>
      <c r="H274" s="18">
        <v>0</v>
      </c>
    </row>
    <row r="275" spans="1:8" ht="12.2" customHeight="1" x14ac:dyDescent="0.2">
      <c r="D275" s="153" t="s">
        <v>3852</v>
      </c>
      <c r="E275" s="154"/>
      <c r="F275" s="154"/>
      <c r="G275" s="51">
        <v>145.05699999999999</v>
      </c>
    </row>
    <row r="276" spans="1:8" ht="12.2" customHeight="1" x14ac:dyDescent="0.2">
      <c r="A276" s="5"/>
      <c r="B276" s="5"/>
      <c r="C276" s="5"/>
      <c r="D276" s="153" t="s">
        <v>3853</v>
      </c>
      <c r="E276" s="154"/>
      <c r="F276" s="153"/>
      <c r="G276" s="51">
        <v>34.756</v>
      </c>
      <c r="H276" s="28"/>
    </row>
    <row r="277" spans="1:8" x14ac:dyDescent="0.2">
      <c r="A277" s="5" t="s">
        <v>122</v>
      </c>
      <c r="B277" s="5" t="s">
        <v>3645</v>
      </c>
      <c r="C277" s="5" t="s">
        <v>1314</v>
      </c>
      <c r="D277" s="135" t="s">
        <v>2522</v>
      </c>
      <c r="E277" s="136"/>
      <c r="F277" s="5" t="s">
        <v>3615</v>
      </c>
      <c r="G277" s="18">
        <v>358.42</v>
      </c>
      <c r="H277" s="18">
        <v>0</v>
      </c>
    </row>
    <row r="278" spans="1:8" ht="12.2" customHeight="1" x14ac:dyDescent="0.2">
      <c r="D278" s="153" t="s">
        <v>3854</v>
      </c>
      <c r="E278" s="154"/>
      <c r="F278" s="154"/>
      <c r="G278" s="51">
        <v>358.42</v>
      </c>
    </row>
    <row r="279" spans="1:8" x14ac:dyDescent="0.2">
      <c r="A279" s="5" t="s">
        <v>123</v>
      </c>
      <c r="B279" s="5" t="s">
        <v>3645</v>
      </c>
      <c r="C279" s="5" t="s">
        <v>1315</v>
      </c>
      <c r="D279" s="135" t="s">
        <v>2523</v>
      </c>
      <c r="E279" s="136"/>
      <c r="F279" s="5" t="s">
        <v>3615</v>
      </c>
      <c r="G279" s="18">
        <v>217.44</v>
      </c>
      <c r="H279" s="18">
        <v>0</v>
      </c>
    </row>
    <row r="280" spans="1:8" ht="12.2" customHeight="1" x14ac:dyDescent="0.2">
      <c r="D280" s="153" t="s">
        <v>3855</v>
      </c>
      <c r="E280" s="154"/>
      <c r="F280" s="154"/>
      <c r="G280" s="51">
        <v>217.44</v>
      </c>
    </row>
    <row r="281" spans="1:8" x14ac:dyDescent="0.2">
      <c r="A281" s="5" t="s">
        <v>124</v>
      </c>
      <c r="B281" s="5" t="s">
        <v>3645</v>
      </c>
      <c r="C281" s="5" t="s">
        <v>1316</v>
      </c>
      <c r="D281" s="135" t="s">
        <v>2524</v>
      </c>
      <c r="E281" s="136"/>
      <c r="F281" s="5" t="s">
        <v>3615</v>
      </c>
      <c r="G281" s="18">
        <v>575.86</v>
      </c>
      <c r="H281" s="18">
        <v>0</v>
      </c>
    </row>
    <row r="282" spans="1:8" ht="12.2" customHeight="1" x14ac:dyDescent="0.2">
      <c r="D282" s="153" t="s">
        <v>3856</v>
      </c>
      <c r="E282" s="154"/>
      <c r="F282" s="154"/>
      <c r="G282" s="51">
        <v>360.16</v>
      </c>
    </row>
    <row r="283" spans="1:8" ht="12.2" customHeight="1" x14ac:dyDescent="0.2">
      <c r="A283" s="5"/>
      <c r="B283" s="5"/>
      <c r="C283" s="5"/>
      <c r="D283" s="153" t="s">
        <v>3857</v>
      </c>
      <c r="E283" s="154"/>
      <c r="F283" s="153"/>
      <c r="G283" s="51">
        <v>215.7</v>
      </c>
      <c r="H283" s="28"/>
    </row>
    <row r="284" spans="1:8" x14ac:dyDescent="0.2">
      <c r="A284" s="5" t="s">
        <v>125</v>
      </c>
      <c r="B284" s="5" t="s">
        <v>3645</v>
      </c>
      <c r="C284" s="5" t="s">
        <v>1317</v>
      </c>
      <c r="D284" s="135" t="s">
        <v>2525</v>
      </c>
      <c r="E284" s="136"/>
      <c r="F284" s="5" t="s">
        <v>3614</v>
      </c>
      <c r="G284" s="18">
        <v>675.53</v>
      </c>
      <c r="H284" s="18">
        <v>0</v>
      </c>
    </row>
    <row r="285" spans="1:8" ht="12.2" customHeight="1" x14ac:dyDescent="0.2">
      <c r="D285" s="153" t="s">
        <v>3851</v>
      </c>
      <c r="E285" s="154"/>
      <c r="F285" s="154"/>
      <c r="G285" s="51">
        <v>168.16</v>
      </c>
    </row>
    <row r="286" spans="1:8" ht="12.2" customHeight="1" x14ac:dyDescent="0.2">
      <c r="A286" s="5"/>
      <c r="B286" s="5"/>
      <c r="C286" s="5"/>
      <c r="D286" s="153" t="s">
        <v>3858</v>
      </c>
      <c r="E286" s="154"/>
      <c r="F286" s="153"/>
      <c r="G286" s="51">
        <v>325.24</v>
      </c>
      <c r="H286" s="28"/>
    </row>
    <row r="287" spans="1:8" ht="12.2" customHeight="1" x14ac:dyDescent="0.2">
      <c r="A287" s="5"/>
      <c r="B287" s="5"/>
      <c r="C287" s="5"/>
      <c r="D287" s="153" t="s">
        <v>3859</v>
      </c>
      <c r="E287" s="154"/>
      <c r="F287" s="153"/>
      <c r="G287" s="51">
        <v>182.13</v>
      </c>
      <c r="H287" s="28"/>
    </row>
    <row r="288" spans="1:8" x14ac:dyDescent="0.2">
      <c r="A288" s="5" t="s">
        <v>126</v>
      </c>
      <c r="B288" s="5" t="s">
        <v>3645</v>
      </c>
      <c r="C288" s="5" t="s">
        <v>1318</v>
      </c>
      <c r="D288" s="135" t="s">
        <v>2526</v>
      </c>
      <c r="E288" s="136"/>
      <c r="F288" s="5" t="s">
        <v>3615</v>
      </c>
      <c r="G288" s="18">
        <v>45</v>
      </c>
      <c r="H288" s="18">
        <v>0</v>
      </c>
    </row>
    <row r="289" spans="1:8" ht="12.2" customHeight="1" x14ac:dyDescent="0.2">
      <c r="D289" s="153" t="s">
        <v>3860</v>
      </c>
      <c r="E289" s="154"/>
      <c r="F289" s="154"/>
      <c r="G289" s="51">
        <v>45</v>
      </c>
    </row>
    <row r="290" spans="1:8" x14ac:dyDescent="0.2">
      <c r="A290" s="5" t="s">
        <v>127</v>
      </c>
      <c r="B290" s="5" t="s">
        <v>3645</v>
      </c>
      <c r="C290" s="5" t="s">
        <v>1319</v>
      </c>
      <c r="D290" s="135" t="s">
        <v>2527</v>
      </c>
      <c r="E290" s="136"/>
      <c r="F290" s="5" t="s">
        <v>3615</v>
      </c>
      <c r="G290" s="18">
        <v>353.40699999999998</v>
      </c>
      <c r="H290" s="18">
        <v>0</v>
      </c>
    </row>
    <row r="291" spans="1:8" ht="12.2" customHeight="1" x14ac:dyDescent="0.2">
      <c r="D291" s="153" t="s">
        <v>3861</v>
      </c>
      <c r="E291" s="154"/>
      <c r="F291" s="154"/>
      <c r="G291" s="51">
        <v>219.286</v>
      </c>
    </row>
    <row r="292" spans="1:8" ht="12.2" customHeight="1" x14ac:dyDescent="0.2">
      <c r="A292" s="5"/>
      <c r="B292" s="5"/>
      <c r="C292" s="5"/>
      <c r="D292" s="153" t="s">
        <v>3862</v>
      </c>
      <c r="E292" s="154"/>
      <c r="F292" s="153"/>
      <c r="G292" s="51">
        <v>134.12100000000001</v>
      </c>
      <c r="H292" s="28"/>
    </row>
    <row r="293" spans="1:8" x14ac:dyDescent="0.2">
      <c r="A293" s="5" t="s">
        <v>128</v>
      </c>
      <c r="B293" s="5" t="s">
        <v>3645</v>
      </c>
      <c r="C293" s="5" t="s">
        <v>1320</v>
      </c>
      <c r="D293" s="135" t="s">
        <v>2528</v>
      </c>
      <c r="E293" s="136"/>
      <c r="F293" s="5" t="s">
        <v>3615</v>
      </c>
      <c r="G293" s="18">
        <v>37.345149999999997</v>
      </c>
      <c r="H293" s="18">
        <v>0</v>
      </c>
    </row>
    <row r="294" spans="1:8" ht="12.2" customHeight="1" x14ac:dyDescent="0.2">
      <c r="D294" s="153" t="s">
        <v>3863</v>
      </c>
      <c r="E294" s="154"/>
      <c r="F294" s="154"/>
      <c r="G294" s="51">
        <v>29.275649999999999</v>
      </c>
    </row>
    <row r="295" spans="1:8" ht="12.2" customHeight="1" x14ac:dyDescent="0.2">
      <c r="A295" s="5"/>
      <c r="B295" s="5"/>
      <c r="C295" s="5"/>
      <c r="D295" s="153" t="s">
        <v>3864</v>
      </c>
      <c r="E295" s="154"/>
      <c r="F295" s="153"/>
      <c r="G295" s="51">
        <v>8.0694999999999997</v>
      </c>
      <c r="H295" s="28"/>
    </row>
    <row r="296" spans="1:8" x14ac:dyDescent="0.2">
      <c r="A296" s="5" t="s">
        <v>129</v>
      </c>
      <c r="B296" s="5" t="s">
        <v>3645</v>
      </c>
      <c r="C296" s="5" t="s">
        <v>1321</v>
      </c>
      <c r="D296" s="135" t="s">
        <v>2529</v>
      </c>
      <c r="E296" s="136"/>
      <c r="F296" s="5" t="s">
        <v>3615</v>
      </c>
      <c r="G296" s="18">
        <v>368.55099999999999</v>
      </c>
      <c r="H296" s="18">
        <v>0</v>
      </c>
    </row>
    <row r="297" spans="1:8" ht="12.2" customHeight="1" x14ac:dyDescent="0.2">
      <c r="D297" s="153" t="s">
        <v>3865</v>
      </c>
      <c r="E297" s="154"/>
      <c r="F297" s="154"/>
      <c r="G297" s="51">
        <v>368.55099999999999</v>
      </c>
    </row>
    <row r="298" spans="1:8" x14ac:dyDescent="0.2">
      <c r="A298" s="5" t="s">
        <v>130</v>
      </c>
      <c r="B298" s="5" t="s">
        <v>3645</v>
      </c>
      <c r="C298" s="5" t="s">
        <v>1322</v>
      </c>
      <c r="D298" s="135" t="s">
        <v>2530</v>
      </c>
      <c r="E298" s="136"/>
      <c r="F298" s="5" t="s">
        <v>3615</v>
      </c>
      <c r="G298" s="18">
        <v>29.29975</v>
      </c>
      <c r="H298" s="18">
        <v>0</v>
      </c>
    </row>
    <row r="299" spans="1:8" ht="12.2" customHeight="1" x14ac:dyDescent="0.2">
      <c r="D299" s="153" t="s">
        <v>3866</v>
      </c>
      <c r="E299" s="154"/>
      <c r="F299" s="154"/>
      <c r="G299" s="51">
        <v>29.29975</v>
      </c>
    </row>
    <row r="300" spans="1:8" x14ac:dyDescent="0.2">
      <c r="A300" s="5" t="s">
        <v>131</v>
      </c>
      <c r="B300" s="5" t="s">
        <v>3645</v>
      </c>
      <c r="C300" s="5" t="s">
        <v>1323</v>
      </c>
      <c r="D300" s="135" t="s">
        <v>2531</v>
      </c>
      <c r="E300" s="136"/>
      <c r="F300" s="5" t="s">
        <v>3615</v>
      </c>
      <c r="G300" s="18">
        <v>552.69000000000005</v>
      </c>
      <c r="H300" s="18">
        <v>0</v>
      </c>
    </row>
    <row r="301" spans="1:8" ht="12.2" customHeight="1" x14ac:dyDescent="0.2">
      <c r="D301" s="153" t="s">
        <v>3867</v>
      </c>
      <c r="E301" s="154"/>
      <c r="F301" s="154"/>
      <c r="G301" s="51">
        <v>247.363</v>
      </c>
    </row>
    <row r="302" spans="1:8" ht="12.2" customHeight="1" x14ac:dyDescent="0.2">
      <c r="A302" s="5"/>
      <c r="B302" s="5"/>
      <c r="C302" s="5"/>
      <c r="D302" s="153" t="s">
        <v>3868</v>
      </c>
      <c r="E302" s="154"/>
      <c r="F302" s="153"/>
      <c r="G302" s="51">
        <v>305.327</v>
      </c>
      <c r="H302" s="28"/>
    </row>
    <row r="303" spans="1:8" x14ac:dyDescent="0.2">
      <c r="A303" s="5" t="s">
        <v>132</v>
      </c>
      <c r="B303" s="5" t="s">
        <v>3645</v>
      </c>
      <c r="C303" s="5" t="s">
        <v>1324</v>
      </c>
      <c r="D303" s="135" t="s">
        <v>2532</v>
      </c>
      <c r="E303" s="136"/>
      <c r="F303" s="5" t="s">
        <v>3615</v>
      </c>
      <c r="G303" s="18">
        <v>202.1</v>
      </c>
      <c r="H303" s="18">
        <v>0</v>
      </c>
    </row>
    <row r="304" spans="1:8" ht="12.2" customHeight="1" x14ac:dyDescent="0.2">
      <c r="D304" s="153" t="s">
        <v>3869</v>
      </c>
      <c r="E304" s="154"/>
      <c r="F304" s="154"/>
      <c r="G304" s="51">
        <v>202.1</v>
      </c>
    </row>
    <row r="305" spans="1:8" x14ac:dyDescent="0.2">
      <c r="A305" s="5" t="s">
        <v>133</v>
      </c>
      <c r="B305" s="5" t="s">
        <v>3645</v>
      </c>
      <c r="C305" s="5" t="s">
        <v>1325</v>
      </c>
      <c r="D305" s="135" t="s">
        <v>2533</v>
      </c>
      <c r="E305" s="136"/>
      <c r="F305" s="5" t="s">
        <v>3615</v>
      </c>
      <c r="G305" s="18">
        <v>390.75214999999997</v>
      </c>
      <c r="H305" s="18">
        <v>0</v>
      </c>
    </row>
    <row r="306" spans="1:8" ht="12.2" customHeight="1" x14ac:dyDescent="0.2">
      <c r="D306" s="153" t="s">
        <v>3870</v>
      </c>
      <c r="E306" s="154"/>
      <c r="F306" s="154"/>
      <c r="G306" s="51">
        <v>390.75214999999997</v>
      </c>
    </row>
    <row r="307" spans="1:8" x14ac:dyDescent="0.2">
      <c r="A307" s="5" t="s">
        <v>134</v>
      </c>
      <c r="B307" s="5" t="s">
        <v>3645</v>
      </c>
      <c r="C307" s="5" t="s">
        <v>1326</v>
      </c>
      <c r="D307" s="135" t="s">
        <v>2534</v>
      </c>
      <c r="E307" s="136"/>
      <c r="F307" s="5" t="s">
        <v>3615</v>
      </c>
      <c r="G307" s="18">
        <v>202.1</v>
      </c>
      <c r="H307" s="18">
        <v>0</v>
      </c>
    </row>
    <row r="308" spans="1:8" ht="12.2" customHeight="1" x14ac:dyDescent="0.2">
      <c r="D308" s="153" t="s">
        <v>3871</v>
      </c>
      <c r="E308" s="154"/>
      <c r="F308" s="154"/>
      <c r="G308" s="51">
        <v>202.1</v>
      </c>
    </row>
    <row r="309" spans="1:8" x14ac:dyDescent="0.2">
      <c r="A309" s="14"/>
      <c r="B309" s="14"/>
      <c r="C309" s="14" t="s">
        <v>68</v>
      </c>
      <c r="D309" s="133" t="s">
        <v>2535</v>
      </c>
      <c r="E309" s="134"/>
      <c r="F309" s="14"/>
      <c r="G309" s="27"/>
      <c r="H309" s="27"/>
    </row>
    <row r="310" spans="1:8" x14ac:dyDescent="0.2">
      <c r="A310" s="5" t="s">
        <v>135</v>
      </c>
      <c r="B310" s="5" t="s">
        <v>3645</v>
      </c>
      <c r="C310" s="5" t="s">
        <v>1327</v>
      </c>
      <c r="D310" s="135" t="s">
        <v>2536</v>
      </c>
      <c r="E310" s="136"/>
      <c r="F310" s="5" t="s">
        <v>3615</v>
      </c>
      <c r="G310" s="18">
        <v>46.424999999999997</v>
      </c>
      <c r="H310" s="18">
        <v>0</v>
      </c>
    </row>
    <row r="311" spans="1:8" ht="12.2" customHeight="1" x14ac:dyDescent="0.2">
      <c r="D311" s="153" t="s">
        <v>3872</v>
      </c>
      <c r="E311" s="154"/>
      <c r="F311" s="154"/>
      <c r="G311" s="51">
        <v>46.424999999999997</v>
      </c>
    </row>
    <row r="312" spans="1:8" x14ac:dyDescent="0.2">
      <c r="A312" s="5" t="s">
        <v>136</v>
      </c>
      <c r="B312" s="5" t="s">
        <v>3645</v>
      </c>
      <c r="C312" s="5" t="s">
        <v>1328</v>
      </c>
      <c r="D312" s="135" t="s">
        <v>2537</v>
      </c>
      <c r="E312" s="136"/>
      <c r="F312" s="5" t="s">
        <v>3615</v>
      </c>
      <c r="G312" s="18">
        <v>305.85455000000002</v>
      </c>
      <c r="H312" s="18">
        <v>0</v>
      </c>
    </row>
    <row r="313" spans="1:8" ht="12.2" customHeight="1" x14ac:dyDescent="0.2">
      <c r="D313" s="153" t="s">
        <v>3873</v>
      </c>
      <c r="E313" s="154"/>
      <c r="F313" s="154"/>
      <c r="G313" s="51">
        <v>305.85455000000002</v>
      </c>
    </row>
    <row r="314" spans="1:8" x14ac:dyDescent="0.2">
      <c r="A314" s="5" t="s">
        <v>137</v>
      </c>
      <c r="B314" s="5" t="s">
        <v>3645</v>
      </c>
      <c r="C314" s="5" t="s">
        <v>1329</v>
      </c>
      <c r="D314" s="135" t="s">
        <v>2539</v>
      </c>
      <c r="E314" s="136"/>
      <c r="F314" s="5" t="s">
        <v>3615</v>
      </c>
      <c r="G314" s="18">
        <v>265.81229999999999</v>
      </c>
      <c r="H314" s="18">
        <v>0</v>
      </c>
    </row>
    <row r="315" spans="1:8" ht="12.2" customHeight="1" x14ac:dyDescent="0.2">
      <c r="D315" s="153" t="s">
        <v>3874</v>
      </c>
      <c r="E315" s="154"/>
      <c r="F315" s="154"/>
      <c r="G315" s="51">
        <v>265.81229999999999</v>
      </c>
    </row>
    <row r="316" spans="1:8" x14ac:dyDescent="0.2">
      <c r="A316" s="5" t="s">
        <v>138</v>
      </c>
      <c r="B316" s="5" t="s">
        <v>3645</v>
      </c>
      <c r="C316" s="5" t="s">
        <v>1330</v>
      </c>
      <c r="D316" s="135" t="s">
        <v>2540</v>
      </c>
      <c r="E316" s="136"/>
      <c r="F316" s="5" t="s">
        <v>3615</v>
      </c>
      <c r="G316" s="18">
        <v>42.847000000000001</v>
      </c>
      <c r="H316" s="18">
        <v>0</v>
      </c>
    </row>
    <row r="317" spans="1:8" ht="12.2" customHeight="1" x14ac:dyDescent="0.2">
      <c r="D317" s="153" t="s">
        <v>3875</v>
      </c>
      <c r="E317" s="154"/>
      <c r="F317" s="154"/>
      <c r="G317" s="51">
        <v>42.847000000000001</v>
      </c>
    </row>
    <row r="318" spans="1:8" x14ac:dyDescent="0.2">
      <c r="A318" s="5" t="s">
        <v>139</v>
      </c>
      <c r="B318" s="5" t="s">
        <v>3645</v>
      </c>
      <c r="C318" s="5" t="s">
        <v>1331</v>
      </c>
      <c r="D318" s="135" t="s">
        <v>2541</v>
      </c>
      <c r="E318" s="136"/>
      <c r="F318" s="5" t="s">
        <v>3615</v>
      </c>
      <c r="G318" s="18">
        <v>31.063199999999998</v>
      </c>
      <c r="H318" s="18">
        <v>0</v>
      </c>
    </row>
    <row r="319" spans="1:8" ht="12.2" customHeight="1" x14ac:dyDescent="0.2">
      <c r="D319" s="153" t="s">
        <v>3876</v>
      </c>
      <c r="E319" s="154"/>
      <c r="F319" s="154"/>
      <c r="G319" s="51">
        <v>31.063199999999998</v>
      </c>
    </row>
    <row r="320" spans="1:8" x14ac:dyDescent="0.2">
      <c r="A320" s="5" t="s">
        <v>140</v>
      </c>
      <c r="B320" s="5" t="s">
        <v>3645</v>
      </c>
      <c r="C320" s="5" t="s">
        <v>1332</v>
      </c>
      <c r="D320" s="135" t="s">
        <v>2542</v>
      </c>
      <c r="E320" s="136"/>
      <c r="F320" s="5" t="s">
        <v>3615</v>
      </c>
      <c r="G320" s="18">
        <v>56.48</v>
      </c>
      <c r="H320" s="18">
        <v>0</v>
      </c>
    </row>
    <row r="321" spans="1:8" ht="12.2" customHeight="1" x14ac:dyDescent="0.2">
      <c r="D321" s="153" t="s">
        <v>3877</v>
      </c>
      <c r="E321" s="154"/>
      <c r="F321" s="154"/>
      <c r="G321" s="51">
        <v>56.48</v>
      </c>
    </row>
    <row r="322" spans="1:8" x14ac:dyDescent="0.2">
      <c r="A322" s="14"/>
      <c r="B322" s="14"/>
      <c r="C322" s="14" t="s">
        <v>69</v>
      </c>
      <c r="D322" s="133" t="s">
        <v>2543</v>
      </c>
      <c r="E322" s="134"/>
      <c r="F322" s="14"/>
      <c r="G322" s="27"/>
      <c r="H322" s="27"/>
    </row>
    <row r="323" spans="1:8" x14ac:dyDescent="0.2">
      <c r="A323" s="5" t="s">
        <v>141</v>
      </c>
      <c r="B323" s="5" t="s">
        <v>3645</v>
      </c>
      <c r="C323" s="5" t="s">
        <v>1333</v>
      </c>
      <c r="D323" s="135" t="s">
        <v>2544</v>
      </c>
      <c r="E323" s="136"/>
      <c r="F323" s="5" t="s">
        <v>3613</v>
      </c>
      <c r="G323" s="18">
        <v>1.08</v>
      </c>
      <c r="H323" s="18">
        <v>0</v>
      </c>
    </row>
    <row r="324" spans="1:8" ht="12.2" customHeight="1" x14ac:dyDescent="0.2">
      <c r="D324" s="153" t="s">
        <v>3878</v>
      </c>
      <c r="E324" s="154"/>
      <c r="F324" s="154"/>
      <c r="G324" s="51">
        <v>1.08</v>
      </c>
    </row>
    <row r="325" spans="1:8" x14ac:dyDescent="0.2">
      <c r="A325" s="5" t="s">
        <v>142</v>
      </c>
      <c r="B325" s="5" t="s">
        <v>3645</v>
      </c>
      <c r="C325" s="5" t="s">
        <v>1334</v>
      </c>
      <c r="D325" s="135" t="s">
        <v>2546</v>
      </c>
      <c r="E325" s="136"/>
      <c r="F325" s="5" t="s">
        <v>3613</v>
      </c>
      <c r="G325" s="18">
        <v>1.0029999999999999</v>
      </c>
      <c r="H325" s="18">
        <v>0</v>
      </c>
    </row>
    <row r="326" spans="1:8" ht="12.2" customHeight="1" x14ac:dyDescent="0.2">
      <c r="D326" s="153" t="s">
        <v>3879</v>
      </c>
      <c r="E326" s="154"/>
      <c r="F326" s="154"/>
      <c r="G326" s="51">
        <v>1.0029999999999999</v>
      </c>
    </row>
    <row r="327" spans="1:8" x14ac:dyDescent="0.2">
      <c r="A327" s="5" t="s">
        <v>143</v>
      </c>
      <c r="B327" s="5" t="s">
        <v>3645</v>
      </c>
      <c r="C327" s="5" t="s">
        <v>1333</v>
      </c>
      <c r="D327" s="135" t="s">
        <v>2547</v>
      </c>
      <c r="E327" s="136"/>
      <c r="F327" s="5" t="s">
        <v>3613</v>
      </c>
      <c r="G327" s="18">
        <v>9.0280000000000005</v>
      </c>
      <c r="H327" s="18">
        <v>0</v>
      </c>
    </row>
    <row r="328" spans="1:8" ht="12.2" customHeight="1" x14ac:dyDescent="0.2">
      <c r="D328" s="153" t="s">
        <v>3880</v>
      </c>
      <c r="E328" s="154"/>
      <c r="F328" s="154"/>
      <c r="G328" s="51">
        <v>9.0280000000000005</v>
      </c>
    </row>
    <row r="329" spans="1:8" x14ac:dyDescent="0.2">
      <c r="A329" s="5" t="s">
        <v>144</v>
      </c>
      <c r="B329" s="5" t="s">
        <v>3645</v>
      </c>
      <c r="C329" s="5" t="s">
        <v>1335</v>
      </c>
      <c r="D329" s="135" t="s">
        <v>2548</v>
      </c>
      <c r="E329" s="136"/>
      <c r="F329" s="5" t="s">
        <v>3615</v>
      </c>
      <c r="G329" s="18">
        <v>243.22</v>
      </c>
      <c r="H329" s="18">
        <v>0</v>
      </c>
    </row>
    <row r="330" spans="1:8" ht="12.2" customHeight="1" x14ac:dyDescent="0.2">
      <c r="D330" s="153" t="s">
        <v>3881</v>
      </c>
      <c r="E330" s="154"/>
      <c r="F330" s="154"/>
      <c r="G330" s="51">
        <v>243.22</v>
      </c>
    </row>
    <row r="331" spans="1:8" x14ac:dyDescent="0.2">
      <c r="A331" s="5" t="s">
        <v>145</v>
      </c>
      <c r="B331" s="5" t="s">
        <v>3645</v>
      </c>
      <c r="C331" s="5" t="s">
        <v>1336</v>
      </c>
      <c r="D331" s="135" t="s">
        <v>2549</v>
      </c>
      <c r="E331" s="136"/>
      <c r="F331" s="5" t="s">
        <v>3615</v>
      </c>
      <c r="G331" s="18">
        <v>11.8</v>
      </c>
      <c r="H331" s="18">
        <v>0</v>
      </c>
    </row>
    <row r="332" spans="1:8" ht="12.2" customHeight="1" x14ac:dyDescent="0.2">
      <c r="D332" s="153" t="s">
        <v>3882</v>
      </c>
      <c r="E332" s="154"/>
      <c r="F332" s="154"/>
      <c r="G332" s="51">
        <v>11.8</v>
      </c>
    </row>
    <row r="333" spans="1:8" x14ac:dyDescent="0.2">
      <c r="A333" s="5" t="s">
        <v>146</v>
      </c>
      <c r="B333" s="5" t="s">
        <v>3645</v>
      </c>
      <c r="C333" s="5" t="s">
        <v>1337</v>
      </c>
      <c r="D333" s="135" t="s">
        <v>2550</v>
      </c>
      <c r="E333" s="136"/>
      <c r="F333" s="5" t="s">
        <v>3615</v>
      </c>
      <c r="G333" s="18">
        <v>116.6</v>
      </c>
      <c r="H333" s="18">
        <v>0</v>
      </c>
    </row>
    <row r="334" spans="1:8" ht="12.2" customHeight="1" x14ac:dyDescent="0.2">
      <c r="D334" s="153" t="s">
        <v>3883</v>
      </c>
      <c r="E334" s="154"/>
      <c r="F334" s="154"/>
      <c r="G334" s="51">
        <v>116.6</v>
      </c>
    </row>
    <row r="335" spans="1:8" x14ac:dyDescent="0.2">
      <c r="A335" s="5" t="s">
        <v>147</v>
      </c>
      <c r="B335" s="5" t="s">
        <v>3645</v>
      </c>
      <c r="C335" s="5" t="s">
        <v>1338</v>
      </c>
      <c r="D335" s="135" t="s">
        <v>2551</v>
      </c>
      <c r="E335" s="136"/>
      <c r="F335" s="5" t="s">
        <v>3615</v>
      </c>
      <c r="G335" s="18">
        <v>116.6</v>
      </c>
      <c r="H335" s="18">
        <v>0</v>
      </c>
    </row>
    <row r="336" spans="1:8" ht="12.2" customHeight="1" x14ac:dyDescent="0.2">
      <c r="D336" s="153" t="s">
        <v>3883</v>
      </c>
      <c r="E336" s="154"/>
      <c r="F336" s="154"/>
      <c r="G336" s="51">
        <v>116.6</v>
      </c>
    </row>
    <row r="337" spans="1:8" x14ac:dyDescent="0.2">
      <c r="A337" s="5" t="s">
        <v>148</v>
      </c>
      <c r="B337" s="5" t="s">
        <v>3645</v>
      </c>
      <c r="C337" s="5" t="s">
        <v>1339</v>
      </c>
      <c r="D337" s="135" t="s">
        <v>2552</v>
      </c>
      <c r="E337" s="136"/>
      <c r="F337" s="5" t="s">
        <v>3615</v>
      </c>
      <c r="G337" s="18">
        <v>89.78</v>
      </c>
      <c r="H337" s="18">
        <v>0</v>
      </c>
    </row>
    <row r="338" spans="1:8" ht="12.2" customHeight="1" x14ac:dyDescent="0.2">
      <c r="D338" s="153" t="s">
        <v>3884</v>
      </c>
      <c r="E338" s="154"/>
      <c r="F338" s="154"/>
      <c r="G338" s="51">
        <v>89.78</v>
      </c>
    </row>
    <row r="339" spans="1:8" x14ac:dyDescent="0.2">
      <c r="A339" s="5" t="s">
        <v>149</v>
      </c>
      <c r="B339" s="5" t="s">
        <v>3645</v>
      </c>
      <c r="C339" s="5" t="s">
        <v>1340</v>
      </c>
      <c r="D339" s="135" t="s">
        <v>2553</v>
      </c>
      <c r="E339" s="136"/>
      <c r="F339" s="5" t="s">
        <v>3615</v>
      </c>
      <c r="G339" s="18">
        <v>129.94</v>
      </c>
      <c r="H339" s="18">
        <v>0</v>
      </c>
    </row>
    <row r="340" spans="1:8" ht="12.2" customHeight="1" x14ac:dyDescent="0.2">
      <c r="D340" s="153" t="s">
        <v>3885</v>
      </c>
      <c r="E340" s="154"/>
      <c r="F340" s="154"/>
      <c r="G340" s="51">
        <v>129.94</v>
      </c>
    </row>
    <row r="341" spans="1:8" x14ac:dyDescent="0.2">
      <c r="A341" s="5" t="s">
        <v>150</v>
      </c>
      <c r="B341" s="5" t="s">
        <v>3645</v>
      </c>
      <c r="C341" s="5" t="s">
        <v>1341</v>
      </c>
      <c r="D341" s="135" t="s">
        <v>2554</v>
      </c>
      <c r="E341" s="136"/>
      <c r="F341" s="5" t="s">
        <v>3615</v>
      </c>
      <c r="G341" s="18">
        <v>47.57</v>
      </c>
      <c r="H341" s="18">
        <v>0</v>
      </c>
    </row>
    <row r="342" spans="1:8" ht="12.2" customHeight="1" x14ac:dyDescent="0.2">
      <c r="D342" s="153" t="s">
        <v>3886</v>
      </c>
      <c r="E342" s="154"/>
      <c r="F342" s="154"/>
      <c r="G342" s="51">
        <v>47.57</v>
      </c>
    </row>
    <row r="343" spans="1:8" x14ac:dyDescent="0.2">
      <c r="A343" s="5" t="s">
        <v>151</v>
      </c>
      <c r="B343" s="5" t="s">
        <v>3645</v>
      </c>
      <c r="C343" s="5" t="s">
        <v>1342</v>
      </c>
      <c r="D343" s="135" t="s">
        <v>2555</v>
      </c>
      <c r="E343" s="136"/>
      <c r="F343" s="5" t="s">
        <v>3615</v>
      </c>
      <c r="G343" s="18">
        <v>41.56</v>
      </c>
      <c r="H343" s="18">
        <v>0</v>
      </c>
    </row>
    <row r="344" spans="1:8" ht="12.2" customHeight="1" x14ac:dyDescent="0.2">
      <c r="D344" s="153" t="s">
        <v>3887</v>
      </c>
      <c r="E344" s="154"/>
      <c r="F344" s="154"/>
      <c r="G344" s="51">
        <v>41.56</v>
      </c>
    </row>
    <row r="345" spans="1:8" x14ac:dyDescent="0.2">
      <c r="A345" s="5" t="s">
        <v>152</v>
      </c>
      <c r="B345" s="5" t="s">
        <v>3645</v>
      </c>
      <c r="C345" s="5" t="s">
        <v>1343</v>
      </c>
      <c r="D345" s="135" t="s">
        <v>2556</v>
      </c>
      <c r="E345" s="136"/>
      <c r="F345" s="5" t="s">
        <v>3615</v>
      </c>
      <c r="G345" s="18">
        <v>243.22</v>
      </c>
      <c r="H345" s="18">
        <v>0</v>
      </c>
    </row>
    <row r="346" spans="1:8" ht="12.2" customHeight="1" x14ac:dyDescent="0.2">
      <c r="D346" s="153" t="s">
        <v>3881</v>
      </c>
      <c r="E346" s="154"/>
      <c r="F346" s="154"/>
      <c r="G346" s="51">
        <v>243.22</v>
      </c>
    </row>
    <row r="347" spans="1:8" x14ac:dyDescent="0.2">
      <c r="A347" s="5" t="s">
        <v>153</v>
      </c>
      <c r="B347" s="5" t="s">
        <v>3645</v>
      </c>
      <c r="C347" s="5" t="s">
        <v>1344</v>
      </c>
      <c r="D347" s="135" t="s">
        <v>2557</v>
      </c>
      <c r="E347" s="136"/>
      <c r="F347" s="5" t="s">
        <v>3615</v>
      </c>
      <c r="G347" s="18">
        <v>75.156000000000006</v>
      </c>
      <c r="H347" s="18">
        <v>0</v>
      </c>
    </row>
    <row r="348" spans="1:8" ht="12.2" customHeight="1" x14ac:dyDescent="0.2">
      <c r="D348" s="153" t="s">
        <v>3888</v>
      </c>
      <c r="E348" s="154"/>
      <c r="F348" s="154"/>
      <c r="G348" s="51">
        <v>75.156000000000006</v>
      </c>
    </row>
    <row r="349" spans="1:8" x14ac:dyDescent="0.2">
      <c r="A349" s="14"/>
      <c r="B349" s="14"/>
      <c r="C349" s="14" t="s">
        <v>96</v>
      </c>
      <c r="D349" s="133" t="s">
        <v>2558</v>
      </c>
      <c r="E349" s="134"/>
      <c r="F349" s="14"/>
      <c r="G349" s="27"/>
      <c r="H349" s="27"/>
    </row>
    <row r="350" spans="1:8" x14ac:dyDescent="0.2">
      <c r="A350" s="5" t="s">
        <v>154</v>
      </c>
      <c r="B350" s="5" t="s">
        <v>3645</v>
      </c>
      <c r="C350" s="5" t="s">
        <v>1345</v>
      </c>
      <c r="D350" s="135" t="s">
        <v>2559</v>
      </c>
      <c r="E350" s="136"/>
      <c r="F350" s="5" t="s">
        <v>3617</v>
      </c>
      <c r="G350" s="18">
        <v>320</v>
      </c>
      <c r="H350" s="18">
        <v>0</v>
      </c>
    </row>
    <row r="351" spans="1:8" ht="12.2" customHeight="1" x14ac:dyDescent="0.2">
      <c r="D351" s="153" t="s">
        <v>3889</v>
      </c>
      <c r="E351" s="154"/>
      <c r="F351" s="154"/>
      <c r="G351" s="51">
        <v>320</v>
      </c>
    </row>
    <row r="352" spans="1:8" x14ac:dyDescent="0.2">
      <c r="A352" s="14"/>
      <c r="B352" s="14"/>
      <c r="C352" s="14" t="s">
        <v>97</v>
      </c>
      <c r="D352" s="133" t="s">
        <v>3379</v>
      </c>
      <c r="E352" s="134"/>
      <c r="F352" s="14"/>
      <c r="G352" s="27"/>
      <c r="H352" s="27"/>
    </row>
    <row r="353" spans="1:8" x14ac:dyDescent="0.2">
      <c r="A353" s="5" t="s">
        <v>155</v>
      </c>
      <c r="B353" s="5" t="s">
        <v>3646</v>
      </c>
      <c r="C353" s="5" t="s">
        <v>2174</v>
      </c>
      <c r="D353" s="135" t="s">
        <v>3380</v>
      </c>
      <c r="E353" s="136"/>
      <c r="F353" s="5" t="s">
        <v>3612</v>
      </c>
      <c r="G353" s="18">
        <v>1</v>
      </c>
      <c r="H353" s="18">
        <v>0</v>
      </c>
    </row>
    <row r="354" spans="1:8" ht="12.2" customHeight="1" x14ac:dyDescent="0.2">
      <c r="D354" s="153" t="s">
        <v>3747</v>
      </c>
      <c r="E354" s="154"/>
      <c r="F354" s="154"/>
      <c r="G354" s="51">
        <v>1</v>
      </c>
    </row>
    <row r="355" spans="1:8" x14ac:dyDescent="0.2">
      <c r="A355" s="5" t="s">
        <v>156</v>
      </c>
      <c r="B355" s="5" t="s">
        <v>3646</v>
      </c>
      <c r="C355" s="5" t="s">
        <v>2175</v>
      </c>
      <c r="D355" s="135" t="s">
        <v>3381</v>
      </c>
      <c r="E355" s="136"/>
      <c r="F355" s="5" t="s">
        <v>3618</v>
      </c>
      <c r="G355" s="18">
        <v>1</v>
      </c>
      <c r="H355" s="18">
        <v>0</v>
      </c>
    </row>
    <row r="356" spans="1:8" ht="12.2" customHeight="1" x14ac:dyDescent="0.2">
      <c r="D356" s="153" t="s">
        <v>3747</v>
      </c>
      <c r="E356" s="154"/>
      <c r="F356" s="154"/>
      <c r="G356" s="51">
        <v>1</v>
      </c>
    </row>
    <row r="357" spans="1:8" x14ac:dyDescent="0.2">
      <c r="A357" s="5" t="s">
        <v>157</v>
      </c>
      <c r="B357" s="5" t="s">
        <v>3646</v>
      </c>
      <c r="C357" s="5" t="s">
        <v>2176</v>
      </c>
      <c r="D357" s="135" t="s">
        <v>3382</v>
      </c>
      <c r="E357" s="136"/>
      <c r="F357" s="5" t="s">
        <v>3614</v>
      </c>
      <c r="G357" s="18">
        <v>46</v>
      </c>
      <c r="H357" s="18">
        <v>0</v>
      </c>
    </row>
    <row r="358" spans="1:8" ht="12.2" customHeight="1" x14ac:dyDescent="0.2">
      <c r="D358" s="153" t="s">
        <v>3890</v>
      </c>
      <c r="E358" s="154"/>
      <c r="F358" s="154"/>
      <c r="G358" s="51">
        <v>46</v>
      </c>
    </row>
    <row r="359" spans="1:8" x14ac:dyDescent="0.2">
      <c r="A359" s="5" t="s">
        <v>158</v>
      </c>
      <c r="B359" s="5" t="s">
        <v>3646</v>
      </c>
      <c r="C359" s="5" t="s">
        <v>2177</v>
      </c>
      <c r="D359" s="135" t="s">
        <v>3383</v>
      </c>
      <c r="E359" s="136"/>
      <c r="F359" s="5" t="s">
        <v>3614</v>
      </c>
      <c r="G359" s="18">
        <v>15</v>
      </c>
      <c r="H359" s="18">
        <v>0</v>
      </c>
    </row>
    <row r="360" spans="1:8" ht="12.2" customHeight="1" x14ac:dyDescent="0.2">
      <c r="D360" s="153" t="s">
        <v>3891</v>
      </c>
      <c r="E360" s="154"/>
      <c r="F360" s="154"/>
      <c r="G360" s="51">
        <v>15</v>
      </c>
    </row>
    <row r="361" spans="1:8" x14ac:dyDescent="0.2">
      <c r="A361" s="5" t="s">
        <v>159</v>
      </c>
      <c r="B361" s="5" t="s">
        <v>3646</v>
      </c>
      <c r="C361" s="5" t="s">
        <v>2178</v>
      </c>
      <c r="D361" s="135" t="s">
        <v>3384</v>
      </c>
      <c r="E361" s="136"/>
      <c r="F361" s="5" t="s">
        <v>3614</v>
      </c>
      <c r="G361" s="18">
        <v>7</v>
      </c>
      <c r="H361" s="18">
        <v>0</v>
      </c>
    </row>
    <row r="362" spans="1:8" ht="12.2" customHeight="1" x14ac:dyDescent="0.2">
      <c r="D362" s="153" t="s">
        <v>3892</v>
      </c>
      <c r="E362" s="154"/>
      <c r="F362" s="154"/>
      <c r="G362" s="51">
        <v>7</v>
      </c>
    </row>
    <row r="363" spans="1:8" x14ac:dyDescent="0.2">
      <c r="A363" s="14"/>
      <c r="B363" s="14"/>
      <c r="C363" s="14" t="s">
        <v>100</v>
      </c>
      <c r="D363" s="133" t="s">
        <v>2560</v>
      </c>
      <c r="E363" s="134"/>
      <c r="F363" s="14"/>
      <c r="G363" s="27"/>
      <c r="H363" s="27"/>
    </row>
    <row r="364" spans="1:8" x14ac:dyDescent="0.2">
      <c r="A364" s="5" t="s">
        <v>160</v>
      </c>
      <c r="B364" s="5" t="s">
        <v>3645</v>
      </c>
      <c r="C364" s="5" t="s">
        <v>1346</v>
      </c>
      <c r="D364" s="135" t="s">
        <v>2561</v>
      </c>
      <c r="E364" s="136"/>
      <c r="F364" s="5" t="s">
        <v>3615</v>
      </c>
      <c r="G364" s="18">
        <v>942.04304999999999</v>
      </c>
      <c r="H364" s="18">
        <v>0</v>
      </c>
    </row>
    <row r="365" spans="1:8" ht="12.2" customHeight="1" x14ac:dyDescent="0.2">
      <c r="D365" s="153" t="s">
        <v>3893</v>
      </c>
      <c r="E365" s="154"/>
      <c r="F365" s="154"/>
      <c r="G365" s="51">
        <v>942.04304999999999</v>
      </c>
    </row>
    <row r="366" spans="1:8" x14ac:dyDescent="0.2">
      <c r="A366" s="5" t="s">
        <v>161</v>
      </c>
      <c r="B366" s="5" t="s">
        <v>3645</v>
      </c>
      <c r="C366" s="5" t="s">
        <v>1347</v>
      </c>
      <c r="D366" s="135" t="s">
        <v>2562</v>
      </c>
      <c r="E366" s="136"/>
      <c r="F366" s="5" t="s">
        <v>3615</v>
      </c>
      <c r="G366" s="18">
        <v>2826.1291500000002</v>
      </c>
      <c r="H366" s="18">
        <v>0</v>
      </c>
    </row>
    <row r="367" spans="1:8" ht="12.2" customHeight="1" x14ac:dyDescent="0.2">
      <c r="D367" s="153" t="s">
        <v>3894</v>
      </c>
      <c r="E367" s="154"/>
      <c r="F367" s="154"/>
      <c r="G367" s="51">
        <v>2826.1291500000002</v>
      </c>
    </row>
    <row r="368" spans="1:8" x14ac:dyDescent="0.2">
      <c r="A368" s="5" t="s">
        <v>162</v>
      </c>
      <c r="B368" s="5" t="s">
        <v>3645</v>
      </c>
      <c r="C368" s="5" t="s">
        <v>1348</v>
      </c>
      <c r="D368" s="135" t="s">
        <v>2563</v>
      </c>
      <c r="E368" s="136"/>
      <c r="F368" s="5" t="s">
        <v>3615</v>
      </c>
      <c r="G368" s="18">
        <v>942.04304999999999</v>
      </c>
      <c r="H368" s="18">
        <v>0</v>
      </c>
    </row>
    <row r="369" spans="1:8" ht="12.2" customHeight="1" x14ac:dyDescent="0.2">
      <c r="D369" s="153" t="s">
        <v>3895</v>
      </c>
      <c r="E369" s="154"/>
      <c r="F369" s="154"/>
      <c r="G369" s="51">
        <v>942.04304999999999</v>
      </c>
    </row>
    <row r="370" spans="1:8" x14ac:dyDescent="0.2">
      <c r="A370" s="5" t="s">
        <v>163</v>
      </c>
      <c r="B370" s="5" t="s">
        <v>3645</v>
      </c>
      <c r="C370" s="5" t="s">
        <v>1349</v>
      </c>
      <c r="D370" s="135" t="s">
        <v>2564</v>
      </c>
      <c r="E370" s="136"/>
      <c r="F370" s="5" t="s">
        <v>3615</v>
      </c>
      <c r="G370" s="18">
        <v>228.81</v>
      </c>
      <c r="H370" s="18">
        <v>0</v>
      </c>
    </row>
    <row r="371" spans="1:8" ht="12.2" customHeight="1" x14ac:dyDescent="0.2">
      <c r="D371" s="153" t="s">
        <v>3896</v>
      </c>
      <c r="E371" s="154"/>
      <c r="F371" s="154"/>
      <c r="G371" s="51">
        <v>228.81</v>
      </c>
    </row>
    <row r="372" spans="1:8" x14ac:dyDescent="0.2">
      <c r="A372" s="5" t="s">
        <v>164</v>
      </c>
      <c r="B372" s="5" t="s">
        <v>3645</v>
      </c>
      <c r="C372" s="5" t="s">
        <v>1350</v>
      </c>
      <c r="D372" s="135" t="s">
        <v>2565</v>
      </c>
      <c r="E372" s="136"/>
      <c r="F372" s="5" t="s">
        <v>3615</v>
      </c>
      <c r="G372" s="18">
        <v>449.54</v>
      </c>
      <c r="H372" s="18">
        <v>0</v>
      </c>
    </row>
    <row r="373" spans="1:8" ht="12.2" customHeight="1" x14ac:dyDescent="0.2">
      <c r="D373" s="153" t="s">
        <v>3897</v>
      </c>
      <c r="E373" s="154"/>
      <c r="F373" s="154"/>
      <c r="G373" s="51">
        <v>449.54</v>
      </c>
    </row>
    <row r="374" spans="1:8" x14ac:dyDescent="0.2">
      <c r="A374" s="5" t="s">
        <v>165</v>
      </c>
      <c r="B374" s="5" t="s">
        <v>3645</v>
      </c>
      <c r="C374" s="5" t="s">
        <v>1351</v>
      </c>
      <c r="D374" s="135" t="s">
        <v>2566</v>
      </c>
      <c r="E374" s="136"/>
      <c r="F374" s="5" t="s">
        <v>3615</v>
      </c>
      <c r="G374" s="18">
        <v>11.8</v>
      </c>
      <c r="H374" s="18">
        <v>0</v>
      </c>
    </row>
    <row r="375" spans="1:8" ht="12.2" customHeight="1" x14ac:dyDescent="0.2">
      <c r="D375" s="153" t="s">
        <v>3882</v>
      </c>
      <c r="E375" s="154"/>
      <c r="F375" s="154"/>
      <c r="G375" s="51">
        <v>11.8</v>
      </c>
    </row>
    <row r="376" spans="1:8" x14ac:dyDescent="0.2">
      <c r="A376" s="5" t="s">
        <v>166</v>
      </c>
      <c r="B376" s="5" t="s">
        <v>3645</v>
      </c>
      <c r="C376" s="5" t="s">
        <v>1352</v>
      </c>
      <c r="D376" s="135" t="s">
        <v>2567</v>
      </c>
      <c r="E376" s="136"/>
      <c r="F376" s="5" t="s">
        <v>3615</v>
      </c>
      <c r="G376" s="18">
        <v>942.04304999999999</v>
      </c>
      <c r="H376" s="18">
        <v>0</v>
      </c>
    </row>
    <row r="377" spans="1:8" ht="12.2" customHeight="1" x14ac:dyDescent="0.2">
      <c r="D377" s="153" t="s">
        <v>3895</v>
      </c>
      <c r="E377" s="154"/>
      <c r="F377" s="154"/>
      <c r="G377" s="51">
        <v>942.04304999999999</v>
      </c>
    </row>
    <row r="378" spans="1:8" x14ac:dyDescent="0.2">
      <c r="A378" s="5" t="s">
        <v>167</v>
      </c>
      <c r="B378" s="5" t="s">
        <v>3645</v>
      </c>
      <c r="C378" s="5" t="s">
        <v>1353</v>
      </c>
      <c r="D378" s="135" t="s">
        <v>2568</v>
      </c>
      <c r="E378" s="136"/>
      <c r="F378" s="5" t="s">
        <v>3615</v>
      </c>
      <c r="G378" s="18">
        <v>2826.1291500000002</v>
      </c>
      <c r="H378" s="18">
        <v>0</v>
      </c>
    </row>
    <row r="379" spans="1:8" ht="12.2" customHeight="1" x14ac:dyDescent="0.2">
      <c r="D379" s="153" t="s">
        <v>3894</v>
      </c>
      <c r="E379" s="154"/>
      <c r="F379" s="154"/>
      <c r="G379" s="51">
        <v>2826.1291500000002</v>
      </c>
    </row>
    <row r="380" spans="1:8" x14ac:dyDescent="0.2">
      <c r="A380" s="5" t="s">
        <v>168</v>
      </c>
      <c r="B380" s="5" t="s">
        <v>3645</v>
      </c>
      <c r="C380" s="5" t="s">
        <v>1354</v>
      </c>
      <c r="D380" s="135" t="s">
        <v>2569</v>
      </c>
      <c r="E380" s="136"/>
      <c r="F380" s="5" t="s">
        <v>3615</v>
      </c>
      <c r="G380" s="18">
        <v>942.04304999999999</v>
      </c>
      <c r="H380" s="18">
        <v>0</v>
      </c>
    </row>
    <row r="381" spans="1:8" ht="12.2" customHeight="1" x14ac:dyDescent="0.2">
      <c r="D381" s="153" t="s">
        <v>3895</v>
      </c>
      <c r="E381" s="154"/>
      <c r="F381" s="154"/>
      <c r="G381" s="51">
        <v>942.04304999999999</v>
      </c>
    </row>
    <row r="382" spans="1:8" x14ac:dyDescent="0.2">
      <c r="A382" s="5" t="s">
        <v>169</v>
      </c>
      <c r="B382" s="5" t="s">
        <v>3645</v>
      </c>
      <c r="C382" s="5" t="s">
        <v>1355</v>
      </c>
      <c r="D382" s="135" t="s">
        <v>2570</v>
      </c>
      <c r="E382" s="136"/>
      <c r="F382" s="5" t="s">
        <v>3617</v>
      </c>
      <c r="G382" s="18">
        <v>32</v>
      </c>
      <c r="H382" s="18">
        <v>0</v>
      </c>
    </row>
    <row r="383" spans="1:8" x14ac:dyDescent="0.2">
      <c r="A383" s="14"/>
      <c r="B383" s="14"/>
      <c r="C383" s="14" t="s">
        <v>101</v>
      </c>
      <c r="D383" s="133" t="s">
        <v>2571</v>
      </c>
      <c r="E383" s="134"/>
      <c r="F383" s="14"/>
      <c r="G383" s="27"/>
      <c r="H383" s="27"/>
    </row>
    <row r="384" spans="1:8" x14ac:dyDescent="0.2">
      <c r="A384" s="5" t="s">
        <v>170</v>
      </c>
      <c r="B384" s="5" t="s">
        <v>3645</v>
      </c>
      <c r="C384" s="5" t="s">
        <v>1356</v>
      </c>
      <c r="D384" s="135" t="s">
        <v>2572</v>
      </c>
      <c r="E384" s="136"/>
      <c r="F384" s="5" t="s">
        <v>3615</v>
      </c>
      <c r="G384" s="18">
        <v>160.23699999999999</v>
      </c>
      <c r="H384" s="18">
        <v>0</v>
      </c>
    </row>
    <row r="385" spans="1:8" ht="12.2" customHeight="1" x14ac:dyDescent="0.2">
      <c r="D385" s="153" t="s">
        <v>3852</v>
      </c>
      <c r="E385" s="154"/>
      <c r="F385" s="154"/>
      <c r="G385" s="51">
        <v>145.05699999999999</v>
      </c>
    </row>
    <row r="386" spans="1:8" ht="12.2" customHeight="1" x14ac:dyDescent="0.2">
      <c r="A386" s="5"/>
      <c r="B386" s="5"/>
      <c r="C386" s="5"/>
      <c r="D386" s="153" t="s">
        <v>3898</v>
      </c>
      <c r="E386" s="154"/>
      <c r="F386" s="153"/>
      <c r="G386" s="51">
        <v>15.18</v>
      </c>
      <c r="H386" s="28"/>
    </row>
    <row r="387" spans="1:8" x14ac:dyDescent="0.2">
      <c r="A387" s="5" t="s">
        <v>171</v>
      </c>
      <c r="B387" s="5" t="s">
        <v>3645</v>
      </c>
      <c r="C387" s="5" t="s">
        <v>1357</v>
      </c>
      <c r="D387" s="135" t="s">
        <v>2573</v>
      </c>
      <c r="E387" s="136"/>
      <c r="F387" s="5" t="s">
        <v>3615</v>
      </c>
      <c r="G387" s="18">
        <v>688.21</v>
      </c>
      <c r="H387" s="18">
        <v>0</v>
      </c>
    </row>
    <row r="388" spans="1:8" ht="12.2" customHeight="1" x14ac:dyDescent="0.2">
      <c r="D388" s="153" t="s">
        <v>3899</v>
      </c>
      <c r="E388" s="154"/>
      <c r="F388" s="154"/>
      <c r="G388" s="51">
        <v>688.21</v>
      </c>
    </row>
    <row r="389" spans="1:8" x14ac:dyDescent="0.2">
      <c r="A389" s="5" t="s">
        <v>172</v>
      </c>
      <c r="B389" s="5" t="s">
        <v>3645</v>
      </c>
      <c r="C389" s="5" t="s">
        <v>1358</v>
      </c>
      <c r="D389" s="135" t="s">
        <v>2574</v>
      </c>
      <c r="E389" s="136"/>
      <c r="F389" s="5" t="s">
        <v>3612</v>
      </c>
      <c r="G389" s="18">
        <v>120</v>
      </c>
      <c r="H389" s="18">
        <v>0</v>
      </c>
    </row>
    <row r="390" spans="1:8" ht="12.2" customHeight="1" x14ac:dyDescent="0.2">
      <c r="D390" s="153" t="s">
        <v>3900</v>
      </c>
      <c r="E390" s="154"/>
      <c r="F390" s="154"/>
      <c r="G390" s="51">
        <v>120</v>
      </c>
    </row>
    <row r="391" spans="1:8" x14ac:dyDescent="0.2">
      <c r="A391" s="14"/>
      <c r="B391" s="14"/>
      <c r="C391" s="14" t="s">
        <v>102</v>
      </c>
      <c r="D391" s="133" t="s">
        <v>2575</v>
      </c>
      <c r="E391" s="134"/>
      <c r="F391" s="14"/>
      <c r="G391" s="27"/>
      <c r="H391" s="27"/>
    </row>
    <row r="392" spans="1:8" x14ac:dyDescent="0.2">
      <c r="A392" s="5" t="s">
        <v>173</v>
      </c>
      <c r="B392" s="5" t="s">
        <v>3645</v>
      </c>
      <c r="C392" s="5" t="s">
        <v>1359</v>
      </c>
      <c r="D392" s="135" t="s">
        <v>2576</v>
      </c>
      <c r="E392" s="136"/>
      <c r="F392" s="5" t="s">
        <v>3615</v>
      </c>
      <c r="G392" s="18">
        <v>126.99509999999999</v>
      </c>
      <c r="H392" s="18">
        <v>0</v>
      </c>
    </row>
    <row r="393" spans="1:8" ht="12.2" customHeight="1" x14ac:dyDescent="0.2">
      <c r="D393" s="153" t="s">
        <v>3901</v>
      </c>
      <c r="E393" s="154"/>
      <c r="F393" s="154"/>
      <c r="G393" s="51">
        <v>64.668000000000006</v>
      </c>
    </row>
    <row r="394" spans="1:8" ht="12.2" customHeight="1" x14ac:dyDescent="0.2">
      <c r="A394" s="5"/>
      <c r="B394" s="5"/>
      <c r="C394" s="5"/>
      <c r="D394" s="153" t="s">
        <v>3902</v>
      </c>
      <c r="E394" s="154"/>
      <c r="F394" s="153"/>
      <c r="G394" s="51">
        <v>62.327100000000002</v>
      </c>
      <c r="H394" s="28"/>
    </row>
    <row r="395" spans="1:8" x14ac:dyDescent="0.2">
      <c r="A395" s="5" t="s">
        <v>174</v>
      </c>
      <c r="B395" s="5" t="s">
        <v>3645</v>
      </c>
      <c r="C395" s="5" t="s">
        <v>1360</v>
      </c>
      <c r="D395" s="135" t="s">
        <v>2577</v>
      </c>
      <c r="E395" s="136"/>
      <c r="F395" s="5" t="s">
        <v>3615</v>
      </c>
      <c r="G395" s="18">
        <v>2.9784999999999999</v>
      </c>
      <c r="H395" s="18">
        <v>0</v>
      </c>
    </row>
    <row r="396" spans="1:8" ht="12.2" customHeight="1" x14ac:dyDescent="0.2">
      <c r="D396" s="153" t="s">
        <v>3903</v>
      </c>
      <c r="E396" s="154"/>
      <c r="F396" s="154"/>
      <c r="G396" s="51">
        <v>2.9784999999999999</v>
      </c>
    </row>
    <row r="397" spans="1:8" x14ac:dyDescent="0.2">
      <c r="A397" s="5" t="s">
        <v>175</v>
      </c>
      <c r="B397" s="5" t="s">
        <v>3645</v>
      </c>
      <c r="C397" s="5" t="s">
        <v>1361</v>
      </c>
      <c r="D397" s="135" t="s">
        <v>2578</v>
      </c>
      <c r="E397" s="136"/>
      <c r="F397" s="5" t="s">
        <v>3615</v>
      </c>
      <c r="G397" s="18">
        <v>35.560499999999998</v>
      </c>
      <c r="H397" s="18">
        <v>0</v>
      </c>
    </row>
    <row r="398" spans="1:8" ht="12.2" customHeight="1" x14ac:dyDescent="0.2">
      <c r="D398" s="153" t="s">
        <v>3904</v>
      </c>
      <c r="E398" s="154"/>
      <c r="F398" s="154"/>
      <c r="G398" s="51">
        <v>35.560499999999998</v>
      </c>
    </row>
    <row r="399" spans="1:8" x14ac:dyDescent="0.2">
      <c r="A399" s="5" t="s">
        <v>176</v>
      </c>
      <c r="B399" s="5" t="s">
        <v>3645</v>
      </c>
      <c r="C399" s="5" t="s">
        <v>1362</v>
      </c>
      <c r="D399" s="135" t="s">
        <v>2579</v>
      </c>
      <c r="E399" s="136"/>
      <c r="F399" s="5" t="s">
        <v>3613</v>
      </c>
      <c r="G399" s="18">
        <v>9.2415900000000004</v>
      </c>
      <c r="H399" s="18">
        <v>0</v>
      </c>
    </row>
    <row r="400" spans="1:8" ht="12.2" customHeight="1" x14ac:dyDescent="0.2">
      <c r="D400" s="153" t="s">
        <v>3905</v>
      </c>
      <c r="E400" s="154"/>
      <c r="F400" s="154"/>
      <c r="G400" s="51">
        <v>9.2415900000000004</v>
      </c>
    </row>
    <row r="401" spans="1:8" x14ac:dyDescent="0.2">
      <c r="A401" s="5" t="s">
        <v>177</v>
      </c>
      <c r="B401" s="5" t="s">
        <v>3645</v>
      </c>
      <c r="C401" s="5" t="s">
        <v>1363</v>
      </c>
      <c r="D401" s="135" t="s">
        <v>2580</v>
      </c>
      <c r="E401" s="136"/>
      <c r="F401" s="5" t="s">
        <v>3613</v>
      </c>
      <c r="G401" s="18">
        <v>1.00499</v>
      </c>
      <c r="H401" s="18">
        <v>0</v>
      </c>
    </row>
    <row r="402" spans="1:8" ht="12.2" customHeight="1" x14ac:dyDescent="0.2">
      <c r="D402" s="153" t="s">
        <v>3906</v>
      </c>
      <c r="E402" s="154"/>
      <c r="F402" s="154"/>
      <c r="G402" s="51">
        <v>1.00499</v>
      </c>
    </row>
    <row r="403" spans="1:8" x14ac:dyDescent="0.2">
      <c r="A403" s="5" t="s">
        <v>178</v>
      </c>
      <c r="B403" s="5" t="s">
        <v>3645</v>
      </c>
      <c r="C403" s="5" t="s">
        <v>1363</v>
      </c>
      <c r="D403" s="135" t="s">
        <v>2581</v>
      </c>
      <c r="E403" s="136"/>
      <c r="F403" s="5" t="s">
        <v>3613</v>
      </c>
      <c r="G403" s="18">
        <v>7.06379</v>
      </c>
      <c r="H403" s="18">
        <v>0</v>
      </c>
    </row>
    <row r="404" spans="1:8" ht="12.2" customHeight="1" x14ac:dyDescent="0.2">
      <c r="D404" s="153" t="s">
        <v>3907</v>
      </c>
      <c r="E404" s="154"/>
      <c r="F404" s="154"/>
      <c r="G404" s="51">
        <v>7.06379</v>
      </c>
    </row>
    <row r="405" spans="1:8" x14ac:dyDescent="0.2">
      <c r="A405" s="5" t="s">
        <v>179</v>
      </c>
      <c r="B405" s="5" t="s">
        <v>3645</v>
      </c>
      <c r="C405" s="5" t="s">
        <v>1364</v>
      </c>
      <c r="D405" s="135" t="s">
        <v>2582</v>
      </c>
      <c r="E405" s="136"/>
      <c r="F405" s="5" t="s">
        <v>3615</v>
      </c>
      <c r="G405" s="18">
        <v>16.000599999999999</v>
      </c>
      <c r="H405" s="18">
        <v>0</v>
      </c>
    </row>
    <row r="406" spans="1:8" ht="12.2" customHeight="1" x14ac:dyDescent="0.2">
      <c r="D406" s="153" t="s">
        <v>3908</v>
      </c>
      <c r="E406" s="154"/>
      <c r="F406" s="154"/>
      <c r="G406" s="51">
        <v>16.000599999999999</v>
      </c>
    </row>
    <row r="407" spans="1:8" x14ac:dyDescent="0.2">
      <c r="A407" s="5" t="s">
        <v>180</v>
      </c>
      <c r="B407" s="5" t="s">
        <v>3645</v>
      </c>
      <c r="C407" s="5" t="s">
        <v>1362</v>
      </c>
      <c r="D407" s="135" t="s">
        <v>2583</v>
      </c>
      <c r="E407" s="136"/>
      <c r="F407" s="5" t="s">
        <v>3613</v>
      </c>
      <c r="G407" s="18">
        <v>5.0645600000000002</v>
      </c>
      <c r="H407" s="18">
        <v>0</v>
      </c>
    </row>
    <row r="408" spans="1:8" ht="12.2" customHeight="1" x14ac:dyDescent="0.2">
      <c r="D408" s="153" t="s">
        <v>3909</v>
      </c>
      <c r="E408" s="154"/>
      <c r="F408" s="154"/>
      <c r="G408" s="51">
        <v>5.0645600000000002</v>
      </c>
    </row>
    <row r="409" spans="1:8" x14ac:dyDescent="0.2">
      <c r="A409" s="5" t="s">
        <v>181</v>
      </c>
      <c r="B409" s="5" t="s">
        <v>3645</v>
      </c>
      <c r="C409" s="5" t="s">
        <v>1365</v>
      </c>
      <c r="D409" s="135" t="s">
        <v>2584</v>
      </c>
      <c r="E409" s="136"/>
      <c r="F409" s="5" t="s">
        <v>3614</v>
      </c>
      <c r="G409" s="18">
        <v>1.2</v>
      </c>
      <c r="H409" s="18">
        <v>0</v>
      </c>
    </row>
    <row r="410" spans="1:8" ht="12.2" customHeight="1" x14ac:dyDescent="0.2">
      <c r="D410" s="153" t="s">
        <v>3910</v>
      </c>
      <c r="E410" s="154"/>
      <c r="F410" s="154"/>
      <c r="G410" s="51">
        <v>1.2</v>
      </c>
    </row>
    <row r="411" spans="1:8" x14ac:dyDescent="0.2">
      <c r="A411" s="5" t="s">
        <v>182</v>
      </c>
      <c r="B411" s="5" t="s">
        <v>3645</v>
      </c>
      <c r="C411" s="5" t="s">
        <v>1366</v>
      </c>
      <c r="D411" s="135" t="s">
        <v>2585</v>
      </c>
      <c r="E411" s="136"/>
      <c r="F411" s="5" t="s">
        <v>3613</v>
      </c>
      <c r="G411" s="18">
        <v>26.95</v>
      </c>
      <c r="H411" s="18">
        <v>0</v>
      </c>
    </row>
    <row r="412" spans="1:8" ht="12.2" customHeight="1" x14ac:dyDescent="0.2">
      <c r="D412" s="153" t="s">
        <v>3911</v>
      </c>
      <c r="E412" s="154"/>
      <c r="F412" s="154"/>
      <c r="G412" s="51">
        <v>26.95</v>
      </c>
    </row>
    <row r="413" spans="1:8" x14ac:dyDescent="0.2">
      <c r="A413" s="5" t="s">
        <v>183</v>
      </c>
      <c r="B413" s="5" t="s">
        <v>3645</v>
      </c>
      <c r="C413" s="5" t="s">
        <v>1367</v>
      </c>
      <c r="D413" s="135" t="s">
        <v>2586</v>
      </c>
      <c r="E413" s="136"/>
      <c r="F413" s="5" t="s">
        <v>3613</v>
      </c>
      <c r="G413" s="18">
        <v>12.734859999999999</v>
      </c>
      <c r="H413" s="18">
        <v>0</v>
      </c>
    </row>
    <row r="414" spans="1:8" ht="12.2" customHeight="1" x14ac:dyDescent="0.2">
      <c r="D414" s="153" t="s">
        <v>3912</v>
      </c>
      <c r="E414" s="154"/>
      <c r="F414" s="154"/>
      <c r="G414" s="51">
        <v>7.4821999999999997</v>
      </c>
    </row>
    <row r="415" spans="1:8" ht="12.2" customHeight="1" x14ac:dyDescent="0.2">
      <c r="A415" s="5"/>
      <c r="B415" s="5"/>
      <c r="C415" s="5"/>
      <c r="D415" s="153" t="s">
        <v>3913</v>
      </c>
      <c r="E415" s="154"/>
      <c r="F415" s="153"/>
      <c r="G415" s="51">
        <v>5.2526599999999997</v>
      </c>
      <c r="H415" s="28"/>
    </row>
    <row r="416" spans="1:8" x14ac:dyDescent="0.2">
      <c r="A416" s="5" t="s">
        <v>184</v>
      </c>
      <c r="B416" s="5" t="s">
        <v>3645</v>
      </c>
      <c r="C416" s="5" t="s">
        <v>1368</v>
      </c>
      <c r="D416" s="135" t="s">
        <v>2587</v>
      </c>
      <c r="E416" s="136"/>
      <c r="F416" s="5" t="s">
        <v>3613</v>
      </c>
      <c r="G416" s="18">
        <v>8.3125</v>
      </c>
      <c r="H416" s="18">
        <v>0</v>
      </c>
    </row>
    <row r="417" spans="1:8" ht="12.2" customHeight="1" x14ac:dyDescent="0.2">
      <c r="D417" s="153" t="s">
        <v>3914</v>
      </c>
      <c r="E417" s="154"/>
      <c r="F417" s="154"/>
      <c r="G417" s="51">
        <v>8.3125</v>
      </c>
    </row>
    <row r="418" spans="1:8" x14ac:dyDescent="0.2">
      <c r="A418" s="5" t="s">
        <v>185</v>
      </c>
      <c r="B418" s="5" t="s">
        <v>3645</v>
      </c>
      <c r="C418" s="5" t="s">
        <v>1369</v>
      </c>
      <c r="D418" s="135" t="s">
        <v>2588</v>
      </c>
      <c r="E418" s="136"/>
      <c r="F418" s="5" t="s">
        <v>3613</v>
      </c>
      <c r="G418" s="18">
        <v>6.3782300000000003</v>
      </c>
      <c r="H418" s="18">
        <v>0</v>
      </c>
    </row>
    <row r="419" spans="1:8" ht="12.2" customHeight="1" x14ac:dyDescent="0.2">
      <c r="D419" s="153" t="s">
        <v>3915</v>
      </c>
      <c r="E419" s="154"/>
      <c r="F419" s="154"/>
      <c r="G419" s="51">
        <v>6.3782300000000003</v>
      </c>
    </row>
    <row r="420" spans="1:8" x14ac:dyDescent="0.2">
      <c r="A420" s="5" t="s">
        <v>186</v>
      </c>
      <c r="B420" s="5" t="s">
        <v>3645</v>
      </c>
      <c r="C420" s="5" t="s">
        <v>1370</v>
      </c>
      <c r="D420" s="135" t="s">
        <v>2589</v>
      </c>
      <c r="E420" s="136"/>
      <c r="F420" s="5" t="s">
        <v>3615</v>
      </c>
      <c r="G420" s="18">
        <v>98.88</v>
      </c>
      <c r="H420" s="18">
        <v>0</v>
      </c>
    </row>
    <row r="421" spans="1:8" ht="12.2" customHeight="1" x14ac:dyDescent="0.2">
      <c r="D421" s="153" t="s">
        <v>3916</v>
      </c>
      <c r="E421" s="154"/>
      <c r="F421" s="154"/>
      <c r="G421" s="51">
        <v>98.88</v>
      </c>
    </row>
    <row r="422" spans="1:8" x14ac:dyDescent="0.2">
      <c r="A422" s="5" t="s">
        <v>187</v>
      </c>
      <c r="B422" s="5" t="s">
        <v>3645</v>
      </c>
      <c r="C422" s="5" t="s">
        <v>1371</v>
      </c>
      <c r="D422" s="135" t="s">
        <v>2590</v>
      </c>
      <c r="E422" s="136"/>
      <c r="F422" s="5" t="s">
        <v>3613</v>
      </c>
      <c r="G422" s="18">
        <v>7.8515600000000001</v>
      </c>
      <c r="H422" s="18">
        <v>0</v>
      </c>
    </row>
    <row r="423" spans="1:8" ht="12.2" customHeight="1" x14ac:dyDescent="0.2">
      <c r="D423" s="153" t="s">
        <v>3917</v>
      </c>
      <c r="E423" s="154"/>
      <c r="F423" s="154"/>
      <c r="G423" s="51">
        <v>2.5989</v>
      </c>
    </row>
    <row r="424" spans="1:8" ht="12.2" customHeight="1" x14ac:dyDescent="0.2">
      <c r="A424" s="5"/>
      <c r="B424" s="5"/>
      <c r="C424" s="5"/>
      <c r="D424" s="153" t="s">
        <v>3913</v>
      </c>
      <c r="E424" s="154"/>
      <c r="F424" s="153"/>
      <c r="G424" s="51">
        <v>5.2526599999999997</v>
      </c>
      <c r="H424" s="28"/>
    </row>
    <row r="425" spans="1:8" x14ac:dyDescent="0.2">
      <c r="A425" s="5" t="s">
        <v>188</v>
      </c>
      <c r="B425" s="5" t="s">
        <v>3645</v>
      </c>
      <c r="C425" s="5" t="s">
        <v>1372</v>
      </c>
      <c r="D425" s="135" t="s">
        <v>2591</v>
      </c>
      <c r="E425" s="136"/>
      <c r="F425" s="5" t="s">
        <v>3615</v>
      </c>
      <c r="G425" s="18">
        <v>89.761330000000001</v>
      </c>
      <c r="H425" s="18">
        <v>0</v>
      </c>
    </row>
    <row r="426" spans="1:8" ht="12.2" customHeight="1" x14ac:dyDescent="0.2">
      <c r="D426" s="153" t="s">
        <v>3918</v>
      </c>
      <c r="E426" s="154"/>
      <c r="F426" s="154"/>
      <c r="G426" s="51">
        <v>42.95</v>
      </c>
    </row>
    <row r="427" spans="1:8" ht="12.2" customHeight="1" x14ac:dyDescent="0.2">
      <c r="A427" s="5"/>
      <c r="B427" s="5"/>
      <c r="C427" s="5"/>
      <c r="D427" s="153" t="s">
        <v>3919</v>
      </c>
      <c r="E427" s="154"/>
      <c r="F427" s="153"/>
      <c r="G427" s="51">
        <v>16.21</v>
      </c>
      <c r="H427" s="28"/>
    </row>
    <row r="428" spans="1:8" ht="12.2" customHeight="1" x14ac:dyDescent="0.2">
      <c r="A428" s="5"/>
      <c r="B428" s="5"/>
      <c r="C428" s="5"/>
      <c r="D428" s="153" t="s">
        <v>3920</v>
      </c>
      <c r="E428" s="154"/>
      <c r="F428" s="153"/>
      <c r="G428" s="51">
        <v>9.0912500000000005</v>
      </c>
      <c r="H428" s="28"/>
    </row>
    <row r="429" spans="1:8" ht="12.2" customHeight="1" x14ac:dyDescent="0.2">
      <c r="A429" s="5"/>
      <c r="B429" s="5"/>
      <c r="C429" s="5"/>
      <c r="D429" s="153" t="s">
        <v>3921</v>
      </c>
      <c r="E429" s="154"/>
      <c r="F429" s="153"/>
      <c r="G429" s="51">
        <v>8.31</v>
      </c>
      <c r="H429" s="28"/>
    </row>
    <row r="430" spans="1:8" ht="12.2" customHeight="1" x14ac:dyDescent="0.2">
      <c r="A430" s="5"/>
      <c r="B430" s="5"/>
      <c r="C430" s="5"/>
      <c r="D430" s="153" t="s">
        <v>3922</v>
      </c>
      <c r="E430" s="154"/>
      <c r="F430" s="153"/>
      <c r="G430" s="51">
        <v>13.20008</v>
      </c>
      <c r="H430" s="28"/>
    </row>
    <row r="431" spans="1:8" x14ac:dyDescent="0.2">
      <c r="A431" s="5" t="s">
        <v>189</v>
      </c>
      <c r="B431" s="5" t="s">
        <v>3645</v>
      </c>
      <c r="C431" s="5" t="s">
        <v>1373</v>
      </c>
      <c r="D431" s="135" t="s">
        <v>2592</v>
      </c>
      <c r="E431" s="136"/>
      <c r="F431" s="5" t="s">
        <v>3615</v>
      </c>
      <c r="G431" s="18">
        <v>75.037999999999997</v>
      </c>
      <c r="H431" s="18">
        <v>0</v>
      </c>
    </row>
    <row r="432" spans="1:8" ht="12.2" customHeight="1" x14ac:dyDescent="0.2">
      <c r="D432" s="153" t="s">
        <v>3923</v>
      </c>
      <c r="E432" s="154"/>
      <c r="F432" s="154"/>
      <c r="G432" s="51">
        <v>75.037999999999997</v>
      </c>
    </row>
    <row r="433" spans="1:8" x14ac:dyDescent="0.2">
      <c r="A433" s="5" t="s">
        <v>190</v>
      </c>
      <c r="B433" s="5" t="s">
        <v>3645</v>
      </c>
      <c r="C433" s="5" t="s">
        <v>1374</v>
      </c>
      <c r="D433" s="135" t="s">
        <v>2593</v>
      </c>
      <c r="E433" s="136"/>
      <c r="F433" s="5" t="s">
        <v>3613</v>
      </c>
      <c r="G433" s="18">
        <v>3.1063499999999999</v>
      </c>
      <c r="H433" s="18">
        <v>0</v>
      </c>
    </row>
    <row r="434" spans="1:8" ht="12.2" customHeight="1" x14ac:dyDescent="0.2">
      <c r="D434" s="153" t="s">
        <v>3924</v>
      </c>
      <c r="E434" s="154"/>
      <c r="F434" s="154"/>
      <c r="G434" s="51">
        <v>3.1063499999999999</v>
      </c>
    </row>
    <row r="435" spans="1:8" x14ac:dyDescent="0.2">
      <c r="A435" s="5" t="s">
        <v>191</v>
      </c>
      <c r="B435" s="5" t="s">
        <v>3645</v>
      </c>
      <c r="C435" s="5" t="s">
        <v>1375</v>
      </c>
      <c r="D435" s="135" t="s">
        <v>2594</v>
      </c>
      <c r="E435" s="136"/>
      <c r="F435" s="5" t="s">
        <v>3614</v>
      </c>
      <c r="G435" s="18">
        <v>7.7</v>
      </c>
      <c r="H435" s="18">
        <v>0</v>
      </c>
    </row>
    <row r="436" spans="1:8" ht="12.2" customHeight="1" x14ac:dyDescent="0.2">
      <c r="D436" s="153" t="s">
        <v>3925</v>
      </c>
      <c r="E436" s="154"/>
      <c r="F436" s="154"/>
      <c r="G436" s="51">
        <v>7.7</v>
      </c>
    </row>
    <row r="437" spans="1:8" x14ac:dyDescent="0.2">
      <c r="A437" s="5" t="s">
        <v>192</v>
      </c>
      <c r="B437" s="5" t="s">
        <v>3645</v>
      </c>
      <c r="C437" s="5" t="s">
        <v>1376</v>
      </c>
      <c r="D437" s="135" t="s">
        <v>2595</v>
      </c>
      <c r="E437" s="136"/>
      <c r="F437" s="5" t="s">
        <v>3618</v>
      </c>
      <c r="G437" s="18">
        <v>1</v>
      </c>
      <c r="H437" s="18">
        <v>0</v>
      </c>
    </row>
    <row r="438" spans="1:8" ht="12.2" customHeight="1" x14ac:dyDescent="0.2">
      <c r="D438" s="153" t="s">
        <v>3747</v>
      </c>
      <c r="E438" s="154"/>
      <c r="F438" s="154"/>
      <c r="G438" s="51">
        <v>1</v>
      </c>
    </row>
    <row r="439" spans="1:8" x14ac:dyDescent="0.2">
      <c r="A439" s="5" t="s">
        <v>193</v>
      </c>
      <c r="B439" s="5" t="s">
        <v>3645</v>
      </c>
      <c r="C439" s="5" t="s">
        <v>1377</v>
      </c>
      <c r="D439" s="135" t="s">
        <v>2596</v>
      </c>
      <c r="E439" s="136"/>
      <c r="F439" s="5" t="s">
        <v>3618</v>
      </c>
      <c r="G439" s="18">
        <v>1</v>
      </c>
      <c r="H439" s="18">
        <v>0</v>
      </c>
    </row>
    <row r="440" spans="1:8" ht="12.2" customHeight="1" x14ac:dyDescent="0.2">
      <c r="D440" s="153" t="s">
        <v>3747</v>
      </c>
      <c r="E440" s="154"/>
      <c r="F440" s="154"/>
      <c r="G440" s="51">
        <v>1</v>
      </c>
    </row>
    <row r="441" spans="1:8" x14ac:dyDescent="0.2">
      <c r="A441" s="5" t="s">
        <v>194</v>
      </c>
      <c r="B441" s="5" t="s">
        <v>3645</v>
      </c>
      <c r="C441" s="5" t="s">
        <v>1378</v>
      </c>
      <c r="D441" s="135" t="s">
        <v>2597</v>
      </c>
      <c r="E441" s="136"/>
      <c r="F441" s="5" t="s">
        <v>3615</v>
      </c>
      <c r="G441" s="18">
        <v>9.4550000000000001</v>
      </c>
      <c r="H441" s="18">
        <v>0</v>
      </c>
    </row>
    <row r="442" spans="1:8" ht="12.2" customHeight="1" x14ac:dyDescent="0.2">
      <c r="D442" s="153" t="s">
        <v>3926</v>
      </c>
      <c r="E442" s="154"/>
      <c r="F442" s="154"/>
      <c r="G442" s="51">
        <v>9.4550000000000001</v>
      </c>
    </row>
    <row r="443" spans="1:8" x14ac:dyDescent="0.2">
      <c r="A443" s="5" t="s">
        <v>195</v>
      </c>
      <c r="B443" s="5" t="s">
        <v>3645</v>
      </c>
      <c r="C443" s="5" t="s">
        <v>1379</v>
      </c>
      <c r="D443" s="135" t="s">
        <v>2598</v>
      </c>
      <c r="E443" s="136"/>
      <c r="F443" s="5" t="s">
        <v>3615</v>
      </c>
      <c r="G443" s="18">
        <v>11.141249999999999</v>
      </c>
      <c r="H443" s="18">
        <v>0</v>
      </c>
    </row>
    <row r="444" spans="1:8" ht="12.2" customHeight="1" x14ac:dyDescent="0.2">
      <c r="D444" s="153" t="s">
        <v>3927</v>
      </c>
      <c r="E444" s="154"/>
      <c r="F444" s="154"/>
      <c r="G444" s="51">
        <v>11.141249999999999</v>
      </c>
    </row>
    <row r="445" spans="1:8" x14ac:dyDescent="0.2">
      <c r="A445" s="5" t="s">
        <v>196</v>
      </c>
      <c r="B445" s="5" t="s">
        <v>3645</v>
      </c>
      <c r="C445" s="5" t="s">
        <v>1380</v>
      </c>
      <c r="D445" s="135" t="s">
        <v>2599</v>
      </c>
      <c r="E445" s="136"/>
      <c r="F445" s="5" t="s">
        <v>3615</v>
      </c>
      <c r="G445" s="18">
        <v>18</v>
      </c>
      <c r="H445" s="18">
        <v>0</v>
      </c>
    </row>
    <row r="446" spans="1:8" ht="12.2" customHeight="1" x14ac:dyDescent="0.2">
      <c r="D446" s="153" t="s">
        <v>3928</v>
      </c>
      <c r="E446" s="154"/>
      <c r="F446" s="154"/>
      <c r="G446" s="51">
        <v>18</v>
      </c>
    </row>
    <row r="447" spans="1:8" x14ac:dyDescent="0.2">
      <c r="A447" s="5" t="s">
        <v>197</v>
      </c>
      <c r="B447" s="5" t="s">
        <v>3645</v>
      </c>
      <c r="C447" s="5" t="s">
        <v>1381</v>
      </c>
      <c r="D447" s="135" t="s">
        <v>2600</v>
      </c>
      <c r="E447" s="136"/>
      <c r="F447" s="5" t="s">
        <v>3615</v>
      </c>
      <c r="G447" s="18">
        <v>25.2927</v>
      </c>
      <c r="H447" s="18">
        <v>0</v>
      </c>
    </row>
    <row r="448" spans="1:8" ht="12.2" customHeight="1" x14ac:dyDescent="0.2">
      <c r="D448" s="153" t="s">
        <v>3929</v>
      </c>
      <c r="E448" s="154"/>
      <c r="F448" s="154"/>
      <c r="G448" s="51">
        <v>25.2927</v>
      </c>
    </row>
    <row r="449" spans="1:8" x14ac:dyDescent="0.2">
      <c r="A449" s="5" t="s">
        <v>198</v>
      </c>
      <c r="B449" s="5" t="s">
        <v>3645</v>
      </c>
      <c r="C449" s="5" t="s">
        <v>1381</v>
      </c>
      <c r="D449" s="135" t="s">
        <v>2601</v>
      </c>
      <c r="E449" s="136"/>
      <c r="F449" s="5" t="s">
        <v>3615</v>
      </c>
      <c r="G449" s="18">
        <v>15.388999999999999</v>
      </c>
      <c r="H449" s="18">
        <v>0</v>
      </c>
    </row>
    <row r="450" spans="1:8" ht="12.2" customHeight="1" x14ac:dyDescent="0.2">
      <c r="D450" s="153" t="s">
        <v>3930</v>
      </c>
      <c r="E450" s="154"/>
      <c r="F450" s="154"/>
      <c r="G450" s="51">
        <v>15.388999999999999</v>
      </c>
    </row>
    <row r="451" spans="1:8" x14ac:dyDescent="0.2">
      <c r="A451" s="5" t="s">
        <v>199</v>
      </c>
      <c r="B451" s="5" t="s">
        <v>3645</v>
      </c>
      <c r="C451" s="5" t="s">
        <v>1382</v>
      </c>
      <c r="D451" s="135" t="s">
        <v>2602</v>
      </c>
      <c r="E451" s="136"/>
      <c r="F451" s="5" t="s">
        <v>3612</v>
      </c>
      <c r="G451" s="18">
        <v>17</v>
      </c>
      <c r="H451" s="18">
        <v>0</v>
      </c>
    </row>
    <row r="452" spans="1:8" ht="12.2" customHeight="1" x14ac:dyDescent="0.2">
      <c r="D452" s="153" t="s">
        <v>3931</v>
      </c>
      <c r="E452" s="154"/>
      <c r="F452" s="154"/>
      <c r="G452" s="51">
        <v>17</v>
      </c>
    </row>
    <row r="453" spans="1:8" x14ac:dyDescent="0.2">
      <c r="A453" s="5" t="s">
        <v>200</v>
      </c>
      <c r="B453" s="5" t="s">
        <v>3645</v>
      </c>
      <c r="C453" s="5" t="s">
        <v>1383</v>
      </c>
      <c r="D453" s="135" t="s">
        <v>2603</v>
      </c>
      <c r="E453" s="136"/>
      <c r="F453" s="5" t="s">
        <v>3612</v>
      </c>
      <c r="G453" s="18">
        <v>19</v>
      </c>
      <c r="H453" s="18">
        <v>0</v>
      </c>
    </row>
    <row r="454" spans="1:8" ht="12.2" customHeight="1" x14ac:dyDescent="0.2">
      <c r="D454" s="153" t="s">
        <v>3932</v>
      </c>
      <c r="E454" s="154"/>
      <c r="F454" s="154"/>
      <c r="G454" s="51">
        <v>19</v>
      </c>
    </row>
    <row r="455" spans="1:8" x14ac:dyDescent="0.2">
      <c r="A455" s="5" t="s">
        <v>201</v>
      </c>
      <c r="B455" s="5" t="s">
        <v>3645</v>
      </c>
      <c r="C455" s="5" t="s">
        <v>1384</v>
      </c>
      <c r="D455" s="135" t="s">
        <v>2604</v>
      </c>
      <c r="E455" s="136"/>
      <c r="F455" s="5" t="s">
        <v>3612</v>
      </c>
      <c r="G455" s="18">
        <v>3</v>
      </c>
      <c r="H455" s="18">
        <v>0</v>
      </c>
    </row>
    <row r="456" spans="1:8" ht="12.2" customHeight="1" x14ac:dyDescent="0.2">
      <c r="D456" s="153" t="s">
        <v>3933</v>
      </c>
      <c r="E456" s="154"/>
      <c r="F456" s="154"/>
      <c r="G456" s="51">
        <v>3</v>
      </c>
    </row>
    <row r="457" spans="1:8" x14ac:dyDescent="0.2">
      <c r="A457" s="5" t="s">
        <v>202</v>
      </c>
      <c r="B457" s="5" t="s">
        <v>3645</v>
      </c>
      <c r="C457" s="5" t="s">
        <v>1385</v>
      </c>
      <c r="D457" s="135" t="s">
        <v>2605</v>
      </c>
      <c r="E457" s="136"/>
      <c r="F457" s="5" t="s">
        <v>3615</v>
      </c>
      <c r="G457" s="18">
        <v>3.39</v>
      </c>
      <c r="H457" s="18">
        <v>0</v>
      </c>
    </row>
    <row r="458" spans="1:8" ht="12.2" customHeight="1" x14ac:dyDescent="0.2">
      <c r="D458" s="153" t="s">
        <v>3934</v>
      </c>
      <c r="E458" s="154"/>
      <c r="F458" s="154"/>
      <c r="G458" s="51">
        <v>3.39</v>
      </c>
    </row>
    <row r="459" spans="1:8" x14ac:dyDescent="0.2">
      <c r="A459" s="5" t="s">
        <v>203</v>
      </c>
      <c r="B459" s="5" t="s">
        <v>3645</v>
      </c>
      <c r="C459" s="5" t="s">
        <v>1386</v>
      </c>
      <c r="D459" s="135" t="s">
        <v>2606</v>
      </c>
      <c r="E459" s="136"/>
      <c r="F459" s="5" t="s">
        <v>3615</v>
      </c>
      <c r="G459" s="18">
        <v>3.61605</v>
      </c>
      <c r="H459" s="18">
        <v>0</v>
      </c>
    </row>
    <row r="460" spans="1:8" ht="12.2" customHeight="1" x14ac:dyDescent="0.2">
      <c r="D460" s="153" t="s">
        <v>3935</v>
      </c>
      <c r="E460" s="154"/>
      <c r="F460" s="154"/>
      <c r="G460" s="51">
        <v>3.61605</v>
      </c>
    </row>
    <row r="461" spans="1:8" x14ac:dyDescent="0.2">
      <c r="A461" s="5" t="s">
        <v>204</v>
      </c>
      <c r="B461" s="5" t="s">
        <v>3645</v>
      </c>
      <c r="C461" s="5" t="s">
        <v>1387</v>
      </c>
      <c r="D461" s="135" t="s">
        <v>2607</v>
      </c>
      <c r="E461" s="136"/>
      <c r="F461" s="5" t="s">
        <v>3615</v>
      </c>
      <c r="G461" s="18">
        <v>17.895</v>
      </c>
      <c r="H461" s="18">
        <v>0</v>
      </c>
    </row>
    <row r="462" spans="1:8" ht="12.2" customHeight="1" x14ac:dyDescent="0.2">
      <c r="D462" s="153" t="s">
        <v>3936</v>
      </c>
      <c r="E462" s="154"/>
      <c r="F462" s="154"/>
      <c r="G462" s="51">
        <v>17.895</v>
      </c>
    </row>
    <row r="463" spans="1:8" x14ac:dyDescent="0.2">
      <c r="A463" s="5" t="s">
        <v>205</v>
      </c>
      <c r="B463" s="5" t="s">
        <v>3645</v>
      </c>
      <c r="C463" s="5" t="s">
        <v>1388</v>
      </c>
      <c r="D463" s="135" t="s">
        <v>2608</v>
      </c>
      <c r="E463" s="136"/>
      <c r="F463" s="5" t="s">
        <v>3615</v>
      </c>
      <c r="G463" s="18">
        <v>30.501999999999999</v>
      </c>
      <c r="H463" s="18">
        <v>0</v>
      </c>
    </row>
    <row r="464" spans="1:8" ht="12.2" customHeight="1" x14ac:dyDescent="0.2">
      <c r="D464" s="153" t="s">
        <v>3937</v>
      </c>
      <c r="E464" s="154"/>
      <c r="F464" s="154"/>
      <c r="G464" s="51">
        <v>15.15</v>
      </c>
    </row>
    <row r="465" spans="1:8" ht="12.2" customHeight="1" x14ac:dyDescent="0.2">
      <c r="A465" s="5"/>
      <c r="B465" s="5"/>
      <c r="C465" s="5"/>
      <c r="D465" s="153" t="s">
        <v>3938</v>
      </c>
      <c r="E465" s="154"/>
      <c r="F465" s="153"/>
      <c r="G465" s="51">
        <v>15.352</v>
      </c>
      <c r="H465" s="28"/>
    </row>
    <row r="466" spans="1:8" x14ac:dyDescent="0.2">
      <c r="A466" s="5" t="s">
        <v>206</v>
      </c>
      <c r="B466" s="5" t="s">
        <v>3645</v>
      </c>
      <c r="C466" s="5" t="s">
        <v>1389</v>
      </c>
      <c r="D466" s="135" t="s">
        <v>2609</v>
      </c>
      <c r="E466" s="136"/>
      <c r="F466" s="5" t="s">
        <v>3615</v>
      </c>
      <c r="G466" s="18">
        <v>7.5389999999999997</v>
      </c>
      <c r="H466" s="18">
        <v>0</v>
      </c>
    </row>
    <row r="467" spans="1:8" ht="12.2" customHeight="1" x14ac:dyDescent="0.2">
      <c r="D467" s="153" t="s">
        <v>3939</v>
      </c>
      <c r="E467" s="154"/>
      <c r="F467" s="154"/>
      <c r="G467" s="51">
        <v>7.5389999999999997</v>
      </c>
    </row>
    <row r="468" spans="1:8" x14ac:dyDescent="0.2">
      <c r="A468" s="5" t="s">
        <v>207</v>
      </c>
      <c r="B468" s="5" t="s">
        <v>3645</v>
      </c>
      <c r="C468" s="5" t="s">
        <v>1390</v>
      </c>
      <c r="D468" s="135" t="s">
        <v>2610</v>
      </c>
      <c r="E468" s="136"/>
      <c r="F468" s="5" t="s">
        <v>3615</v>
      </c>
      <c r="G468" s="18">
        <v>31.359449999999999</v>
      </c>
      <c r="H468" s="18">
        <v>0</v>
      </c>
    </row>
    <row r="469" spans="1:8" ht="12.2" customHeight="1" x14ac:dyDescent="0.2">
      <c r="D469" s="153" t="s">
        <v>3940</v>
      </c>
      <c r="E469" s="154"/>
      <c r="F469" s="154"/>
      <c r="G469" s="51">
        <v>31.359449999999999</v>
      </c>
    </row>
    <row r="470" spans="1:8" x14ac:dyDescent="0.2">
      <c r="A470" s="5" t="s">
        <v>208</v>
      </c>
      <c r="B470" s="5" t="s">
        <v>3645</v>
      </c>
      <c r="C470" s="5" t="s">
        <v>1391</v>
      </c>
      <c r="D470" s="135" t="s">
        <v>2611</v>
      </c>
      <c r="E470" s="136"/>
      <c r="F470" s="5" t="s">
        <v>3619</v>
      </c>
      <c r="G470" s="18">
        <v>128</v>
      </c>
      <c r="H470" s="18">
        <v>0</v>
      </c>
    </row>
    <row r="471" spans="1:8" ht="12.2" customHeight="1" x14ac:dyDescent="0.2">
      <c r="D471" s="153" t="s">
        <v>3941</v>
      </c>
      <c r="E471" s="154"/>
      <c r="F471" s="154"/>
      <c r="G471" s="51">
        <v>128</v>
      </c>
    </row>
    <row r="472" spans="1:8" x14ac:dyDescent="0.2">
      <c r="A472" s="5" t="s">
        <v>209</v>
      </c>
      <c r="B472" s="5" t="s">
        <v>3645</v>
      </c>
      <c r="C472" s="5" t="s">
        <v>1392</v>
      </c>
      <c r="D472" s="135" t="s">
        <v>2612</v>
      </c>
      <c r="E472" s="136"/>
      <c r="F472" s="5" t="s">
        <v>3612</v>
      </c>
      <c r="G472" s="18">
        <v>1</v>
      </c>
      <c r="H472" s="18">
        <v>0</v>
      </c>
    </row>
    <row r="473" spans="1:8" ht="12.2" customHeight="1" x14ac:dyDescent="0.2">
      <c r="D473" s="153" t="s">
        <v>3747</v>
      </c>
      <c r="E473" s="154"/>
      <c r="F473" s="154"/>
      <c r="G473" s="51">
        <v>1</v>
      </c>
    </row>
    <row r="474" spans="1:8" x14ac:dyDescent="0.2">
      <c r="A474" s="5" t="s">
        <v>210</v>
      </c>
      <c r="B474" s="5" t="s">
        <v>3645</v>
      </c>
      <c r="C474" s="5" t="s">
        <v>1393</v>
      </c>
      <c r="D474" s="135" t="s">
        <v>2613</v>
      </c>
      <c r="E474" s="136"/>
      <c r="F474" s="5" t="s">
        <v>3612</v>
      </c>
      <c r="G474" s="18">
        <v>1</v>
      </c>
      <c r="H474" s="18">
        <v>0</v>
      </c>
    </row>
    <row r="475" spans="1:8" ht="12.2" customHeight="1" x14ac:dyDescent="0.2">
      <c r="D475" s="153" t="s">
        <v>3747</v>
      </c>
      <c r="E475" s="154"/>
      <c r="F475" s="154"/>
      <c r="G475" s="51">
        <v>1</v>
      </c>
    </row>
    <row r="476" spans="1:8" x14ac:dyDescent="0.2">
      <c r="A476" s="5" t="s">
        <v>211</v>
      </c>
      <c r="B476" s="5" t="s">
        <v>3646</v>
      </c>
      <c r="C476" s="5" t="s">
        <v>2179</v>
      </c>
      <c r="D476" s="135" t="s">
        <v>3385</v>
      </c>
      <c r="E476" s="136"/>
      <c r="F476" s="5" t="s">
        <v>3618</v>
      </c>
      <c r="G476" s="18">
        <v>1</v>
      </c>
      <c r="H476" s="18">
        <v>0</v>
      </c>
    </row>
    <row r="477" spans="1:8" ht="12.2" customHeight="1" x14ac:dyDescent="0.2">
      <c r="D477" s="153" t="s">
        <v>3747</v>
      </c>
      <c r="E477" s="154"/>
      <c r="F477" s="154"/>
      <c r="G477" s="51">
        <v>1</v>
      </c>
    </row>
    <row r="478" spans="1:8" x14ac:dyDescent="0.2">
      <c r="A478" s="14"/>
      <c r="B478" s="14"/>
      <c r="C478" s="14" t="s">
        <v>103</v>
      </c>
      <c r="D478" s="133" t="s">
        <v>2614</v>
      </c>
      <c r="E478" s="134"/>
      <c r="F478" s="14"/>
      <c r="G478" s="27"/>
      <c r="H478" s="27"/>
    </row>
    <row r="479" spans="1:8" x14ac:dyDescent="0.2">
      <c r="A479" s="5" t="s">
        <v>212</v>
      </c>
      <c r="B479" s="5" t="s">
        <v>3645</v>
      </c>
      <c r="C479" s="5" t="s">
        <v>1394</v>
      </c>
      <c r="D479" s="135" t="s">
        <v>2615</v>
      </c>
      <c r="E479" s="136"/>
      <c r="F479" s="5" t="s">
        <v>3614</v>
      </c>
      <c r="G479" s="18">
        <v>2.2000000000000002</v>
      </c>
      <c r="H479" s="18">
        <v>0</v>
      </c>
    </row>
    <row r="480" spans="1:8" ht="12.2" customHeight="1" x14ac:dyDescent="0.2">
      <c r="D480" s="153" t="s">
        <v>3942</v>
      </c>
      <c r="E480" s="154"/>
      <c r="F480" s="154"/>
      <c r="G480" s="51">
        <v>2.2000000000000002</v>
      </c>
    </row>
    <row r="481" spans="1:8" x14ac:dyDescent="0.2">
      <c r="A481" s="5" t="s">
        <v>213</v>
      </c>
      <c r="B481" s="5" t="s">
        <v>3645</v>
      </c>
      <c r="C481" s="5" t="s">
        <v>1395</v>
      </c>
      <c r="D481" s="135" t="s">
        <v>2616</v>
      </c>
      <c r="E481" s="136"/>
      <c r="F481" s="5" t="s">
        <v>3614</v>
      </c>
      <c r="G481" s="18">
        <v>4.3</v>
      </c>
      <c r="H481" s="18">
        <v>0</v>
      </c>
    </row>
    <row r="482" spans="1:8" ht="12.2" customHeight="1" x14ac:dyDescent="0.2">
      <c r="D482" s="153" t="s">
        <v>3943</v>
      </c>
      <c r="E482" s="154"/>
      <c r="F482" s="154"/>
      <c r="G482" s="51">
        <v>4.3</v>
      </c>
    </row>
    <row r="483" spans="1:8" x14ac:dyDescent="0.2">
      <c r="A483" s="5" t="s">
        <v>214</v>
      </c>
      <c r="B483" s="5" t="s">
        <v>3645</v>
      </c>
      <c r="C483" s="5" t="s">
        <v>1396</v>
      </c>
      <c r="D483" s="135" t="s">
        <v>2617</v>
      </c>
      <c r="E483" s="136"/>
      <c r="F483" s="5" t="s">
        <v>3614</v>
      </c>
      <c r="G483" s="18">
        <v>5.6</v>
      </c>
      <c r="H483" s="18">
        <v>0</v>
      </c>
    </row>
    <row r="484" spans="1:8" ht="12.2" customHeight="1" x14ac:dyDescent="0.2">
      <c r="D484" s="153" t="s">
        <v>3944</v>
      </c>
      <c r="E484" s="154"/>
      <c r="F484" s="154"/>
      <c r="G484" s="51">
        <v>5.6</v>
      </c>
    </row>
    <row r="485" spans="1:8" x14ac:dyDescent="0.2">
      <c r="A485" s="5" t="s">
        <v>215</v>
      </c>
      <c r="B485" s="5" t="s">
        <v>3645</v>
      </c>
      <c r="C485" s="5" t="s">
        <v>1397</v>
      </c>
      <c r="D485" s="135" t="s">
        <v>2618</v>
      </c>
      <c r="E485" s="136"/>
      <c r="F485" s="5" t="s">
        <v>3614</v>
      </c>
      <c r="G485" s="18">
        <v>8.4</v>
      </c>
      <c r="H485" s="18">
        <v>0</v>
      </c>
    </row>
    <row r="486" spans="1:8" ht="12.2" customHeight="1" x14ac:dyDescent="0.2">
      <c r="D486" s="153" t="s">
        <v>3945</v>
      </c>
      <c r="E486" s="154"/>
      <c r="F486" s="154"/>
      <c r="G486" s="51">
        <v>8.4</v>
      </c>
    </row>
    <row r="487" spans="1:8" x14ac:dyDescent="0.2">
      <c r="A487" s="5" t="s">
        <v>216</v>
      </c>
      <c r="B487" s="5" t="s">
        <v>3645</v>
      </c>
      <c r="C487" s="5" t="s">
        <v>1398</v>
      </c>
      <c r="D487" s="135" t="s">
        <v>2619</v>
      </c>
      <c r="E487" s="136"/>
      <c r="F487" s="5" t="s">
        <v>3614</v>
      </c>
      <c r="G487" s="18">
        <v>3.5</v>
      </c>
      <c r="H487" s="18">
        <v>0</v>
      </c>
    </row>
    <row r="488" spans="1:8" ht="12.2" customHeight="1" x14ac:dyDescent="0.2">
      <c r="D488" s="153" t="s">
        <v>3946</v>
      </c>
      <c r="E488" s="154"/>
      <c r="F488" s="154"/>
      <c r="G488" s="51">
        <v>3.5</v>
      </c>
    </row>
    <row r="489" spans="1:8" x14ac:dyDescent="0.2">
      <c r="A489" s="5" t="s">
        <v>217</v>
      </c>
      <c r="B489" s="5" t="s">
        <v>3645</v>
      </c>
      <c r="C489" s="5" t="s">
        <v>1399</v>
      </c>
      <c r="D489" s="135" t="s">
        <v>2620</v>
      </c>
      <c r="E489" s="136"/>
      <c r="F489" s="5" t="s">
        <v>3614</v>
      </c>
      <c r="G489" s="18">
        <v>8.6999999999999993</v>
      </c>
      <c r="H489" s="18">
        <v>0</v>
      </c>
    </row>
    <row r="490" spans="1:8" ht="12.2" customHeight="1" x14ac:dyDescent="0.2">
      <c r="D490" s="153" t="s">
        <v>3947</v>
      </c>
      <c r="E490" s="154"/>
      <c r="F490" s="154"/>
      <c r="G490" s="51">
        <v>8.6999999999999993</v>
      </c>
    </row>
    <row r="491" spans="1:8" x14ac:dyDescent="0.2">
      <c r="A491" s="5" t="s">
        <v>218</v>
      </c>
      <c r="B491" s="5" t="s">
        <v>3645</v>
      </c>
      <c r="C491" s="5" t="s">
        <v>1400</v>
      </c>
      <c r="D491" s="135" t="s">
        <v>2621</v>
      </c>
      <c r="E491" s="136"/>
      <c r="F491" s="5" t="s">
        <v>3614</v>
      </c>
      <c r="G491" s="18">
        <v>56.84</v>
      </c>
      <c r="H491" s="18">
        <v>0</v>
      </c>
    </row>
    <row r="492" spans="1:8" ht="12.2" customHeight="1" x14ac:dyDescent="0.2">
      <c r="D492" s="153" t="s">
        <v>3948</v>
      </c>
      <c r="E492" s="154"/>
      <c r="F492" s="154"/>
      <c r="G492" s="51">
        <v>56.84</v>
      </c>
    </row>
    <row r="493" spans="1:8" x14ac:dyDescent="0.2">
      <c r="A493" s="5" t="s">
        <v>219</v>
      </c>
      <c r="B493" s="5" t="s">
        <v>3645</v>
      </c>
      <c r="C493" s="5" t="s">
        <v>1401</v>
      </c>
      <c r="D493" s="135" t="s">
        <v>2622</v>
      </c>
      <c r="E493" s="136"/>
      <c r="F493" s="5" t="s">
        <v>3614</v>
      </c>
      <c r="G493" s="18">
        <v>5.18</v>
      </c>
      <c r="H493" s="18">
        <v>0</v>
      </c>
    </row>
    <row r="494" spans="1:8" ht="12.2" customHeight="1" x14ac:dyDescent="0.2">
      <c r="D494" s="153" t="s">
        <v>3949</v>
      </c>
      <c r="E494" s="154"/>
      <c r="F494" s="154"/>
      <c r="G494" s="51">
        <v>5.18</v>
      </c>
    </row>
    <row r="495" spans="1:8" x14ac:dyDescent="0.2">
      <c r="A495" s="5" t="s">
        <v>220</v>
      </c>
      <c r="B495" s="5" t="s">
        <v>3645</v>
      </c>
      <c r="C495" s="5" t="s">
        <v>1402</v>
      </c>
      <c r="D495" s="135" t="s">
        <v>2623</v>
      </c>
      <c r="E495" s="136"/>
      <c r="F495" s="5" t="s">
        <v>3614</v>
      </c>
      <c r="G495" s="18">
        <v>4.8</v>
      </c>
      <c r="H495" s="18">
        <v>0</v>
      </c>
    </row>
    <row r="496" spans="1:8" ht="12.2" customHeight="1" x14ac:dyDescent="0.2">
      <c r="D496" s="153" t="s">
        <v>3950</v>
      </c>
      <c r="E496" s="154"/>
      <c r="F496" s="154"/>
      <c r="G496" s="51">
        <v>4.8</v>
      </c>
    </row>
    <row r="497" spans="1:8" x14ac:dyDescent="0.2">
      <c r="A497" s="5" t="s">
        <v>221</v>
      </c>
      <c r="B497" s="5" t="s">
        <v>3645</v>
      </c>
      <c r="C497" s="5" t="s">
        <v>1403</v>
      </c>
      <c r="D497" s="135" t="s">
        <v>2624</v>
      </c>
      <c r="E497" s="136"/>
      <c r="F497" s="5" t="s">
        <v>3614</v>
      </c>
      <c r="G497" s="18">
        <v>18.27</v>
      </c>
      <c r="H497" s="18">
        <v>0</v>
      </c>
    </row>
    <row r="498" spans="1:8" ht="12.2" customHeight="1" x14ac:dyDescent="0.2">
      <c r="D498" s="153" t="s">
        <v>3951</v>
      </c>
      <c r="E498" s="154"/>
      <c r="F498" s="154"/>
      <c r="G498" s="51">
        <v>18.27</v>
      </c>
    </row>
    <row r="499" spans="1:8" x14ac:dyDescent="0.2">
      <c r="A499" s="5" t="s">
        <v>222</v>
      </c>
      <c r="B499" s="5" t="s">
        <v>3645</v>
      </c>
      <c r="C499" s="5" t="s">
        <v>1404</v>
      </c>
      <c r="D499" s="135" t="s">
        <v>2625</v>
      </c>
      <c r="E499" s="136"/>
      <c r="F499" s="5" t="s">
        <v>3614</v>
      </c>
      <c r="G499" s="18">
        <v>9.08</v>
      </c>
      <c r="H499" s="18">
        <v>0</v>
      </c>
    </row>
    <row r="500" spans="1:8" ht="12.2" customHeight="1" x14ac:dyDescent="0.2">
      <c r="D500" s="153" t="s">
        <v>3952</v>
      </c>
      <c r="E500" s="154"/>
      <c r="F500" s="154"/>
      <c r="G500" s="51">
        <v>9.08</v>
      </c>
    </row>
    <row r="501" spans="1:8" x14ac:dyDescent="0.2">
      <c r="A501" s="5" t="s">
        <v>223</v>
      </c>
      <c r="B501" s="5" t="s">
        <v>3645</v>
      </c>
      <c r="C501" s="5" t="s">
        <v>1405</v>
      </c>
      <c r="D501" s="135" t="s">
        <v>2626</v>
      </c>
      <c r="E501" s="136"/>
      <c r="F501" s="5" t="s">
        <v>3614</v>
      </c>
      <c r="G501" s="18">
        <v>100.22</v>
      </c>
      <c r="H501" s="18">
        <v>0</v>
      </c>
    </row>
    <row r="502" spans="1:8" ht="12.2" customHeight="1" x14ac:dyDescent="0.2">
      <c r="D502" s="153" t="s">
        <v>3953</v>
      </c>
      <c r="E502" s="154"/>
      <c r="F502" s="154"/>
      <c r="G502" s="51">
        <v>79.86</v>
      </c>
    </row>
    <row r="503" spans="1:8" ht="12.2" customHeight="1" x14ac:dyDescent="0.2">
      <c r="A503" s="5"/>
      <c r="B503" s="5"/>
      <c r="C503" s="5"/>
      <c r="D503" s="153" t="s">
        <v>3954</v>
      </c>
      <c r="E503" s="154"/>
      <c r="F503" s="153"/>
      <c r="G503" s="51">
        <v>20.36</v>
      </c>
      <c r="H503" s="28"/>
    </row>
    <row r="504" spans="1:8" x14ac:dyDescent="0.2">
      <c r="A504" s="5" t="s">
        <v>224</v>
      </c>
      <c r="B504" s="5" t="s">
        <v>3645</v>
      </c>
      <c r="C504" s="5" t="s">
        <v>1406</v>
      </c>
      <c r="D504" s="135" t="s">
        <v>2627</v>
      </c>
      <c r="E504" s="136"/>
      <c r="F504" s="5" t="s">
        <v>3612</v>
      </c>
      <c r="G504" s="18">
        <v>1</v>
      </c>
      <c r="H504" s="18">
        <v>0</v>
      </c>
    </row>
    <row r="505" spans="1:8" ht="12.2" customHeight="1" x14ac:dyDescent="0.2">
      <c r="D505" s="153" t="s">
        <v>3747</v>
      </c>
      <c r="E505" s="154"/>
      <c r="F505" s="154"/>
      <c r="G505" s="51">
        <v>1</v>
      </c>
    </row>
    <row r="506" spans="1:8" x14ac:dyDescent="0.2">
      <c r="A506" s="5" t="s">
        <v>225</v>
      </c>
      <c r="B506" s="5" t="s">
        <v>3645</v>
      </c>
      <c r="C506" s="5" t="s">
        <v>1407</v>
      </c>
      <c r="D506" s="135" t="s">
        <v>2628</v>
      </c>
      <c r="E506" s="136"/>
      <c r="F506" s="5" t="s">
        <v>3612</v>
      </c>
      <c r="G506" s="18">
        <v>2</v>
      </c>
      <c r="H506" s="18">
        <v>0</v>
      </c>
    </row>
    <row r="507" spans="1:8" ht="12.2" customHeight="1" x14ac:dyDescent="0.2">
      <c r="D507" s="153" t="s">
        <v>3748</v>
      </c>
      <c r="E507" s="154"/>
      <c r="F507" s="154"/>
      <c r="G507" s="51">
        <v>2</v>
      </c>
    </row>
    <row r="508" spans="1:8" x14ac:dyDescent="0.2">
      <c r="A508" s="5" t="s">
        <v>226</v>
      </c>
      <c r="B508" s="5" t="s">
        <v>3645</v>
      </c>
      <c r="C508" s="5" t="s">
        <v>1408</v>
      </c>
      <c r="D508" s="135" t="s">
        <v>2629</v>
      </c>
      <c r="E508" s="136"/>
      <c r="F508" s="5" t="s">
        <v>3612</v>
      </c>
      <c r="G508" s="18">
        <v>5</v>
      </c>
      <c r="H508" s="18">
        <v>0</v>
      </c>
    </row>
    <row r="509" spans="1:8" ht="12.2" customHeight="1" x14ac:dyDescent="0.2">
      <c r="D509" s="153" t="s">
        <v>3955</v>
      </c>
      <c r="E509" s="154"/>
      <c r="F509" s="154"/>
      <c r="G509" s="51">
        <v>5</v>
      </c>
    </row>
    <row r="510" spans="1:8" x14ac:dyDescent="0.2">
      <c r="A510" s="5" t="s">
        <v>227</v>
      </c>
      <c r="B510" s="5" t="s">
        <v>3645</v>
      </c>
      <c r="C510" s="5" t="s">
        <v>1409</v>
      </c>
      <c r="D510" s="135" t="s">
        <v>2630</v>
      </c>
      <c r="E510" s="136"/>
      <c r="F510" s="5" t="s">
        <v>3612</v>
      </c>
      <c r="G510" s="18">
        <v>2</v>
      </c>
      <c r="H510" s="18">
        <v>0</v>
      </c>
    </row>
    <row r="511" spans="1:8" ht="12.2" customHeight="1" x14ac:dyDescent="0.2">
      <c r="D511" s="153" t="s">
        <v>3748</v>
      </c>
      <c r="E511" s="154"/>
      <c r="F511" s="154"/>
      <c r="G511" s="51">
        <v>2</v>
      </c>
    </row>
    <row r="512" spans="1:8" x14ac:dyDescent="0.2">
      <c r="A512" s="5" t="s">
        <v>228</v>
      </c>
      <c r="B512" s="5" t="s">
        <v>3645</v>
      </c>
      <c r="C512" s="5" t="s">
        <v>1410</v>
      </c>
      <c r="D512" s="135" t="s">
        <v>2631</v>
      </c>
      <c r="E512" s="136"/>
      <c r="F512" s="5" t="s">
        <v>3612</v>
      </c>
      <c r="G512" s="18">
        <v>1</v>
      </c>
      <c r="H512" s="18">
        <v>0</v>
      </c>
    </row>
    <row r="513" spans="1:8" ht="12.2" customHeight="1" x14ac:dyDescent="0.2">
      <c r="D513" s="153" t="s">
        <v>3747</v>
      </c>
      <c r="E513" s="154"/>
      <c r="F513" s="154"/>
      <c r="G513" s="51">
        <v>1</v>
      </c>
    </row>
    <row r="514" spans="1:8" x14ac:dyDescent="0.2">
      <c r="A514" s="5" t="s">
        <v>229</v>
      </c>
      <c r="B514" s="5" t="s">
        <v>3645</v>
      </c>
      <c r="C514" s="5" t="s">
        <v>1410</v>
      </c>
      <c r="D514" s="135" t="s">
        <v>2632</v>
      </c>
      <c r="E514" s="136"/>
      <c r="F514" s="5" t="s">
        <v>3612</v>
      </c>
      <c r="G514" s="18">
        <v>1</v>
      </c>
      <c r="H514" s="18">
        <v>0</v>
      </c>
    </row>
    <row r="515" spans="1:8" x14ac:dyDescent="0.2">
      <c r="A515" s="5" t="s">
        <v>230</v>
      </c>
      <c r="B515" s="5" t="s">
        <v>3645</v>
      </c>
      <c r="C515" s="5" t="s">
        <v>1410</v>
      </c>
      <c r="D515" s="135" t="s">
        <v>2633</v>
      </c>
      <c r="E515" s="136"/>
      <c r="F515" s="5" t="s">
        <v>3612</v>
      </c>
      <c r="G515" s="18">
        <v>1</v>
      </c>
      <c r="H515" s="18">
        <v>0</v>
      </c>
    </row>
    <row r="516" spans="1:8" ht="12.2" customHeight="1" x14ac:dyDescent="0.2">
      <c r="D516" s="153" t="s">
        <v>3747</v>
      </c>
      <c r="E516" s="154"/>
      <c r="F516" s="154"/>
      <c r="G516" s="51">
        <v>1</v>
      </c>
    </row>
    <row r="517" spans="1:8" x14ac:dyDescent="0.2">
      <c r="A517" s="5" t="s">
        <v>231</v>
      </c>
      <c r="B517" s="5" t="s">
        <v>3645</v>
      </c>
      <c r="C517" s="5" t="s">
        <v>1411</v>
      </c>
      <c r="D517" s="135" t="s">
        <v>2634</v>
      </c>
      <c r="E517" s="136"/>
      <c r="F517" s="5" t="s">
        <v>3612</v>
      </c>
      <c r="G517" s="18">
        <v>2</v>
      </c>
      <c r="H517" s="18">
        <v>0</v>
      </c>
    </row>
    <row r="518" spans="1:8" ht="12.2" customHeight="1" x14ac:dyDescent="0.2">
      <c r="D518" s="153" t="s">
        <v>3748</v>
      </c>
      <c r="E518" s="154"/>
      <c r="F518" s="154"/>
      <c r="G518" s="51">
        <v>2</v>
      </c>
    </row>
    <row r="519" spans="1:8" x14ac:dyDescent="0.2">
      <c r="A519" s="5" t="s">
        <v>232</v>
      </c>
      <c r="B519" s="5" t="s">
        <v>3645</v>
      </c>
      <c r="C519" s="5" t="s">
        <v>1412</v>
      </c>
      <c r="D519" s="135" t="s">
        <v>2635</v>
      </c>
      <c r="E519" s="136"/>
      <c r="F519" s="5" t="s">
        <v>3613</v>
      </c>
      <c r="G519" s="18">
        <v>0.29260000000000003</v>
      </c>
      <c r="H519" s="18">
        <v>0</v>
      </c>
    </row>
    <row r="520" spans="1:8" ht="12.2" customHeight="1" x14ac:dyDescent="0.2">
      <c r="D520" s="153" t="s">
        <v>3956</v>
      </c>
      <c r="E520" s="154"/>
      <c r="F520" s="154"/>
      <c r="G520" s="51">
        <v>0.29260000000000003</v>
      </c>
    </row>
    <row r="521" spans="1:8" x14ac:dyDescent="0.2">
      <c r="A521" s="5" t="s">
        <v>233</v>
      </c>
      <c r="B521" s="5" t="s">
        <v>3645</v>
      </c>
      <c r="C521" s="5" t="s">
        <v>1413</v>
      </c>
      <c r="D521" s="135" t="s">
        <v>2636</v>
      </c>
      <c r="E521" s="136"/>
      <c r="F521" s="5" t="s">
        <v>3613</v>
      </c>
      <c r="G521" s="18">
        <v>1.7275499999999999</v>
      </c>
      <c r="H521" s="18">
        <v>0</v>
      </c>
    </row>
    <row r="522" spans="1:8" ht="12.2" customHeight="1" x14ac:dyDescent="0.2">
      <c r="D522" s="153" t="s">
        <v>3957</v>
      </c>
      <c r="E522" s="154"/>
      <c r="F522" s="154"/>
      <c r="G522" s="51">
        <v>1.7275499999999999</v>
      </c>
    </row>
    <row r="523" spans="1:8" x14ac:dyDescent="0.2">
      <c r="A523" s="5" t="s">
        <v>234</v>
      </c>
      <c r="B523" s="5" t="s">
        <v>3645</v>
      </c>
      <c r="C523" s="5" t="s">
        <v>1414</v>
      </c>
      <c r="D523" s="135" t="s">
        <v>2637</v>
      </c>
      <c r="E523" s="136"/>
      <c r="F523" s="5" t="s">
        <v>3613</v>
      </c>
      <c r="G523" s="18">
        <v>1.9219999999999999</v>
      </c>
      <c r="H523" s="18">
        <v>0</v>
      </c>
    </row>
    <row r="524" spans="1:8" ht="12.2" customHeight="1" x14ac:dyDescent="0.2">
      <c r="D524" s="153" t="s">
        <v>3958</v>
      </c>
      <c r="E524" s="154"/>
      <c r="F524" s="154"/>
      <c r="G524" s="51">
        <v>1.9219999999999999</v>
      </c>
    </row>
    <row r="525" spans="1:8" x14ac:dyDescent="0.2">
      <c r="A525" s="5" t="s">
        <v>235</v>
      </c>
      <c r="B525" s="5" t="s">
        <v>3645</v>
      </c>
      <c r="C525" s="5" t="s">
        <v>1415</v>
      </c>
      <c r="D525" s="135" t="s">
        <v>2638</v>
      </c>
      <c r="E525" s="136"/>
      <c r="F525" s="5" t="s">
        <v>3613</v>
      </c>
      <c r="G525" s="18">
        <v>4.41</v>
      </c>
      <c r="H525" s="18">
        <v>0</v>
      </c>
    </row>
    <row r="526" spans="1:8" ht="12.2" customHeight="1" x14ac:dyDescent="0.2">
      <c r="D526" s="153" t="s">
        <v>3959</v>
      </c>
      <c r="E526" s="154"/>
      <c r="F526" s="154"/>
      <c r="G526" s="51">
        <v>4.41</v>
      </c>
    </row>
    <row r="527" spans="1:8" x14ac:dyDescent="0.2">
      <c r="A527" s="5" t="s">
        <v>236</v>
      </c>
      <c r="B527" s="5" t="s">
        <v>3645</v>
      </c>
      <c r="C527" s="5" t="s">
        <v>1416</v>
      </c>
      <c r="D527" s="135" t="s">
        <v>2639</v>
      </c>
      <c r="E527" s="136"/>
      <c r="F527" s="5" t="s">
        <v>3612</v>
      </c>
      <c r="G527" s="18">
        <v>1</v>
      </c>
      <c r="H527" s="18">
        <v>0</v>
      </c>
    </row>
    <row r="528" spans="1:8" ht="12.2" customHeight="1" x14ac:dyDescent="0.2">
      <c r="D528" s="153" t="s">
        <v>3747</v>
      </c>
      <c r="E528" s="154"/>
      <c r="F528" s="154"/>
      <c r="G528" s="51">
        <v>1</v>
      </c>
    </row>
    <row r="529" spans="1:8" x14ac:dyDescent="0.2">
      <c r="A529" s="5" t="s">
        <v>237</v>
      </c>
      <c r="B529" s="5" t="s">
        <v>3645</v>
      </c>
      <c r="C529" s="5" t="s">
        <v>1417</v>
      </c>
      <c r="D529" s="135" t="s">
        <v>2640</v>
      </c>
      <c r="E529" s="136"/>
      <c r="F529" s="5" t="s">
        <v>3614</v>
      </c>
      <c r="G529" s="18">
        <v>88.92</v>
      </c>
      <c r="H529" s="18">
        <v>0</v>
      </c>
    </row>
    <row r="530" spans="1:8" ht="12.2" customHeight="1" x14ac:dyDescent="0.2">
      <c r="D530" s="153" t="s">
        <v>3960</v>
      </c>
      <c r="E530" s="154"/>
      <c r="F530" s="154"/>
      <c r="G530" s="51">
        <v>88.92</v>
      </c>
    </row>
    <row r="531" spans="1:8" x14ac:dyDescent="0.2">
      <c r="A531" s="5" t="s">
        <v>238</v>
      </c>
      <c r="B531" s="5" t="s">
        <v>3645</v>
      </c>
      <c r="C531" s="5" t="s">
        <v>1418</v>
      </c>
      <c r="D531" s="135" t="s">
        <v>2641</v>
      </c>
      <c r="E531" s="136"/>
      <c r="F531" s="5" t="s">
        <v>3614</v>
      </c>
      <c r="G531" s="18">
        <v>17.600000000000001</v>
      </c>
      <c r="H531" s="18">
        <v>0</v>
      </c>
    </row>
    <row r="532" spans="1:8" ht="12.2" customHeight="1" x14ac:dyDescent="0.2">
      <c r="D532" s="153" t="s">
        <v>3961</v>
      </c>
      <c r="E532" s="154"/>
      <c r="F532" s="154"/>
      <c r="G532" s="51">
        <v>17.600000000000001</v>
      </c>
    </row>
    <row r="533" spans="1:8" x14ac:dyDescent="0.2">
      <c r="A533" s="5" t="s">
        <v>239</v>
      </c>
      <c r="B533" s="5" t="s">
        <v>3645</v>
      </c>
      <c r="C533" s="5" t="s">
        <v>1419</v>
      </c>
      <c r="D533" s="135" t="s">
        <v>2642</v>
      </c>
      <c r="E533" s="136"/>
      <c r="F533" s="5" t="s">
        <v>3614</v>
      </c>
      <c r="G533" s="18">
        <v>2.4</v>
      </c>
      <c r="H533" s="18">
        <v>0</v>
      </c>
    </row>
    <row r="534" spans="1:8" ht="12.2" customHeight="1" x14ac:dyDescent="0.2">
      <c r="D534" s="153" t="s">
        <v>3962</v>
      </c>
      <c r="E534" s="154"/>
      <c r="F534" s="154"/>
      <c r="G534" s="51">
        <v>2.4</v>
      </c>
    </row>
    <row r="535" spans="1:8" x14ac:dyDescent="0.2">
      <c r="A535" s="5" t="s">
        <v>240</v>
      </c>
      <c r="B535" s="5" t="s">
        <v>3645</v>
      </c>
      <c r="C535" s="5" t="s">
        <v>1420</v>
      </c>
      <c r="D535" s="135" t="s">
        <v>2643</v>
      </c>
      <c r="E535" s="136"/>
      <c r="F535" s="5" t="s">
        <v>3616</v>
      </c>
      <c r="G535" s="18">
        <v>0.45</v>
      </c>
      <c r="H535" s="18">
        <v>0</v>
      </c>
    </row>
    <row r="536" spans="1:8" ht="12.2" customHeight="1" x14ac:dyDescent="0.2">
      <c r="D536" s="153" t="s">
        <v>3963</v>
      </c>
      <c r="E536" s="154"/>
      <c r="F536" s="154"/>
      <c r="G536" s="51">
        <v>0.45</v>
      </c>
    </row>
    <row r="537" spans="1:8" x14ac:dyDescent="0.2">
      <c r="A537" s="5" t="s">
        <v>241</v>
      </c>
      <c r="B537" s="5" t="s">
        <v>3645</v>
      </c>
      <c r="C537" s="5" t="s">
        <v>1421</v>
      </c>
      <c r="D537" s="135" t="s">
        <v>2644</v>
      </c>
      <c r="E537" s="136"/>
      <c r="F537" s="5" t="s">
        <v>3612</v>
      </c>
      <c r="G537" s="18">
        <v>30</v>
      </c>
      <c r="H537" s="18">
        <v>0</v>
      </c>
    </row>
    <row r="538" spans="1:8" ht="12.2" customHeight="1" x14ac:dyDescent="0.2">
      <c r="D538" s="153" t="s">
        <v>3964</v>
      </c>
      <c r="E538" s="154"/>
      <c r="F538" s="154"/>
      <c r="G538" s="51">
        <v>30</v>
      </c>
    </row>
    <row r="539" spans="1:8" x14ac:dyDescent="0.2">
      <c r="A539" s="5" t="s">
        <v>242</v>
      </c>
      <c r="B539" s="5" t="s">
        <v>3645</v>
      </c>
      <c r="C539" s="5" t="s">
        <v>1422</v>
      </c>
      <c r="D539" s="135" t="s">
        <v>2645</v>
      </c>
      <c r="E539" s="136"/>
      <c r="F539" s="5" t="s">
        <v>3615</v>
      </c>
      <c r="G539" s="18">
        <v>358.42</v>
      </c>
      <c r="H539" s="18">
        <v>0</v>
      </c>
    </row>
    <row r="540" spans="1:8" ht="12.2" customHeight="1" x14ac:dyDescent="0.2">
      <c r="D540" s="153" t="s">
        <v>3965</v>
      </c>
      <c r="E540" s="154"/>
      <c r="F540" s="154"/>
      <c r="G540" s="51">
        <v>358.42</v>
      </c>
    </row>
    <row r="541" spans="1:8" x14ac:dyDescent="0.2">
      <c r="A541" s="5" t="s">
        <v>243</v>
      </c>
      <c r="B541" s="5" t="s">
        <v>3645</v>
      </c>
      <c r="C541" s="5" t="s">
        <v>1423</v>
      </c>
      <c r="D541" s="135" t="s">
        <v>2646</v>
      </c>
      <c r="E541" s="136"/>
      <c r="F541" s="5" t="s">
        <v>3615</v>
      </c>
      <c r="G541" s="18">
        <v>358.42</v>
      </c>
      <c r="H541" s="18">
        <v>0</v>
      </c>
    </row>
    <row r="542" spans="1:8" ht="12.2" customHeight="1" x14ac:dyDescent="0.2">
      <c r="D542" s="153" t="s">
        <v>3965</v>
      </c>
      <c r="E542" s="154"/>
      <c r="F542" s="154"/>
      <c r="G542" s="51">
        <v>358.42</v>
      </c>
    </row>
    <row r="543" spans="1:8" x14ac:dyDescent="0.2">
      <c r="A543" s="5" t="s">
        <v>244</v>
      </c>
      <c r="B543" s="5" t="s">
        <v>3645</v>
      </c>
      <c r="C543" s="5" t="s">
        <v>1424</v>
      </c>
      <c r="D543" s="135" t="s">
        <v>2647</v>
      </c>
      <c r="E543" s="136"/>
      <c r="F543" s="5" t="s">
        <v>3615</v>
      </c>
      <c r="G543" s="18">
        <v>638.65229999999997</v>
      </c>
      <c r="H543" s="18">
        <v>0</v>
      </c>
    </row>
    <row r="544" spans="1:8" ht="12.2" customHeight="1" x14ac:dyDescent="0.2">
      <c r="D544" s="153" t="s">
        <v>3966</v>
      </c>
      <c r="E544" s="154"/>
      <c r="F544" s="154"/>
      <c r="G544" s="51">
        <v>223.04425000000001</v>
      </c>
    </row>
    <row r="545" spans="1:8" ht="12.2" customHeight="1" x14ac:dyDescent="0.2">
      <c r="A545" s="5"/>
      <c r="B545" s="5"/>
      <c r="C545" s="5"/>
      <c r="D545" s="153" t="s">
        <v>3967</v>
      </c>
      <c r="E545" s="154"/>
      <c r="F545" s="153"/>
      <c r="G545" s="51">
        <v>298.52879999999999</v>
      </c>
      <c r="H545" s="28"/>
    </row>
    <row r="546" spans="1:8" ht="12.2" customHeight="1" x14ac:dyDescent="0.2">
      <c r="A546" s="5"/>
      <c r="B546" s="5"/>
      <c r="C546" s="5"/>
      <c r="D546" s="153" t="s">
        <v>3968</v>
      </c>
      <c r="E546" s="154"/>
      <c r="F546" s="153"/>
      <c r="G546" s="51">
        <v>117.07925</v>
      </c>
      <c r="H546" s="28"/>
    </row>
    <row r="547" spans="1:8" x14ac:dyDescent="0.2">
      <c r="A547" s="5" t="s">
        <v>245</v>
      </c>
      <c r="B547" s="5" t="s">
        <v>3645</v>
      </c>
      <c r="C547" s="5" t="s">
        <v>1424</v>
      </c>
      <c r="D547" s="135" t="s">
        <v>2648</v>
      </c>
      <c r="E547" s="136"/>
      <c r="F547" s="5" t="s">
        <v>3615</v>
      </c>
      <c r="G547" s="18">
        <v>42.726500000000001</v>
      </c>
      <c r="H547" s="18">
        <v>0</v>
      </c>
    </row>
    <row r="548" spans="1:8" ht="12.2" customHeight="1" x14ac:dyDescent="0.2">
      <c r="D548" s="153" t="s">
        <v>3969</v>
      </c>
      <c r="E548" s="154"/>
      <c r="F548" s="154"/>
      <c r="G548" s="51">
        <v>10.70875</v>
      </c>
    </row>
    <row r="549" spans="1:8" ht="12.2" customHeight="1" x14ac:dyDescent="0.2">
      <c r="A549" s="5"/>
      <c r="B549" s="5"/>
      <c r="C549" s="5"/>
      <c r="D549" s="153" t="s">
        <v>3970</v>
      </c>
      <c r="E549" s="154"/>
      <c r="F549" s="153"/>
      <c r="G549" s="51">
        <v>20.716000000000001</v>
      </c>
      <c r="H549" s="28"/>
    </row>
    <row r="550" spans="1:8" ht="12.2" customHeight="1" x14ac:dyDescent="0.2">
      <c r="A550" s="5"/>
      <c r="B550" s="5"/>
      <c r="C550" s="5"/>
      <c r="D550" s="153" t="s">
        <v>3971</v>
      </c>
      <c r="E550" s="154"/>
      <c r="F550" s="153"/>
      <c r="G550" s="51">
        <v>11.30175</v>
      </c>
      <c r="H550" s="28"/>
    </row>
    <row r="551" spans="1:8" x14ac:dyDescent="0.2">
      <c r="A551" s="5" t="s">
        <v>246</v>
      </c>
      <c r="B551" s="5" t="s">
        <v>3645</v>
      </c>
      <c r="C551" s="5" t="s">
        <v>1425</v>
      </c>
      <c r="D551" s="135" t="s">
        <v>2649</v>
      </c>
      <c r="E551" s="136"/>
      <c r="F551" s="5" t="s">
        <v>3615</v>
      </c>
      <c r="G551" s="18">
        <v>638.65229999999997</v>
      </c>
      <c r="H551" s="18">
        <v>0</v>
      </c>
    </row>
    <row r="552" spans="1:8" ht="12.2" customHeight="1" x14ac:dyDescent="0.2">
      <c r="D552" s="153" t="s">
        <v>3972</v>
      </c>
      <c r="E552" s="154"/>
      <c r="F552" s="154"/>
      <c r="G552" s="51">
        <v>638.65229999999997</v>
      </c>
    </row>
    <row r="553" spans="1:8" x14ac:dyDescent="0.2">
      <c r="A553" s="5" t="s">
        <v>247</v>
      </c>
      <c r="B553" s="5" t="s">
        <v>3645</v>
      </c>
      <c r="C553" s="5" t="s">
        <v>1425</v>
      </c>
      <c r="D553" s="135" t="s">
        <v>2650</v>
      </c>
      <c r="E553" s="136"/>
      <c r="F553" s="5" t="s">
        <v>3615</v>
      </c>
      <c r="G553" s="18">
        <v>42.726500000000001</v>
      </c>
      <c r="H553" s="18">
        <v>0</v>
      </c>
    </row>
    <row r="554" spans="1:8" ht="12.2" customHeight="1" x14ac:dyDescent="0.2">
      <c r="D554" s="153" t="s">
        <v>3973</v>
      </c>
      <c r="E554" s="154"/>
      <c r="F554" s="154"/>
      <c r="G554" s="51">
        <v>42.726500000000001</v>
      </c>
    </row>
    <row r="555" spans="1:8" x14ac:dyDescent="0.2">
      <c r="A555" s="5" t="s">
        <v>248</v>
      </c>
      <c r="B555" s="5" t="s">
        <v>3645</v>
      </c>
      <c r="C555" s="5" t="s">
        <v>1426</v>
      </c>
      <c r="D555" s="135" t="s">
        <v>2651</v>
      </c>
      <c r="E555" s="136"/>
      <c r="F555" s="5" t="s">
        <v>3615</v>
      </c>
      <c r="G555" s="18">
        <v>384.53813000000002</v>
      </c>
      <c r="H555" s="18">
        <v>0</v>
      </c>
    </row>
    <row r="556" spans="1:8" ht="12.2" customHeight="1" x14ac:dyDescent="0.2">
      <c r="D556" s="153" t="s">
        <v>3974</v>
      </c>
      <c r="E556" s="154"/>
      <c r="F556" s="154"/>
      <c r="G556" s="51">
        <v>65.667450000000002</v>
      </c>
    </row>
    <row r="557" spans="1:8" ht="12.2" customHeight="1" x14ac:dyDescent="0.2">
      <c r="A557" s="5"/>
      <c r="B557" s="5"/>
      <c r="C557" s="5"/>
      <c r="D557" s="153" t="s">
        <v>3975</v>
      </c>
      <c r="E557" s="154"/>
      <c r="F557" s="153"/>
      <c r="G557" s="51">
        <v>65.297250000000005</v>
      </c>
      <c r="H557" s="28"/>
    </row>
    <row r="558" spans="1:8" ht="12.2" customHeight="1" x14ac:dyDescent="0.2">
      <c r="A558" s="5"/>
      <c r="B558" s="5"/>
      <c r="C558" s="5"/>
      <c r="D558" s="153" t="s">
        <v>3976</v>
      </c>
      <c r="E558" s="154"/>
      <c r="F558" s="153"/>
      <c r="G558" s="51">
        <v>68.429280000000006</v>
      </c>
      <c r="H558" s="28"/>
    </row>
    <row r="559" spans="1:8" ht="12.2" customHeight="1" x14ac:dyDescent="0.2">
      <c r="A559" s="5"/>
      <c r="B559" s="5"/>
      <c r="C559" s="5"/>
      <c r="D559" s="153" t="s">
        <v>3977</v>
      </c>
      <c r="E559" s="154"/>
      <c r="F559" s="153"/>
      <c r="G559" s="51">
        <v>23.50788</v>
      </c>
      <c r="H559" s="28"/>
    </row>
    <row r="560" spans="1:8" ht="12.2" customHeight="1" x14ac:dyDescent="0.2">
      <c r="A560" s="5"/>
      <c r="B560" s="5"/>
      <c r="C560" s="5"/>
      <c r="D560" s="153" t="s">
        <v>3978</v>
      </c>
      <c r="E560" s="154"/>
      <c r="F560" s="153"/>
      <c r="G560" s="51">
        <v>64.245819999999995</v>
      </c>
      <c r="H560" s="28"/>
    </row>
    <row r="561" spans="1:8" ht="12.2" customHeight="1" x14ac:dyDescent="0.2">
      <c r="A561" s="5"/>
      <c r="B561" s="5"/>
      <c r="C561" s="5"/>
      <c r="D561" s="153" t="s">
        <v>3979</v>
      </c>
      <c r="E561" s="154"/>
      <c r="F561" s="153"/>
      <c r="G561" s="51">
        <v>30.530999999999999</v>
      </c>
      <c r="H561" s="28"/>
    </row>
    <row r="562" spans="1:8" ht="12.2" customHeight="1" x14ac:dyDescent="0.2">
      <c r="A562" s="5"/>
      <c r="B562" s="5"/>
      <c r="C562" s="5"/>
      <c r="D562" s="153" t="s">
        <v>3980</v>
      </c>
      <c r="E562" s="154"/>
      <c r="F562" s="153"/>
      <c r="G562" s="51">
        <v>10.61805</v>
      </c>
      <c r="H562" s="28"/>
    </row>
    <row r="563" spans="1:8" ht="12.2" customHeight="1" x14ac:dyDescent="0.2">
      <c r="A563" s="5"/>
      <c r="B563" s="5"/>
      <c r="C563" s="5"/>
      <c r="D563" s="153" t="s">
        <v>3981</v>
      </c>
      <c r="E563" s="154"/>
      <c r="F563" s="153"/>
      <c r="G563" s="51">
        <v>56.241399999999999</v>
      </c>
      <c r="H563" s="28"/>
    </row>
    <row r="564" spans="1:8" x14ac:dyDescent="0.2">
      <c r="A564" s="5" t="s">
        <v>249</v>
      </c>
      <c r="B564" s="5" t="s">
        <v>3645</v>
      </c>
      <c r="C564" s="5" t="s">
        <v>1427</v>
      </c>
      <c r="D564" s="135" t="s">
        <v>2652</v>
      </c>
      <c r="E564" s="136"/>
      <c r="F564" s="5" t="s">
        <v>3615</v>
      </c>
      <c r="G564" s="18">
        <v>511.59521999999998</v>
      </c>
      <c r="H564" s="18">
        <v>0</v>
      </c>
    </row>
    <row r="565" spans="1:8" ht="12.2" customHeight="1" x14ac:dyDescent="0.2">
      <c r="D565" s="153" t="s">
        <v>3982</v>
      </c>
      <c r="E565" s="154"/>
      <c r="F565" s="154"/>
      <c r="G565" s="51">
        <v>511.59521999999998</v>
      </c>
    </row>
    <row r="566" spans="1:8" x14ac:dyDescent="0.2">
      <c r="A566" s="5" t="s">
        <v>250</v>
      </c>
      <c r="B566" s="5" t="s">
        <v>3645</v>
      </c>
      <c r="C566" s="5" t="s">
        <v>1428</v>
      </c>
      <c r="D566" s="135" t="s">
        <v>2653</v>
      </c>
      <c r="E566" s="136"/>
      <c r="F566" s="5" t="s">
        <v>3615</v>
      </c>
      <c r="G566" s="18">
        <v>5.25</v>
      </c>
      <c r="H566" s="18">
        <v>0</v>
      </c>
    </row>
    <row r="567" spans="1:8" ht="12.2" customHeight="1" x14ac:dyDescent="0.2">
      <c r="D567" s="153" t="s">
        <v>3983</v>
      </c>
      <c r="E567" s="154"/>
      <c r="F567" s="154"/>
      <c r="G567" s="51">
        <v>5.25</v>
      </c>
    </row>
    <row r="568" spans="1:8" x14ac:dyDescent="0.2">
      <c r="A568" s="14"/>
      <c r="B568" s="14"/>
      <c r="C568" s="14" t="s">
        <v>1429</v>
      </c>
      <c r="D568" s="133" t="s">
        <v>2654</v>
      </c>
      <c r="E568" s="134"/>
      <c r="F568" s="14"/>
      <c r="G568" s="27"/>
      <c r="H568" s="27"/>
    </row>
    <row r="569" spans="1:8" x14ac:dyDescent="0.2">
      <c r="A569" s="5" t="s">
        <v>251</v>
      </c>
      <c r="B569" s="5" t="s">
        <v>3645</v>
      </c>
      <c r="C569" s="5" t="s">
        <v>1430</v>
      </c>
      <c r="D569" s="135" t="s">
        <v>2655</v>
      </c>
      <c r="E569" s="136"/>
      <c r="F569" s="5" t="s">
        <v>3616</v>
      </c>
      <c r="G569" s="18">
        <v>114.56399999999999</v>
      </c>
      <c r="H569" s="18">
        <v>0</v>
      </c>
    </row>
    <row r="570" spans="1:8" ht="12.2" customHeight="1" x14ac:dyDescent="0.2">
      <c r="D570" s="153" t="s">
        <v>3984</v>
      </c>
      <c r="E570" s="154"/>
      <c r="F570" s="154"/>
      <c r="G570" s="51">
        <v>114.56399999999999</v>
      </c>
    </row>
    <row r="571" spans="1:8" x14ac:dyDescent="0.2">
      <c r="A571" s="5" t="s">
        <v>252</v>
      </c>
      <c r="B571" s="5" t="s">
        <v>3645</v>
      </c>
      <c r="C571" s="5" t="s">
        <v>1431</v>
      </c>
      <c r="D571" s="135" t="s">
        <v>2656</v>
      </c>
      <c r="E571" s="136"/>
      <c r="F571" s="5" t="s">
        <v>3616</v>
      </c>
      <c r="G571" s="18">
        <v>343.69200000000001</v>
      </c>
      <c r="H571" s="18">
        <v>0</v>
      </c>
    </row>
    <row r="572" spans="1:8" ht="12.2" customHeight="1" x14ac:dyDescent="0.2">
      <c r="D572" s="153" t="s">
        <v>3985</v>
      </c>
      <c r="E572" s="154"/>
      <c r="F572" s="154"/>
      <c r="G572" s="51">
        <v>343.69200000000001</v>
      </c>
    </row>
    <row r="573" spans="1:8" x14ac:dyDescent="0.2">
      <c r="A573" s="5" t="s">
        <v>253</v>
      </c>
      <c r="B573" s="5" t="s">
        <v>3645</v>
      </c>
      <c r="C573" s="5" t="s">
        <v>1432</v>
      </c>
      <c r="D573" s="135" t="s">
        <v>2657</v>
      </c>
      <c r="E573" s="136"/>
      <c r="F573" s="5" t="s">
        <v>3616</v>
      </c>
      <c r="G573" s="18">
        <v>11685.528</v>
      </c>
      <c r="H573" s="18">
        <v>0</v>
      </c>
    </row>
    <row r="574" spans="1:8" ht="12.2" customHeight="1" x14ac:dyDescent="0.2">
      <c r="D574" s="153" t="s">
        <v>3986</v>
      </c>
      <c r="E574" s="154"/>
      <c r="F574" s="154"/>
      <c r="G574" s="51">
        <v>11685.528</v>
      </c>
    </row>
    <row r="575" spans="1:8" x14ac:dyDescent="0.2">
      <c r="A575" s="5" t="s">
        <v>254</v>
      </c>
      <c r="B575" s="5" t="s">
        <v>3645</v>
      </c>
      <c r="C575" s="5" t="s">
        <v>1433</v>
      </c>
      <c r="D575" s="135" t="s">
        <v>2658</v>
      </c>
      <c r="E575" s="136"/>
      <c r="F575" s="5" t="s">
        <v>3616</v>
      </c>
      <c r="G575" s="18">
        <v>343.69200000000001</v>
      </c>
      <c r="H575" s="18">
        <v>0</v>
      </c>
    </row>
    <row r="576" spans="1:8" ht="12.2" customHeight="1" x14ac:dyDescent="0.2">
      <c r="D576" s="153" t="s">
        <v>3987</v>
      </c>
      <c r="E576" s="154"/>
      <c r="F576" s="154"/>
      <c r="G576" s="51">
        <v>343.69200000000001</v>
      </c>
    </row>
    <row r="577" spans="1:8" x14ac:dyDescent="0.2">
      <c r="A577" s="5" t="s">
        <v>255</v>
      </c>
      <c r="B577" s="5" t="s">
        <v>3645</v>
      </c>
      <c r="C577" s="5" t="s">
        <v>1434</v>
      </c>
      <c r="D577" s="135" t="s">
        <v>2659</v>
      </c>
      <c r="E577" s="136"/>
      <c r="F577" s="5" t="s">
        <v>3616</v>
      </c>
      <c r="G577" s="18">
        <v>1374.768</v>
      </c>
      <c r="H577" s="18">
        <v>0</v>
      </c>
    </row>
    <row r="578" spans="1:8" ht="12.2" customHeight="1" x14ac:dyDescent="0.2">
      <c r="D578" s="153" t="s">
        <v>3988</v>
      </c>
      <c r="E578" s="154"/>
      <c r="F578" s="154"/>
      <c r="G578" s="51">
        <v>1374.768</v>
      </c>
    </row>
    <row r="579" spans="1:8" x14ac:dyDescent="0.2">
      <c r="A579" s="5" t="s">
        <v>256</v>
      </c>
      <c r="B579" s="5" t="s">
        <v>3645</v>
      </c>
      <c r="C579" s="5" t="s">
        <v>1435</v>
      </c>
      <c r="D579" s="135" t="s">
        <v>2660</v>
      </c>
      <c r="E579" s="136"/>
      <c r="F579" s="5" t="s">
        <v>3616</v>
      </c>
      <c r="G579" s="18">
        <v>343.69200000000001</v>
      </c>
      <c r="H579" s="18">
        <v>0</v>
      </c>
    </row>
    <row r="580" spans="1:8" ht="12.2" customHeight="1" x14ac:dyDescent="0.2">
      <c r="D580" s="153" t="s">
        <v>3987</v>
      </c>
      <c r="E580" s="154"/>
      <c r="F580" s="154"/>
      <c r="G580" s="51">
        <v>343.69200000000001</v>
      </c>
    </row>
    <row r="581" spans="1:8" x14ac:dyDescent="0.2">
      <c r="A581" s="5" t="s">
        <v>257</v>
      </c>
      <c r="B581" s="5" t="s">
        <v>3645</v>
      </c>
      <c r="C581" s="5" t="s">
        <v>1436</v>
      </c>
      <c r="D581" s="135" t="s">
        <v>2661</v>
      </c>
      <c r="E581" s="136"/>
      <c r="F581" s="5" t="s">
        <v>3616</v>
      </c>
      <c r="G581" s="18">
        <v>343.69200000000001</v>
      </c>
      <c r="H581" s="18">
        <v>0</v>
      </c>
    </row>
    <row r="582" spans="1:8" ht="12.2" customHeight="1" x14ac:dyDescent="0.2">
      <c r="D582" s="153" t="s">
        <v>3987</v>
      </c>
      <c r="E582" s="154"/>
      <c r="F582" s="154"/>
      <c r="G582" s="51">
        <v>343.69200000000001</v>
      </c>
    </row>
    <row r="583" spans="1:8" x14ac:dyDescent="0.2">
      <c r="A583" s="5" t="s">
        <v>258</v>
      </c>
      <c r="B583" s="5" t="s">
        <v>3645</v>
      </c>
      <c r="C583" s="5" t="s">
        <v>1437</v>
      </c>
      <c r="D583" s="135" t="s">
        <v>2662</v>
      </c>
      <c r="E583" s="136"/>
      <c r="F583" s="5" t="s">
        <v>3616</v>
      </c>
      <c r="G583" s="18">
        <v>66.343999999999994</v>
      </c>
      <c r="H583" s="18">
        <v>0</v>
      </c>
    </row>
    <row r="584" spans="1:8" ht="12.2" customHeight="1" x14ac:dyDescent="0.2">
      <c r="D584" s="153" t="s">
        <v>3989</v>
      </c>
      <c r="E584" s="154"/>
      <c r="F584" s="154"/>
      <c r="G584" s="51">
        <v>66.343999999999994</v>
      </c>
    </row>
    <row r="585" spans="1:8" x14ac:dyDescent="0.2">
      <c r="A585" s="5" t="s">
        <v>259</v>
      </c>
      <c r="B585" s="5" t="s">
        <v>3645</v>
      </c>
      <c r="C585" s="5" t="s">
        <v>1438</v>
      </c>
      <c r="D585" s="135" t="s">
        <v>2663</v>
      </c>
      <c r="E585" s="136"/>
      <c r="F585" s="5" t="s">
        <v>3616</v>
      </c>
      <c r="G585" s="18">
        <v>72.451999999999998</v>
      </c>
      <c r="H585" s="18">
        <v>0</v>
      </c>
    </row>
    <row r="586" spans="1:8" ht="12.2" customHeight="1" x14ac:dyDescent="0.2">
      <c r="D586" s="153" t="s">
        <v>3990</v>
      </c>
      <c r="E586" s="154"/>
      <c r="F586" s="154"/>
      <c r="G586" s="51">
        <v>72.451999999999998</v>
      </c>
    </row>
    <row r="587" spans="1:8" x14ac:dyDescent="0.2">
      <c r="A587" s="5" t="s">
        <v>260</v>
      </c>
      <c r="B587" s="5" t="s">
        <v>3645</v>
      </c>
      <c r="C587" s="5" t="s">
        <v>1439</v>
      </c>
      <c r="D587" s="135" t="s">
        <v>2664</v>
      </c>
      <c r="E587" s="136"/>
      <c r="F587" s="5" t="s">
        <v>3616</v>
      </c>
      <c r="G587" s="18">
        <v>96.325999999999993</v>
      </c>
      <c r="H587" s="18">
        <v>0</v>
      </c>
    </row>
    <row r="588" spans="1:8" ht="12.2" customHeight="1" x14ac:dyDescent="0.2">
      <c r="D588" s="153" t="s">
        <v>3991</v>
      </c>
      <c r="E588" s="154"/>
      <c r="F588" s="154"/>
      <c r="G588" s="51">
        <v>96.325999999999993</v>
      </c>
    </row>
    <row r="589" spans="1:8" x14ac:dyDescent="0.2">
      <c r="A589" s="5" t="s">
        <v>261</v>
      </c>
      <c r="B589" s="5" t="s">
        <v>3645</v>
      </c>
      <c r="C589" s="5" t="s">
        <v>1440</v>
      </c>
      <c r="D589" s="135" t="s">
        <v>2665</v>
      </c>
      <c r="E589" s="136"/>
      <c r="F589" s="5" t="s">
        <v>3616</v>
      </c>
      <c r="G589" s="18">
        <v>84.685000000000002</v>
      </c>
      <c r="H589" s="18">
        <v>0</v>
      </c>
    </row>
    <row r="590" spans="1:8" ht="12.2" customHeight="1" x14ac:dyDescent="0.2">
      <c r="D590" s="153" t="s">
        <v>3992</v>
      </c>
      <c r="E590" s="154"/>
      <c r="F590" s="154"/>
      <c r="G590" s="51">
        <v>84.685000000000002</v>
      </c>
    </row>
    <row r="591" spans="1:8" x14ac:dyDescent="0.2">
      <c r="A591" s="5" t="s">
        <v>262</v>
      </c>
      <c r="B591" s="5" t="s">
        <v>3645</v>
      </c>
      <c r="C591" s="5" t="s">
        <v>1441</v>
      </c>
      <c r="D591" s="135" t="s">
        <v>2666</v>
      </c>
      <c r="E591" s="136"/>
      <c r="F591" s="5" t="s">
        <v>3616</v>
      </c>
      <c r="G591" s="18">
        <v>1.323</v>
      </c>
      <c r="H591" s="18">
        <v>0</v>
      </c>
    </row>
    <row r="592" spans="1:8" ht="12.2" customHeight="1" x14ac:dyDescent="0.2">
      <c r="D592" s="153" t="s">
        <v>3993</v>
      </c>
      <c r="E592" s="154"/>
      <c r="F592" s="154"/>
      <c r="G592" s="51">
        <v>1.323</v>
      </c>
    </row>
    <row r="593" spans="1:8" x14ac:dyDescent="0.2">
      <c r="A593" s="5" t="s">
        <v>263</v>
      </c>
      <c r="B593" s="5" t="s">
        <v>3645</v>
      </c>
      <c r="C593" s="5" t="s">
        <v>1442</v>
      </c>
      <c r="D593" s="135" t="s">
        <v>2667</v>
      </c>
      <c r="E593" s="136"/>
      <c r="F593" s="5" t="s">
        <v>3616</v>
      </c>
      <c r="G593" s="18">
        <v>7.4050000000000002</v>
      </c>
      <c r="H593" s="18">
        <v>0</v>
      </c>
    </row>
    <row r="594" spans="1:8" ht="12.2" customHeight="1" x14ac:dyDescent="0.2">
      <c r="D594" s="153" t="s">
        <v>3994</v>
      </c>
      <c r="E594" s="154"/>
      <c r="F594" s="154"/>
      <c r="G594" s="51">
        <v>7.4050000000000002</v>
      </c>
    </row>
    <row r="595" spans="1:8" x14ac:dyDescent="0.2">
      <c r="A595" s="5" t="s">
        <v>264</v>
      </c>
      <c r="B595" s="5" t="s">
        <v>3645</v>
      </c>
      <c r="C595" s="5" t="s">
        <v>1443</v>
      </c>
      <c r="D595" s="135" t="s">
        <v>2668</v>
      </c>
      <c r="E595" s="136"/>
      <c r="F595" s="5" t="s">
        <v>3616</v>
      </c>
      <c r="G595" s="18">
        <v>5.6470000000000002</v>
      </c>
      <c r="H595" s="18">
        <v>0</v>
      </c>
    </row>
    <row r="596" spans="1:8" ht="12.2" customHeight="1" x14ac:dyDescent="0.2">
      <c r="D596" s="153" t="s">
        <v>3995</v>
      </c>
      <c r="E596" s="154"/>
      <c r="F596" s="154"/>
      <c r="G596" s="51">
        <v>5.6470000000000002</v>
      </c>
    </row>
    <row r="597" spans="1:8" x14ac:dyDescent="0.2">
      <c r="A597" s="5" t="s">
        <v>265</v>
      </c>
      <c r="B597" s="5" t="s">
        <v>3645</v>
      </c>
      <c r="C597" s="5" t="s">
        <v>1444</v>
      </c>
      <c r="D597" s="135" t="s">
        <v>2669</v>
      </c>
      <c r="E597" s="136"/>
      <c r="F597" s="5" t="s">
        <v>3616</v>
      </c>
      <c r="G597" s="18">
        <v>1.2849999999999999</v>
      </c>
      <c r="H597" s="18">
        <v>0</v>
      </c>
    </row>
    <row r="598" spans="1:8" ht="12.2" customHeight="1" x14ac:dyDescent="0.2">
      <c r="D598" s="153" t="s">
        <v>3996</v>
      </c>
      <c r="E598" s="154"/>
      <c r="F598" s="154"/>
      <c r="G598" s="51">
        <v>1.2849999999999999</v>
      </c>
    </row>
    <row r="599" spans="1:8" x14ac:dyDescent="0.2">
      <c r="A599" s="5" t="s">
        <v>266</v>
      </c>
      <c r="B599" s="5" t="s">
        <v>3645</v>
      </c>
      <c r="C599" s="5" t="s">
        <v>1445</v>
      </c>
      <c r="D599" s="135" t="s">
        <v>2670</v>
      </c>
      <c r="E599" s="136"/>
      <c r="F599" s="5" t="s">
        <v>3616</v>
      </c>
      <c r="G599" s="18">
        <v>0.90800000000000003</v>
      </c>
      <c r="H599" s="18">
        <v>0</v>
      </c>
    </row>
    <row r="600" spans="1:8" ht="12.2" customHeight="1" x14ac:dyDescent="0.2">
      <c r="D600" s="153" t="s">
        <v>3997</v>
      </c>
      <c r="E600" s="154"/>
      <c r="F600" s="154"/>
      <c r="G600" s="51">
        <v>0.90800000000000003</v>
      </c>
    </row>
    <row r="601" spans="1:8" x14ac:dyDescent="0.2">
      <c r="A601" s="5" t="s">
        <v>267</v>
      </c>
      <c r="B601" s="5" t="s">
        <v>3645</v>
      </c>
      <c r="C601" s="5" t="s">
        <v>1446</v>
      </c>
      <c r="D601" s="135" t="s">
        <v>2671</v>
      </c>
      <c r="E601" s="136"/>
      <c r="F601" s="5" t="s">
        <v>3616</v>
      </c>
      <c r="G601" s="18">
        <v>5.5259999999999998</v>
      </c>
      <c r="H601" s="18">
        <v>0</v>
      </c>
    </row>
    <row r="602" spans="1:8" ht="12.2" customHeight="1" x14ac:dyDescent="0.2">
      <c r="D602" s="153" t="s">
        <v>3998</v>
      </c>
      <c r="E602" s="154"/>
      <c r="F602" s="154"/>
      <c r="G602" s="51">
        <v>5.5259999999999998</v>
      </c>
    </row>
    <row r="603" spans="1:8" x14ac:dyDescent="0.2">
      <c r="A603" s="5" t="s">
        <v>268</v>
      </c>
      <c r="B603" s="5" t="s">
        <v>3645</v>
      </c>
      <c r="C603" s="5" t="s">
        <v>1447</v>
      </c>
      <c r="D603" s="135" t="s">
        <v>2672</v>
      </c>
      <c r="E603" s="136"/>
      <c r="F603" s="5" t="s">
        <v>3616</v>
      </c>
      <c r="G603" s="18">
        <v>1.4730000000000001</v>
      </c>
      <c r="H603" s="18">
        <v>0</v>
      </c>
    </row>
    <row r="604" spans="1:8" ht="12.2" customHeight="1" x14ac:dyDescent="0.2">
      <c r="D604" s="153" t="s">
        <v>3999</v>
      </c>
      <c r="E604" s="154"/>
      <c r="F604" s="154"/>
      <c r="G604" s="51">
        <v>1.4730000000000001</v>
      </c>
    </row>
    <row r="605" spans="1:8" x14ac:dyDescent="0.2">
      <c r="A605" s="5" t="s">
        <v>269</v>
      </c>
      <c r="B605" s="5" t="s">
        <v>3645</v>
      </c>
      <c r="C605" s="5" t="s">
        <v>1448</v>
      </c>
      <c r="D605" s="135" t="s">
        <v>2673</v>
      </c>
      <c r="E605" s="136"/>
      <c r="F605" s="5" t="s">
        <v>3616</v>
      </c>
      <c r="G605" s="18">
        <v>0.318</v>
      </c>
      <c r="H605" s="18">
        <v>0</v>
      </c>
    </row>
    <row r="606" spans="1:8" ht="12.2" customHeight="1" x14ac:dyDescent="0.2">
      <c r="D606" s="153" t="s">
        <v>4000</v>
      </c>
      <c r="E606" s="154"/>
      <c r="F606" s="154"/>
      <c r="G606" s="51">
        <v>0.318</v>
      </c>
    </row>
    <row r="607" spans="1:8" x14ac:dyDescent="0.2">
      <c r="A607" s="14"/>
      <c r="B607" s="14"/>
      <c r="C607" s="14" t="s">
        <v>104</v>
      </c>
      <c r="D607" s="133" t="s">
        <v>2674</v>
      </c>
      <c r="E607" s="134"/>
      <c r="F607" s="14"/>
      <c r="G607" s="27"/>
      <c r="H607" s="27"/>
    </row>
    <row r="608" spans="1:8" x14ac:dyDescent="0.2">
      <c r="A608" s="5" t="s">
        <v>270</v>
      </c>
      <c r="B608" s="5" t="s">
        <v>3645</v>
      </c>
      <c r="C608" s="5" t="s">
        <v>1449</v>
      </c>
      <c r="D608" s="135" t="s">
        <v>2675</v>
      </c>
      <c r="E608" s="136"/>
      <c r="F608" s="5" t="s">
        <v>3613</v>
      </c>
      <c r="G608" s="18">
        <v>12.936</v>
      </c>
      <c r="H608" s="18">
        <v>0</v>
      </c>
    </row>
    <row r="609" spans="1:8" ht="12.2" customHeight="1" x14ac:dyDescent="0.2">
      <c r="D609" s="153" t="s">
        <v>4001</v>
      </c>
      <c r="E609" s="154"/>
      <c r="F609" s="154"/>
      <c r="G609" s="51">
        <v>12.936</v>
      </c>
    </row>
    <row r="610" spans="1:8" x14ac:dyDescent="0.2">
      <c r="A610" s="14"/>
      <c r="B610" s="14"/>
      <c r="C610" s="14" t="s">
        <v>2180</v>
      </c>
      <c r="D610" s="133" t="s">
        <v>3386</v>
      </c>
      <c r="E610" s="134"/>
      <c r="F610" s="14"/>
      <c r="G610" s="27"/>
      <c r="H610" s="27"/>
    </row>
    <row r="611" spans="1:8" x14ac:dyDescent="0.2">
      <c r="A611" s="5" t="s">
        <v>271</v>
      </c>
      <c r="B611" s="5" t="s">
        <v>3646</v>
      </c>
      <c r="C611" s="5" t="s">
        <v>2181</v>
      </c>
      <c r="D611" s="135" t="s">
        <v>3387</v>
      </c>
      <c r="E611" s="136"/>
      <c r="F611" s="5" t="s">
        <v>3616</v>
      </c>
      <c r="G611" s="18">
        <v>430.6377</v>
      </c>
      <c r="H611" s="18">
        <v>0</v>
      </c>
    </row>
    <row r="612" spans="1:8" ht="12.2" customHeight="1" x14ac:dyDescent="0.2">
      <c r="D612" s="153" t="s">
        <v>4002</v>
      </c>
      <c r="E612" s="154"/>
      <c r="F612" s="154"/>
      <c r="G612" s="51">
        <v>430.6377</v>
      </c>
    </row>
    <row r="613" spans="1:8" x14ac:dyDescent="0.2">
      <c r="A613" s="14"/>
      <c r="B613" s="14"/>
      <c r="C613" s="14" t="s">
        <v>1450</v>
      </c>
      <c r="D613" s="133" t="s">
        <v>2676</v>
      </c>
      <c r="E613" s="134"/>
      <c r="F613" s="14"/>
      <c r="G613" s="27"/>
      <c r="H613" s="27"/>
    </row>
    <row r="614" spans="1:8" x14ac:dyDescent="0.2">
      <c r="A614" s="5" t="s">
        <v>272</v>
      </c>
      <c r="B614" s="5" t="s">
        <v>3645</v>
      </c>
      <c r="C614" s="5" t="s">
        <v>1451</v>
      </c>
      <c r="D614" s="135" t="s">
        <v>2677</v>
      </c>
      <c r="E614" s="136"/>
      <c r="F614" s="5" t="s">
        <v>3616</v>
      </c>
      <c r="G614" s="18">
        <v>1225.2639999999999</v>
      </c>
      <c r="H614" s="18">
        <v>0</v>
      </c>
    </row>
    <row r="615" spans="1:8" ht="12.2" customHeight="1" x14ac:dyDescent="0.2">
      <c r="D615" s="153" t="s">
        <v>4003</v>
      </c>
      <c r="E615" s="154"/>
      <c r="F615" s="154"/>
      <c r="G615" s="51">
        <v>1225.2639999999999</v>
      </c>
    </row>
    <row r="616" spans="1:8" x14ac:dyDescent="0.2">
      <c r="A616" s="14"/>
      <c r="B616" s="14"/>
      <c r="C616" s="14" t="s">
        <v>717</v>
      </c>
      <c r="D616" s="133" t="s">
        <v>2678</v>
      </c>
      <c r="E616" s="134"/>
      <c r="F616" s="14"/>
      <c r="G616" s="27"/>
      <c r="H616" s="27"/>
    </row>
    <row r="617" spans="1:8" x14ac:dyDescent="0.2">
      <c r="A617" s="5" t="s">
        <v>273</v>
      </c>
      <c r="B617" s="5" t="s">
        <v>3645</v>
      </c>
      <c r="C617" s="5" t="s">
        <v>1452</v>
      </c>
      <c r="D617" s="135" t="s">
        <v>2679</v>
      </c>
      <c r="E617" s="136"/>
      <c r="F617" s="5" t="s">
        <v>3615</v>
      </c>
      <c r="G617" s="18">
        <v>532.55399999999997</v>
      </c>
      <c r="H617" s="18">
        <v>0</v>
      </c>
    </row>
    <row r="618" spans="1:8" ht="12.2" customHeight="1" x14ac:dyDescent="0.2">
      <c r="D618" s="153" t="s">
        <v>4004</v>
      </c>
      <c r="E618" s="154"/>
      <c r="F618" s="154"/>
      <c r="G618" s="51">
        <v>532.55399999999997</v>
      </c>
    </row>
    <row r="619" spans="1:8" x14ac:dyDescent="0.2">
      <c r="A619" s="5" t="s">
        <v>274</v>
      </c>
      <c r="B619" s="5" t="s">
        <v>3645</v>
      </c>
      <c r="C619" s="5" t="s">
        <v>1452</v>
      </c>
      <c r="D619" s="135" t="s">
        <v>2680</v>
      </c>
      <c r="E619" s="136"/>
      <c r="F619" s="5" t="s">
        <v>3615</v>
      </c>
      <c r="G619" s="18">
        <v>10.557</v>
      </c>
      <c r="H619" s="18">
        <v>0</v>
      </c>
    </row>
    <row r="620" spans="1:8" ht="12.2" customHeight="1" x14ac:dyDescent="0.2">
      <c r="D620" s="153" t="s">
        <v>4005</v>
      </c>
      <c r="E620" s="154"/>
      <c r="F620" s="154"/>
      <c r="G620" s="51">
        <v>10.557</v>
      </c>
    </row>
    <row r="621" spans="1:8" x14ac:dyDescent="0.2">
      <c r="A621" s="5" t="s">
        <v>275</v>
      </c>
      <c r="B621" s="5" t="s">
        <v>3645</v>
      </c>
      <c r="C621" s="5" t="s">
        <v>1453</v>
      </c>
      <c r="D621" s="135" t="s">
        <v>2681</v>
      </c>
      <c r="E621" s="136"/>
      <c r="F621" s="5" t="s">
        <v>3615</v>
      </c>
      <c r="G621" s="18">
        <v>38.07</v>
      </c>
      <c r="H621" s="18">
        <v>0</v>
      </c>
    </row>
    <row r="622" spans="1:8" ht="12.2" customHeight="1" x14ac:dyDescent="0.2">
      <c r="D622" s="153" t="s">
        <v>4006</v>
      </c>
      <c r="E622" s="154"/>
      <c r="F622" s="154"/>
      <c r="G622" s="51">
        <v>38.07</v>
      </c>
    </row>
    <row r="623" spans="1:8" x14ac:dyDescent="0.2">
      <c r="A623" s="5" t="s">
        <v>276</v>
      </c>
      <c r="B623" s="5" t="s">
        <v>3645</v>
      </c>
      <c r="C623" s="5" t="s">
        <v>1453</v>
      </c>
      <c r="D623" s="135" t="s">
        <v>2682</v>
      </c>
      <c r="E623" s="136"/>
      <c r="F623" s="5" t="s">
        <v>3615</v>
      </c>
      <c r="G623" s="18">
        <v>18.751999999999999</v>
      </c>
      <c r="H623" s="18">
        <v>0</v>
      </c>
    </row>
    <row r="624" spans="1:8" ht="12.2" customHeight="1" x14ac:dyDescent="0.2">
      <c r="D624" s="153" t="s">
        <v>4007</v>
      </c>
      <c r="E624" s="154"/>
      <c r="F624" s="154"/>
      <c r="G624" s="51">
        <v>18.751999999999999</v>
      </c>
    </row>
    <row r="625" spans="1:8" x14ac:dyDescent="0.2">
      <c r="A625" s="5" t="s">
        <v>277</v>
      </c>
      <c r="B625" s="5" t="s">
        <v>3645</v>
      </c>
      <c r="C625" s="5" t="s">
        <v>1454</v>
      </c>
      <c r="D625" s="135" t="s">
        <v>2683</v>
      </c>
      <c r="E625" s="136"/>
      <c r="F625" s="5" t="s">
        <v>3615</v>
      </c>
      <c r="G625" s="18">
        <v>193.42</v>
      </c>
      <c r="H625" s="18">
        <v>0</v>
      </c>
    </row>
    <row r="626" spans="1:8" ht="12.2" customHeight="1" x14ac:dyDescent="0.2">
      <c r="D626" s="153" t="s">
        <v>4008</v>
      </c>
      <c r="E626" s="154"/>
      <c r="F626" s="154"/>
      <c r="G626" s="51">
        <v>193.42</v>
      </c>
    </row>
    <row r="627" spans="1:8" x14ac:dyDescent="0.2">
      <c r="A627" s="5" t="s">
        <v>278</v>
      </c>
      <c r="B627" s="5" t="s">
        <v>3645</v>
      </c>
      <c r="C627" s="5" t="s">
        <v>1454</v>
      </c>
      <c r="D627" s="135" t="s">
        <v>2684</v>
      </c>
      <c r="E627" s="136"/>
      <c r="F627" s="5" t="s">
        <v>3615</v>
      </c>
      <c r="G627" s="18">
        <v>94.48</v>
      </c>
      <c r="H627" s="18">
        <v>0</v>
      </c>
    </row>
    <row r="628" spans="1:8" ht="12.2" customHeight="1" x14ac:dyDescent="0.2">
      <c r="D628" s="153" t="s">
        <v>4009</v>
      </c>
      <c r="E628" s="154"/>
      <c r="F628" s="154"/>
      <c r="G628" s="51">
        <v>94.48</v>
      </c>
    </row>
    <row r="629" spans="1:8" x14ac:dyDescent="0.2">
      <c r="A629" s="5" t="s">
        <v>279</v>
      </c>
      <c r="B629" s="5" t="s">
        <v>3645</v>
      </c>
      <c r="C629" s="5" t="s">
        <v>1454</v>
      </c>
      <c r="D629" s="135" t="s">
        <v>2685</v>
      </c>
      <c r="E629" s="136"/>
      <c r="F629" s="5" t="s">
        <v>3615</v>
      </c>
      <c r="G629" s="18">
        <v>272.779</v>
      </c>
      <c r="H629" s="18">
        <v>0</v>
      </c>
    </row>
    <row r="630" spans="1:8" ht="12.2" customHeight="1" x14ac:dyDescent="0.2">
      <c r="D630" s="153" t="s">
        <v>4010</v>
      </c>
      <c r="E630" s="154"/>
      <c r="F630" s="154"/>
      <c r="G630" s="51">
        <v>272.779</v>
      </c>
    </row>
    <row r="631" spans="1:8" x14ac:dyDescent="0.2">
      <c r="A631" s="5" t="s">
        <v>280</v>
      </c>
      <c r="B631" s="5" t="s">
        <v>3645</v>
      </c>
      <c r="C631" s="5" t="s">
        <v>1455</v>
      </c>
      <c r="D631" s="135" t="s">
        <v>2686</v>
      </c>
      <c r="E631" s="136"/>
      <c r="F631" s="5" t="s">
        <v>3615</v>
      </c>
      <c r="G631" s="18">
        <v>33.619999999999997</v>
      </c>
      <c r="H631" s="18">
        <v>0</v>
      </c>
    </row>
    <row r="632" spans="1:8" ht="12.2" customHeight="1" x14ac:dyDescent="0.2">
      <c r="D632" s="153" t="s">
        <v>4011</v>
      </c>
      <c r="E632" s="154"/>
      <c r="F632" s="154"/>
      <c r="G632" s="51">
        <v>33.619999999999997</v>
      </c>
    </row>
    <row r="633" spans="1:8" x14ac:dyDescent="0.2">
      <c r="A633" s="5" t="s">
        <v>281</v>
      </c>
      <c r="B633" s="5" t="s">
        <v>3645</v>
      </c>
      <c r="C633" s="5" t="s">
        <v>1456</v>
      </c>
      <c r="D633" s="135" t="s">
        <v>2687</v>
      </c>
      <c r="E633" s="136"/>
      <c r="F633" s="5" t="s">
        <v>3615</v>
      </c>
      <c r="G633" s="18">
        <v>33.723999999999997</v>
      </c>
      <c r="H633" s="18">
        <v>0</v>
      </c>
    </row>
    <row r="634" spans="1:8" ht="12.2" customHeight="1" x14ac:dyDescent="0.2">
      <c r="D634" s="153" t="s">
        <v>4012</v>
      </c>
      <c r="E634" s="154"/>
      <c r="F634" s="154"/>
      <c r="G634" s="51">
        <v>33.723999999999997</v>
      </c>
    </row>
    <row r="635" spans="1:8" x14ac:dyDescent="0.2">
      <c r="A635" s="5" t="s">
        <v>282</v>
      </c>
      <c r="B635" s="5" t="s">
        <v>3645</v>
      </c>
      <c r="C635" s="5" t="s">
        <v>1457</v>
      </c>
      <c r="D635" s="135" t="s">
        <v>2688</v>
      </c>
      <c r="E635" s="136"/>
      <c r="F635" s="5" t="s">
        <v>3615</v>
      </c>
      <c r="G635" s="18">
        <v>96.71</v>
      </c>
      <c r="H635" s="18">
        <v>0</v>
      </c>
    </row>
    <row r="636" spans="1:8" ht="12.2" customHeight="1" x14ac:dyDescent="0.2">
      <c r="D636" s="153" t="s">
        <v>4013</v>
      </c>
      <c r="E636" s="154"/>
      <c r="F636" s="154"/>
      <c r="G636" s="51">
        <v>96.71</v>
      </c>
    </row>
    <row r="637" spans="1:8" x14ac:dyDescent="0.2">
      <c r="A637" s="5" t="s">
        <v>283</v>
      </c>
      <c r="B637" s="5" t="s">
        <v>3645</v>
      </c>
      <c r="C637" s="5" t="s">
        <v>1458</v>
      </c>
      <c r="D637" s="135" t="s">
        <v>2689</v>
      </c>
      <c r="E637" s="136"/>
      <c r="F637" s="5" t="s">
        <v>3615</v>
      </c>
      <c r="G637" s="18">
        <v>75.038399999999996</v>
      </c>
      <c r="H637" s="18">
        <v>0</v>
      </c>
    </row>
    <row r="638" spans="1:8" ht="12.2" customHeight="1" x14ac:dyDescent="0.2">
      <c r="D638" s="153" t="s">
        <v>4014</v>
      </c>
      <c r="E638" s="154"/>
      <c r="F638" s="154"/>
      <c r="G638" s="51">
        <v>75.038399999999996</v>
      </c>
    </row>
    <row r="639" spans="1:8" x14ac:dyDescent="0.2">
      <c r="A639" s="5" t="s">
        <v>284</v>
      </c>
      <c r="B639" s="5" t="s">
        <v>3645</v>
      </c>
      <c r="C639" s="5" t="s">
        <v>1458</v>
      </c>
      <c r="D639" s="135" t="s">
        <v>2690</v>
      </c>
      <c r="E639" s="136"/>
      <c r="F639" s="5" t="s">
        <v>3615</v>
      </c>
      <c r="G639" s="18">
        <v>31.06</v>
      </c>
      <c r="H639" s="18">
        <v>0</v>
      </c>
    </row>
    <row r="640" spans="1:8" ht="12.2" customHeight="1" x14ac:dyDescent="0.2">
      <c r="D640" s="153" t="s">
        <v>4015</v>
      </c>
      <c r="E640" s="154"/>
      <c r="F640" s="154"/>
      <c r="G640" s="51">
        <v>31.06</v>
      </c>
    </row>
    <row r="641" spans="1:8" x14ac:dyDescent="0.2">
      <c r="A641" s="5" t="s">
        <v>285</v>
      </c>
      <c r="B641" s="5" t="s">
        <v>3645</v>
      </c>
      <c r="C641" s="5" t="s">
        <v>1459</v>
      </c>
      <c r="D641" s="135" t="s">
        <v>2691</v>
      </c>
      <c r="E641" s="136"/>
      <c r="F641" s="5" t="s">
        <v>3615</v>
      </c>
      <c r="G641" s="18">
        <v>366.3</v>
      </c>
      <c r="H641" s="18">
        <v>0</v>
      </c>
    </row>
    <row r="642" spans="1:8" ht="12.2" customHeight="1" x14ac:dyDescent="0.2">
      <c r="D642" s="153" t="s">
        <v>4016</v>
      </c>
      <c r="E642" s="154"/>
      <c r="F642" s="154"/>
      <c r="G642" s="51">
        <v>366.3</v>
      </c>
    </row>
    <row r="643" spans="1:8" x14ac:dyDescent="0.2">
      <c r="A643" s="5" t="s">
        <v>286</v>
      </c>
      <c r="B643" s="5" t="s">
        <v>3645</v>
      </c>
      <c r="C643" s="5" t="s">
        <v>1460</v>
      </c>
      <c r="D643" s="135" t="s">
        <v>2692</v>
      </c>
      <c r="E643" s="136"/>
      <c r="F643" s="5" t="s">
        <v>3615</v>
      </c>
      <c r="G643" s="18">
        <v>10.557</v>
      </c>
      <c r="H643" s="18">
        <v>0</v>
      </c>
    </row>
    <row r="644" spans="1:8" ht="12.2" customHeight="1" x14ac:dyDescent="0.2">
      <c r="D644" s="153" t="s">
        <v>4017</v>
      </c>
      <c r="E644" s="154"/>
      <c r="F644" s="154"/>
      <c r="G644" s="51">
        <v>10.557</v>
      </c>
    </row>
    <row r="645" spans="1:8" x14ac:dyDescent="0.2">
      <c r="A645" s="5" t="s">
        <v>287</v>
      </c>
      <c r="B645" s="5" t="s">
        <v>3645</v>
      </c>
      <c r="C645" s="5" t="s">
        <v>1461</v>
      </c>
      <c r="D645" s="135" t="s">
        <v>2693</v>
      </c>
      <c r="E645" s="136"/>
      <c r="F645" s="5" t="s">
        <v>3615</v>
      </c>
      <c r="G645" s="18">
        <v>116.6</v>
      </c>
      <c r="H645" s="18">
        <v>0</v>
      </c>
    </row>
    <row r="646" spans="1:8" ht="12.2" customHeight="1" x14ac:dyDescent="0.2">
      <c r="D646" s="153" t="s">
        <v>3883</v>
      </c>
      <c r="E646" s="154"/>
      <c r="F646" s="154"/>
      <c r="G646" s="51">
        <v>116.6</v>
      </c>
    </row>
    <row r="647" spans="1:8" x14ac:dyDescent="0.2">
      <c r="A647" s="5" t="s">
        <v>288</v>
      </c>
      <c r="B647" s="5" t="s">
        <v>3645</v>
      </c>
      <c r="C647" s="5" t="s">
        <v>1462</v>
      </c>
      <c r="D647" s="135" t="s">
        <v>2694</v>
      </c>
      <c r="E647" s="136"/>
      <c r="F647" s="5" t="s">
        <v>3615</v>
      </c>
      <c r="G647" s="18">
        <v>38.07</v>
      </c>
      <c r="H647" s="18">
        <v>0</v>
      </c>
    </row>
    <row r="648" spans="1:8" ht="12.2" customHeight="1" x14ac:dyDescent="0.2">
      <c r="D648" s="153" t="s">
        <v>4018</v>
      </c>
      <c r="E648" s="154"/>
      <c r="F648" s="154"/>
      <c r="G648" s="51">
        <v>38.07</v>
      </c>
    </row>
    <row r="649" spans="1:8" x14ac:dyDescent="0.2">
      <c r="A649" s="5" t="s">
        <v>289</v>
      </c>
      <c r="B649" s="5" t="s">
        <v>3645</v>
      </c>
      <c r="C649" s="5" t="s">
        <v>1463</v>
      </c>
      <c r="D649" s="135" t="s">
        <v>2695</v>
      </c>
      <c r="E649" s="136"/>
      <c r="F649" s="5" t="s">
        <v>3615</v>
      </c>
      <c r="G649" s="18">
        <v>18.751999999999999</v>
      </c>
      <c r="H649" s="18">
        <v>0</v>
      </c>
    </row>
    <row r="650" spans="1:8" ht="12.2" customHeight="1" x14ac:dyDescent="0.2">
      <c r="D650" s="153" t="s">
        <v>4019</v>
      </c>
      <c r="E650" s="154"/>
      <c r="F650" s="154"/>
      <c r="G650" s="51">
        <v>18.751999999999999</v>
      </c>
    </row>
    <row r="651" spans="1:8" x14ac:dyDescent="0.2">
      <c r="A651" s="5" t="s">
        <v>290</v>
      </c>
      <c r="B651" s="5" t="s">
        <v>3645</v>
      </c>
      <c r="C651" s="5" t="s">
        <v>1464</v>
      </c>
      <c r="D651" s="135" t="s">
        <v>2696</v>
      </c>
      <c r="E651" s="136"/>
      <c r="F651" s="5" t="s">
        <v>3615</v>
      </c>
      <c r="G651" s="18">
        <v>333</v>
      </c>
      <c r="H651" s="18">
        <v>0</v>
      </c>
    </row>
    <row r="652" spans="1:8" ht="12.2" customHeight="1" x14ac:dyDescent="0.2">
      <c r="D652" s="153" t="s">
        <v>4020</v>
      </c>
      <c r="E652" s="154"/>
      <c r="F652" s="154"/>
      <c r="G652" s="51">
        <v>333</v>
      </c>
    </row>
    <row r="653" spans="1:8" x14ac:dyDescent="0.2">
      <c r="A653" s="5" t="s">
        <v>291</v>
      </c>
      <c r="B653" s="5" t="s">
        <v>3645</v>
      </c>
      <c r="C653" s="5" t="s">
        <v>1465</v>
      </c>
      <c r="D653" s="135" t="s">
        <v>2697</v>
      </c>
      <c r="E653" s="136"/>
      <c r="F653" s="5" t="s">
        <v>3616</v>
      </c>
      <c r="G653" s="18">
        <v>6.0556999999999999</v>
      </c>
      <c r="H653" s="18">
        <v>0</v>
      </c>
    </row>
    <row r="654" spans="1:8" ht="12.2" customHeight="1" x14ac:dyDescent="0.2">
      <c r="D654" s="153" t="s">
        <v>4021</v>
      </c>
      <c r="E654" s="154"/>
      <c r="F654" s="154"/>
      <c r="G654" s="51">
        <v>6.0556999999999999</v>
      </c>
    </row>
    <row r="655" spans="1:8" x14ac:dyDescent="0.2">
      <c r="A655" s="14"/>
      <c r="B655" s="14"/>
      <c r="C655" s="14" t="s">
        <v>718</v>
      </c>
      <c r="D655" s="133" t="s">
        <v>2698</v>
      </c>
      <c r="E655" s="134"/>
      <c r="F655" s="14"/>
      <c r="G655" s="27"/>
      <c r="H655" s="27"/>
    </row>
    <row r="656" spans="1:8" x14ac:dyDescent="0.2">
      <c r="A656" s="5" t="s">
        <v>292</v>
      </c>
      <c r="B656" s="5" t="s">
        <v>3645</v>
      </c>
      <c r="C656" s="5" t="s">
        <v>1466</v>
      </c>
      <c r="D656" s="135" t="s">
        <v>2699</v>
      </c>
      <c r="E656" s="136"/>
      <c r="F656" s="5" t="s">
        <v>3615</v>
      </c>
      <c r="G656" s="18">
        <v>272.779</v>
      </c>
      <c r="H656" s="18">
        <v>0</v>
      </c>
    </row>
    <row r="657" spans="1:8" ht="12.2" customHeight="1" x14ac:dyDescent="0.2">
      <c r="D657" s="153" t="s">
        <v>4010</v>
      </c>
      <c r="E657" s="154"/>
      <c r="F657" s="154"/>
      <c r="G657" s="51">
        <v>272.779</v>
      </c>
    </row>
    <row r="658" spans="1:8" x14ac:dyDescent="0.2">
      <c r="A658" s="5" t="s">
        <v>293</v>
      </c>
      <c r="B658" s="5" t="s">
        <v>3645</v>
      </c>
      <c r="C658" s="5" t="s">
        <v>1466</v>
      </c>
      <c r="D658" s="135" t="s">
        <v>2700</v>
      </c>
      <c r="E658" s="136"/>
      <c r="F658" s="5" t="s">
        <v>3615</v>
      </c>
      <c r="G658" s="18">
        <v>272.779</v>
      </c>
      <c r="H658" s="18">
        <v>0</v>
      </c>
    </row>
    <row r="659" spans="1:8" ht="12.2" customHeight="1" x14ac:dyDescent="0.2">
      <c r="D659" s="153" t="s">
        <v>4010</v>
      </c>
      <c r="E659" s="154"/>
      <c r="F659" s="154"/>
      <c r="G659" s="51">
        <v>272.779</v>
      </c>
    </row>
    <row r="660" spans="1:8" x14ac:dyDescent="0.2">
      <c r="A660" s="5" t="s">
        <v>294</v>
      </c>
      <c r="B660" s="5" t="s">
        <v>3645</v>
      </c>
      <c r="C660" s="5" t="s">
        <v>1467</v>
      </c>
      <c r="D660" s="135" t="s">
        <v>2701</v>
      </c>
      <c r="E660" s="136"/>
      <c r="F660" s="5" t="s">
        <v>3615</v>
      </c>
      <c r="G660" s="18">
        <v>87.873999999999995</v>
      </c>
      <c r="H660" s="18">
        <v>0</v>
      </c>
    </row>
    <row r="661" spans="1:8" ht="12.2" customHeight="1" x14ac:dyDescent="0.2">
      <c r="D661" s="153" t="s">
        <v>4022</v>
      </c>
      <c r="E661" s="154"/>
      <c r="F661" s="154"/>
      <c r="G661" s="51">
        <v>87.873999999999995</v>
      </c>
    </row>
    <row r="662" spans="1:8" x14ac:dyDescent="0.2">
      <c r="A662" s="5" t="s">
        <v>295</v>
      </c>
      <c r="B662" s="5" t="s">
        <v>3645</v>
      </c>
      <c r="C662" s="5" t="s">
        <v>1468</v>
      </c>
      <c r="D662" s="135" t="s">
        <v>2702</v>
      </c>
      <c r="E662" s="136"/>
      <c r="F662" s="5" t="s">
        <v>3615</v>
      </c>
      <c r="G662" s="18">
        <v>87.873999999999995</v>
      </c>
      <c r="H662" s="18">
        <v>0</v>
      </c>
    </row>
    <row r="663" spans="1:8" ht="12.2" customHeight="1" x14ac:dyDescent="0.2">
      <c r="D663" s="153" t="s">
        <v>4022</v>
      </c>
      <c r="E663" s="154"/>
      <c r="F663" s="154"/>
      <c r="G663" s="51">
        <v>87.873999999999995</v>
      </c>
    </row>
    <row r="664" spans="1:8" x14ac:dyDescent="0.2">
      <c r="A664" s="5" t="s">
        <v>296</v>
      </c>
      <c r="B664" s="5" t="s">
        <v>3645</v>
      </c>
      <c r="C664" s="5" t="s">
        <v>1469</v>
      </c>
      <c r="D664" s="135" t="s">
        <v>2703</v>
      </c>
      <c r="E664" s="136"/>
      <c r="F664" s="5" t="s">
        <v>3615</v>
      </c>
      <c r="G664" s="18">
        <v>511.63099999999997</v>
      </c>
      <c r="H664" s="18">
        <v>0</v>
      </c>
    </row>
    <row r="665" spans="1:8" ht="12.2" customHeight="1" x14ac:dyDescent="0.2">
      <c r="D665" s="153" t="s">
        <v>4023</v>
      </c>
      <c r="E665" s="154"/>
      <c r="F665" s="154"/>
      <c r="G665" s="51">
        <v>511.63099999999997</v>
      </c>
    </row>
    <row r="666" spans="1:8" x14ac:dyDescent="0.2">
      <c r="A666" s="5" t="s">
        <v>297</v>
      </c>
      <c r="B666" s="5" t="s">
        <v>3645</v>
      </c>
      <c r="C666" s="5" t="s">
        <v>1470</v>
      </c>
      <c r="D666" s="135" t="s">
        <v>2704</v>
      </c>
      <c r="E666" s="136"/>
      <c r="F666" s="5" t="s">
        <v>3615</v>
      </c>
      <c r="G666" s="18">
        <v>599.68415000000005</v>
      </c>
      <c r="H666" s="18">
        <v>0</v>
      </c>
    </row>
    <row r="667" spans="1:8" ht="12.2" customHeight="1" x14ac:dyDescent="0.2">
      <c r="D667" s="153" t="s">
        <v>4024</v>
      </c>
      <c r="E667" s="154"/>
      <c r="F667" s="154"/>
      <c r="G667" s="51">
        <v>135.303</v>
      </c>
    </row>
    <row r="668" spans="1:8" ht="12.2" customHeight="1" x14ac:dyDescent="0.2">
      <c r="A668" s="5"/>
      <c r="B668" s="5"/>
      <c r="C668" s="5"/>
      <c r="D668" s="153" t="s">
        <v>4025</v>
      </c>
      <c r="E668" s="154"/>
      <c r="F668" s="153"/>
      <c r="G668" s="51">
        <v>187.9282</v>
      </c>
      <c r="H668" s="28"/>
    </row>
    <row r="669" spans="1:8" ht="12.2" customHeight="1" x14ac:dyDescent="0.2">
      <c r="A669" s="5"/>
      <c r="B669" s="5"/>
      <c r="C669" s="5"/>
      <c r="D669" s="153" t="s">
        <v>4026</v>
      </c>
      <c r="E669" s="154"/>
      <c r="F669" s="153"/>
      <c r="G669" s="51">
        <v>75.156400000000005</v>
      </c>
      <c r="H669" s="28"/>
    </row>
    <row r="670" spans="1:8" ht="12.2" customHeight="1" x14ac:dyDescent="0.2">
      <c r="A670" s="5"/>
      <c r="B670" s="5"/>
      <c r="C670" s="5"/>
      <c r="D670" s="153" t="s">
        <v>4027</v>
      </c>
      <c r="E670" s="154"/>
      <c r="F670" s="153"/>
      <c r="G670" s="51">
        <v>188.39879999999999</v>
      </c>
      <c r="H670" s="28"/>
    </row>
    <row r="671" spans="1:8" ht="12.2" customHeight="1" x14ac:dyDescent="0.2">
      <c r="A671" s="5"/>
      <c r="B671" s="5"/>
      <c r="C671" s="5"/>
      <c r="D671" s="153" t="s">
        <v>4028</v>
      </c>
      <c r="E671" s="154"/>
      <c r="F671" s="153"/>
      <c r="G671" s="51">
        <v>12.89775</v>
      </c>
      <c r="H671" s="28"/>
    </row>
    <row r="672" spans="1:8" x14ac:dyDescent="0.2">
      <c r="A672" s="5" t="s">
        <v>298</v>
      </c>
      <c r="B672" s="5" t="s">
        <v>3645</v>
      </c>
      <c r="C672" s="5" t="s">
        <v>1471</v>
      </c>
      <c r="D672" s="135" t="s">
        <v>2705</v>
      </c>
      <c r="E672" s="136"/>
      <c r="F672" s="5" t="s">
        <v>3615</v>
      </c>
      <c r="G672" s="18">
        <v>687.37900000000002</v>
      </c>
      <c r="H672" s="18">
        <v>0</v>
      </c>
    </row>
    <row r="673" spans="1:8" ht="12.2" customHeight="1" x14ac:dyDescent="0.2">
      <c r="D673" s="153" t="s">
        <v>4029</v>
      </c>
      <c r="E673" s="154"/>
      <c r="F673" s="154"/>
      <c r="G673" s="51">
        <v>687.37900000000002</v>
      </c>
    </row>
    <row r="674" spans="1:8" x14ac:dyDescent="0.2">
      <c r="A674" s="5" t="s">
        <v>299</v>
      </c>
      <c r="B674" s="5" t="s">
        <v>3645</v>
      </c>
      <c r="C674" s="5" t="s">
        <v>1472</v>
      </c>
      <c r="D674" s="135" t="s">
        <v>2706</v>
      </c>
      <c r="E674" s="136"/>
      <c r="F674" s="5" t="s">
        <v>3615</v>
      </c>
      <c r="G674" s="18">
        <v>323.23099999999999</v>
      </c>
      <c r="H674" s="18">
        <v>0</v>
      </c>
    </row>
    <row r="675" spans="1:8" ht="12.2" customHeight="1" x14ac:dyDescent="0.2">
      <c r="D675" s="153" t="s">
        <v>4030</v>
      </c>
      <c r="E675" s="154"/>
      <c r="F675" s="154"/>
      <c r="G675" s="51">
        <v>323.23099999999999</v>
      </c>
    </row>
    <row r="676" spans="1:8" x14ac:dyDescent="0.2">
      <c r="A676" s="5" t="s">
        <v>300</v>
      </c>
      <c r="B676" s="5" t="s">
        <v>3645</v>
      </c>
      <c r="C676" s="5" t="s">
        <v>1473</v>
      </c>
      <c r="D676" s="135" t="s">
        <v>2707</v>
      </c>
      <c r="E676" s="136"/>
      <c r="F676" s="5" t="s">
        <v>3616</v>
      </c>
      <c r="G676" s="18">
        <v>5.0831999999999997</v>
      </c>
      <c r="H676" s="18">
        <v>0</v>
      </c>
    </row>
    <row r="677" spans="1:8" ht="12.2" customHeight="1" x14ac:dyDescent="0.2">
      <c r="D677" s="153" t="s">
        <v>4031</v>
      </c>
      <c r="E677" s="154"/>
      <c r="F677" s="154"/>
      <c r="G677" s="51">
        <v>5.0831999999999997</v>
      </c>
    </row>
    <row r="678" spans="1:8" x14ac:dyDescent="0.2">
      <c r="A678" s="14"/>
      <c r="B678" s="14"/>
      <c r="C678" s="14" t="s">
        <v>719</v>
      </c>
      <c r="D678" s="133" t="s">
        <v>2708</v>
      </c>
      <c r="E678" s="134"/>
      <c r="F678" s="14"/>
      <c r="G678" s="27"/>
      <c r="H678" s="27"/>
    </row>
    <row r="679" spans="1:8" x14ac:dyDescent="0.2">
      <c r="A679" s="5" t="s">
        <v>301</v>
      </c>
      <c r="B679" s="5" t="s">
        <v>3645</v>
      </c>
      <c r="C679" s="5" t="s">
        <v>1474</v>
      </c>
      <c r="D679" s="135" t="s">
        <v>2709</v>
      </c>
      <c r="E679" s="136"/>
      <c r="F679" s="5" t="s">
        <v>3615</v>
      </c>
      <c r="G679" s="18">
        <v>96.71</v>
      </c>
      <c r="H679" s="18">
        <v>0</v>
      </c>
    </row>
    <row r="680" spans="1:8" ht="12.2" customHeight="1" x14ac:dyDescent="0.2">
      <c r="D680" s="153" t="s">
        <v>4013</v>
      </c>
      <c r="E680" s="154"/>
      <c r="F680" s="154"/>
      <c r="G680" s="51">
        <v>96.71</v>
      </c>
    </row>
    <row r="681" spans="1:8" x14ac:dyDescent="0.2">
      <c r="A681" s="5" t="s">
        <v>302</v>
      </c>
      <c r="B681" s="5" t="s">
        <v>3645</v>
      </c>
      <c r="C681" s="5" t="s">
        <v>1475</v>
      </c>
      <c r="D681" s="135" t="s">
        <v>2710</v>
      </c>
      <c r="E681" s="136"/>
      <c r="F681" s="5" t="s">
        <v>3615</v>
      </c>
      <c r="G681" s="18">
        <v>94.48</v>
      </c>
      <c r="H681" s="18">
        <v>0</v>
      </c>
    </row>
    <row r="682" spans="1:8" ht="12.2" customHeight="1" x14ac:dyDescent="0.2">
      <c r="D682" s="153" t="s">
        <v>4009</v>
      </c>
      <c r="E682" s="154"/>
      <c r="F682" s="154"/>
      <c r="G682" s="51">
        <v>94.48</v>
      </c>
    </row>
    <row r="683" spans="1:8" x14ac:dyDescent="0.2">
      <c r="A683" s="5" t="s">
        <v>303</v>
      </c>
      <c r="B683" s="5" t="s">
        <v>3645</v>
      </c>
      <c r="C683" s="5" t="s">
        <v>1476</v>
      </c>
      <c r="D683" s="135" t="s">
        <v>2711</v>
      </c>
      <c r="E683" s="136"/>
      <c r="F683" s="5" t="s">
        <v>3615</v>
      </c>
      <c r="G683" s="18">
        <v>545.55799999999999</v>
      </c>
      <c r="H683" s="18">
        <v>0</v>
      </c>
    </row>
    <row r="684" spans="1:8" ht="12.2" customHeight="1" x14ac:dyDescent="0.2">
      <c r="D684" s="153" t="s">
        <v>4032</v>
      </c>
      <c r="E684" s="154"/>
      <c r="F684" s="154"/>
      <c r="G684" s="51">
        <v>545.55799999999999</v>
      </c>
    </row>
    <row r="685" spans="1:8" x14ac:dyDescent="0.2">
      <c r="A685" s="5" t="s">
        <v>304</v>
      </c>
      <c r="B685" s="5" t="s">
        <v>3645</v>
      </c>
      <c r="C685" s="5" t="s">
        <v>1477</v>
      </c>
      <c r="D685" s="135" t="s">
        <v>2712</v>
      </c>
      <c r="E685" s="136"/>
      <c r="F685" s="5" t="s">
        <v>3615</v>
      </c>
      <c r="G685" s="18">
        <v>219.07</v>
      </c>
      <c r="H685" s="18">
        <v>0</v>
      </c>
    </row>
    <row r="686" spans="1:8" ht="12.2" customHeight="1" x14ac:dyDescent="0.2">
      <c r="D686" s="153" t="s">
        <v>4033</v>
      </c>
      <c r="E686" s="154"/>
      <c r="F686" s="154"/>
      <c r="G686" s="51">
        <v>219.07</v>
      </c>
    </row>
    <row r="687" spans="1:8" x14ac:dyDescent="0.2">
      <c r="A687" s="6" t="s">
        <v>305</v>
      </c>
      <c r="B687" s="6" t="s">
        <v>3645</v>
      </c>
      <c r="C687" s="6" t="s">
        <v>1478</v>
      </c>
      <c r="D687" s="137" t="s">
        <v>2713</v>
      </c>
      <c r="E687" s="138"/>
      <c r="F687" s="6" t="s">
        <v>3615</v>
      </c>
      <c r="G687" s="19">
        <v>230.02350000000001</v>
      </c>
      <c r="H687" s="19">
        <v>0</v>
      </c>
    </row>
    <row r="688" spans="1:8" ht="12.2" customHeight="1" x14ac:dyDescent="0.2">
      <c r="D688" s="155" t="s">
        <v>4034</v>
      </c>
      <c r="E688" s="156"/>
      <c r="F688" s="156"/>
      <c r="G688" s="52">
        <v>219.07</v>
      </c>
    </row>
    <row r="689" spans="1:8" ht="12.2" customHeight="1" x14ac:dyDescent="0.2">
      <c r="A689" s="6"/>
      <c r="B689" s="6"/>
      <c r="C689" s="6"/>
      <c r="D689" s="155" t="s">
        <v>4035</v>
      </c>
      <c r="E689" s="156"/>
      <c r="F689" s="155"/>
      <c r="G689" s="52">
        <v>10.9535</v>
      </c>
      <c r="H689" s="29"/>
    </row>
    <row r="690" spans="1:8" x14ac:dyDescent="0.2">
      <c r="A690" s="5" t="s">
        <v>306</v>
      </c>
      <c r="B690" s="5" t="s">
        <v>3645</v>
      </c>
      <c r="C690" s="5" t="s">
        <v>1479</v>
      </c>
      <c r="D690" s="135" t="s">
        <v>2714</v>
      </c>
      <c r="E690" s="136"/>
      <c r="F690" s="5" t="s">
        <v>3615</v>
      </c>
      <c r="G690" s="18">
        <v>333</v>
      </c>
      <c r="H690" s="18">
        <v>0</v>
      </c>
    </row>
    <row r="691" spans="1:8" ht="12.2" customHeight="1" x14ac:dyDescent="0.2">
      <c r="D691" s="153" t="s">
        <v>4036</v>
      </c>
      <c r="E691" s="154"/>
      <c r="F691" s="154"/>
      <c r="G691" s="51">
        <v>333</v>
      </c>
    </row>
    <row r="692" spans="1:8" x14ac:dyDescent="0.2">
      <c r="A692" s="6" t="s">
        <v>307</v>
      </c>
      <c r="B692" s="6" t="s">
        <v>3645</v>
      </c>
      <c r="C692" s="6" t="s">
        <v>1480</v>
      </c>
      <c r="D692" s="137" t="s">
        <v>2715</v>
      </c>
      <c r="E692" s="138"/>
      <c r="F692" s="6" t="s">
        <v>3615</v>
      </c>
      <c r="G692" s="19">
        <v>349.65</v>
      </c>
      <c r="H692" s="19">
        <v>0</v>
      </c>
    </row>
    <row r="693" spans="1:8" ht="12.2" customHeight="1" x14ac:dyDescent="0.2">
      <c r="D693" s="155" t="s">
        <v>4020</v>
      </c>
      <c r="E693" s="156"/>
      <c r="F693" s="156"/>
      <c r="G693" s="52">
        <v>333</v>
      </c>
    </row>
    <row r="694" spans="1:8" ht="12.2" customHeight="1" x14ac:dyDescent="0.2">
      <c r="A694" s="6"/>
      <c r="B694" s="6"/>
      <c r="C694" s="6"/>
      <c r="D694" s="155" t="s">
        <v>4037</v>
      </c>
      <c r="E694" s="156"/>
      <c r="F694" s="155"/>
      <c r="G694" s="52">
        <v>16.649999999999999</v>
      </c>
      <c r="H694" s="29"/>
    </row>
    <row r="695" spans="1:8" x14ac:dyDescent="0.2">
      <c r="A695" s="5" t="s">
        <v>308</v>
      </c>
      <c r="B695" s="5" t="s">
        <v>3645</v>
      </c>
      <c r="C695" s="5" t="s">
        <v>1481</v>
      </c>
      <c r="D695" s="135" t="s">
        <v>2716</v>
      </c>
      <c r="E695" s="136"/>
      <c r="F695" s="5" t="s">
        <v>3615</v>
      </c>
      <c r="G695" s="18">
        <v>462.94</v>
      </c>
      <c r="H695" s="18">
        <v>0</v>
      </c>
    </row>
    <row r="696" spans="1:8" ht="12.2" customHeight="1" x14ac:dyDescent="0.2">
      <c r="D696" s="153" t="s">
        <v>4038</v>
      </c>
      <c r="E696" s="154"/>
      <c r="F696" s="154"/>
      <c r="G696" s="51">
        <v>462.94</v>
      </c>
    </row>
    <row r="697" spans="1:8" x14ac:dyDescent="0.2">
      <c r="A697" s="6" t="s">
        <v>309</v>
      </c>
      <c r="B697" s="6" t="s">
        <v>3645</v>
      </c>
      <c r="C697" s="6" t="s">
        <v>1480</v>
      </c>
      <c r="D697" s="137" t="s">
        <v>2715</v>
      </c>
      <c r="E697" s="138"/>
      <c r="F697" s="6" t="s">
        <v>3615</v>
      </c>
      <c r="G697" s="19">
        <v>972.17399999999998</v>
      </c>
      <c r="H697" s="19">
        <v>0</v>
      </c>
    </row>
    <row r="698" spans="1:8" ht="12.2" customHeight="1" x14ac:dyDescent="0.2">
      <c r="D698" s="155" t="s">
        <v>4039</v>
      </c>
      <c r="E698" s="156"/>
      <c r="F698" s="156"/>
      <c r="G698" s="52">
        <v>925.88</v>
      </c>
    </row>
    <row r="699" spans="1:8" ht="12.2" customHeight="1" x14ac:dyDescent="0.2">
      <c r="A699" s="6"/>
      <c r="B699" s="6"/>
      <c r="C699" s="6"/>
      <c r="D699" s="155" t="s">
        <v>4040</v>
      </c>
      <c r="E699" s="156"/>
      <c r="F699" s="155"/>
      <c r="G699" s="52">
        <v>46.293999999999997</v>
      </c>
      <c r="H699" s="29"/>
    </row>
    <row r="700" spans="1:8" x14ac:dyDescent="0.2">
      <c r="A700" s="5" t="s">
        <v>310</v>
      </c>
      <c r="B700" s="5" t="s">
        <v>3645</v>
      </c>
      <c r="C700" s="5" t="s">
        <v>1482</v>
      </c>
      <c r="D700" s="135" t="s">
        <v>2717</v>
      </c>
      <c r="E700" s="136"/>
      <c r="F700" s="5" t="s">
        <v>3615</v>
      </c>
      <c r="G700" s="18">
        <v>89.13</v>
      </c>
      <c r="H700" s="18">
        <v>0</v>
      </c>
    </row>
    <row r="701" spans="1:8" ht="12.2" customHeight="1" x14ac:dyDescent="0.2">
      <c r="D701" s="153" t="s">
        <v>4041</v>
      </c>
      <c r="E701" s="154"/>
      <c r="F701" s="154"/>
      <c r="G701" s="51">
        <v>89.13</v>
      </c>
    </row>
    <row r="702" spans="1:8" x14ac:dyDescent="0.2">
      <c r="A702" s="5" t="s">
        <v>311</v>
      </c>
      <c r="B702" s="5" t="s">
        <v>3645</v>
      </c>
      <c r="C702" s="5" t="s">
        <v>1483</v>
      </c>
      <c r="D702" s="135" t="s">
        <v>2718</v>
      </c>
      <c r="E702" s="136"/>
      <c r="F702" s="5" t="s">
        <v>3615</v>
      </c>
      <c r="G702" s="18">
        <v>511.63099999999997</v>
      </c>
      <c r="H702" s="18">
        <v>0</v>
      </c>
    </row>
    <row r="703" spans="1:8" ht="12.2" customHeight="1" x14ac:dyDescent="0.2">
      <c r="D703" s="153" t="s">
        <v>4023</v>
      </c>
      <c r="E703" s="154"/>
      <c r="F703" s="154"/>
      <c r="G703" s="51">
        <v>511.63099999999997</v>
      </c>
    </row>
    <row r="704" spans="1:8" x14ac:dyDescent="0.2">
      <c r="A704" s="6" t="s">
        <v>312</v>
      </c>
      <c r="B704" s="6" t="s">
        <v>3645</v>
      </c>
      <c r="C704" s="6" t="s">
        <v>1484</v>
      </c>
      <c r="D704" s="137" t="s">
        <v>2719</v>
      </c>
      <c r="E704" s="138"/>
      <c r="F704" s="6" t="s">
        <v>3615</v>
      </c>
      <c r="G704" s="19">
        <v>395.64</v>
      </c>
      <c r="H704" s="19">
        <v>0</v>
      </c>
    </row>
    <row r="705" spans="1:8" ht="12.2" customHeight="1" x14ac:dyDescent="0.2">
      <c r="D705" s="155" t="s">
        <v>4042</v>
      </c>
      <c r="E705" s="156"/>
      <c r="F705" s="156"/>
      <c r="G705" s="52">
        <v>376.8</v>
      </c>
    </row>
    <row r="706" spans="1:8" ht="12.2" customHeight="1" x14ac:dyDescent="0.2">
      <c r="A706" s="6"/>
      <c r="B706" s="6"/>
      <c r="C706" s="6"/>
      <c r="D706" s="155" t="s">
        <v>4043</v>
      </c>
      <c r="E706" s="156"/>
      <c r="F706" s="155"/>
      <c r="G706" s="52">
        <v>18.84</v>
      </c>
      <c r="H706" s="29"/>
    </row>
    <row r="707" spans="1:8" x14ac:dyDescent="0.2">
      <c r="A707" s="6" t="s">
        <v>313</v>
      </c>
      <c r="B707" s="6" t="s">
        <v>3645</v>
      </c>
      <c r="C707" s="6" t="s">
        <v>1485</v>
      </c>
      <c r="D707" s="137" t="s">
        <v>2720</v>
      </c>
      <c r="E707" s="138"/>
      <c r="F707" s="6" t="s">
        <v>3615</v>
      </c>
      <c r="G707" s="19">
        <v>678.78510000000006</v>
      </c>
      <c r="H707" s="19">
        <v>0</v>
      </c>
    </row>
    <row r="708" spans="1:8" ht="12.2" customHeight="1" x14ac:dyDescent="0.2">
      <c r="D708" s="155" t="s">
        <v>4044</v>
      </c>
      <c r="E708" s="156"/>
      <c r="F708" s="156"/>
      <c r="G708" s="52">
        <v>646.46199999999999</v>
      </c>
    </row>
    <row r="709" spans="1:8" ht="12.2" customHeight="1" x14ac:dyDescent="0.2">
      <c r="A709" s="6"/>
      <c r="B709" s="6"/>
      <c r="C709" s="6"/>
      <c r="D709" s="155" t="s">
        <v>4045</v>
      </c>
      <c r="E709" s="156"/>
      <c r="F709" s="155"/>
      <c r="G709" s="52">
        <v>32.323099999999997</v>
      </c>
      <c r="H709" s="29"/>
    </row>
    <row r="710" spans="1:8" x14ac:dyDescent="0.2">
      <c r="A710" s="5" t="s">
        <v>314</v>
      </c>
      <c r="B710" s="5" t="s">
        <v>3645</v>
      </c>
      <c r="C710" s="5" t="s">
        <v>1486</v>
      </c>
      <c r="D710" s="135" t="s">
        <v>2721</v>
      </c>
      <c r="E710" s="136"/>
      <c r="F710" s="5" t="s">
        <v>3615</v>
      </c>
      <c r="G710" s="18">
        <v>75.156000000000006</v>
      </c>
      <c r="H710" s="18">
        <v>0</v>
      </c>
    </row>
    <row r="711" spans="1:8" ht="12.2" customHeight="1" x14ac:dyDescent="0.2">
      <c r="D711" s="153" t="s">
        <v>3888</v>
      </c>
      <c r="E711" s="154"/>
      <c r="F711" s="154"/>
      <c r="G711" s="51">
        <v>75.156000000000006</v>
      </c>
    </row>
    <row r="712" spans="1:8" x14ac:dyDescent="0.2">
      <c r="A712" s="6" t="s">
        <v>315</v>
      </c>
      <c r="B712" s="6" t="s">
        <v>3645</v>
      </c>
      <c r="C712" s="6" t="s">
        <v>1487</v>
      </c>
      <c r="D712" s="137" t="s">
        <v>2722</v>
      </c>
      <c r="E712" s="138"/>
      <c r="F712" s="6" t="s">
        <v>3615</v>
      </c>
      <c r="G712" s="19">
        <v>157.82759999999999</v>
      </c>
      <c r="H712" s="19">
        <v>0</v>
      </c>
    </row>
    <row r="713" spans="1:8" ht="12.2" customHeight="1" x14ac:dyDescent="0.2">
      <c r="D713" s="155" t="s">
        <v>4046</v>
      </c>
      <c r="E713" s="156"/>
      <c r="F713" s="156"/>
      <c r="G713" s="52">
        <v>150.31200000000001</v>
      </c>
    </row>
    <row r="714" spans="1:8" ht="12.2" customHeight="1" x14ac:dyDescent="0.2">
      <c r="A714" s="6"/>
      <c r="B714" s="6"/>
      <c r="C714" s="6"/>
      <c r="D714" s="155" t="s">
        <v>4047</v>
      </c>
      <c r="E714" s="156"/>
      <c r="F714" s="155"/>
      <c r="G714" s="52">
        <v>7.5156000000000001</v>
      </c>
      <c r="H714" s="29"/>
    </row>
    <row r="715" spans="1:8" x14ac:dyDescent="0.2">
      <c r="A715" s="5" t="s">
        <v>316</v>
      </c>
      <c r="B715" s="5" t="s">
        <v>3645</v>
      </c>
      <c r="C715" s="5" t="s">
        <v>1488</v>
      </c>
      <c r="D715" s="135" t="s">
        <v>2723</v>
      </c>
      <c r="E715" s="136"/>
      <c r="F715" s="5" t="s">
        <v>3615</v>
      </c>
      <c r="G715" s="18">
        <v>75.156000000000006</v>
      </c>
      <c r="H715" s="18">
        <v>0</v>
      </c>
    </row>
    <row r="716" spans="1:8" ht="12.2" customHeight="1" x14ac:dyDescent="0.2">
      <c r="D716" s="153" t="s">
        <v>3888</v>
      </c>
      <c r="E716" s="154"/>
      <c r="F716" s="154"/>
      <c r="G716" s="51">
        <v>75.156000000000006</v>
      </c>
    </row>
    <row r="717" spans="1:8" x14ac:dyDescent="0.2">
      <c r="A717" s="5" t="s">
        <v>317</v>
      </c>
      <c r="B717" s="5" t="s">
        <v>3645</v>
      </c>
      <c r="C717" s="5" t="s">
        <v>1489</v>
      </c>
      <c r="D717" s="135" t="s">
        <v>2724</v>
      </c>
      <c r="E717" s="136"/>
      <c r="F717" s="5" t="s">
        <v>3615</v>
      </c>
      <c r="G717" s="18">
        <v>12.718</v>
      </c>
      <c r="H717" s="18">
        <v>0</v>
      </c>
    </row>
    <row r="718" spans="1:8" ht="12.2" customHeight="1" x14ac:dyDescent="0.2">
      <c r="D718" s="153" t="s">
        <v>4048</v>
      </c>
      <c r="E718" s="154"/>
      <c r="F718" s="154"/>
      <c r="G718" s="51">
        <v>12.718</v>
      </c>
    </row>
    <row r="719" spans="1:8" x14ac:dyDescent="0.2">
      <c r="A719" s="5" t="s">
        <v>318</v>
      </c>
      <c r="B719" s="5" t="s">
        <v>3645</v>
      </c>
      <c r="C719" s="5" t="s">
        <v>1490</v>
      </c>
      <c r="D719" s="135" t="s">
        <v>2725</v>
      </c>
      <c r="E719" s="136"/>
      <c r="F719" s="5" t="s">
        <v>3616</v>
      </c>
      <c r="G719" s="18">
        <v>25.095300000000002</v>
      </c>
      <c r="H719" s="18">
        <v>0</v>
      </c>
    </row>
    <row r="720" spans="1:8" ht="12.2" customHeight="1" x14ac:dyDescent="0.2">
      <c r="D720" s="153" t="s">
        <v>4049</v>
      </c>
      <c r="E720" s="154"/>
      <c r="F720" s="154"/>
      <c r="G720" s="51">
        <v>25.095300000000002</v>
      </c>
    </row>
    <row r="721" spans="1:8" x14ac:dyDescent="0.2">
      <c r="A721" s="14"/>
      <c r="B721" s="14"/>
      <c r="C721" s="14" t="s">
        <v>727</v>
      </c>
      <c r="D721" s="133" t="s">
        <v>3561</v>
      </c>
      <c r="E721" s="134"/>
      <c r="F721" s="14"/>
      <c r="G721" s="27"/>
      <c r="H721" s="27"/>
    </row>
    <row r="722" spans="1:8" x14ac:dyDescent="0.2">
      <c r="A722" s="5" t="s">
        <v>319</v>
      </c>
      <c r="B722" s="5" t="s">
        <v>3650</v>
      </c>
      <c r="C722" s="5" t="s">
        <v>2357</v>
      </c>
      <c r="D722" s="135" t="s">
        <v>3562</v>
      </c>
      <c r="E722" s="136"/>
      <c r="F722" s="5" t="s">
        <v>3614</v>
      </c>
      <c r="G722" s="18">
        <v>50.5</v>
      </c>
      <c r="H722" s="18">
        <v>0</v>
      </c>
    </row>
    <row r="723" spans="1:8" x14ac:dyDescent="0.2">
      <c r="A723" s="5" t="s">
        <v>320</v>
      </c>
      <c r="B723" s="5" t="s">
        <v>3650</v>
      </c>
      <c r="C723" s="5" t="s">
        <v>2358</v>
      </c>
      <c r="D723" s="135" t="s">
        <v>3563</v>
      </c>
      <c r="E723" s="136"/>
      <c r="F723" s="5" t="s">
        <v>3614</v>
      </c>
      <c r="G723" s="18">
        <v>3</v>
      </c>
      <c r="H723" s="18">
        <v>0</v>
      </c>
    </row>
    <row r="724" spans="1:8" x14ac:dyDescent="0.2">
      <c r="A724" s="5" t="s">
        <v>321</v>
      </c>
      <c r="B724" s="5" t="s">
        <v>3650</v>
      </c>
      <c r="C724" s="5" t="s">
        <v>2359</v>
      </c>
      <c r="D724" s="135" t="s">
        <v>3564</v>
      </c>
      <c r="E724" s="136"/>
      <c r="F724" s="5" t="s">
        <v>3614</v>
      </c>
      <c r="G724" s="18">
        <v>4</v>
      </c>
      <c r="H724" s="18">
        <v>0</v>
      </c>
    </row>
    <row r="725" spans="1:8" x14ac:dyDescent="0.2">
      <c r="A725" s="5" t="s">
        <v>322</v>
      </c>
      <c r="B725" s="5" t="s">
        <v>3650</v>
      </c>
      <c r="C725" s="5" t="s">
        <v>2360</v>
      </c>
      <c r="D725" s="135" t="s">
        <v>3565</v>
      </c>
      <c r="E725" s="136"/>
      <c r="F725" s="5" t="s">
        <v>3614</v>
      </c>
      <c r="G725" s="18">
        <v>50.5</v>
      </c>
      <c r="H725" s="18">
        <v>0</v>
      </c>
    </row>
    <row r="726" spans="1:8" x14ac:dyDescent="0.2">
      <c r="A726" s="5" t="s">
        <v>323</v>
      </c>
      <c r="B726" s="5" t="s">
        <v>3650</v>
      </c>
      <c r="C726" s="5" t="s">
        <v>2361</v>
      </c>
      <c r="D726" s="135" t="s">
        <v>3566</v>
      </c>
      <c r="E726" s="136"/>
      <c r="F726" s="5" t="s">
        <v>3614</v>
      </c>
      <c r="G726" s="18">
        <v>131.69999999999999</v>
      </c>
      <c r="H726" s="18">
        <v>0</v>
      </c>
    </row>
    <row r="727" spans="1:8" x14ac:dyDescent="0.2">
      <c r="A727" s="5" t="s">
        <v>324</v>
      </c>
      <c r="B727" s="5" t="s">
        <v>3650</v>
      </c>
      <c r="C727" s="5" t="s">
        <v>2362</v>
      </c>
      <c r="D727" s="135" t="s">
        <v>3567</v>
      </c>
      <c r="E727" s="136"/>
      <c r="F727" s="5" t="s">
        <v>3614</v>
      </c>
      <c r="G727" s="18">
        <v>131.69999999999999</v>
      </c>
      <c r="H727" s="18">
        <v>0</v>
      </c>
    </row>
    <row r="728" spans="1:8" x14ac:dyDescent="0.2">
      <c r="A728" s="5" t="s">
        <v>325</v>
      </c>
      <c r="B728" s="5" t="s">
        <v>3650</v>
      </c>
      <c r="C728" s="5" t="s">
        <v>2363</v>
      </c>
      <c r="D728" s="135" t="s">
        <v>3568</v>
      </c>
      <c r="E728" s="136"/>
      <c r="F728" s="5" t="s">
        <v>3614</v>
      </c>
      <c r="G728" s="18">
        <v>131.69999999999999</v>
      </c>
      <c r="H728" s="18">
        <v>0</v>
      </c>
    </row>
    <row r="729" spans="1:8" x14ac:dyDescent="0.2">
      <c r="A729" s="5" t="s">
        <v>326</v>
      </c>
      <c r="B729" s="5" t="s">
        <v>3650</v>
      </c>
      <c r="C729" s="5" t="s">
        <v>2364</v>
      </c>
      <c r="D729" s="135" t="s">
        <v>3569</v>
      </c>
      <c r="E729" s="136"/>
      <c r="F729" s="5" t="s">
        <v>3614</v>
      </c>
      <c r="G729" s="18">
        <v>131.69999999999999</v>
      </c>
      <c r="H729" s="18">
        <v>0</v>
      </c>
    </row>
    <row r="730" spans="1:8" x14ac:dyDescent="0.2">
      <c r="A730" s="5" t="s">
        <v>327</v>
      </c>
      <c r="B730" s="5" t="s">
        <v>3650</v>
      </c>
      <c r="C730" s="5" t="s">
        <v>2365</v>
      </c>
      <c r="D730" s="135" t="s">
        <v>3570</v>
      </c>
      <c r="E730" s="136"/>
      <c r="F730" s="5" t="s">
        <v>3612</v>
      </c>
      <c r="G730" s="18">
        <v>6</v>
      </c>
      <c r="H730" s="18">
        <v>0</v>
      </c>
    </row>
    <row r="731" spans="1:8" x14ac:dyDescent="0.2">
      <c r="A731" s="5" t="s">
        <v>328</v>
      </c>
      <c r="B731" s="5" t="s">
        <v>3650</v>
      </c>
      <c r="C731" s="5" t="s">
        <v>2366</v>
      </c>
      <c r="D731" s="135" t="s">
        <v>3571</v>
      </c>
      <c r="E731" s="136"/>
      <c r="F731" s="5" t="s">
        <v>3612</v>
      </c>
      <c r="G731" s="18">
        <v>1</v>
      </c>
      <c r="H731" s="18">
        <v>0</v>
      </c>
    </row>
    <row r="732" spans="1:8" x14ac:dyDescent="0.2">
      <c r="A732" s="5" t="s">
        <v>329</v>
      </c>
      <c r="B732" s="5" t="s">
        <v>3650</v>
      </c>
      <c r="C732" s="5" t="s">
        <v>2367</v>
      </c>
      <c r="D732" s="135" t="s">
        <v>3572</v>
      </c>
      <c r="E732" s="136"/>
      <c r="F732" s="5" t="s">
        <v>3613</v>
      </c>
      <c r="G732" s="18">
        <v>66</v>
      </c>
      <c r="H732" s="18">
        <v>0</v>
      </c>
    </row>
    <row r="733" spans="1:8" x14ac:dyDescent="0.2">
      <c r="A733" s="5" t="s">
        <v>330</v>
      </c>
      <c r="B733" s="5" t="s">
        <v>3650</v>
      </c>
      <c r="C733" s="5" t="s">
        <v>2368</v>
      </c>
      <c r="D733" s="135" t="s">
        <v>3573</v>
      </c>
      <c r="E733" s="136"/>
      <c r="F733" s="5" t="s">
        <v>3613</v>
      </c>
      <c r="G733" s="18">
        <v>27</v>
      </c>
      <c r="H733" s="18">
        <v>0</v>
      </c>
    </row>
    <row r="734" spans="1:8" x14ac:dyDescent="0.2">
      <c r="A734" s="5" t="s">
        <v>331</v>
      </c>
      <c r="B734" s="5" t="s">
        <v>3650</v>
      </c>
      <c r="C734" s="5" t="s">
        <v>2369</v>
      </c>
      <c r="D734" s="135" t="s">
        <v>2434</v>
      </c>
      <c r="E734" s="136"/>
      <c r="F734" s="5" t="s">
        <v>3613</v>
      </c>
      <c r="G734" s="18">
        <v>152</v>
      </c>
      <c r="H734" s="18">
        <v>0</v>
      </c>
    </row>
    <row r="735" spans="1:8" x14ac:dyDescent="0.2">
      <c r="A735" s="5" t="s">
        <v>332</v>
      </c>
      <c r="B735" s="5" t="s">
        <v>3650</v>
      </c>
      <c r="C735" s="5" t="s">
        <v>2370</v>
      </c>
      <c r="D735" s="135" t="s">
        <v>3574</v>
      </c>
      <c r="E735" s="136"/>
      <c r="F735" s="5" t="s">
        <v>3614</v>
      </c>
      <c r="G735" s="18">
        <v>14.5</v>
      </c>
      <c r="H735" s="18">
        <v>0</v>
      </c>
    </row>
    <row r="736" spans="1:8" x14ac:dyDescent="0.2">
      <c r="A736" s="5" t="s">
        <v>333</v>
      </c>
      <c r="B736" s="5" t="s">
        <v>3650</v>
      </c>
      <c r="C736" s="5" t="s">
        <v>2371</v>
      </c>
      <c r="D736" s="135" t="s">
        <v>3575</v>
      </c>
      <c r="E736" s="136"/>
      <c r="F736" s="5" t="s">
        <v>3614</v>
      </c>
      <c r="G736" s="18">
        <v>119.5</v>
      </c>
      <c r="H736" s="18">
        <v>0</v>
      </c>
    </row>
    <row r="737" spans="1:8" x14ac:dyDescent="0.2">
      <c r="A737" s="5" t="s">
        <v>334</v>
      </c>
      <c r="B737" s="5" t="s">
        <v>3650</v>
      </c>
      <c r="C737" s="5" t="s">
        <v>2372</v>
      </c>
      <c r="D737" s="135" t="s">
        <v>3576</v>
      </c>
      <c r="E737" s="136"/>
      <c r="F737" s="5" t="s">
        <v>3614</v>
      </c>
      <c r="G737" s="18">
        <v>16.5</v>
      </c>
      <c r="H737" s="18">
        <v>0</v>
      </c>
    </row>
    <row r="738" spans="1:8" x14ac:dyDescent="0.2">
      <c r="A738" s="5" t="s">
        <v>335</v>
      </c>
      <c r="B738" s="5" t="s">
        <v>3650</v>
      </c>
      <c r="C738" s="5" t="s">
        <v>2373</v>
      </c>
      <c r="D738" s="135" t="s">
        <v>3577</v>
      </c>
      <c r="E738" s="136"/>
      <c r="F738" s="5" t="s">
        <v>3612</v>
      </c>
      <c r="G738" s="18">
        <v>5</v>
      </c>
      <c r="H738" s="18">
        <v>0</v>
      </c>
    </row>
    <row r="739" spans="1:8" x14ac:dyDescent="0.2">
      <c r="A739" s="5" t="s">
        <v>336</v>
      </c>
      <c r="B739" s="5" t="s">
        <v>3650</v>
      </c>
      <c r="C739" s="5" t="s">
        <v>2374</v>
      </c>
      <c r="D739" s="135" t="s">
        <v>3578</v>
      </c>
      <c r="E739" s="136"/>
      <c r="F739" s="5" t="s">
        <v>3612</v>
      </c>
      <c r="G739" s="18">
        <v>1</v>
      </c>
      <c r="H739" s="18">
        <v>0</v>
      </c>
    </row>
    <row r="740" spans="1:8" x14ac:dyDescent="0.2">
      <c r="A740" s="5" t="s">
        <v>337</v>
      </c>
      <c r="B740" s="5" t="s">
        <v>3650</v>
      </c>
      <c r="C740" s="5" t="s">
        <v>2375</v>
      </c>
      <c r="D740" s="135" t="s">
        <v>3579</v>
      </c>
      <c r="E740" s="136"/>
      <c r="F740" s="5" t="s">
        <v>3612</v>
      </c>
      <c r="G740" s="18">
        <v>1</v>
      </c>
      <c r="H740" s="18">
        <v>0</v>
      </c>
    </row>
    <row r="741" spans="1:8" x14ac:dyDescent="0.2">
      <c r="A741" s="5" t="s">
        <v>338</v>
      </c>
      <c r="B741" s="5" t="s">
        <v>3650</v>
      </c>
      <c r="C741" s="5" t="s">
        <v>2376</v>
      </c>
      <c r="D741" s="135" t="s">
        <v>3580</v>
      </c>
      <c r="E741" s="136"/>
      <c r="F741" s="5" t="s">
        <v>3612</v>
      </c>
      <c r="G741" s="18">
        <v>6</v>
      </c>
      <c r="H741" s="18">
        <v>0</v>
      </c>
    </row>
    <row r="742" spans="1:8" x14ac:dyDescent="0.2">
      <c r="A742" s="5" t="s">
        <v>339</v>
      </c>
      <c r="B742" s="5" t="s">
        <v>3650</v>
      </c>
      <c r="C742" s="5" t="s">
        <v>2377</v>
      </c>
      <c r="D742" s="135" t="s">
        <v>3581</v>
      </c>
      <c r="E742" s="136"/>
      <c r="F742" s="5" t="s">
        <v>3612</v>
      </c>
      <c r="G742" s="18">
        <v>37</v>
      </c>
      <c r="H742" s="18">
        <v>0</v>
      </c>
    </row>
    <row r="743" spans="1:8" x14ac:dyDescent="0.2">
      <c r="A743" s="5" t="s">
        <v>340</v>
      </c>
      <c r="B743" s="5" t="s">
        <v>3650</v>
      </c>
      <c r="C743" s="5" t="s">
        <v>2378</v>
      </c>
      <c r="D743" s="135" t="s">
        <v>3582</v>
      </c>
      <c r="E743" s="136"/>
      <c r="F743" s="5" t="s">
        <v>3612</v>
      </c>
      <c r="G743" s="18">
        <v>2</v>
      </c>
      <c r="H743" s="18">
        <v>0</v>
      </c>
    </row>
    <row r="744" spans="1:8" x14ac:dyDescent="0.2">
      <c r="A744" s="5" t="s">
        <v>341</v>
      </c>
      <c r="B744" s="5" t="s">
        <v>3650</v>
      </c>
      <c r="C744" s="5" t="s">
        <v>2379</v>
      </c>
      <c r="D744" s="135" t="s">
        <v>3583</v>
      </c>
      <c r="E744" s="136"/>
      <c r="F744" s="5" t="s">
        <v>3612</v>
      </c>
      <c r="G744" s="18">
        <v>2</v>
      </c>
      <c r="H744" s="18">
        <v>0</v>
      </c>
    </row>
    <row r="745" spans="1:8" x14ac:dyDescent="0.2">
      <c r="A745" s="5" t="s">
        <v>342</v>
      </c>
      <c r="B745" s="5" t="s">
        <v>3650</v>
      </c>
      <c r="C745" s="5" t="s">
        <v>2380</v>
      </c>
      <c r="D745" s="135" t="s">
        <v>3584</v>
      </c>
      <c r="E745" s="136"/>
      <c r="F745" s="5" t="s">
        <v>3612</v>
      </c>
      <c r="G745" s="18">
        <v>4</v>
      </c>
      <c r="H745" s="18">
        <v>0</v>
      </c>
    </row>
    <row r="746" spans="1:8" x14ac:dyDescent="0.2">
      <c r="A746" s="5" t="s">
        <v>343</v>
      </c>
      <c r="B746" s="5" t="s">
        <v>3650</v>
      </c>
      <c r="C746" s="5" t="s">
        <v>2381</v>
      </c>
      <c r="D746" s="135" t="s">
        <v>3585</v>
      </c>
      <c r="E746" s="136"/>
      <c r="F746" s="5" t="s">
        <v>3618</v>
      </c>
      <c r="G746" s="18">
        <v>1</v>
      </c>
      <c r="H746" s="18">
        <v>0</v>
      </c>
    </row>
    <row r="747" spans="1:8" x14ac:dyDescent="0.2">
      <c r="A747" s="5" t="s">
        <v>344</v>
      </c>
      <c r="B747" s="5" t="s">
        <v>3650</v>
      </c>
      <c r="C747" s="5" t="s">
        <v>2382</v>
      </c>
      <c r="D747" s="135" t="s">
        <v>3586</v>
      </c>
      <c r="E747" s="136"/>
      <c r="F747" s="5" t="s">
        <v>3618</v>
      </c>
      <c r="G747" s="18">
        <v>1</v>
      </c>
      <c r="H747" s="18">
        <v>0</v>
      </c>
    </row>
    <row r="748" spans="1:8" x14ac:dyDescent="0.2">
      <c r="A748" s="5" t="s">
        <v>345</v>
      </c>
      <c r="B748" s="5" t="s">
        <v>3650</v>
      </c>
      <c r="C748" s="5" t="s">
        <v>2383</v>
      </c>
      <c r="D748" s="135" t="s">
        <v>3587</v>
      </c>
      <c r="E748" s="136"/>
      <c r="F748" s="5" t="s">
        <v>3618</v>
      </c>
      <c r="G748" s="18">
        <v>1</v>
      </c>
      <c r="H748" s="18">
        <v>0</v>
      </c>
    </row>
    <row r="749" spans="1:8" x14ac:dyDescent="0.2">
      <c r="A749" s="5" t="s">
        <v>346</v>
      </c>
      <c r="B749" s="5" t="s">
        <v>3650</v>
      </c>
      <c r="C749" s="5" t="s">
        <v>2384</v>
      </c>
      <c r="D749" s="135" t="s">
        <v>3588</v>
      </c>
      <c r="E749" s="136"/>
      <c r="F749" s="5" t="s">
        <v>3618</v>
      </c>
      <c r="G749" s="18">
        <v>1</v>
      </c>
      <c r="H749" s="18">
        <v>0</v>
      </c>
    </row>
    <row r="750" spans="1:8" x14ac:dyDescent="0.2">
      <c r="A750" s="5" t="s">
        <v>347</v>
      </c>
      <c r="B750" s="5" t="s">
        <v>3650</v>
      </c>
      <c r="C750" s="5" t="s">
        <v>2385</v>
      </c>
      <c r="D750" s="135" t="s">
        <v>2792</v>
      </c>
      <c r="E750" s="136"/>
      <c r="F750" s="5" t="s">
        <v>3619</v>
      </c>
      <c r="G750" s="18">
        <v>3</v>
      </c>
      <c r="H750" s="18">
        <v>0</v>
      </c>
    </row>
    <row r="751" spans="1:8" x14ac:dyDescent="0.2">
      <c r="A751" s="5" t="s">
        <v>348</v>
      </c>
      <c r="B751" s="5" t="s">
        <v>3650</v>
      </c>
      <c r="C751" s="5" t="s">
        <v>2386</v>
      </c>
      <c r="D751" s="135" t="s">
        <v>3589</v>
      </c>
      <c r="E751" s="136"/>
      <c r="F751" s="5" t="s">
        <v>3614</v>
      </c>
      <c r="G751" s="18">
        <v>150.5</v>
      </c>
      <c r="H751" s="18">
        <v>0</v>
      </c>
    </row>
    <row r="752" spans="1:8" x14ac:dyDescent="0.2">
      <c r="A752" s="5" t="s">
        <v>349</v>
      </c>
      <c r="B752" s="5" t="s">
        <v>3650</v>
      </c>
      <c r="C752" s="5" t="s">
        <v>2387</v>
      </c>
      <c r="D752" s="135" t="s">
        <v>3590</v>
      </c>
      <c r="E752" s="136"/>
      <c r="F752" s="5" t="s">
        <v>3614</v>
      </c>
      <c r="G752" s="18">
        <v>150.5</v>
      </c>
      <c r="H752" s="18">
        <v>0</v>
      </c>
    </row>
    <row r="753" spans="1:8" x14ac:dyDescent="0.2">
      <c r="A753" s="5" t="s">
        <v>350</v>
      </c>
      <c r="B753" s="5" t="s">
        <v>3650</v>
      </c>
      <c r="C753" s="5" t="s">
        <v>2388</v>
      </c>
      <c r="D753" s="135" t="s">
        <v>3591</v>
      </c>
      <c r="E753" s="136"/>
      <c r="F753" s="5" t="s">
        <v>3614</v>
      </c>
      <c r="G753" s="18">
        <v>150.5</v>
      </c>
      <c r="H753" s="18">
        <v>0</v>
      </c>
    </row>
    <row r="754" spans="1:8" x14ac:dyDescent="0.2">
      <c r="A754" s="5" t="s">
        <v>351</v>
      </c>
      <c r="B754" s="5" t="s">
        <v>3650</v>
      </c>
      <c r="C754" s="5" t="s">
        <v>2389</v>
      </c>
      <c r="D754" s="135" t="s">
        <v>3592</v>
      </c>
      <c r="E754" s="136"/>
      <c r="F754" s="5" t="s">
        <v>3612</v>
      </c>
      <c r="G754" s="18">
        <v>1</v>
      </c>
      <c r="H754" s="18">
        <v>0</v>
      </c>
    </row>
    <row r="755" spans="1:8" x14ac:dyDescent="0.2">
      <c r="A755" s="5" t="s">
        <v>352</v>
      </c>
      <c r="B755" s="5" t="s">
        <v>3650</v>
      </c>
      <c r="C755" s="5" t="s">
        <v>2390</v>
      </c>
      <c r="D755" s="135" t="s">
        <v>3593</v>
      </c>
      <c r="E755" s="136"/>
      <c r="F755" s="5" t="s">
        <v>3612</v>
      </c>
      <c r="G755" s="18">
        <v>1</v>
      </c>
      <c r="H755" s="18">
        <v>0</v>
      </c>
    </row>
    <row r="756" spans="1:8" x14ac:dyDescent="0.2">
      <c r="A756" s="5" t="s">
        <v>353</v>
      </c>
      <c r="B756" s="5" t="s">
        <v>3650</v>
      </c>
      <c r="C756" s="5" t="s">
        <v>2391</v>
      </c>
      <c r="D756" s="135" t="s">
        <v>3594</v>
      </c>
      <c r="E756" s="136"/>
      <c r="F756" s="5" t="s">
        <v>3612</v>
      </c>
      <c r="G756" s="18">
        <v>1</v>
      </c>
      <c r="H756" s="18">
        <v>0</v>
      </c>
    </row>
    <row r="757" spans="1:8" x14ac:dyDescent="0.2">
      <c r="A757" s="5" t="s">
        <v>354</v>
      </c>
      <c r="B757" s="5" t="s">
        <v>3650</v>
      </c>
      <c r="C757" s="5" t="s">
        <v>2392</v>
      </c>
      <c r="D757" s="135" t="s">
        <v>2799</v>
      </c>
      <c r="E757" s="136"/>
      <c r="F757" s="5" t="s">
        <v>3612</v>
      </c>
      <c r="G757" s="18">
        <v>1</v>
      </c>
      <c r="H757" s="18">
        <v>0</v>
      </c>
    </row>
    <row r="758" spans="1:8" x14ac:dyDescent="0.2">
      <c r="A758" s="5" t="s">
        <v>355</v>
      </c>
      <c r="B758" s="5" t="s">
        <v>3650</v>
      </c>
      <c r="C758" s="5" t="s">
        <v>2393</v>
      </c>
      <c r="D758" s="135" t="s">
        <v>2800</v>
      </c>
      <c r="E758" s="136"/>
      <c r="F758" s="5" t="s">
        <v>3612</v>
      </c>
      <c r="G758" s="18">
        <v>1</v>
      </c>
      <c r="H758" s="18">
        <v>0</v>
      </c>
    </row>
    <row r="759" spans="1:8" x14ac:dyDescent="0.2">
      <c r="A759" s="5" t="s">
        <v>356</v>
      </c>
      <c r="B759" s="5" t="s">
        <v>3650</v>
      </c>
      <c r="C759" s="5" t="s">
        <v>2394</v>
      </c>
      <c r="D759" s="135" t="s">
        <v>2801</v>
      </c>
      <c r="E759" s="136"/>
      <c r="F759" s="5" t="s">
        <v>3612</v>
      </c>
      <c r="G759" s="18">
        <v>1</v>
      </c>
      <c r="H759" s="18">
        <v>0</v>
      </c>
    </row>
    <row r="760" spans="1:8" x14ac:dyDescent="0.2">
      <c r="A760" s="5" t="s">
        <v>357</v>
      </c>
      <c r="B760" s="5" t="s">
        <v>3645</v>
      </c>
      <c r="C760" s="5" t="s">
        <v>1491</v>
      </c>
      <c r="D760" s="135" t="s">
        <v>2727</v>
      </c>
      <c r="E760" s="136"/>
      <c r="F760" s="5" t="s">
        <v>3614</v>
      </c>
      <c r="G760" s="18">
        <v>43.5</v>
      </c>
      <c r="H760" s="18">
        <v>0</v>
      </c>
    </row>
    <row r="761" spans="1:8" x14ac:dyDescent="0.2">
      <c r="A761" s="5" t="s">
        <v>358</v>
      </c>
      <c r="B761" s="5" t="s">
        <v>3645</v>
      </c>
      <c r="C761" s="5" t="s">
        <v>1492</v>
      </c>
      <c r="D761" s="135" t="s">
        <v>2728</v>
      </c>
      <c r="E761" s="136"/>
      <c r="F761" s="5" t="s">
        <v>3614</v>
      </c>
      <c r="G761" s="18">
        <v>44.7</v>
      </c>
      <c r="H761" s="18">
        <v>0</v>
      </c>
    </row>
    <row r="762" spans="1:8" x14ac:dyDescent="0.2">
      <c r="A762" s="5" t="s">
        <v>359</v>
      </c>
      <c r="B762" s="5" t="s">
        <v>3645</v>
      </c>
      <c r="C762" s="5" t="s">
        <v>1493</v>
      </c>
      <c r="D762" s="135" t="s">
        <v>2729</v>
      </c>
      <c r="E762" s="136"/>
      <c r="F762" s="5" t="s">
        <v>3612</v>
      </c>
      <c r="G762" s="18">
        <v>1</v>
      </c>
      <c r="H762" s="18">
        <v>0</v>
      </c>
    </row>
    <row r="763" spans="1:8" x14ac:dyDescent="0.2">
      <c r="A763" s="5" t="s">
        <v>360</v>
      </c>
      <c r="B763" s="5" t="s">
        <v>3645</v>
      </c>
      <c r="C763" s="5" t="s">
        <v>1494</v>
      </c>
      <c r="D763" s="135" t="s">
        <v>2730</v>
      </c>
      <c r="E763" s="136"/>
      <c r="F763" s="5" t="s">
        <v>3614</v>
      </c>
      <c r="G763" s="18">
        <v>68</v>
      </c>
      <c r="H763" s="18">
        <v>0</v>
      </c>
    </row>
    <row r="764" spans="1:8" x14ac:dyDescent="0.2">
      <c r="A764" s="5" t="s">
        <v>361</v>
      </c>
      <c r="B764" s="5" t="s">
        <v>3645</v>
      </c>
      <c r="C764" s="5" t="s">
        <v>1495</v>
      </c>
      <c r="D764" s="135" t="s">
        <v>2731</v>
      </c>
      <c r="E764" s="136"/>
      <c r="F764" s="5" t="s">
        <v>3612</v>
      </c>
      <c r="G764" s="18">
        <v>5</v>
      </c>
      <c r="H764" s="18">
        <v>0</v>
      </c>
    </row>
    <row r="765" spans="1:8" x14ac:dyDescent="0.2">
      <c r="A765" s="5" t="s">
        <v>362</v>
      </c>
      <c r="B765" s="5" t="s">
        <v>3645</v>
      </c>
      <c r="C765" s="5" t="s">
        <v>1496</v>
      </c>
      <c r="D765" s="135" t="s">
        <v>2732</v>
      </c>
      <c r="E765" s="136"/>
      <c r="F765" s="5" t="s">
        <v>3612</v>
      </c>
      <c r="G765" s="18">
        <v>5</v>
      </c>
      <c r="H765" s="18">
        <v>0</v>
      </c>
    </row>
    <row r="766" spans="1:8" x14ac:dyDescent="0.2">
      <c r="A766" s="5" t="s">
        <v>363</v>
      </c>
      <c r="B766" s="5" t="s">
        <v>3645</v>
      </c>
      <c r="C766" s="5" t="s">
        <v>1497</v>
      </c>
      <c r="D766" s="135" t="s">
        <v>2733</v>
      </c>
      <c r="E766" s="136"/>
      <c r="F766" s="5" t="s">
        <v>3612</v>
      </c>
      <c r="G766" s="18">
        <v>3</v>
      </c>
      <c r="H766" s="18">
        <v>0</v>
      </c>
    </row>
    <row r="767" spans="1:8" x14ac:dyDescent="0.2">
      <c r="A767" s="5" t="s">
        <v>364</v>
      </c>
      <c r="B767" s="5" t="s">
        <v>3645</v>
      </c>
      <c r="C767" s="5" t="s">
        <v>1498</v>
      </c>
      <c r="D767" s="135" t="s">
        <v>2734</v>
      </c>
      <c r="E767" s="136"/>
      <c r="F767" s="5" t="s">
        <v>3612</v>
      </c>
      <c r="G767" s="18">
        <v>1</v>
      </c>
      <c r="H767" s="18">
        <v>0</v>
      </c>
    </row>
    <row r="768" spans="1:8" x14ac:dyDescent="0.2">
      <c r="A768" s="5" t="s">
        <v>365</v>
      </c>
      <c r="B768" s="5" t="s">
        <v>3645</v>
      </c>
      <c r="C768" s="5" t="s">
        <v>1499</v>
      </c>
      <c r="D768" s="135" t="s">
        <v>2735</v>
      </c>
      <c r="E768" s="136"/>
      <c r="F768" s="5" t="s">
        <v>3612</v>
      </c>
      <c r="G768" s="18">
        <v>1</v>
      </c>
      <c r="H768" s="18">
        <v>0</v>
      </c>
    </row>
    <row r="769" spans="1:8" x14ac:dyDescent="0.2">
      <c r="A769" s="5" t="s">
        <v>366</v>
      </c>
      <c r="B769" s="5" t="s">
        <v>3645</v>
      </c>
      <c r="C769" s="5" t="s">
        <v>1500</v>
      </c>
      <c r="D769" s="135" t="s">
        <v>2736</v>
      </c>
      <c r="E769" s="136"/>
      <c r="F769" s="5" t="s">
        <v>3612</v>
      </c>
      <c r="G769" s="18">
        <v>1</v>
      </c>
      <c r="H769" s="18">
        <v>0</v>
      </c>
    </row>
    <row r="770" spans="1:8" x14ac:dyDescent="0.2">
      <c r="A770" s="5" t="s">
        <v>367</v>
      </c>
      <c r="B770" s="5" t="s">
        <v>3645</v>
      </c>
      <c r="C770" s="5" t="s">
        <v>1501</v>
      </c>
      <c r="D770" s="135" t="s">
        <v>2737</v>
      </c>
      <c r="E770" s="136"/>
      <c r="F770" s="5" t="s">
        <v>3612</v>
      </c>
      <c r="G770" s="18">
        <v>1</v>
      </c>
      <c r="H770" s="18">
        <v>0</v>
      </c>
    </row>
    <row r="771" spans="1:8" x14ac:dyDescent="0.2">
      <c r="A771" s="5" t="s">
        <v>368</v>
      </c>
      <c r="B771" s="5" t="s">
        <v>3645</v>
      </c>
      <c r="C771" s="5" t="s">
        <v>1502</v>
      </c>
      <c r="D771" s="135" t="s">
        <v>2738</v>
      </c>
      <c r="E771" s="136"/>
      <c r="F771" s="5" t="s">
        <v>3612</v>
      </c>
      <c r="G771" s="18">
        <v>1</v>
      </c>
      <c r="H771" s="18">
        <v>0</v>
      </c>
    </row>
    <row r="772" spans="1:8" x14ac:dyDescent="0.2">
      <c r="A772" s="5" t="s">
        <v>369</v>
      </c>
      <c r="B772" s="5" t="s">
        <v>3645</v>
      </c>
      <c r="C772" s="5" t="s">
        <v>1503</v>
      </c>
      <c r="D772" s="135" t="s">
        <v>2739</v>
      </c>
      <c r="E772" s="136"/>
      <c r="F772" s="5" t="s">
        <v>3612</v>
      </c>
      <c r="G772" s="18">
        <v>1</v>
      </c>
      <c r="H772" s="18">
        <v>0</v>
      </c>
    </row>
    <row r="773" spans="1:8" x14ac:dyDescent="0.2">
      <c r="A773" s="5" t="s">
        <v>370</v>
      </c>
      <c r="B773" s="5" t="s">
        <v>3645</v>
      </c>
      <c r="C773" s="5" t="s">
        <v>1504</v>
      </c>
      <c r="D773" s="135" t="s">
        <v>2740</v>
      </c>
      <c r="E773" s="136"/>
      <c r="F773" s="5" t="s">
        <v>3614</v>
      </c>
      <c r="G773" s="18">
        <v>63</v>
      </c>
      <c r="H773" s="18">
        <v>0</v>
      </c>
    </row>
    <row r="774" spans="1:8" x14ac:dyDescent="0.2">
      <c r="A774" s="5" t="s">
        <v>371</v>
      </c>
      <c r="B774" s="5" t="s">
        <v>3645</v>
      </c>
      <c r="C774" s="5" t="s">
        <v>1505</v>
      </c>
      <c r="D774" s="135" t="s">
        <v>2741</v>
      </c>
      <c r="E774" s="136"/>
      <c r="F774" s="5" t="s">
        <v>3614</v>
      </c>
      <c r="G774" s="18">
        <v>45</v>
      </c>
      <c r="H774" s="18">
        <v>0</v>
      </c>
    </row>
    <row r="775" spans="1:8" x14ac:dyDescent="0.2">
      <c r="A775" s="5" t="s">
        <v>372</v>
      </c>
      <c r="B775" s="5" t="s">
        <v>3645</v>
      </c>
      <c r="C775" s="5" t="s">
        <v>1506</v>
      </c>
      <c r="D775" s="135" t="s">
        <v>2742</v>
      </c>
      <c r="E775" s="136"/>
      <c r="F775" s="5" t="s">
        <v>3614</v>
      </c>
      <c r="G775" s="18">
        <v>8.5</v>
      </c>
      <c r="H775" s="18">
        <v>0</v>
      </c>
    </row>
    <row r="776" spans="1:8" x14ac:dyDescent="0.2">
      <c r="A776" s="5" t="s">
        <v>373</v>
      </c>
      <c r="B776" s="5" t="s">
        <v>3645</v>
      </c>
      <c r="C776" s="5" t="s">
        <v>1507</v>
      </c>
      <c r="D776" s="135" t="s">
        <v>2743</v>
      </c>
      <c r="E776" s="136"/>
      <c r="F776" s="5" t="s">
        <v>3614</v>
      </c>
      <c r="G776" s="18">
        <v>69</v>
      </c>
      <c r="H776" s="18">
        <v>0</v>
      </c>
    </row>
    <row r="777" spans="1:8" x14ac:dyDescent="0.2">
      <c r="A777" s="5" t="s">
        <v>374</v>
      </c>
      <c r="B777" s="5" t="s">
        <v>3645</v>
      </c>
      <c r="C777" s="5" t="s">
        <v>1508</v>
      </c>
      <c r="D777" s="135" t="s">
        <v>2744</v>
      </c>
      <c r="E777" s="136"/>
      <c r="F777" s="5" t="s">
        <v>3614</v>
      </c>
      <c r="G777" s="18">
        <v>97</v>
      </c>
      <c r="H777" s="18">
        <v>0</v>
      </c>
    </row>
    <row r="778" spans="1:8" x14ac:dyDescent="0.2">
      <c r="A778" s="5" t="s">
        <v>375</v>
      </c>
      <c r="B778" s="5" t="s">
        <v>3645</v>
      </c>
      <c r="C778" s="5" t="s">
        <v>1509</v>
      </c>
      <c r="D778" s="135" t="s">
        <v>2745</v>
      </c>
      <c r="E778" s="136"/>
      <c r="F778" s="5" t="s">
        <v>3614</v>
      </c>
      <c r="G778" s="18">
        <v>67</v>
      </c>
      <c r="H778" s="18">
        <v>0</v>
      </c>
    </row>
    <row r="779" spans="1:8" x14ac:dyDescent="0.2">
      <c r="A779" s="5" t="s">
        <v>376</v>
      </c>
      <c r="B779" s="5" t="s">
        <v>3645</v>
      </c>
      <c r="C779" s="5" t="s">
        <v>1510</v>
      </c>
      <c r="D779" s="135" t="s">
        <v>2746</v>
      </c>
      <c r="E779" s="136"/>
      <c r="F779" s="5" t="s">
        <v>3614</v>
      </c>
      <c r="G779" s="18">
        <v>78</v>
      </c>
      <c r="H779" s="18">
        <v>0</v>
      </c>
    </row>
    <row r="780" spans="1:8" x14ac:dyDescent="0.2">
      <c r="A780" s="5" t="s">
        <v>377</v>
      </c>
      <c r="B780" s="5" t="s">
        <v>3645</v>
      </c>
      <c r="C780" s="5" t="s">
        <v>1511</v>
      </c>
      <c r="D780" s="135" t="s">
        <v>2747</v>
      </c>
      <c r="E780" s="136"/>
      <c r="F780" s="5" t="s">
        <v>3614</v>
      </c>
      <c r="G780" s="18">
        <v>8</v>
      </c>
      <c r="H780" s="18">
        <v>0</v>
      </c>
    </row>
    <row r="781" spans="1:8" x14ac:dyDescent="0.2">
      <c r="A781" s="5" t="s">
        <v>378</v>
      </c>
      <c r="B781" s="5" t="s">
        <v>3645</v>
      </c>
      <c r="C781" s="5" t="s">
        <v>1512</v>
      </c>
      <c r="D781" s="135" t="s">
        <v>2748</v>
      </c>
      <c r="E781" s="136"/>
      <c r="F781" s="5" t="s">
        <v>3612</v>
      </c>
      <c r="G781" s="18">
        <v>62</v>
      </c>
      <c r="H781" s="18">
        <v>0</v>
      </c>
    </row>
    <row r="782" spans="1:8" x14ac:dyDescent="0.2">
      <c r="A782" s="5" t="s">
        <v>379</v>
      </c>
      <c r="B782" s="5" t="s">
        <v>3645</v>
      </c>
      <c r="C782" s="5" t="s">
        <v>1513</v>
      </c>
      <c r="D782" s="135" t="s">
        <v>2749</v>
      </c>
      <c r="E782" s="136"/>
      <c r="F782" s="5" t="s">
        <v>3612</v>
      </c>
      <c r="G782" s="18">
        <v>5</v>
      </c>
      <c r="H782" s="18">
        <v>0</v>
      </c>
    </row>
    <row r="783" spans="1:8" x14ac:dyDescent="0.2">
      <c r="A783" s="5" t="s">
        <v>380</v>
      </c>
      <c r="B783" s="5" t="s">
        <v>3645</v>
      </c>
      <c r="C783" s="5" t="s">
        <v>1514</v>
      </c>
      <c r="D783" s="135" t="s">
        <v>2750</v>
      </c>
      <c r="E783" s="136"/>
      <c r="F783" s="5" t="s">
        <v>3612</v>
      </c>
      <c r="G783" s="18">
        <v>7</v>
      </c>
      <c r="H783" s="18">
        <v>0</v>
      </c>
    </row>
    <row r="784" spans="1:8" x14ac:dyDescent="0.2">
      <c r="A784" s="5" t="s">
        <v>381</v>
      </c>
      <c r="B784" s="5" t="s">
        <v>3645</v>
      </c>
      <c r="C784" s="5" t="s">
        <v>1515</v>
      </c>
      <c r="D784" s="135" t="s">
        <v>2751</v>
      </c>
      <c r="E784" s="136"/>
      <c r="F784" s="5" t="s">
        <v>3612</v>
      </c>
      <c r="G784" s="18">
        <v>1</v>
      </c>
      <c r="H784" s="18">
        <v>0</v>
      </c>
    </row>
    <row r="785" spans="1:8" x14ac:dyDescent="0.2">
      <c r="A785" s="5" t="s">
        <v>382</v>
      </c>
      <c r="B785" s="5" t="s">
        <v>3645</v>
      </c>
      <c r="C785" s="5" t="s">
        <v>1516</v>
      </c>
      <c r="D785" s="135" t="s">
        <v>2752</v>
      </c>
      <c r="E785" s="136"/>
      <c r="F785" s="5" t="s">
        <v>3612</v>
      </c>
      <c r="G785" s="18">
        <v>13</v>
      </c>
      <c r="H785" s="18">
        <v>0</v>
      </c>
    </row>
    <row r="786" spans="1:8" x14ac:dyDescent="0.2">
      <c r="A786" s="5" t="s">
        <v>383</v>
      </c>
      <c r="B786" s="5" t="s">
        <v>3645</v>
      </c>
      <c r="C786" s="5" t="s">
        <v>1517</v>
      </c>
      <c r="D786" s="135" t="s">
        <v>2753</v>
      </c>
      <c r="E786" s="136"/>
      <c r="F786" s="5" t="s">
        <v>3612</v>
      </c>
      <c r="G786" s="18">
        <v>3</v>
      </c>
      <c r="H786" s="18">
        <v>0</v>
      </c>
    </row>
    <row r="787" spans="1:8" x14ac:dyDescent="0.2">
      <c r="A787" s="5" t="s">
        <v>384</v>
      </c>
      <c r="B787" s="5" t="s">
        <v>3645</v>
      </c>
      <c r="C787" s="5" t="s">
        <v>1518</v>
      </c>
      <c r="D787" s="135" t="s">
        <v>2754</v>
      </c>
      <c r="E787" s="136"/>
      <c r="F787" s="5" t="s">
        <v>3612</v>
      </c>
      <c r="G787" s="18">
        <v>4</v>
      </c>
      <c r="H787" s="18">
        <v>0</v>
      </c>
    </row>
    <row r="788" spans="1:8" x14ac:dyDescent="0.2">
      <c r="A788" s="5" t="s">
        <v>385</v>
      </c>
      <c r="B788" s="5" t="s">
        <v>3645</v>
      </c>
      <c r="C788" s="5" t="s">
        <v>1519</v>
      </c>
      <c r="D788" s="135" t="s">
        <v>2755</v>
      </c>
      <c r="E788" s="136"/>
      <c r="F788" s="5" t="s">
        <v>3612</v>
      </c>
      <c r="G788" s="18">
        <v>5</v>
      </c>
      <c r="H788" s="18">
        <v>0</v>
      </c>
    </row>
    <row r="789" spans="1:8" x14ac:dyDescent="0.2">
      <c r="A789" s="5" t="s">
        <v>386</v>
      </c>
      <c r="B789" s="5" t="s">
        <v>3645</v>
      </c>
      <c r="C789" s="5" t="s">
        <v>1520</v>
      </c>
      <c r="D789" s="135" t="s">
        <v>2756</v>
      </c>
      <c r="E789" s="136"/>
      <c r="F789" s="5" t="s">
        <v>3614</v>
      </c>
      <c r="G789" s="18">
        <v>11.5</v>
      </c>
      <c r="H789" s="18">
        <v>0</v>
      </c>
    </row>
    <row r="790" spans="1:8" x14ac:dyDescent="0.2">
      <c r="A790" s="5" t="s">
        <v>387</v>
      </c>
      <c r="B790" s="5" t="s">
        <v>3645</v>
      </c>
      <c r="C790" s="5" t="s">
        <v>1521</v>
      </c>
      <c r="D790" s="135" t="s">
        <v>2757</v>
      </c>
      <c r="E790" s="136"/>
      <c r="F790" s="5" t="s">
        <v>3614</v>
      </c>
      <c r="G790" s="18">
        <v>5.5</v>
      </c>
      <c r="H790" s="18">
        <v>0</v>
      </c>
    </row>
    <row r="791" spans="1:8" x14ac:dyDescent="0.2">
      <c r="A791" s="5" t="s">
        <v>388</v>
      </c>
      <c r="B791" s="5" t="s">
        <v>3645</v>
      </c>
      <c r="C791" s="5" t="s">
        <v>1522</v>
      </c>
      <c r="D791" s="135" t="s">
        <v>2758</v>
      </c>
      <c r="E791" s="136"/>
      <c r="F791" s="5" t="s">
        <v>3612</v>
      </c>
      <c r="G791" s="18">
        <v>7</v>
      </c>
      <c r="H791" s="18">
        <v>0</v>
      </c>
    </row>
    <row r="792" spans="1:8" x14ac:dyDescent="0.2">
      <c r="A792" s="5" t="s">
        <v>389</v>
      </c>
      <c r="B792" s="5" t="s">
        <v>3645</v>
      </c>
      <c r="C792" s="5" t="s">
        <v>1523</v>
      </c>
      <c r="D792" s="135" t="s">
        <v>2759</v>
      </c>
      <c r="E792" s="136"/>
      <c r="F792" s="5" t="s">
        <v>3612</v>
      </c>
      <c r="G792" s="18">
        <v>4</v>
      </c>
      <c r="H792" s="18">
        <v>0</v>
      </c>
    </row>
    <row r="793" spans="1:8" x14ac:dyDescent="0.2">
      <c r="A793" s="5" t="s">
        <v>390</v>
      </c>
      <c r="B793" s="5" t="s">
        <v>3645</v>
      </c>
      <c r="C793" s="5" t="s">
        <v>1524</v>
      </c>
      <c r="D793" s="135" t="s">
        <v>2760</v>
      </c>
      <c r="E793" s="136"/>
      <c r="F793" s="5" t="s">
        <v>3612</v>
      </c>
      <c r="G793" s="18">
        <v>12</v>
      </c>
      <c r="H793" s="18">
        <v>0</v>
      </c>
    </row>
    <row r="794" spans="1:8" x14ac:dyDescent="0.2">
      <c r="A794" s="5" t="s">
        <v>391</v>
      </c>
      <c r="B794" s="5" t="s">
        <v>3645</v>
      </c>
      <c r="C794" s="5" t="s">
        <v>1525</v>
      </c>
      <c r="D794" s="135" t="s">
        <v>2761</v>
      </c>
      <c r="E794" s="136"/>
      <c r="F794" s="5" t="s">
        <v>3612</v>
      </c>
      <c r="G794" s="18">
        <v>5</v>
      </c>
      <c r="H794" s="18">
        <v>0</v>
      </c>
    </row>
    <row r="795" spans="1:8" x14ac:dyDescent="0.2">
      <c r="A795" s="5" t="s">
        <v>392</v>
      </c>
      <c r="B795" s="5" t="s">
        <v>3645</v>
      </c>
      <c r="C795" s="5" t="s">
        <v>1526</v>
      </c>
      <c r="D795" s="135" t="s">
        <v>2762</v>
      </c>
      <c r="E795" s="136"/>
      <c r="F795" s="5" t="s">
        <v>3612</v>
      </c>
      <c r="G795" s="18">
        <v>3</v>
      </c>
      <c r="H795" s="18">
        <v>0</v>
      </c>
    </row>
    <row r="796" spans="1:8" x14ac:dyDescent="0.2">
      <c r="A796" s="5" t="s">
        <v>393</v>
      </c>
      <c r="B796" s="5" t="s">
        <v>3645</v>
      </c>
      <c r="C796" s="5" t="s">
        <v>1527</v>
      </c>
      <c r="D796" s="135" t="s">
        <v>2763</v>
      </c>
      <c r="E796" s="136"/>
      <c r="F796" s="5" t="s">
        <v>3612</v>
      </c>
      <c r="G796" s="18">
        <v>1</v>
      </c>
      <c r="H796" s="18">
        <v>0</v>
      </c>
    </row>
    <row r="797" spans="1:8" x14ac:dyDescent="0.2">
      <c r="A797" s="5" t="s">
        <v>394</v>
      </c>
      <c r="B797" s="5" t="s">
        <v>3645</v>
      </c>
      <c r="C797" s="5" t="s">
        <v>1528</v>
      </c>
      <c r="D797" s="135" t="s">
        <v>2764</v>
      </c>
      <c r="E797" s="136"/>
      <c r="F797" s="5" t="s">
        <v>3612</v>
      </c>
      <c r="G797" s="18">
        <v>3</v>
      </c>
      <c r="H797" s="18">
        <v>0</v>
      </c>
    </row>
    <row r="798" spans="1:8" x14ac:dyDescent="0.2">
      <c r="A798" s="5" t="s">
        <v>395</v>
      </c>
      <c r="B798" s="5" t="s">
        <v>3645</v>
      </c>
      <c r="C798" s="5" t="s">
        <v>1529</v>
      </c>
      <c r="D798" s="135" t="s">
        <v>2765</v>
      </c>
      <c r="E798" s="136"/>
      <c r="F798" s="5" t="s">
        <v>3612</v>
      </c>
      <c r="G798" s="18">
        <v>1</v>
      </c>
      <c r="H798" s="18">
        <v>0</v>
      </c>
    </row>
    <row r="799" spans="1:8" x14ac:dyDescent="0.2">
      <c r="A799" s="5" t="s">
        <v>396</v>
      </c>
      <c r="B799" s="5" t="s">
        <v>3645</v>
      </c>
      <c r="C799" s="5" t="s">
        <v>1530</v>
      </c>
      <c r="D799" s="135" t="s">
        <v>2766</v>
      </c>
      <c r="E799" s="136"/>
      <c r="F799" s="5" t="s">
        <v>3612</v>
      </c>
      <c r="G799" s="18">
        <v>4</v>
      </c>
      <c r="H799" s="18">
        <v>0</v>
      </c>
    </row>
    <row r="800" spans="1:8" x14ac:dyDescent="0.2">
      <c r="A800" s="5" t="s">
        <v>397</v>
      </c>
      <c r="B800" s="5" t="s">
        <v>3645</v>
      </c>
      <c r="C800" s="5" t="s">
        <v>1531</v>
      </c>
      <c r="D800" s="135" t="s">
        <v>2767</v>
      </c>
      <c r="E800" s="136"/>
      <c r="F800" s="5" t="s">
        <v>3612</v>
      </c>
      <c r="G800" s="18">
        <v>1</v>
      </c>
      <c r="H800" s="18">
        <v>0</v>
      </c>
    </row>
    <row r="801" spans="1:8" x14ac:dyDescent="0.2">
      <c r="A801" s="5" t="s">
        <v>398</v>
      </c>
      <c r="B801" s="5" t="s">
        <v>3645</v>
      </c>
      <c r="C801" s="5" t="s">
        <v>1532</v>
      </c>
      <c r="D801" s="135" t="s">
        <v>2768</v>
      </c>
      <c r="E801" s="136"/>
      <c r="F801" s="5" t="s">
        <v>3612</v>
      </c>
      <c r="G801" s="18">
        <v>1</v>
      </c>
      <c r="H801" s="18">
        <v>0</v>
      </c>
    </row>
    <row r="802" spans="1:8" x14ac:dyDescent="0.2">
      <c r="A802" s="5" t="s">
        <v>399</v>
      </c>
      <c r="B802" s="5" t="s">
        <v>3645</v>
      </c>
      <c r="C802" s="5" t="s">
        <v>1533</v>
      </c>
      <c r="D802" s="135" t="s">
        <v>2769</v>
      </c>
      <c r="E802" s="136"/>
      <c r="F802" s="5" t="s">
        <v>3612</v>
      </c>
      <c r="G802" s="18">
        <v>3</v>
      </c>
      <c r="H802" s="18">
        <v>0</v>
      </c>
    </row>
    <row r="803" spans="1:8" x14ac:dyDescent="0.2">
      <c r="A803" s="5" t="s">
        <v>400</v>
      </c>
      <c r="B803" s="5" t="s">
        <v>3645</v>
      </c>
      <c r="C803" s="5" t="s">
        <v>1534</v>
      </c>
      <c r="D803" s="135" t="s">
        <v>2770</v>
      </c>
      <c r="E803" s="136"/>
      <c r="F803" s="5" t="s">
        <v>3612</v>
      </c>
      <c r="G803" s="18">
        <v>6</v>
      </c>
      <c r="H803" s="18">
        <v>0</v>
      </c>
    </row>
    <row r="804" spans="1:8" x14ac:dyDescent="0.2">
      <c r="A804" s="5" t="s">
        <v>401</v>
      </c>
      <c r="B804" s="5" t="s">
        <v>3645</v>
      </c>
      <c r="C804" s="5" t="s">
        <v>1535</v>
      </c>
      <c r="D804" s="135" t="s">
        <v>2771</v>
      </c>
      <c r="E804" s="136"/>
      <c r="F804" s="5" t="s">
        <v>3612</v>
      </c>
      <c r="G804" s="18">
        <v>1</v>
      </c>
      <c r="H804" s="18">
        <v>0</v>
      </c>
    </row>
    <row r="805" spans="1:8" x14ac:dyDescent="0.2">
      <c r="A805" s="5" t="s">
        <v>402</v>
      </c>
      <c r="B805" s="5" t="s">
        <v>3645</v>
      </c>
      <c r="C805" s="5" t="s">
        <v>1536</v>
      </c>
      <c r="D805" s="135" t="s">
        <v>2772</v>
      </c>
      <c r="E805" s="136"/>
      <c r="F805" s="5" t="s">
        <v>3612</v>
      </c>
      <c r="G805" s="18">
        <v>2</v>
      </c>
      <c r="H805" s="18">
        <v>0</v>
      </c>
    </row>
    <row r="806" spans="1:8" x14ac:dyDescent="0.2">
      <c r="A806" s="5" t="s">
        <v>403</v>
      </c>
      <c r="B806" s="5" t="s">
        <v>3645</v>
      </c>
      <c r="C806" s="5" t="s">
        <v>1537</v>
      </c>
      <c r="D806" s="135" t="s">
        <v>2773</v>
      </c>
      <c r="E806" s="136"/>
      <c r="F806" s="5" t="s">
        <v>3612</v>
      </c>
      <c r="G806" s="18">
        <v>4</v>
      </c>
      <c r="H806" s="18">
        <v>0</v>
      </c>
    </row>
    <row r="807" spans="1:8" x14ac:dyDescent="0.2">
      <c r="A807" s="5" t="s">
        <v>404</v>
      </c>
      <c r="B807" s="5" t="s">
        <v>3645</v>
      </c>
      <c r="C807" s="5" t="s">
        <v>1538</v>
      </c>
      <c r="D807" s="135" t="s">
        <v>2774</v>
      </c>
      <c r="E807" s="136"/>
      <c r="F807" s="5" t="s">
        <v>3612</v>
      </c>
      <c r="G807" s="18">
        <v>1</v>
      </c>
      <c r="H807" s="18">
        <v>0</v>
      </c>
    </row>
    <row r="808" spans="1:8" x14ac:dyDescent="0.2">
      <c r="A808" s="5" t="s">
        <v>405</v>
      </c>
      <c r="B808" s="5" t="s">
        <v>3645</v>
      </c>
      <c r="C808" s="5" t="s">
        <v>1539</v>
      </c>
      <c r="D808" s="135" t="s">
        <v>2775</v>
      </c>
      <c r="E808" s="136"/>
      <c r="F808" s="5" t="s">
        <v>3612</v>
      </c>
      <c r="G808" s="18">
        <v>1</v>
      </c>
      <c r="H808" s="18">
        <v>0</v>
      </c>
    </row>
    <row r="809" spans="1:8" x14ac:dyDescent="0.2">
      <c r="A809" s="5" t="s">
        <v>406</v>
      </c>
      <c r="B809" s="5" t="s">
        <v>3645</v>
      </c>
      <c r="C809" s="5" t="s">
        <v>1540</v>
      </c>
      <c r="D809" s="135" t="s">
        <v>2776</v>
      </c>
      <c r="E809" s="136"/>
      <c r="F809" s="5" t="s">
        <v>3612</v>
      </c>
      <c r="G809" s="18">
        <v>1</v>
      </c>
      <c r="H809" s="18">
        <v>0</v>
      </c>
    </row>
    <row r="810" spans="1:8" x14ac:dyDescent="0.2">
      <c r="A810" s="5" t="s">
        <v>407</v>
      </c>
      <c r="B810" s="5" t="s">
        <v>3645</v>
      </c>
      <c r="C810" s="5" t="s">
        <v>1541</v>
      </c>
      <c r="D810" s="135" t="s">
        <v>2777</v>
      </c>
      <c r="E810" s="136"/>
      <c r="F810" s="5" t="s">
        <v>3612</v>
      </c>
      <c r="G810" s="18">
        <v>1</v>
      </c>
      <c r="H810" s="18">
        <v>0</v>
      </c>
    </row>
    <row r="811" spans="1:8" x14ac:dyDescent="0.2">
      <c r="A811" s="5" t="s">
        <v>408</v>
      </c>
      <c r="B811" s="5" t="s">
        <v>3645</v>
      </c>
      <c r="C811" s="5" t="s">
        <v>1542</v>
      </c>
      <c r="D811" s="135" t="s">
        <v>2778</v>
      </c>
      <c r="E811" s="136"/>
      <c r="F811" s="5" t="s">
        <v>3612</v>
      </c>
      <c r="G811" s="18">
        <v>10</v>
      </c>
      <c r="H811" s="18">
        <v>0</v>
      </c>
    </row>
    <row r="812" spans="1:8" x14ac:dyDescent="0.2">
      <c r="A812" s="5" t="s">
        <v>409</v>
      </c>
      <c r="B812" s="5" t="s">
        <v>3645</v>
      </c>
      <c r="C812" s="5" t="s">
        <v>1543</v>
      </c>
      <c r="D812" s="135" t="s">
        <v>2779</v>
      </c>
      <c r="E812" s="136"/>
      <c r="F812" s="5" t="s">
        <v>3612</v>
      </c>
      <c r="G812" s="18">
        <v>2</v>
      </c>
      <c r="H812" s="18">
        <v>0</v>
      </c>
    </row>
    <row r="813" spans="1:8" x14ac:dyDescent="0.2">
      <c r="A813" s="5" t="s">
        <v>410</v>
      </c>
      <c r="B813" s="5" t="s">
        <v>3645</v>
      </c>
      <c r="C813" s="5" t="s">
        <v>1544</v>
      </c>
      <c r="D813" s="135" t="s">
        <v>2780</v>
      </c>
      <c r="E813" s="136"/>
      <c r="F813" s="5" t="s">
        <v>3612</v>
      </c>
      <c r="G813" s="18">
        <v>2</v>
      </c>
      <c r="H813" s="18">
        <v>0</v>
      </c>
    </row>
    <row r="814" spans="1:8" x14ac:dyDescent="0.2">
      <c r="A814" s="5" t="s">
        <v>411</v>
      </c>
      <c r="B814" s="5" t="s">
        <v>3645</v>
      </c>
      <c r="C814" s="5" t="s">
        <v>1545</v>
      </c>
      <c r="D814" s="135" t="s">
        <v>2781</v>
      </c>
      <c r="E814" s="136"/>
      <c r="F814" s="5" t="s">
        <v>3612</v>
      </c>
      <c r="G814" s="18">
        <v>5</v>
      </c>
      <c r="H814" s="18">
        <v>0</v>
      </c>
    </row>
    <row r="815" spans="1:8" x14ac:dyDescent="0.2">
      <c r="A815" s="5" t="s">
        <v>412</v>
      </c>
      <c r="B815" s="5" t="s">
        <v>3645</v>
      </c>
      <c r="C815" s="5" t="s">
        <v>1546</v>
      </c>
      <c r="D815" s="135" t="s">
        <v>2782</v>
      </c>
      <c r="E815" s="136"/>
      <c r="F815" s="5" t="s">
        <v>3612</v>
      </c>
      <c r="G815" s="18">
        <v>4</v>
      </c>
      <c r="H815" s="18">
        <v>0</v>
      </c>
    </row>
    <row r="816" spans="1:8" x14ac:dyDescent="0.2">
      <c r="A816" s="5" t="s">
        <v>413</v>
      </c>
      <c r="B816" s="5" t="s">
        <v>3645</v>
      </c>
      <c r="C816" s="5" t="s">
        <v>1547</v>
      </c>
      <c r="D816" s="135" t="s">
        <v>2783</v>
      </c>
      <c r="E816" s="136"/>
      <c r="F816" s="5" t="s">
        <v>3612</v>
      </c>
      <c r="G816" s="18">
        <v>4</v>
      </c>
      <c r="H816" s="18">
        <v>0</v>
      </c>
    </row>
    <row r="817" spans="1:8" x14ac:dyDescent="0.2">
      <c r="A817" s="5" t="s">
        <v>414</v>
      </c>
      <c r="B817" s="5" t="s">
        <v>3645</v>
      </c>
      <c r="C817" s="5" t="s">
        <v>1548</v>
      </c>
      <c r="D817" s="135" t="s">
        <v>2784</v>
      </c>
      <c r="E817" s="136"/>
      <c r="F817" s="5" t="s">
        <v>3612</v>
      </c>
      <c r="G817" s="18">
        <v>4</v>
      </c>
      <c r="H817" s="18">
        <v>0</v>
      </c>
    </row>
    <row r="818" spans="1:8" x14ac:dyDescent="0.2">
      <c r="A818" s="5" t="s">
        <v>415</v>
      </c>
      <c r="B818" s="5" t="s">
        <v>3645</v>
      </c>
      <c r="C818" s="5" t="s">
        <v>1549</v>
      </c>
      <c r="D818" s="135" t="s">
        <v>2785</v>
      </c>
      <c r="E818" s="136"/>
      <c r="F818" s="5" t="s">
        <v>3612</v>
      </c>
      <c r="G818" s="18">
        <v>13</v>
      </c>
      <c r="H818" s="18">
        <v>0</v>
      </c>
    </row>
    <row r="819" spans="1:8" x14ac:dyDescent="0.2">
      <c r="A819" s="5" t="s">
        <v>416</v>
      </c>
      <c r="B819" s="5" t="s">
        <v>3645</v>
      </c>
      <c r="C819" s="5" t="s">
        <v>1550</v>
      </c>
      <c r="D819" s="135" t="s">
        <v>2786</v>
      </c>
      <c r="E819" s="136"/>
      <c r="F819" s="5" t="s">
        <v>3612</v>
      </c>
      <c r="G819" s="18">
        <v>18</v>
      </c>
      <c r="H819" s="18">
        <v>0</v>
      </c>
    </row>
    <row r="820" spans="1:8" x14ac:dyDescent="0.2">
      <c r="A820" s="5" t="s">
        <v>417</v>
      </c>
      <c r="B820" s="5" t="s">
        <v>3645</v>
      </c>
      <c r="C820" s="5" t="s">
        <v>1551</v>
      </c>
      <c r="D820" s="135" t="s">
        <v>2787</v>
      </c>
      <c r="E820" s="136"/>
      <c r="F820" s="5" t="s">
        <v>3612</v>
      </c>
      <c r="G820" s="18">
        <v>18</v>
      </c>
      <c r="H820" s="18">
        <v>0</v>
      </c>
    </row>
    <row r="821" spans="1:8" x14ac:dyDescent="0.2">
      <c r="A821" s="5" t="s">
        <v>418</v>
      </c>
      <c r="B821" s="5" t="s">
        <v>3645</v>
      </c>
      <c r="C821" s="5" t="s">
        <v>1552</v>
      </c>
      <c r="D821" s="135" t="s">
        <v>2788</v>
      </c>
      <c r="E821" s="136"/>
      <c r="F821" s="5" t="s">
        <v>3614</v>
      </c>
      <c r="G821" s="18">
        <v>166</v>
      </c>
      <c r="H821" s="18">
        <v>0</v>
      </c>
    </row>
    <row r="822" spans="1:8" x14ac:dyDescent="0.2">
      <c r="A822" s="5" t="s">
        <v>419</v>
      </c>
      <c r="B822" s="5" t="s">
        <v>3645</v>
      </c>
      <c r="C822" s="5" t="s">
        <v>1553</v>
      </c>
      <c r="D822" s="135" t="s">
        <v>2789</v>
      </c>
      <c r="E822" s="136"/>
      <c r="F822" s="5" t="s">
        <v>3612</v>
      </c>
      <c r="G822" s="18">
        <v>19</v>
      </c>
      <c r="H822" s="18">
        <v>0</v>
      </c>
    </row>
    <row r="823" spans="1:8" x14ac:dyDescent="0.2">
      <c r="A823" s="5" t="s">
        <v>420</v>
      </c>
      <c r="B823" s="5" t="s">
        <v>3645</v>
      </c>
      <c r="C823" s="5" t="s">
        <v>1554</v>
      </c>
      <c r="D823" s="135" t="s">
        <v>2790</v>
      </c>
      <c r="E823" s="136"/>
      <c r="F823" s="5" t="s">
        <v>3612</v>
      </c>
      <c r="G823" s="18">
        <v>8</v>
      </c>
      <c r="H823" s="18">
        <v>0</v>
      </c>
    </row>
    <row r="824" spans="1:8" x14ac:dyDescent="0.2">
      <c r="A824" s="5" t="s">
        <v>421</v>
      </c>
      <c r="B824" s="5" t="s">
        <v>3645</v>
      </c>
      <c r="C824" s="5" t="s">
        <v>1555</v>
      </c>
      <c r="D824" s="135" t="s">
        <v>2791</v>
      </c>
      <c r="E824" s="136"/>
      <c r="F824" s="5" t="s">
        <v>3612</v>
      </c>
      <c r="G824" s="18">
        <v>7</v>
      </c>
      <c r="H824" s="18">
        <v>0</v>
      </c>
    </row>
    <row r="825" spans="1:8" x14ac:dyDescent="0.2">
      <c r="A825" s="5" t="s">
        <v>422</v>
      </c>
      <c r="B825" s="5" t="s">
        <v>3645</v>
      </c>
      <c r="C825" s="5" t="s">
        <v>1556</v>
      </c>
      <c r="D825" s="135" t="s">
        <v>2792</v>
      </c>
      <c r="E825" s="136"/>
      <c r="F825" s="5" t="s">
        <v>3619</v>
      </c>
      <c r="G825" s="18">
        <v>45</v>
      </c>
      <c r="H825" s="18">
        <v>0</v>
      </c>
    </row>
    <row r="826" spans="1:8" x14ac:dyDescent="0.2">
      <c r="A826" s="5" t="s">
        <v>423</v>
      </c>
      <c r="B826" s="5" t="s">
        <v>3645</v>
      </c>
      <c r="C826" s="5" t="s">
        <v>1557</v>
      </c>
      <c r="D826" s="135" t="s">
        <v>2793</v>
      </c>
      <c r="E826" s="136"/>
      <c r="F826" s="5" t="s">
        <v>3614</v>
      </c>
      <c r="G826" s="18">
        <v>435.5</v>
      </c>
      <c r="H826" s="18">
        <v>0</v>
      </c>
    </row>
    <row r="827" spans="1:8" x14ac:dyDescent="0.2">
      <c r="A827" s="5" t="s">
        <v>424</v>
      </c>
      <c r="B827" s="5" t="s">
        <v>3645</v>
      </c>
      <c r="C827" s="5" t="s">
        <v>1558</v>
      </c>
      <c r="D827" s="135" t="s">
        <v>2794</v>
      </c>
      <c r="E827" s="136"/>
      <c r="F827" s="5" t="s">
        <v>3614</v>
      </c>
      <c r="G827" s="18">
        <v>435.5</v>
      </c>
      <c r="H827" s="18">
        <v>0</v>
      </c>
    </row>
    <row r="828" spans="1:8" x14ac:dyDescent="0.2">
      <c r="A828" s="5" t="s">
        <v>425</v>
      </c>
      <c r="B828" s="5" t="s">
        <v>3645</v>
      </c>
      <c r="C828" s="5" t="s">
        <v>1559</v>
      </c>
      <c r="D828" s="135" t="s">
        <v>2795</v>
      </c>
      <c r="E828" s="136"/>
      <c r="F828" s="5" t="s">
        <v>3618</v>
      </c>
      <c r="G828" s="18">
        <v>1</v>
      </c>
      <c r="H828" s="18">
        <v>0</v>
      </c>
    </row>
    <row r="829" spans="1:8" x14ac:dyDescent="0.2">
      <c r="A829" s="5" t="s">
        <v>426</v>
      </c>
      <c r="B829" s="5" t="s">
        <v>3645</v>
      </c>
      <c r="C829" s="5" t="s">
        <v>1560</v>
      </c>
      <c r="D829" s="135" t="s">
        <v>2796</v>
      </c>
      <c r="E829" s="136"/>
      <c r="F829" s="5" t="s">
        <v>3614</v>
      </c>
      <c r="G829" s="18">
        <v>435.5</v>
      </c>
      <c r="H829" s="18">
        <v>0</v>
      </c>
    </row>
    <row r="830" spans="1:8" x14ac:dyDescent="0.2">
      <c r="A830" s="5" t="s">
        <v>427</v>
      </c>
      <c r="B830" s="5" t="s">
        <v>3645</v>
      </c>
      <c r="C830" s="5" t="s">
        <v>1561</v>
      </c>
      <c r="D830" s="135" t="s">
        <v>2797</v>
      </c>
      <c r="E830" s="136"/>
      <c r="F830" s="5" t="s">
        <v>3612</v>
      </c>
      <c r="G830" s="18">
        <v>2</v>
      </c>
      <c r="H830" s="18">
        <v>0</v>
      </c>
    </row>
    <row r="831" spans="1:8" x14ac:dyDescent="0.2">
      <c r="A831" s="5" t="s">
        <v>428</v>
      </c>
      <c r="B831" s="5" t="s">
        <v>3645</v>
      </c>
      <c r="C831" s="5" t="s">
        <v>1562</v>
      </c>
      <c r="D831" s="135" t="s">
        <v>2798</v>
      </c>
      <c r="E831" s="136"/>
      <c r="F831" s="5" t="s">
        <v>3619</v>
      </c>
      <c r="G831" s="18">
        <v>30</v>
      </c>
      <c r="H831" s="18">
        <v>0</v>
      </c>
    </row>
    <row r="832" spans="1:8" x14ac:dyDescent="0.2">
      <c r="A832" s="5" t="s">
        <v>429</v>
      </c>
      <c r="B832" s="5" t="s">
        <v>3645</v>
      </c>
      <c r="C832" s="5" t="s">
        <v>1563</v>
      </c>
      <c r="D832" s="135" t="s">
        <v>2799</v>
      </c>
      <c r="E832" s="136"/>
      <c r="F832" s="5" t="s">
        <v>3612</v>
      </c>
      <c r="G832" s="18">
        <v>1</v>
      </c>
      <c r="H832" s="18">
        <v>0</v>
      </c>
    </row>
    <row r="833" spans="1:8" x14ac:dyDescent="0.2">
      <c r="A833" s="5" t="s">
        <v>430</v>
      </c>
      <c r="B833" s="5" t="s">
        <v>3645</v>
      </c>
      <c r="C833" s="5" t="s">
        <v>1564</v>
      </c>
      <c r="D833" s="135" t="s">
        <v>2800</v>
      </c>
      <c r="E833" s="136"/>
      <c r="F833" s="5" t="s">
        <v>3612</v>
      </c>
      <c r="G833" s="18">
        <v>1</v>
      </c>
      <c r="H833" s="18">
        <v>0</v>
      </c>
    </row>
    <row r="834" spans="1:8" x14ac:dyDescent="0.2">
      <c r="A834" s="5" t="s">
        <v>431</v>
      </c>
      <c r="B834" s="5" t="s">
        <v>3645</v>
      </c>
      <c r="C834" s="5" t="s">
        <v>1565</v>
      </c>
      <c r="D834" s="135" t="s">
        <v>2801</v>
      </c>
      <c r="E834" s="136"/>
      <c r="F834" s="5" t="s">
        <v>3612</v>
      </c>
      <c r="G834" s="18">
        <v>1</v>
      </c>
      <c r="H834" s="18">
        <v>0</v>
      </c>
    </row>
    <row r="835" spans="1:8" x14ac:dyDescent="0.2">
      <c r="A835" s="14"/>
      <c r="B835" s="14"/>
      <c r="C835" s="14" t="s">
        <v>2333</v>
      </c>
      <c r="D835" s="133" t="s">
        <v>3521</v>
      </c>
      <c r="E835" s="134"/>
      <c r="F835" s="14"/>
      <c r="G835" s="27"/>
      <c r="H835" s="27"/>
    </row>
    <row r="836" spans="1:8" x14ac:dyDescent="0.2">
      <c r="A836" s="5" t="s">
        <v>432</v>
      </c>
      <c r="B836" s="5" t="s">
        <v>3649</v>
      </c>
      <c r="C836" s="5" t="s">
        <v>2334</v>
      </c>
      <c r="D836" s="135" t="s">
        <v>3542</v>
      </c>
      <c r="E836" s="136"/>
      <c r="F836" s="5" t="s">
        <v>3613</v>
      </c>
      <c r="G836" s="18">
        <v>51.281999999999996</v>
      </c>
      <c r="H836" s="18">
        <v>0</v>
      </c>
    </row>
    <row r="837" spans="1:8" x14ac:dyDescent="0.2">
      <c r="A837" s="5" t="s">
        <v>433</v>
      </c>
      <c r="B837" s="5" t="s">
        <v>3649</v>
      </c>
      <c r="C837" s="5" t="s">
        <v>2335</v>
      </c>
      <c r="D837" s="135" t="s">
        <v>3523</v>
      </c>
      <c r="E837" s="136"/>
      <c r="F837" s="5" t="s">
        <v>3615</v>
      </c>
      <c r="G837" s="18">
        <v>93.24</v>
      </c>
      <c r="H837" s="18">
        <v>0</v>
      </c>
    </row>
    <row r="838" spans="1:8" x14ac:dyDescent="0.2">
      <c r="A838" s="5" t="s">
        <v>434</v>
      </c>
      <c r="B838" s="5" t="s">
        <v>3649</v>
      </c>
      <c r="C838" s="5" t="s">
        <v>2336</v>
      </c>
      <c r="D838" s="135" t="s">
        <v>3524</v>
      </c>
      <c r="E838" s="136"/>
      <c r="F838" s="5" t="s">
        <v>3613</v>
      </c>
      <c r="G838" s="18">
        <v>5.1281999999999996</v>
      </c>
      <c r="H838" s="18">
        <v>0</v>
      </c>
    </row>
    <row r="839" spans="1:8" x14ac:dyDescent="0.2">
      <c r="A839" s="5" t="s">
        <v>435</v>
      </c>
      <c r="B839" s="5" t="s">
        <v>3649</v>
      </c>
      <c r="C839" s="5" t="s">
        <v>2337</v>
      </c>
      <c r="D839" s="135" t="s">
        <v>3543</v>
      </c>
      <c r="E839" s="136"/>
      <c r="F839" s="5" t="s">
        <v>3613</v>
      </c>
      <c r="G839" s="18">
        <v>11.9658</v>
      </c>
      <c r="H839" s="18">
        <v>0</v>
      </c>
    </row>
    <row r="840" spans="1:8" x14ac:dyDescent="0.2">
      <c r="A840" s="5" t="s">
        <v>436</v>
      </c>
      <c r="B840" s="5" t="s">
        <v>3649</v>
      </c>
      <c r="C840" s="5" t="s">
        <v>2338</v>
      </c>
      <c r="D840" s="135" t="s">
        <v>3544</v>
      </c>
      <c r="E840" s="136"/>
      <c r="F840" s="5" t="s">
        <v>3613</v>
      </c>
      <c r="G840" s="18">
        <v>27.3504</v>
      </c>
      <c r="H840" s="18">
        <v>0</v>
      </c>
    </row>
    <row r="841" spans="1:8" x14ac:dyDescent="0.2">
      <c r="A841" s="5" t="s">
        <v>437</v>
      </c>
      <c r="B841" s="5" t="s">
        <v>3649</v>
      </c>
      <c r="C841" s="5" t="s">
        <v>2339</v>
      </c>
      <c r="D841" s="135" t="s">
        <v>3527</v>
      </c>
      <c r="E841" s="136"/>
      <c r="F841" s="5" t="s">
        <v>3613</v>
      </c>
      <c r="G841" s="18">
        <v>6.8376000000000001</v>
      </c>
      <c r="H841" s="18">
        <v>0</v>
      </c>
    </row>
    <row r="842" spans="1:8" x14ac:dyDescent="0.2">
      <c r="A842" s="5" t="s">
        <v>438</v>
      </c>
      <c r="B842" s="5" t="s">
        <v>3649</v>
      </c>
      <c r="C842" s="5" t="s">
        <v>2340</v>
      </c>
      <c r="D842" s="135" t="s">
        <v>3545</v>
      </c>
      <c r="E842" s="136"/>
      <c r="F842" s="5" t="s">
        <v>3614</v>
      </c>
      <c r="G842" s="18">
        <v>31.08</v>
      </c>
      <c r="H842" s="18">
        <v>0</v>
      </c>
    </row>
    <row r="843" spans="1:8" x14ac:dyDescent="0.2">
      <c r="A843" s="5" t="s">
        <v>439</v>
      </c>
      <c r="B843" s="5" t="s">
        <v>3649</v>
      </c>
      <c r="C843" s="5" t="s">
        <v>2341</v>
      </c>
      <c r="D843" s="135" t="s">
        <v>3546</v>
      </c>
      <c r="E843" s="136"/>
      <c r="F843" s="5" t="s">
        <v>3614</v>
      </c>
      <c r="G843" s="18">
        <v>31.08</v>
      </c>
      <c r="H843" s="18">
        <v>0</v>
      </c>
    </row>
    <row r="844" spans="1:8" x14ac:dyDescent="0.2">
      <c r="A844" s="5" t="s">
        <v>440</v>
      </c>
      <c r="B844" s="5" t="s">
        <v>3649</v>
      </c>
      <c r="C844" s="5" t="s">
        <v>2342</v>
      </c>
      <c r="D844" s="135" t="s">
        <v>3547</v>
      </c>
      <c r="E844" s="136"/>
      <c r="F844" s="5" t="s">
        <v>3614</v>
      </c>
      <c r="G844" s="18">
        <v>31.08</v>
      </c>
      <c r="H844" s="18">
        <v>0</v>
      </c>
    </row>
    <row r="845" spans="1:8" x14ac:dyDescent="0.2">
      <c r="A845" s="14"/>
      <c r="B845" s="14"/>
      <c r="C845" s="14" t="s">
        <v>2313</v>
      </c>
      <c r="D845" s="133" t="s">
        <v>3521</v>
      </c>
      <c r="E845" s="134"/>
      <c r="F845" s="14"/>
      <c r="G845" s="27"/>
      <c r="H845" s="27"/>
    </row>
    <row r="846" spans="1:8" x14ac:dyDescent="0.2">
      <c r="A846" s="5" t="s">
        <v>441</v>
      </c>
      <c r="B846" s="5" t="s">
        <v>3648</v>
      </c>
      <c r="C846" s="5" t="s">
        <v>2314</v>
      </c>
      <c r="D846" s="135" t="s">
        <v>3522</v>
      </c>
      <c r="E846" s="136"/>
      <c r="F846" s="5" t="s">
        <v>3613</v>
      </c>
      <c r="G846" s="18">
        <v>662.77200000000005</v>
      </c>
      <c r="H846" s="18">
        <v>0</v>
      </c>
    </row>
    <row r="847" spans="1:8" x14ac:dyDescent="0.2">
      <c r="A847" s="5" t="s">
        <v>442</v>
      </c>
      <c r="B847" s="5" t="s">
        <v>3648</v>
      </c>
      <c r="C847" s="5" t="s">
        <v>2315</v>
      </c>
      <c r="D847" s="135" t="s">
        <v>3523</v>
      </c>
      <c r="E847" s="136"/>
      <c r="F847" s="5" t="s">
        <v>3615</v>
      </c>
      <c r="G847" s="18">
        <v>333.84</v>
      </c>
      <c r="H847" s="18">
        <v>0</v>
      </c>
    </row>
    <row r="848" spans="1:8" x14ac:dyDescent="0.2">
      <c r="A848" s="5" t="s">
        <v>443</v>
      </c>
      <c r="B848" s="5" t="s">
        <v>3648</v>
      </c>
      <c r="C848" s="5" t="s">
        <v>2316</v>
      </c>
      <c r="D848" s="135" t="s">
        <v>3524</v>
      </c>
      <c r="E848" s="136"/>
      <c r="F848" s="5" t="s">
        <v>3613</v>
      </c>
      <c r="G848" s="18">
        <v>33.050159999999998</v>
      </c>
      <c r="H848" s="18">
        <v>0</v>
      </c>
    </row>
    <row r="849" spans="1:8" x14ac:dyDescent="0.2">
      <c r="A849" s="5" t="s">
        <v>444</v>
      </c>
      <c r="B849" s="5" t="s">
        <v>3648</v>
      </c>
      <c r="C849" s="5" t="s">
        <v>2317</v>
      </c>
      <c r="D849" s="135" t="s">
        <v>3525</v>
      </c>
      <c r="E849" s="136"/>
      <c r="F849" s="5" t="s">
        <v>3613</v>
      </c>
      <c r="G849" s="18">
        <v>70.106399999999994</v>
      </c>
      <c r="H849" s="18">
        <v>0</v>
      </c>
    </row>
    <row r="850" spans="1:8" x14ac:dyDescent="0.2">
      <c r="A850" s="5" t="s">
        <v>445</v>
      </c>
      <c r="B850" s="5" t="s">
        <v>3648</v>
      </c>
      <c r="C850" s="5" t="s">
        <v>2318</v>
      </c>
      <c r="D850" s="135" t="s">
        <v>3526</v>
      </c>
      <c r="E850" s="136"/>
      <c r="F850" s="5" t="s">
        <v>3613</v>
      </c>
      <c r="G850" s="18">
        <v>476.99004000000002</v>
      </c>
      <c r="H850" s="18">
        <v>0</v>
      </c>
    </row>
    <row r="851" spans="1:8" x14ac:dyDescent="0.2">
      <c r="A851" s="5" t="s">
        <v>446</v>
      </c>
      <c r="B851" s="5" t="s">
        <v>3648</v>
      </c>
      <c r="C851" s="5" t="s">
        <v>2319</v>
      </c>
      <c r="D851" s="135" t="s">
        <v>3527</v>
      </c>
      <c r="E851" s="136"/>
      <c r="F851" s="5" t="s">
        <v>3613</v>
      </c>
      <c r="G851" s="18">
        <v>662.77200000000005</v>
      </c>
      <c r="H851" s="18">
        <v>0</v>
      </c>
    </row>
    <row r="852" spans="1:8" x14ac:dyDescent="0.2">
      <c r="A852" s="5" t="s">
        <v>447</v>
      </c>
      <c r="B852" s="5" t="s">
        <v>3648</v>
      </c>
      <c r="C852" s="5" t="s">
        <v>2320</v>
      </c>
      <c r="D852" s="135" t="s">
        <v>3528</v>
      </c>
      <c r="E852" s="136"/>
      <c r="F852" s="5" t="s">
        <v>3614</v>
      </c>
      <c r="G852" s="18">
        <v>5.04</v>
      </c>
      <c r="H852" s="18">
        <v>0</v>
      </c>
    </row>
    <row r="853" spans="1:8" x14ac:dyDescent="0.2">
      <c r="A853" s="5" t="s">
        <v>448</v>
      </c>
      <c r="B853" s="5" t="s">
        <v>3648</v>
      </c>
      <c r="C853" s="5" t="s">
        <v>2321</v>
      </c>
      <c r="D853" s="135" t="s">
        <v>3529</v>
      </c>
      <c r="E853" s="136"/>
      <c r="F853" s="5" t="s">
        <v>3614</v>
      </c>
      <c r="G853" s="18">
        <v>28.92</v>
      </c>
      <c r="H853" s="18">
        <v>0</v>
      </c>
    </row>
    <row r="854" spans="1:8" x14ac:dyDescent="0.2">
      <c r="A854" s="5" t="s">
        <v>449</v>
      </c>
      <c r="B854" s="5" t="s">
        <v>3648</v>
      </c>
      <c r="C854" s="5" t="s">
        <v>2322</v>
      </c>
      <c r="D854" s="135" t="s">
        <v>3530</v>
      </c>
      <c r="E854" s="136"/>
      <c r="F854" s="5" t="s">
        <v>3614</v>
      </c>
      <c r="G854" s="18">
        <v>9.9600000000000009</v>
      </c>
      <c r="H854" s="18">
        <v>0</v>
      </c>
    </row>
    <row r="855" spans="1:8" x14ac:dyDescent="0.2">
      <c r="A855" s="5" t="s">
        <v>450</v>
      </c>
      <c r="B855" s="5" t="s">
        <v>3648</v>
      </c>
      <c r="C855" s="5" t="s">
        <v>2323</v>
      </c>
      <c r="D855" s="135" t="s">
        <v>3531</v>
      </c>
      <c r="E855" s="136"/>
      <c r="F855" s="5" t="s">
        <v>3614</v>
      </c>
      <c r="G855" s="18">
        <v>123</v>
      </c>
      <c r="H855" s="18">
        <v>0</v>
      </c>
    </row>
    <row r="856" spans="1:8" x14ac:dyDescent="0.2">
      <c r="A856" s="14"/>
      <c r="B856" s="14"/>
      <c r="C856" s="14" t="s">
        <v>2324</v>
      </c>
      <c r="D856" s="133" t="s">
        <v>3548</v>
      </c>
      <c r="E856" s="134"/>
      <c r="F856" s="14"/>
      <c r="G856" s="27"/>
      <c r="H856" s="27"/>
    </row>
    <row r="857" spans="1:8" x14ac:dyDescent="0.2">
      <c r="A857" s="5" t="s">
        <v>451</v>
      </c>
      <c r="B857" s="5" t="s">
        <v>3648</v>
      </c>
      <c r="C857" s="5" t="s">
        <v>2325</v>
      </c>
      <c r="D857" s="135" t="s">
        <v>3533</v>
      </c>
      <c r="E857" s="136"/>
      <c r="F857" s="5" t="s">
        <v>3612</v>
      </c>
      <c r="G857" s="18">
        <v>8</v>
      </c>
      <c r="H857" s="18">
        <v>0</v>
      </c>
    </row>
    <row r="858" spans="1:8" x14ac:dyDescent="0.2">
      <c r="A858" s="5" t="s">
        <v>452</v>
      </c>
      <c r="B858" s="5" t="s">
        <v>3648</v>
      </c>
      <c r="C858" s="5" t="s">
        <v>2326</v>
      </c>
      <c r="D858" s="135" t="s">
        <v>3534</v>
      </c>
      <c r="E858" s="136"/>
      <c r="F858" s="5" t="s">
        <v>3618</v>
      </c>
      <c r="G858" s="18">
        <v>8</v>
      </c>
      <c r="H858" s="18">
        <v>0</v>
      </c>
    </row>
    <row r="859" spans="1:8" x14ac:dyDescent="0.2">
      <c r="A859" s="5" t="s">
        <v>453</v>
      </c>
      <c r="B859" s="5" t="s">
        <v>3648</v>
      </c>
      <c r="C859" s="5" t="s">
        <v>2327</v>
      </c>
      <c r="D859" s="135" t="s">
        <v>3535</v>
      </c>
      <c r="E859" s="136"/>
      <c r="F859" s="5" t="s">
        <v>3612</v>
      </c>
      <c r="G859" s="18">
        <v>8</v>
      </c>
      <c r="H859" s="18">
        <v>0</v>
      </c>
    </row>
    <row r="860" spans="1:8" x14ac:dyDescent="0.2">
      <c r="A860" s="5" t="s">
        <v>454</v>
      </c>
      <c r="B860" s="5" t="s">
        <v>3648</v>
      </c>
      <c r="C860" s="5" t="s">
        <v>2328</v>
      </c>
      <c r="D860" s="135" t="s">
        <v>3536</v>
      </c>
      <c r="E860" s="136"/>
      <c r="F860" s="5" t="s">
        <v>3612</v>
      </c>
      <c r="G860" s="18">
        <v>3</v>
      </c>
      <c r="H860" s="18">
        <v>0</v>
      </c>
    </row>
    <row r="861" spans="1:8" x14ac:dyDescent="0.2">
      <c r="A861" s="5" t="s">
        <v>455</v>
      </c>
      <c r="B861" s="5" t="s">
        <v>3649</v>
      </c>
      <c r="C861" s="5" t="s">
        <v>2343</v>
      </c>
      <c r="D861" s="135" t="s">
        <v>3549</v>
      </c>
      <c r="E861" s="136"/>
      <c r="F861" s="5" t="s">
        <v>3622</v>
      </c>
      <c r="G861" s="18">
        <v>1</v>
      </c>
      <c r="H861" s="18">
        <v>0</v>
      </c>
    </row>
    <row r="862" spans="1:8" x14ac:dyDescent="0.2">
      <c r="A862" s="5" t="s">
        <v>456</v>
      </c>
      <c r="B862" s="5" t="s">
        <v>3649</v>
      </c>
      <c r="C862" s="5" t="s">
        <v>2344</v>
      </c>
      <c r="D862" s="135" t="s">
        <v>3550</v>
      </c>
      <c r="E862" s="136"/>
      <c r="F862" s="5" t="s">
        <v>3613</v>
      </c>
      <c r="G862" s="18">
        <v>14.5</v>
      </c>
      <c r="H862" s="18">
        <v>0</v>
      </c>
    </row>
    <row r="863" spans="1:8" x14ac:dyDescent="0.2">
      <c r="A863" s="5" t="s">
        <v>457</v>
      </c>
      <c r="B863" s="5" t="s">
        <v>3649</v>
      </c>
      <c r="C863" s="5" t="s">
        <v>2345</v>
      </c>
      <c r="D863" s="135" t="s">
        <v>3551</v>
      </c>
      <c r="E863" s="136"/>
      <c r="F863" s="5" t="s">
        <v>3613</v>
      </c>
      <c r="G863" s="18">
        <v>1.0691999999999999</v>
      </c>
      <c r="H863" s="18">
        <v>0</v>
      </c>
    </row>
    <row r="864" spans="1:8" x14ac:dyDescent="0.2">
      <c r="A864" s="5" t="s">
        <v>458</v>
      </c>
      <c r="B864" s="5" t="s">
        <v>3649</v>
      </c>
      <c r="C864" s="5" t="s">
        <v>2346</v>
      </c>
      <c r="D864" s="135" t="s">
        <v>3552</v>
      </c>
      <c r="E864" s="136"/>
      <c r="F864" s="5" t="s">
        <v>3612</v>
      </c>
      <c r="G864" s="18">
        <v>1</v>
      </c>
      <c r="H864" s="18">
        <v>0</v>
      </c>
    </row>
    <row r="865" spans="1:8" x14ac:dyDescent="0.2">
      <c r="A865" s="5" t="s">
        <v>459</v>
      </c>
      <c r="B865" s="5" t="s">
        <v>3649</v>
      </c>
      <c r="C865" s="5" t="s">
        <v>2347</v>
      </c>
      <c r="D865" s="135" t="s">
        <v>3553</v>
      </c>
      <c r="E865" s="136"/>
      <c r="F865" s="5" t="s">
        <v>3612</v>
      </c>
      <c r="G865" s="18">
        <v>1</v>
      </c>
      <c r="H865" s="18">
        <v>0</v>
      </c>
    </row>
    <row r="866" spans="1:8" x14ac:dyDescent="0.2">
      <c r="A866" s="5" t="s">
        <v>460</v>
      </c>
      <c r="B866" s="5" t="s">
        <v>3649</v>
      </c>
      <c r="C866" s="5" t="s">
        <v>2348</v>
      </c>
      <c r="D866" s="135" t="s">
        <v>3554</v>
      </c>
      <c r="E866" s="136"/>
      <c r="F866" s="5" t="s">
        <v>3612</v>
      </c>
      <c r="G866" s="18">
        <v>1</v>
      </c>
      <c r="H866" s="18">
        <v>0</v>
      </c>
    </row>
    <row r="867" spans="1:8" x14ac:dyDescent="0.2">
      <c r="A867" s="5" t="s">
        <v>461</v>
      </c>
      <c r="B867" s="5" t="s">
        <v>3649</v>
      </c>
      <c r="C867" s="5" t="s">
        <v>2349</v>
      </c>
      <c r="D867" s="135" t="s">
        <v>3555</v>
      </c>
      <c r="E867" s="136"/>
      <c r="F867" s="5" t="s">
        <v>3612</v>
      </c>
      <c r="G867" s="18">
        <v>1</v>
      </c>
      <c r="H867" s="18">
        <v>0</v>
      </c>
    </row>
    <row r="868" spans="1:8" x14ac:dyDescent="0.2">
      <c r="A868" s="5" t="s">
        <v>462</v>
      </c>
      <c r="B868" s="5" t="s">
        <v>3649</v>
      </c>
      <c r="C868" s="5" t="s">
        <v>2350</v>
      </c>
      <c r="D868" s="135" t="s">
        <v>3556</v>
      </c>
      <c r="E868" s="136"/>
      <c r="F868" s="5" t="s">
        <v>3612</v>
      </c>
      <c r="G868" s="18">
        <v>1</v>
      </c>
      <c r="H868" s="18">
        <v>0</v>
      </c>
    </row>
    <row r="869" spans="1:8" x14ac:dyDescent="0.2">
      <c r="A869" s="5" t="s">
        <v>463</v>
      </c>
      <c r="B869" s="5" t="s">
        <v>3649</v>
      </c>
      <c r="C869" s="5" t="s">
        <v>2351</v>
      </c>
      <c r="D869" s="135" t="s">
        <v>3557</v>
      </c>
      <c r="E869" s="136"/>
      <c r="F869" s="5" t="s">
        <v>3612</v>
      </c>
      <c r="G869" s="18">
        <v>1</v>
      </c>
      <c r="H869" s="18">
        <v>0</v>
      </c>
    </row>
    <row r="870" spans="1:8" x14ac:dyDescent="0.2">
      <c r="A870" s="5" t="s">
        <v>464</v>
      </c>
      <c r="B870" s="5" t="s">
        <v>3649</v>
      </c>
      <c r="C870" s="5" t="s">
        <v>2352</v>
      </c>
      <c r="D870" s="135" t="s">
        <v>3558</v>
      </c>
      <c r="E870" s="136"/>
      <c r="F870" s="5" t="s">
        <v>3612</v>
      </c>
      <c r="G870" s="18">
        <v>1</v>
      </c>
      <c r="H870" s="18">
        <v>0</v>
      </c>
    </row>
    <row r="871" spans="1:8" x14ac:dyDescent="0.2">
      <c r="A871" s="5" t="s">
        <v>465</v>
      </c>
      <c r="B871" s="5" t="s">
        <v>3649</v>
      </c>
      <c r="C871" s="5" t="s">
        <v>2353</v>
      </c>
      <c r="D871" s="135" t="s">
        <v>3559</v>
      </c>
      <c r="E871" s="136"/>
      <c r="F871" s="5" t="s">
        <v>3612</v>
      </c>
      <c r="G871" s="18">
        <v>1</v>
      </c>
      <c r="H871" s="18">
        <v>0</v>
      </c>
    </row>
    <row r="872" spans="1:8" x14ac:dyDescent="0.2">
      <c r="A872" s="14"/>
      <c r="B872" s="14"/>
      <c r="C872" s="14" t="s">
        <v>2329</v>
      </c>
      <c r="D872" s="133" t="s">
        <v>3537</v>
      </c>
      <c r="E872" s="134"/>
      <c r="F872" s="14"/>
      <c r="G872" s="27"/>
      <c r="H872" s="27"/>
    </row>
    <row r="873" spans="1:8" x14ac:dyDescent="0.2">
      <c r="A873" s="5" t="s">
        <v>466</v>
      </c>
      <c r="B873" s="5" t="s">
        <v>3648</v>
      </c>
      <c r="C873" s="5" t="s">
        <v>2330</v>
      </c>
      <c r="D873" s="135" t="s">
        <v>3538</v>
      </c>
      <c r="E873" s="136"/>
      <c r="F873" s="5" t="s">
        <v>3618</v>
      </c>
      <c r="G873" s="18">
        <v>1</v>
      </c>
      <c r="H873" s="18">
        <v>0</v>
      </c>
    </row>
    <row r="874" spans="1:8" x14ac:dyDescent="0.2">
      <c r="A874" s="5" t="s">
        <v>467</v>
      </c>
      <c r="B874" s="5" t="s">
        <v>3648</v>
      </c>
      <c r="C874" s="5" t="s">
        <v>2331</v>
      </c>
      <c r="D874" s="135" t="s">
        <v>3539</v>
      </c>
      <c r="E874" s="136"/>
      <c r="F874" s="5" t="s">
        <v>3618</v>
      </c>
      <c r="G874" s="18">
        <v>1</v>
      </c>
      <c r="H874" s="18">
        <v>0</v>
      </c>
    </row>
    <row r="875" spans="1:8" x14ac:dyDescent="0.2">
      <c r="A875" s="5" t="s">
        <v>468</v>
      </c>
      <c r="B875" s="5" t="s">
        <v>3648</v>
      </c>
      <c r="C875" s="5" t="s">
        <v>2332</v>
      </c>
      <c r="D875" s="135" t="s">
        <v>3540</v>
      </c>
      <c r="E875" s="136"/>
      <c r="F875" s="5" t="s">
        <v>3618</v>
      </c>
      <c r="G875" s="18">
        <v>1</v>
      </c>
      <c r="H875" s="18">
        <v>0</v>
      </c>
    </row>
    <row r="876" spans="1:8" x14ac:dyDescent="0.2">
      <c r="A876" s="5" t="s">
        <v>469</v>
      </c>
      <c r="B876" s="5" t="s">
        <v>3649</v>
      </c>
      <c r="C876" s="5" t="s">
        <v>2354</v>
      </c>
      <c r="D876" s="135" t="s">
        <v>3538</v>
      </c>
      <c r="E876" s="136"/>
      <c r="F876" s="5" t="s">
        <v>3618</v>
      </c>
      <c r="G876" s="18">
        <v>1</v>
      </c>
      <c r="H876" s="18">
        <v>0</v>
      </c>
    </row>
    <row r="877" spans="1:8" x14ac:dyDescent="0.2">
      <c r="A877" s="5" t="s">
        <v>470</v>
      </c>
      <c r="B877" s="5" t="s">
        <v>3649</v>
      </c>
      <c r="C877" s="5" t="s">
        <v>2355</v>
      </c>
      <c r="D877" s="135" t="s">
        <v>3539</v>
      </c>
      <c r="E877" s="136"/>
      <c r="F877" s="5" t="s">
        <v>3618</v>
      </c>
      <c r="G877" s="18">
        <v>1</v>
      </c>
      <c r="H877" s="18">
        <v>0</v>
      </c>
    </row>
    <row r="878" spans="1:8" x14ac:dyDescent="0.2">
      <c r="A878" s="5" t="s">
        <v>471</v>
      </c>
      <c r="B878" s="5" t="s">
        <v>3649</v>
      </c>
      <c r="C878" s="5" t="s">
        <v>2356</v>
      </c>
      <c r="D878" s="135" t="s">
        <v>3540</v>
      </c>
      <c r="E878" s="136"/>
      <c r="F878" s="5" t="s">
        <v>3618</v>
      </c>
      <c r="G878" s="18">
        <v>1</v>
      </c>
      <c r="H878" s="18">
        <v>0</v>
      </c>
    </row>
    <row r="879" spans="1:8" x14ac:dyDescent="0.2">
      <c r="A879" s="14"/>
      <c r="B879" s="14"/>
      <c r="C879" s="14" t="s">
        <v>728</v>
      </c>
      <c r="D879" s="133" t="s">
        <v>2802</v>
      </c>
      <c r="E879" s="134"/>
      <c r="F879" s="14"/>
      <c r="G879" s="27"/>
      <c r="H879" s="27"/>
    </row>
    <row r="880" spans="1:8" x14ac:dyDescent="0.2">
      <c r="A880" s="5" t="s">
        <v>472</v>
      </c>
      <c r="B880" s="5" t="s">
        <v>3645</v>
      </c>
      <c r="C880" s="5" t="s">
        <v>1566</v>
      </c>
      <c r="D880" s="135" t="s">
        <v>2803</v>
      </c>
      <c r="E880" s="136"/>
      <c r="F880" s="5" t="s">
        <v>3614</v>
      </c>
      <c r="G880" s="18">
        <v>420</v>
      </c>
      <c r="H880" s="18">
        <v>0</v>
      </c>
    </row>
    <row r="881" spans="1:8" x14ac:dyDescent="0.2">
      <c r="A881" s="5" t="s">
        <v>473</v>
      </c>
      <c r="B881" s="5" t="s">
        <v>3645</v>
      </c>
      <c r="C881" s="5" t="s">
        <v>1567</v>
      </c>
      <c r="D881" s="135" t="s">
        <v>2804</v>
      </c>
      <c r="E881" s="136"/>
      <c r="F881" s="5" t="s">
        <v>3614</v>
      </c>
      <c r="G881" s="18">
        <v>96</v>
      </c>
      <c r="H881" s="18">
        <v>0</v>
      </c>
    </row>
    <row r="882" spans="1:8" x14ac:dyDescent="0.2">
      <c r="A882" s="5" t="s">
        <v>474</v>
      </c>
      <c r="B882" s="5" t="s">
        <v>3645</v>
      </c>
      <c r="C882" s="5" t="s">
        <v>1568</v>
      </c>
      <c r="D882" s="135" t="s">
        <v>2805</v>
      </c>
      <c r="E882" s="136"/>
      <c r="F882" s="5" t="s">
        <v>3612</v>
      </c>
      <c r="G882" s="18">
        <v>5</v>
      </c>
      <c r="H882" s="18">
        <v>0</v>
      </c>
    </row>
    <row r="883" spans="1:8" x14ac:dyDescent="0.2">
      <c r="A883" s="5" t="s">
        <v>475</v>
      </c>
      <c r="B883" s="5" t="s">
        <v>3645</v>
      </c>
      <c r="C883" s="5" t="s">
        <v>1569</v>
      </c>
      <c r="D883" s="135" t="s">
        <v>2806</v>
      </c>
      <c r="E883" s="136"/>
      <c r="F883" s="5" t="s">
        <v>3612</v>
      </c>
      <c r="G883" s="18">
        <v>8</v>
      </c>
      <c r="H883" s="18">
        <v>0</v>
      </c>
    </row>
    <row r="884" spans="1:8" x14ac:dyDescent="0.2">
      <c r="A884" s="5" t="s">
        <v>476</v>
      </c>
      <c r="B884" s="5" t="s">
        <v>3645</v>
      </c>
      <c r="C884" s="5" t="s">
        <v>1570</v>
      </c>
      <c r="D884" s="135" t="s">
        <v>2807</v>
      </c>
      <c r="E884" s="136"/>
      <c r="F884" s="5" t="s">
        <v>3612</v>
      </c>
      <c r="G884" s="18">
        <v>1</v>
      </c>
      <c r="H884" s="18">
        <v>0</v>
      </c>
    </row>
    <row r="885" spans="1:8" x14ac:dyDescent="0.2">
      <c r="A885" s="5" t="s">
        <v>477</v>
      </c>
      <c r="B885" s="5" t="s">
        <v>3645</v>
      </c>
      <c r="C885" s="5" t="s">
        <v>1571</v>
      </c>
      <c r="D885" s="135" t="s">
        <v>2808</v>
      </c>
      <c r="E885" s="136"/>
      <c r="F885" s="5" t="s">
        <v>3612</v>
      </c>
      <c r="G885" s="18">
        <v>1</v>
      </c>
      <c r="H885" s="18">
        <v>0</v>
      </c>
    </row>
    <row r="886" spans="1:8" x14ac:dyDescent="0.2">
      <c r="A886" s="5" t="s">
        <v>478</v>
      </c>
      <c r="B886" s="5" t="s">
        <v>3645</v>
      </c>
      <c r="C886" s="5" t="s">
        <v>1572</v>
      </c>
      <c r="D886" s="135" t="s">
        <v>2809</v>
      </c>
      <c r="E886" s="136"/>
      <c r="F886" s="5" t="s">
        <v>3612</v>
      </c>
      <c r="G886" s="18">
        <v>2</v>
      </c>
      <c r="H886" s="18">
        <v>0</v>
      </c>
    </row>
    <row r="887" spans="1:8" x14ac:dyDescent="0.2">
      <c r="A887" s="5" t="s">
        <v>479</v>
      </c>
      <c r="B887" s="5" t="s">
        <v>3645</v>
      </c>
      <c r="C887" s="5" t="s">
        <v>1573</v>
      </c>
      <c r="D887" s="135" t="s">
        <v>2810</v>
      </c>
      <c r="E887" s="136"/>
      <c r="F887" s="5" t="s">
        <v>3612</v>
      </c>
      <c r="G887" s="18">
        <v>1</v>
      </c>
      <c r="H887" s="18">
        <v>0</v>
      </c>
    </row>
    <row r="888" spans="1:8" x14ac:dyDescent="0.2">
      <c r="A888" s="5" t="s">
        <v>480</v>
      </c>
      <c r="B888" s="5" t="s">
        <v>3645</v>
      </c>
      <c r="C888" s="5" t="s">
        <v>1574</v>
      </c>
      <c r="D888" s="135" t="s">
        <v>2811</v>
      </c>
      <c r="E888" s="136"/>
      <c r="F888" s="5" t="s">
        <v>3612</v>
      </c>
      <c r="G888" s="18">
        <v>6</v>
      </c>
      <c r="H888" s="18">
        <v>0</v>
      </c>
    </row>
    <row r="889" spans="1:8" x14ac:dyDescent="0.2">
      <c r="A889" s="5" t="s">
        <v>481</v>
      </c>
      <c r="B889" s="5" t="s">
        <v>3645</v>
      </c>
      <c r="C889" s="5" t="s">
        <v>1575</v>
      </c>
      <c r="D889" s="135" t="s">
        <v>2812</v>
      </c>
      <c r="E889" s="136"/>
      <c r="F889" s="5" t="s">
        <v>3612</v>
      </c>
      <c r="G889" s="18">
        <v>1</v>
      </c>
      <c r="H889" s="18">
        <v>0</v>
      </c>
    </row>
    <row r="890" spans="1:8" x14ac:dyDescent="0.2">
      <c r="A890" s="5" t="s">
        <v>482</v>
      </c>
      <c r="B890" s="5" t="s">
        <v>3645</v>
      </c>
      <c r="C890" s="5" t="s">
        <v>1576</v>
      </c>
      <c r="D890" s="135" t="s">
        <v>2813</v>
      </c>
      <c r="E890" s="136"/>
      <c r="F890" s="5" t="s">
        <v>3612</v>
      </c>
      <c r="G890" s="18">
        <v>3</v>
      </c>
      <c r="H890" s="18">
        <v>0</v>
      </c>
    </row>
    <row r="891" spans="1:8" x14ac:dyDescent="0.2">
      <c r="A891" s="5" t="s">
        <v>483</v>
      </c>
      <c r="B891" s="5" t="s">
        <v>3645</v>
      </c>
      <c r="C891" s="5" t="s">
        <v>1577</v>
      </c>
      <c r="D891" s="135" t="s">
        <v>2814</v>
      </c>
      <c r="E891" s="136"/>
      <c r="F891" s="5" t="s">
        <v>3618</v>
      </c>
      <c r="G891" s="18">
        <v>1</v>
      </c>
      <c r="H891" s="18">
        <v>0</v>
      </c>
    </row>
    <row r="892" spans="1:8" x14ac:dyDescent="0.2">
      <c r="A892" s="5" t="s">
        <v>484</v>
      </c>
      <c r="B892" s="5" t="s">
        <v>3645</v>
      </c>
      <c r="C892" s="5" t="s">
        <v>1578</v>
      </c>
      <c r="D892" s="135" t="s">
        <v>2815</v>
      </c>
      <c r="E892" s="136"/>
      <c r="F892" s="5" t="s">
        <v>3614</v>
      </c>
      <c r="G892" s="18">
        <v>401</v>
      </c>
      <c r="H892" s="18">
        <v>0</v>
      </c>
    </row>
    <row r="893" spans="1:8" x14ac:dyDescent="0.2">
      <c r="A893" s="5" t="s">
        <v>485</v>
      </c>
      <c r="B893" s="5" t="s">
        <v>3645</v>
      </c>
      <c r="C893" s="5" t="s">
        <v>1579</v>
      </c>
      <c r="D893" s="135" t="s">
        <v>2816</v>
      </c>
      <c r="E893" s="136"/>
      <c r="F893" s="5" t="s">
        <v>3614</v>
      </c>
      <c r="G893" s="18">
        <v>220</v>
      </c>
      <c r="H893" s="18">
        <v>0</v>
      </c>
    </row>
    <row r="894" spans="1:8" x14ac:dyDescent="0.2">
      <c r="A894" s="5" t="s">
        <v>486</v>
      </c>
      <c r="B894" s="5" t="s">
        <v>3645</v>
      </c>
      <c r="C894" s="5" t="s">
        <v>1580</v>
      </c>
      <c r="D894" s="135" t="s">
        <v>2817</v>
      </c>
      <c r="E894" s="136"/>
      <c r="F894" s="5" t="s">
        <v>3614</v>
      </c>
      <c r="G894" s="18">
        <v>58</v>
      </c>
      <c r="H894" s="18">
        <v>0</v>
      </c>
    </row>
    <row r="895" spans="1:8" x14ac:dyDescent="0.2">
      <c r="A895" s="5" t="s">
        <v>487</v>
      </c>
      <c r="B895" s="5" t="s">
        <v>3645</v>
      </c>
      <c r="C895" s="5" t="s">
        <v>1581</v>
      </c>
      <c r="D895" s="135" t="s">
        <v>2818</v>
      </c>
      <c r="E895" s="136"/>
      <c r="F895" s="5" t="s">
        <v>3614</v>
      </c>
      <c r="G895" s="18">
        <v>80</v>
      </c>
      <c r="H895" s="18">
        <v>0</v>
      </c>
    </row>
    <row r="896" spans="1:8" x14ac:dyDescent="0.2">
      <c r="A896" s="5" t="s">
        <v>488</v>
      </c>
      <c r="B896" s="5" t="s">
        <v>3645</v>
      </c>
      <c r="C896" s="5" t="s">
        <v>1582</v>
      </c>
      <c r="D896" s="135" t="s">
        <v>2819</v>
      </c>
      <c r="E896" s="136"/>
      <c r="F896" s="5" t="s">
        <v>3614</v>
      </c>
      <c r="G896" s="18">
        <v>10</v>
      </c>
      <c r="H896" s="18">
        <v>0</v>
      </c>
    </row>
    <row r="897" spans="1:8" x14ac:dyDescent="0.2">
      <c r="A897" s="5" t="s">
        <v>489</v>
      </c>
      <c r="B897" s="5" t="s">
        <v>3645</v>
      </c>
      <c r="C897" s="5" t="s">
        <v>1583</v>
      </c>
      <c r="D897" s="135" t="s">
        <v>2820</v>
      </c>
      <c r="E897" s="136"/>
      <c r="F897" s="5" t="s">
        <v>3614</v>
      </c>
      <c r="G897" s="18">
        <v>53</v>
      </c>
      <c r="H897" s="18">
        <v>0</v>
      </c>
    </row>
    <row r="898" spans="1:8" x14ac:dyDescent="0.2">
      <c r="A898" s="5" t="s">
        <v>490</v>
      </c>
      <c r="B898" s="5" t="s">
        <v>3645</v>
      </c>
      <c r="C898" s="5" t="s">
        <v>1584</v>
      </c>
      <c r="D898" s="135" t="s">
        <v>2821</v>
      </c>
      <c r="E898" s="136"/>
      <c r="F898" s="5" t="s">
        <v>3614</v>
      </c>
      <c r="G898" s="18">
        <v>6</v>
      </c>
      <c r="H898" s="18">
        <v>0</v>
      </c>
    </row>
    <row r="899" spans="1:8" x14ac:dyDescent="0.2">
      <c r="A899" s="5" t="s">
        <v>491</v>
      </c>
      <c r="B899" s="5" t="s">
        <v>3645</v>
      </c>
      <c r="C899" s="5" t="s">
        <v>1585</v>
      </c>
      <c r="D899" s="135" t="s">
        <v>2822</v>
      </c>
      <c r="E899" s="136"/>
      <c r="F899" s="5" t="s">
        <v>3614</v>
      </c>
      <c r="G899" s="18">
        <v>16</v>
      </c>
      <c r="H899" s="18">
        <v>0</v>
      </c>
    </row>
    <row r="900" spans="1:8" x14ac:dyDescent="0.2">
      <c r="A900" s="5" t="s">
        <v>492</v>
      </c>
      <c r="B900" s="5" t="s">
        <v>3645</v>
      </c>
      <c r="C900" s="5" t="s">
        <v>1586</v>
      </c>
      <c r="D900" s="135" t="s">
        <v>2823</v>
      </c>
      <c r="E900" s="136"/>
      <c r="F900" s="5" t="s">
        <v>3614</v>
      </c>
      <c r="G900" s="18">
        <v>32.5</v>
      </c>
      <c r="H900" s="18">
        <v>0</v>
      </c>
    </row>
    <row r="901" spans="1:8" x14ac:dyDescent="0.2">
      <c r="A901" s="5" t="s">
        <v>493</v>
      </c>
      <c r="B901" s="5" t="s">
        <v>3645</v>
      </c>
      <c r="C901" s="5" t="s">
        <v>1587</v>
      </c>
      <c r="D901" s="135" t="s">
        <v>2824</v>
      </c>
      <c r="E901" s="136"/>
      <c r="F901" s="5" t="s">
        <v>3614</v>
      </c>
      <c r="G901" s="18">
        <v>44.5</v>
      </c>
      <c r="H901" s="18">
        <v>0</v>
      </c>
    </row>
    <row r="902" spans="1:8" x14ac:dyDescent="0.2">
      <c r="A902" s="5" t="s">
        <v>494</v>
      </c>
      <c r="B902" s="5" t="s">
        <v>3645</v>
      </c>
      <c r="C902" s="5" t="s">
        <v>1588</v>
      </c>
      <c r="D902" s="135" t="s">
        <v>2825</v>
      </c>
      <c r="E902" s="136"/>
      <c r="F902" s="5" t="s">
        <v>3614</v>
      </c>
      <c r="G902" s="18">
        <v>44</v>
      </c>
      <c r="H902" s="18">
        <v>0</v>
      </c>
    </row>
    <row r="903" spans="1:8" x14ac:dyDescent="0.2">
      <c r="A903" s="5" t="s">
        <v>495</v>
      </c>
      <c r="B903" s="5" t="s">
        <v>3645</v>
      </c>
      <c r="C903" s="5" t="s">
        <v>1589</v>
      </c>
      <c r="D903" s="135" t="s">
        <v>2826</v>
      </c>
      <c r="E903" s="136"/>
      <c r="F903" s="5" t="s">
        <v>3614</v>
      </c>
      <c r="G903" s="18">
        <v>385</v>
      </c>
      <c r="H903" s="18">
        <v>0</v>
      </c>
    </row>
    <row r="904" spans="1:8" x14ac:dyDescent="0.2">
      <c r="A904" s="5" t="s">
        <v>496</v>
      </c>
      <c r="B904" s="5" t="s">
        <v>3645</v>
      </c>
      <c r="C904" s="5" t="s">
        <v>1590</v>
      </c>
      <c r="D904" s="135" t="s">
        <v>2827</v>
      </c>
      <c r="E904" s="136"/>
      <c r="F904" s="5" t="s">
        <v>3614</v>
      </c>
      <c r="G904" s="18">
        <v>197.5</v>
      </c>
      <c r="H904" s="18">
        <v>0</v>
      </c>
    </row>
    <row r="905" spans="1:8" x14ac:dyDescent="0.2">
      <c r="A905" s="5" t="s">
        <v>497</v>
      </c>
      <c r="B905" s="5" t="s">
        <v>3645</v>
      </c>
      <c r="C905" s="5" t="s">
        <v>1591</v>
      </c>
      <c r="D905" s="135" t="s">
        <v>2828</v>
      </c>
      <c r="E905" s="136"/>
      <c r="F905" s="5" t="s">
        <v>3614</v>
      </c>
      <c r="G905" s="18">
        <v>66.5</v>
      </c>
      <c r="H905" s="18">
        <v>0</v>
      </c>
    </row>
    <row r="906" spans="1:8" x14ac:dyDescent="0.2">
      <c r="A906" s="5" t="s">
        <v>498</v>
      </c>
      <c r="B906" s="5" t="s">
        <v>3645</v>
      </c>
      <c r="C906" s="5" t="s">
        <v>1592</v>
      </c>
      <c r="D906" s="135" t="s">
        <v>2829</v>
      </c>
      <c r="E906" s="136"/>
      <c r="F906" s="5" t="s">
        <v>3614</v>
      </c>
      <c r="G906" s="18">
        <v>42</v>
      </c>
      <c r="H906" s="18">
        <v>0</v>
      </c>
    </row>
    <row r="907" spans="1:8" x14ac:dyDescent="0.2">
      <c r="A907" s="5" t="s">
        <v>499</v>
      </c>
      <c r="B907" s="5" t="s">
        <v>3645</v>
      </c>
      <c r="C907" s="5" t="s">
        <v>1593</v>
      </c>
      <c r="D907" s="135" t="s">
        <v>2830</v>
      </c>
      <c r="E907" s="136"/>
      <c r="F907" s="5" t="s">
        <v>3612</v>
      </c>
      <c r="G907" s="18">
        <v>11</v>
      </c>
      <c r="H907" s="18">
        <v>0</v>
      </c>
    </row>
    <row r="908" spans="1:8" x14ac:dyDescent="0.2">
      <c r="A908" s="5" t="s">
        <v>500</v>
      </c>
      <c r="B908" s="5" t="s">
        <v>3645</v>
      </c>
      <c r="C908" s="5" t="s">
        <v>1594</v>
      </c>
      <c r="D908" s="135" t="s">
        <v>2831</v>
      </c>
      <c r="E908" s="136"/>
      <c r="F908" s="5" t="s">
        <v>3612</v>
      </c>
      <c r="G908" s="18">
        <v>12</v>
      </c>
      <c r="H908" s="18">
        <v>0</v>
      </c>
    </row>
    <row r="909" spans="1:8" x14ac:dyDescent="0.2">
      <c r="A909" s="5" t="s">
        <v>501</v>
      </c>
      <c r="B909" s="5" t="s">
        <v>3645</v>
      </c>
      <c r="C909" s="5" t="s">
        <v>1595</v>
      </c>
      <c r="D909" s="135" t="s">
        <v>2832</v>
      </c>
      <c r="E909" s="136"/>
      <c r="F909" s="5" t="s">
        <v>3612</v>
      </c>
      <c r="G909" s="18">
        <v>5</v>
      </c>
      <c r="H909" s="18">
        <v>0</v>
      </c>
    </row>
    <row r="910" spans="1:8" x14ac:dyDescent="0.2">
      <c r="A910" s="5" t="s">
        <v>502</v>
      </c>
      <c r="B910" s="5" t="s">
        <v>3645</v>
      </c>
      <c r="C910" s="5" t="s">
        <v>1596</v>
      </c>
      <c r="D910" s="135" t="s">
        <v>2833</v>
      </c>
      <c r="E910" s="136"/>
      <c r="F910" s="5" t="s">
        <v>3612</v>
      </c>
      <c r="G910" s="18">
        <v>4</v>
      </c>
      <c r="H910" s="18">
        <v>0</v>
      </c>
    </row>
    <row r="911" spans="1:8" x14ac:dyDescent="0.2">
      <c r="A911" s="5" t="s">
        <v>503</v>
      </c>
      <c r="B911" s="5" t="s">
        <v>3645</v>
      </c>
      <c r="C911" s="5" t="s">
        <v>1597</v>
      </c>
      <c r="D911" s="135" t="s">
        <v>2834</v>
      </c>
      <c r="E911" s="136"/>
      <c r="F911" s="5" t="s">
        <v>3612</v>
      </c>
      <c r="G911" s="18">
        <v>1</v>
      </c>
      <c r="H911" s="18">
        <v>0</v>
      </c>
    </row>
    <row r="912" spans="1:8" x14ac:dyDescent="0.2">
      <c r="A912" s="5" t="s">
        <v>504</v>
      </c>
      <c r="B912" s="5" t="s">
        <v>3645</v>
      </c>
      <c r="C912" s="5" t="s">
        <v>1598</v>
      </c>
      <c r="D912" s="135" t="s">
        <v>2835</v>
      </c>
      <c r="E912" s="136"/>
      <c r="F912" s="5" t="s">
        <v>3612</v>
      </c>
      <c r="G912" s="18">
        <v>3</v>
      </c>
      <c r="H912" s="18">
        <v>0</v>
      </c>
    </row>
    <row r="913" spans="1:8" x14ac:dyDescent="0.2">
      <c r="A913" s="5" t="s">
        <v>505</v>
      </c>
      <c r="B913" s="5" t="s">
        <v>3645</v>
      </c>
      <c r="C913" s="5" t="s">
        <v>1599</v>
      </c>
      <c r="D913" s="135" t="s">
        <v>2836</v>
      </c>
      <c r="E913" s="136"/>
      <c r="F913" s="5" t="s">
        <v>3612</v>
      </c>
      <c r="G913" s="18">
        <v>1</v>
      </c>
      <c r="H913" s="18">
        <v>0</v>
      </c>
    </row>
    <row r="914" spans="1:8" x14ac:dyDescent="0.2">
      <c r="A914" s="5" t="s">
        <v>506</v>
      </c>
      <c r="B914" s="5" t="s">
        <v>3645</v>
      </c>
      <c r="C914" s="5" t="s">
        <v>1600</v>
      </c>
      <c r="D914" s="135" t="s">
        <v>2837</v>
      </c>
      <c r="E914" s="136"/>
      <c r="F914" s="5" t="s">
        <v>3612</v>
      </c>
      <c r="G914" s="18">
        <v>1</v>
      </c>
      <c r="H914" s="18">
        <v>0</v>
      </c>
    </row>
    <row r="915" spans="1:8" x14ac:dyDescent="0.2">
      <c r="A915" s="5" t="s">
        <v>507</v>
      </c>
      <c r="B915" s="5" t="s">
        <v>3645</v>
      </c>
      <c r="C915" s="5" t="s">
        <v>1601</v>
      </c>
      <c r="D915" s="135" t="s">
        <v>2838</v>
      </c>
      <c r="E915" s="136"/>
      <c r="F915" s="5" t="s">
        <v>3612</v>
      </c>
      <c r="G915" s="18">
        <v>4</v>
      </c>
      <c r="H915" s="18">
        <v>0</v>
      </c>
    </row>
    <row r="916" spans="1:8" x14ac:dyDescent="0.2">
      <c r="A916" s="5" t="s">
        <v>508</v>
      </c>
      <c r="B916" s="5" t="s">
        <v>3645</v>
      </c>
      <c r="C916" s="5" t="s">
        <v>1602</v>
      </c>
      <c r="D916" s="135" t="s">
        <v>2839</v>
      </c>
      <c r="E916" s="136"/>
      <c r="F916" s="5" t="s">
        <v>3612</v>
      </c>
      <c r="G916" s="18">
        <v>4</v>
      </c>
      <c r="H916" s="18">
        <v>0</v>
      </c>
    </row>
    <row r="917" spans="1:8" x14ac:dyDescent="0.2">
      <c r="A917" s="5" t="s">
        <v>509</v>
      </c>
      <c r="B917" s="5" t="s">
        <v>3645</v>
      </c>
      <c r="C917" s="5" t="s">
        <v>1603</v>
      </c>
      <c r="D917" s="135" t="s">
        <v>2840</v>
      </c>
      <c r="E917" s="136"/>
      <c r="F917" s="5" t="s">
        <v>3612</v>
      </c>
      <c r="G917" s="18">
        <v>2</v>
      </c>
      <c r="H917" s="18">
        <v>0</v>
      </c>
    </row>
    <row r="918" spans="1:8" x14ac:dyDescent="0.2">
      <c r="A918" s="5" t="s">
        <v>510</v>
      </c>
      <c r="B918" s="5" t="s">
        <v>3645</v>
      </c>
      <c r="C918" s="5" t="s">
        <v>1604</v>
      </c>
      <c r="D918" s="135" t="s">
        <v>2841</v>
      </c>
      <c r="E918" s="136"/>
      <c r="F918" s="5" t="s">
        <v>3612</v>
      </c>
      <c r="G918" s="18">
        <v>10</v>
      </c>
      <c r="H918" s="18">
        <v>0</v>
      </c>
    </row>
    <row r="919" spans="1:8" x14ac:dyDescent="0.2">
      <c r="A919" s="5" t="s">
        <v>511</v>
      </c>
      <c r="B919" s="5" t="s">
        <v>3645</v>
      </c>
      <c r="C919" s="5" t="s">
        <v>1605</v>
      </c>
      <c r="D919" s="135" t="s">
        <v>2842</v>
      </c>
      <c r="E919" s="136"/>
      <c r="F919" s="5" t="s">
        <v>3612</v>
      </c>
      <c r="G919" s="18">
        <v>10</v>
      </c>
      <c r="H919" s="18">
        <v>0</v>
      </c>
    </row>
    <row r="920" spans="1:8" x14ac:dyDescent="0.2">
      <c r="A920" s="5" t="s">
        <v>512</v>
      </c>
      <c r="B920" s="5" t="s">
        <v>3645</v>
      </c>
      <c r="C920" s="5" t="s">
        <v>1606</v>
      </c>
      <c r="D920" s="135" t="s">
        <v>2843</v>
      </c>
      <c r="E920" s="136"/>
      <c r="F920" s="5" t="s">
        <v>3612</v>
      </c>
      <c r="G920" s="18">
        <v>42</v>
      </c>
      <c r="H920" s="18">
        <v>0</v>
      </c>
    </row>
    <row r="921" spans="1:8" x14ac:dyDescent="0.2">
      <c r="A921" s="5" t="s">
        <v>513</v>
      </c>
      <c r="B921" s="5" t="s">
        <v>3645</v>
      </c>
      <c r="C921" s="5" t="s">
        <v>1607</v>
      </c>
      <c r="D921" s="135" t="s">
        <v>2844</v>
      </c>
      <c r="E921" s="136"/>
      <c r="F921" s="5" t="s">
        <v>3612</v>
      </c>
      <c r="G921" s="18">
        <v>36</v>
      </c>
      <c r="H921" s="18">
        <v>0</v>
      </c>
    </row>
    <row r="922" spans="1:8" x14ac:dyDescent="0.2">
      <c r="A922" s="5" t="s">
        <v>514</v>
      </c>
      <c r="B922" s="5" t="s">
        <v>3645</v>
      </c>
      <c r="C922" s="5" t="s">
        <v>1608</v>
      </c>
      <c r="D922" s="135" t="s">
        <v>2845</v>
      </c>
      <c r="E922" s="136"/>
      <c r="F922" s="5" t="s">
        <v>3612</v>
      </c>
      <c r="G922" s="18">
        <v>2</v>
      </c>
      <c r="H922" s="18">
        <v>0</v>
      </c>
    </row>
    <row r="923" spans="1:8" x14ac:dyDescent="0.2">
      <c r="A923" s="5" t="s">
        <v>515</v>
      </c>
      <c r="B923" s="5" t="s">
        <v>3645</v>
      </c>
      <c r="C923" s="5" t="s">
        <v>1609</v>
      </c>
      <c r="D923" s="135" t="s">
        <v>2846</v>
      </c>
      <c r="E923" s="136"/>
      <c r="F923" s="5" t="s">
        <v>3612</v>
      </c>
      <c r="G923" s="18">
        <v>3</v>
      </c>
      <c r="H923" s="18">
        <v>0</v>
      </c>
    </row>
    <row r="924" spans="1:8" x14ac:dyDescent="0.2">
      <c r="A924" s="5" t="s">
        <v>516</v>
      </c>
      <c r="B924" s="5" t="s">
        <v>3645</v>
      </c>
      <c r="C924" s="5" t="s">
        <v>1610</v>
      </c>
      <c r="D924" s="135" t="s">
        <v>2847</v>
      </c>
      <c r="E924" s="136"/>
      <c r="F924" s="5" t="s">
        <v>3612</v>
      </c>
      <c r="G924" s="18">
        <v>14</v>
      </c>
      <c r="H924" s="18">
        <v>0</v>
      </c>
    </row>
    <row r="925" spans="1:8" x14ac:dyDescent="0.2">
      <c r="A925" s="5" t="s">
        <v>517</v>
      </c>
      <c r="B925" s="5" t="s">
        <v>3645</v>
      </c>
      <c r="C925" s="5" t="s">
        <v>1611</v>
      </c>
      <c r="D925" s="135" t="s">
        <v>2848</v>
      </c>
      <c r="E925" s="136"/>
      <c r="F925" s="5" t="s">
        <v>3612</v>
      </c>
      <c r="G925" s="18">
        <v>20</v>
      </c>
      <c r="H925" s="18">
        <v>0</v>
      </c>
    </row>
    <row r="926" spans="1:8" x14ac:dyDescent="0.2">
      <c r="A926" s="5" t="s">
        <v>518</v>
      </c>
      <c r="B926" s="5" t="s">
        <v>3645</v>
      </c>
      <c r="C926" s="5" t="s">
        <v>1612</v>
      </c>
      <c r="D926" s="135" t="s">
        <v>2849</v>
      </c>
      <c r="E926" s="136"/>
      <c r="F926" s="5" t="s">
        <v>3612</v>
      </c>
      <c r="G926" s="18">
        <v>11</v>
      </c>
      <c r="H926" s="18">
        <v>0</v>
      </c>
    </row>
    <row r="927" spans="1:8" x14ac:dyDescent="0.2">
      <c r="A927" s="5" t="s">
        <v>519</v>
      </c>
      <c r="B927" s="5" t="s">
        <v>3645</v>
      </c>
      <c r="C927" s="5" t="s">
        <v>1613</v>
      </c>
      <c r="D927" s="135" t="s">
        <v>2850</v>
      </c>
      <c r="E927" s="136"/>
      <c r="F927" s="5" t="s">
        <v>3612</v>
      </c>
      <c r="G927" s="18">
        <v>2</v>
      </c>
      <c r="H927" s="18">
        <v>0</v>
      </c>
    </row>
    <row r="928" spans="1:8" x14ac:dyDescent="0.2">
      <c r="A928" s="5" t="s">
        <v>520</v>
      </c>
      <c r="B928" s="5" t="s">
        <v>3645</v>
      </c>
      <c r="C928" s="5" t="s">
        <v>1614</v>
      </c>
      <c r="D928" s="135" t="s">
        <v>2851</v>
      </c>
      <c r="E928" s="136"/>
      <c r="F928" s="5" t="s">
        <v>3612</v>
      </c>
      <c r="G928" s="18">
        <v>9</v>
      </c>
      <c r="H928" s="18">
        <v>0</v>
      </c>
    </row>
    <row r="929" spans="1:8" x14ac:dyDescent="0.2">
      <c r="A929" s="5" t="s">
        <v>521</v>
      </c>
      <c r="B929" s="5" t="s">
        <v>3645</v>
      </c>
      <c r="C929" s="5" t="s">
        <v>1615</v>
      </c>
      <c r="D929" s="135" t="s">
        <v>2852</v>
      </c>
      <c r="E929" s="136"/>
      <c r="F929" s="5" t="s">
        <v>3612</v>
      </c>
      <c r="G929" s="18">
        <v>6</v>
      </c>
      <c r="H929" s="18">
        <v>0</v>
      </c>
    </row>
    <row r="930" spans="1:8" x14ac:dyDescent="0.2">
      <c r="A930" s="5" t="s">
        <v>522</v>
      </c>
      <c r="B930" s="5" t="s">
        <v>3645</v>
      </c>
      <c r="C930" s="5" t="s">
        <v>1616</v>
      </c>
      <c r="D930" s="135" t="s">
        <v>2853</v>
      </c>
      <c r="E930" s="136"/>
      <c r="F930" s="5" t="s">
        <v>3612</v>
      </c>
      <c r="G930" s="18">
        <v>1</v>
      </c>
      <c r="H930" s="18">
        <v>0</v>
      </c>
    </row>
    <row r="931" spans="1:8" x14ac:dyDescent="0.2">
      <c r="A931" s="5" t="s">
        <v>523</v>
      </c>
      <c r="B931" s="5" t="s">
        <v>3645</v>
      </c>
      <c r="C931" s="5" t="s">
        <v>1617</v>
      </c>
      <c r="D931" s="135" t="s">
        <v>2854</v>
      </c>
      <c r="E931" s="136"/>
      <c r="F931" s="5" t="s">
        <v>3612</v>
      </c>
      <c r="G931" s="18">
        <v>1</v>
      </c>
      <c r="H931" s="18">
        <v>0</v>
      </c>
    </row>
    <row r="932" spans="1:8" x14ac:dyDescent="0.2">
      <c r="A932" s="5" t="s">
        <v>524</v>
      </c>
      <c r="B932" s="5" t="s">
        <v>3645</v>
      </c>
      <c r="C932" s="5" t="s">
        <v>1618</v>
      </c>
      <c r="D932" s="135" t="s">
        <v>2855</v>
      </c>
      <c r="E932" s="136"/>
      <c r="F932" s="5" t="s">
        <v>3612</v>
      </c>
      <c r="G932" s="18">
        <v>1</v>
      </c>
      <c r="H932" s="18">
        <v>0</v>
      </c>
    </row>
    <row r="933" spans="1:8" x14ac:dyDescent="0.2">
      <c r="A933" s="5" t="s">
        <v>525</v>
      </c>
      <c r="B933" s="5" t="s">
        <v>3645</v>
      </c>
      <c r="C933" s="5" t="s">
        <v>1619</v>
      </c>
      <c r="D933" s="135" t="s">
        <v>2856</v>
      </c>
      <c r="E933" s="136"/>
      <c r="F933" s="5" t="s">
        <v>3612</v>
      </c>
      <c r="G933" s="18">
        <v>1</v>
      </c>
      <c r="H933" s="18">
        <v>0</v>
      </c>
    </row>
    <row r="934" spans="1:8" x14ac:dyDescent="0.2">
      <c r="A934" s="5" t="s">
        <v>526</v>
      </c>
      <c r="B934" s="5" t="s">
        <v>3645</v>
      </c>
      <c r="C934" s="5" t="s">
        <v>1620</v>
      </c>
      <c r="D934" s="135" t="s">
        <v>2857</v>
      </c>
      <c r="E934" s="136"/>
      <c r="F934" s="5" t="s">
        <v>3612</v>
      </c>
      <c r="G934" s="18">
        <v>1</v>
      </c>
      <c r="H934" s="18">
        <v>0</v>
      </c>
    </row>
    <row r="935" spans="1:8" x14ac:dyDescent="0.2">
      <c r="A935" s="5" t="s">
        <v>527</v>
      </c>
      <c r="B935" s="5" t="s">
        <v>3645</v>
      </c>
      <c r="C935" s="5" t="s">
        <v>1621</v>
      </c>
      <c r="D935" s="135" t="s">
        <v>2858</v>
      </c>
      <c r="E935" s="136"/>
      <c r="F935" s="5" t="s">
        <v>3612</v>
      </c>
      <c r="G935" s="18">
        <v>1</v>
      </c>
      <c r="H935" s="18">
        <v>0</v>
      </c>
    </row>
    <row r="936" spans="1:8" x14ac:dyDescent="0.2">
      <c r="A936" s="5" t="s">
        <v>528</v>
      </c>
      <c r="B936" s="5" t="s">
        <v>3645</v>
      </c>
      <c r="C936" s="5" t="s">
        <v>1622</v>
      </c>
      <c r="D936" s="135" t="s">
        <v>2859</v>
      </c>
      <c r="E936" s="136"/>
      <c r="F936" s="5" t="s">
        <v>3612</v>
      </c>
      <c r="G936" s="18">
        <v>1</v>
      </c>
      <c r="H936" s="18">
        <v>0</v>
      </c>
    </row>
    <row r="937" spans="1:8" x14ac:dyDescent="0.2">
      <c r="A937" s="5" t="s">
        <v>529</v>
      </c>
      <c r="B937" s="5" t="s">
        <v>3645</v>
      </c>
      <c r="C937" s="5" t="s">
        <v>1623</v>
      </c>
      <c r="D937" s="135" t="s">
        <v>2860</v>
      </c>
      <c r="E937" s="136"/>
      <c r="F937" s="5" t="s">
        <v>3612</v>
      </c>
      <c r="G937" s="18">
        <v>1</v>
      </c>
      <c r="H937" s="18">
        <v>0</v>
      </c>
    </row>
    <row r="938" spans="1:8" x14ac:dyDescent="0.2">
      <c r="A938" s="5" t="s">
        <v>530</v>
      </c>
      <c r="B938" s="5" t="s">
        <v>3645</v>
      </c>
      <c r="C938" s="5" t="s">
        <v>1624</v>
      </c>
      <c r="D938" s="135" t="s">
        <v>2861</v>
      </c>
      <c r="E938" s="136"/>
      <c r="F938" s="5" t="s">
        <v>3612</v>
      </c>
      <c r="G938" s="18">
        <v>1</v>
      </c>
      <c r="H938" s="18">
        <v>0</v>
      </c>
    </row>
    <row r="939" spans="1:8" x14ac:dyDescent="0.2">
      <c r="A939" s="5" t="s">
        <v>531</v>
      </c>
      <c r="B939" s="5" t="s">
        <v>3645</v>
      </c>
      <c r="C939" s="5" t="s">
        <v>1625</v>
      </c>
      <c r="D939" s="135" t="s">
        <v>2862</v>
      </c>
      <c r="E939" s="136"/>
      <c r="F939" s="5" t="s">
        <v>3612</v>
      </c>
      <c r="G939" s="18">
        <v>1</v>
      </c>
      <c r="H939" s="18">
        <v>0</v>
      </c>
    </row>
    <row r="940" spans="1:8" x14ac:dyDescent="0.2">
      <c r="A940" s="5" t="s">
        <v>532</v>
      </c>
      <c r="B940" s="5" t="s">
        <v>3645</v>
      </c>
      <c r="C940" s="5" t="s">
        <v>1626</v>
      </c>
      <c r="D940" s="135" t="s">
        <v>2863</v>
      </c>
      <c r="E940" s="136"/>
      <c r="F940" s="5" t="s">
        <v>3612</v>
      </c>
      <c r="G940" s="18">
        <v>2</v>
      </c>
      <c r="H940" s="18">
        <v>0</v>
      </c>
    </row>
    <row r="941" spans="1:8" x14ac:dyDescent="0.2">
      <c r="A941" s="5" t="s">
        <v>533</v>
      </c>
      <c r="B941" s="5" t="s">
        <v>3645</v>
      </c>
      <c r="C941" s="5" t="s">
        <v>1627</v>
      </c>
      <c r="D941" s="135" t="s">
        <v>2864</v>
      </c>
      <c r="E941" s="136"/>
      <c r="F941" s="5" t="s">
        <v>3612</v>
      </c>
      <c r="G941" s="18">
        <v>1</v>
      </c>
      <c r="H941" s="18">
        <v>0</v>
      </c>
    </row>
    <row r="942" spans="1:8" x14ac:dyDescent="0.2">
      <c r="A942" s="5" t="s">
        <v>534</v>
      </c>
      <c r="B942" s="5" t="s">
        <v>3645</v>
      </c>
      <c r="C942" s="5" t="s">
        <v>1628</v>
      </c>
      <c r="D942" s="135" t="s">
        <v>2865</v>
      </c>
      <c r="E942" s="136"/>
      <c r="F942" s="5" t="s">
        <v>3612</v>
      </c>
      <c r="G942" s="18">
        <v>1</v>
      </c>
      <c r="H942" s="18">
        <v>0</v>
      </c>
    </row>
    <row r="943" spans="1:8" x14ac:dyDescent="0.2">
      <c r="A943" s="5" t="s">
        <v>535</v>
      </c>
      <c r="B943" s="5" t="s">
        <v>3645</v>
      </c>
      <c r="C943" s="5" t="s">
        <v>1629</v>
      </c>
      <c r="D943" s="135" t="s">
        <v>2866</v>
      </c>
      <c r="E943" s="136"/>
      <c r="F943" s="5" t="s">
        <v>3612</v>
      </c>
      <c r="G943" s="18">
        <v>1</v>
      </c>
      <c r="H943" s="18">
        <v>0</v>
      </c>
    </row>
    <row r="944" spans="1:8" x14ac:dyDescent="0.2">
      <c r="A944" s="5" t="s">
        <v>536</v>
      </c>
      <c r="B944" s="5" t="s">
        <v>3645</v>
      </c>
      <c r="C944" s="5" t="s">
        <v>1630</v>
      </c>
      <c r="D944" s="135" t="s">
        <v>2867</v>
      </c>
      <c r="E944" s="136"/>
      <c r="F944" s="5" t="s">
        <v>3612</v>
      </c>
      <c r="G944" s="18">
        <v>1</v>
      </c>
      <c r="H944" s="18">
        <v>0</v>
      </c>
    </row>
    <row r="945" spans="1:8" x14ac:dyDescent="0.2">
      <c r="A945" s="5" t="s">
        <v>537</v>
      </c>
      <c r="B945" s="5" t="s">
        <v>3645</v>
      </c>
      <c r="C945" s="5" t="s">
        <v>1631</v>
      </c>
      <c r="D945" s="135" t="s">
        <v>2868</v>
      </c>
      <c r="E945" s="136"/>
      <c r="F945" s="5" t="s">
        <v>3612</v>
      </c>
      <c r="G945" s="18">
        <v>1</v>
      </c>
      <c r="H945" s="18">
        <v>0</v>
      </c>
    </row>
    <row r="946" spans="1:8" x14ac:dyDescent="0.2">
      <c r="A946" s="5" t="s">
        <v>538</v>
      </c>
      <c r="B946" s="5" t="s">
        <v>3645</v>
      </c>
      <c r="C946" s="5" t="s">
        <v>1632</v>
      </c>
      <c r="D946" s="135" t="s">
        <v>2869</v>
      </c>
      <c r="E946" s="136"/>
      <c r="F946" s="5" t="s">
        <v>3612</v>
      </c>
      <c r="G946" s="18">
        <v>1</v>
      </c>
      <c r="H946" s="18">
        <v>0</v>
      </c>
    </row>
    <row r="947" spans="1:8" x14ac:dyDescent="0.2">
      <c r="A947" s="5" t="s">
        <v>539</v>
      </c>
      <c r="B947" s="5" t="s">
        <v>3645</v>
      </c>
      <c r="C947" s="5" t="s">
        <v>1633</v>
      </c>
      <c r="D947" s="135" t="s">
        <v>2870</v>
      </c>
      <c r="E947" s="136"/>
      <c r="F947" s="5" t="s">
        <v>3612</v>
      </c>
      <c r="G947" s="18">
        <v>1</v>
      </c>
      <c r="H947" s="18">
        <v>0</v>
      </c>
    </row>
    <row r="948" spans="1:8" x14ac:dyDescent="0.2">
      <c r="A948" s="5" t="s">
        <v>540</v>
      </c>
      <c r="B948" s="5" t="s">
        <v>3645</v>
      </c>
      <c r="C948" s="5" t="s">
        <v>1634</v>
      </c>
      <c r="D948" s="135" t="s">
        <v>2871</v>
      </c>
      <c r="E948" s="136"/>
      <c r="F948" s="5" t="s">
        <v>3612</v>
      </c>
      <c r="G948" s="18">
        <v>1</v>
      </c>
      <c r="H948" s="18">
        <v>0</v>
      </c>
    </row>
    <row r="949" spans="1:8" x14ac:dyDescent="0.2">
      <c r="A949" s="5" t="s">
        <v>541</v>
      </c>
      <c r="B949" s="5" t="s">
        <v>3645</v>
      </c>
      <c r="C949" s="5" t="s">
        <v>1552</v>
      </c>
      <c r="D949" s="135" t="s">
        <v>2787</v>
      </c>
      <c r="E949" s="136"/>
      <c r="F949" s="5" t="s">
        <v>3612</v>
      </c>
      <c r="G949" s="18">
        <v>29</v>
      </c>
      <c r="H949" s="18">
        <v>0</v>
      </c>
    </row>
    <row r="950" spans="1:8" x14ac:dyDescent="0.2">
      <c r="A950" s="5" t="s">
        <v>542</v>
      </c>
      <c r="B950" s="5" t="s">
        <v>3645</v>
      </c>
      <c r="C950" s="5" t="s">
        <v>1635</v>
      </c>
      <c r="D950" s="135" t="s">
        <v>2872</v>
      </c>
      <c r="E950" s="136"/>
      <c r="F950" s="5" t="s">
        <v>3619</v>
      </c>
      <c r="G950" s="18">
        <v>15</v>
      </c>
      <c r="H950" s="18">
        <v>0</v>
      </c>
    </row>
    <row r="951" spans="1:8" x14ac:dyDescent="0.2">
      <c r="A951" s="5" t="s">
        <v>543</v>
      </c>
      <c r="B951" s="5" t="s">
        <v>3645</v>
      </c>
      <c r="C951" s="5" t="s">
        <v>1636</v>
      </c>
      <c r="D951" s="135" t="s">
        <v>2873</v>
      </c>
      <c r="E951" s="136"/>
      <c r="F951" s="5" t="s">
        <v>3619</v>
      </c>
      <c r="G951" s="18">
        <v>15</v>
      </c>
      <c r="H951" s="18">
        <v>0</v>
      </c>
    </row>
    <row r="952" spans="1:8" x14ac:dyDescent="0.2">
      <c r="A952" s="5" t="s">
        <v>544</v>
      </c>
      <c r="B952" s="5" t="s">
        <v>3645</v>
      </c>
      <c r="C952" s="5" t="s">
        <v>1637</v>
      </c>
      <c r="D952" s="135" t="s">
        <v>2874</v>
      </c>
      <c r="E952" s="136"/>
      <c r="F952" s="5" t="s">
        <v>3612</v>
      </c>
      <c r="G952" s="18">
        <v>5</v>
      </c>
      <c r="H952" s="18">
        <v>0</v>
      </c>
    </row>
    <row r="953" spans="1:8" x14ac:dyDescent="0.2">
      <c r="A953" s="5" t="s">
        <v>545</v>
      </c>
      <c r="B953" s="5" t="s">
        <v>3645</v>
      </c>
      <c r="C953" s="5" t="s">
        <v>1638</v>
      </c>
      <c r="D953" s="135" t="s">
        <v>2875</v>
      </c>
      <c r="E953" s="136"/>
      <c r="F953" s="5" t="s">
        <v>3612</v>
      </c>
      <c r="G953" s="18">
        <v>11</v>
      </c>
      <c r="H953" s="18">
        <v>0</v>
      </c>
    </row>
    <row r="954" spans="1:8" x14ac:dyDescent="0.2">
      <c r="A954" s="5" t="s">
        <v>546</v>
      </c>
      <c r="B954" s="5" t="s">
        <v>3645</v>
      </c>
      <c r="C954" s="5" t="s">
        <v>1639</v>
      </c>
      <c r="D954" s="135" t="s">
        <v>2792</v>
      </c>
      <c r="E954" s="136"/>
      <c r="F954" s="5" t="s">
        <v>3619</v>
      </c>
      <c r="G954" s="18">
        <v>30</v>
      </c>
      <c r="H954" s="18">
        <v>0</v>
      </c>
    </row>
    <row r="955" spans="1:8" x14ac:dyDescent="0.2">
      <c r="A955" s="5" t="s">
        <v>547</v>
      </c>
      <c r="B955" s="5" t="s">
        <v>3645</v>
      </c>
      <c r="C955" s="5" t="s">
        <v>1640</v>
      </c>
      <c r="D955" s="135" t="s">
        <v>2876</v>
      </c>
      <c r="E955" s="136"/>
      <c r="F955" s="5" t="s">
        <v>3612</v>
      </c>
      <c r="G955" s="18">
        <v>1</v>
      </c>
      <c r="H955" s="18">
        <v>0</v>
      </c>
    </row>
    <row r="956" spans="1:8" x14ac:dyDescent="0.2">
      <c r="A956" s="5" t="s">
        <v>548</v>
      </c>
      <c r="B956" s="5" t="s">
        <v>3645</v>
      </c>
      <c r="C956" s="5" t="s">
        <v>1641</v>
      </c>
      <c r="D956" s="135" t="s">
        <v>2877</v>
      </c>
      <c r="E956" s="136"/>
      <c r="F956" s="5" t="s">
        <v>3612</v>
      </c>
      <c r="G956" s="18">
        <v>1</v>
      </c>
      <c r="H956" s="18">
        <v>0</v>
      </c>
    </row>
    <row r="957" spans="1:8" x14ac:dyDescent="0.2">
      <c r="A957" s="5" t="s">
        <v>549</v>
      </c>
      <c r="B957" s="5" t="s">
        <v>3645</v>
      </c>
      <c r="C957" s="5" t="s">
        <v>1642</v>
      </c>
      <c r="D957" s="135" t="s">
        <v>2878</v>
      </c>
      <c r="E957" s="136"/>
      <c r="F957" s="5" t="s">
        <v>3612</v>
      </c>
      <c r="G957" s="18">
        <v>6</v>
      </c>
      <c r="H957" s="18">
        <v>0</v>
      </c>
    </row>
    <row r="958" spans="1:8" x14ac:dyDescent="0.2">
      <c r="A958" s="5" t="s">
        <v>550</v>
      </c>
      <c r="B958" s="5" t="s">
        <v>3645</v>
      </c>
      <c r="C958" s="5" t="s">
        <v>1643</v>
      </c>
      <c r="D958" s="135" t="s">
        <v>2879</v>
      </c>
      <c r="E958" s="136"/>
      <c r="F958" s="5" t="s">
        <v>3614</v>
      </c>
      <c r="G958" s="18">
        <v>828</v>
      </c>
      <c r="H958" s="18">
        <v>0</v>
      </c>
    </row>
    <row r="959" spans="1:8" x14ac:dyDescent="0.2">
      <c r="A959" s="5" t="s">
        <v>551</v>
      </c>
      <c r="B959" s="5" t="s">
        <v>3645</v>
      </c>
      <c r="C959" s="5" t="s">
        <v>1644</v>
      </c>
      <c r="D959" s="135" t="s">
        <v>2880</v>
      </c>
      <c r="E959" s="136"/>
      <c r="F959" s="5" t="s">
        <v>3614</v>
      </c>
      <c r="G959" s="18">
        <v>828</v>
      </c>
      <c r="H959" s="18">
        <v>0</v>
      </c>
    </row>
    <row r="960" spans="1:8" x14ac:dyDescent="0.2">
      <c r="A960" s="5" t="s">
        <v>552</v>
      </c>
      <c r="B960" s="5" t="s">
        <v>3645</v>
      </c>
      <c r="C960" s="5" t="s">
        <v>1645</v>
      </c>
      <c r="D960" s="135" t="s">
        <v>2881</v>
      </c>
      <c r="E960" s="136"/>
      <c r="F960" s="5" t="s">
        <v>3614</v>
      </c>
      <c r="G960" s="18">
        <v>828</v>
      </c>
      <c r="H960" s="18">
        <v>0</v>
      </c>
    </row>
    <row r="961" spans="1:8" x14ac:dyDescent="0.2">
      <c r="A961" s="5" t="s">
        <v>553</v>
      </c>
      <c r="B961" s="5" t="s">
        <v>3645</v>
      </c>
      <c r="C961" s="5" t="s">
        <v>1646</v>
      </c>
      <c r="D961" s="135" t="s">
        <v>2798</v>
      </c>
      <c r="E961" s="136"/>
      <c r="F961" s="5" t="s">
        <v>3619</v>
      </c>
      <c r="G961" s="18">
        <v>15</v>
      </c>
      <c r="H961" s="18">
        <v>0</v>
      </c>
    </row>
    <row r="962" spans="1:8" x14ac:dyDescent="0.2">
      <c r="A962" s="5" t="s">
        <v>554</v>
      </c>
      <c r="B962" s="5" t="s">
        <v>3645</v>
      </c>
      <c r="C962" s="5" t="s">
        <v>1647</v>
      </c>
      <c r="D962" s="135" t="s">
        <v>2799</v>
      </c>
      <c r="E962" s="136"/>
      <c r="F962" s="5" t="s">
        <v>3612</v>
      </c>
      <c r="G962" s="18">
        <v>1</v>
      </c>
      <c r="H962" s="18">
        <v>0</v>
      </c>
    </row>
    <row r="963" spans="1:8" x14ac:dyDescent="0.2">
      <c r="A963" s="5" t="s">
        <v>555</v>
      </c>
      <c r="B963" s="5" t="s">
        <v>3645</v>
      </c>
      <c r="C963" s="5" t="s">
        <v>1648</v>
      </c>
      <c r="D963" s="135" t="s">
        <v>2800</v>
      </c>
      <c r="E963" s="136"/>
      <c r="F963" s="5" t="s">
        <v>3612</v>
      </c>
      <c r="G963" s="18">
        <v>1</v>
      </c>
      <c r="H963" s="18">
        <v>0</v>
      </c>
    </row>
    <row r="964" spans="1:8" x14ac:dyDescent="0.2">
      <c r="A964" s="5" t="s">
        <v>556</v>
      </c>
      <c r="B964" s="5" t="s">
        <v>3645</v>
      </c>
      <c r="C964" s="5" t="s">
        <v>1649</v>
      </c>
      <c r="D964" s="135" t="s">
        <v>2801</v>
      </c>
      <c r="E964" s="136"/>
      <c r="F964" s="5" t="s">
        <v>3612</v>
      </c>
      <c r="G964" s="18">
        <v>1</v>
      </c>
      <c r="H964" s="18">
        <v>0</v>
      </c>
    </row>
    <row r="965" spans="1:8" x14ac:dyDescent="0.2">
      <c r="A965" s="14"/>
      <c r="B965" s="14"/>
      <c r="C965" s="14" t="s">
        <v>734</v>
      </c>
      <c r="D965" s="133" t="s">
        <v>2882</v>
      </c>
      <c r="E965" s="134"/>
      <c r="F965" s="14"/>
      <c r="G965" s="27"/>
      <c r="H965" s="27"/>
    </row>
    <row r="966" spans="1:8" x14ac:dyDescent="0.2">
      <c r="A966" s="5" t="s">
        <v>557</v>
      </c>
      <c r="B966" s="5" t="s">
        <v>3645</v>
      </c>
      <c r="C966" s="5" t="s">
        <v>1650</v>
      </c>
      <c r="D966" s="135" t="s">
        <v>2883</v>
      </c>
      <c r="E966" s="136"/>
      <c r="F966" s="5" t="s">
        <v>3614</v>
      </c>
      <c r="G966" s="18">
        <v>1</v>
      </c>
      <c r="H966" s="18">
        <v>0</v>
      </c>
    </row>
    <row r="967" spans="1:8" x14ac:dyDescent="0.2">
      <c r="A967" s="5" t="s">
        <v>558</v>
      </c>
      <c r="B967" s="5" t="s">
        <v>3645</v>
      </c>
      <c r="C967" s="5" t="s">
        <v>1651</v>
      </c>
      <c r="D967" s="135" t="s">
        <v>2884</v>
      </c>
      <c r="E967" s="136"/>
      <c r="F967" s="5" t="s">
        <v>3614</v>
      </c>
      <c r="G967" s="18">
        <v>1</v>
      </c>
      <c r="H967" s="18">
        <v>0</v>
      </c>
    </row>
    <row r="968" spans="1:8" x14ac:dyDescent="0.2">
      <c r="A968" s="5" t="s">
        <v>559</v>
      </c>
      <c r="B968" s="5" t="s">
        <v>3645</v>
      </c>
      <c r="C968" s="5" t="s">
        <v>1652</v>
      </c>
      <c r="D968" s="135" t="s">
        <v>2885</v>
      </c>
      <c r="E968" s="136"/>
      <c r="F968" s="5" t="s">
        <v>3612</v>
      </c>
      <c r="G968" s="18">
        <v>1</v>
      </c>
      <c r="H968" s="18">
        <v>0</v>
      </c>
    </row>
    <row r="969" spans="1:8" x14ac:dyDescent="0.2">
      <c r="A969" s="5" t="s">
        <v>560</v>
      </c>
      <c r="B969" s="5" t="s">
        <v>3645</v>
      </c>
      <c r="C969" s="5" t="s">
        <v>1653</v>
      </c>
      <c r="D969" s="135" t="s">
        <v>2886</v>
      </c>
      <c r="E969" s="136"/>
      <c r="F969" s="5" t="s">
        <v>3612</v>
      </c>
      <c r="G969" s="18">
        <v>1</v>
      </c>
      <c r="H969" s="18">
        <v>0</v>
      </c>
    </row>
    <row r="970" spans="1:8" x14ac:dyDescent="0.2">
      <c r="A970" s="5" t="s">
        <v>561</v>
      </c>
      <c r="B970" s="5" t="s">
        <v>3645</v>
      </c>
      <c r="C970" s="5" t="s">
        <v>1654</v>
      </c>
      <c r="D970" s="135" t="s">
        <v>2887</v>
      </c>
      <c r="E970" s="136"/>
      <c r="F970" s="5" t="s">
        <v>3612</v>
      </c>
      <c r="G970" s="18">
        <v>1</v>
      </c>
      <c r="H970" s="18">
        <v>0</v>
      </c>
    </row>
    <row r="971" spans="1:8" x14ac:dyDescent="0.2">
      <c r="A971" s="5" t="s">
        <v>562</v>
      </c>
      <c r="B971" s="5" t="s">
        <v>3645</v>
      </c>
      <c r="C971" s="5" t="s">
        <v>1655</v>
      </c>
      <c r="D971" s="135" t="s">
        <v>2888</v>
      </c>
      <c r="E971" s="136"/>
      <c r="F971" s="5" t="s">
        <v>3612</v>
      </c>
      <c r="G971" s="18">
        <v>1</v>
      </c>
      <c r="H971" s="18">
        <v>0</v>
      </c>
    </row>
    <row r="972" spans="1:8" x14ac:dyDescent="0.2">
      <c r="A972" s="5" t="s">
        <v>563</v>
      </c>
      <c r="B972" s="5" t="s">
        <v>3645</v>
      </c>
      <c r="C972" s="5" t="s">
        <v>1656</v>
      </c>
      <c r="D972" s="135" t="s">
        <v>2886</v>
      </c>
      <c r="E972" s="136"/>
      <c r="F972" s="5" t="s">
        <v>3612</v>
      </c>
      <c r="G972" s="18">
        <v>1</v>
      </c>
      <c r="H972" s="18">
        <v>0</v>
      </c>
    </row>
    <row r="973" spans="1:8" x14ac:dyDescent="0.2">
      <c r="A973" s="5" t="s">
        <v>564</v>
      </c>
      <c r="B973" s="5" t="s">
        <v>3645</v>
      </c>
      <c r="C973" s="5" t="s">
        <v>1657</v>
      </c>
      <c r="D973" s="135" t="s">
        <v>2887</v>
      </c>
      <c r="E973" s="136"/>
      <c r="F973" s="5" t="s">
        <v>3612</v>
      </c>
      <c r="G973" s="18">
        <v>1</v>
      </c>
      <c r="H973" s="18">
        <v>0</v>
      </c>
    </row>
    <row r="974" spans="1:8" x14ac:dyDescent="0.2">
      <c r="A974" s="5" t="s">
        <v>565</v>
      </c>
      <c r="B974" s="5" t="s">
        <v>3645</v>
      </c>
      <c r="C974" s="5" t="s">
        <v>1658</v>
      </c>
      <c r="D974" s="135" t="s">
        <v>2889</v>
      </c>
      <c r="E974" s="136"/>
      <c r="F974" s="5" t="s">
        <v>3612</v>
      </c>
      <c r="G974" s="18">
        <v>7</v>
      </c>
      <c r="H974" s="18">
        <v>0</v>
      </c>
    </row>
    <row r="975" spans="1:8" x14ac:dyDescent="0.2">
      <c r="A975" s="5" t="s">
        <v>566</v>
      </c>
      <c r="B975" s="5" t="s">
        <v>3645</v>
      </c>
      <c r="C975" s="5" t="s">
        <v>1659</v>
      </c>
      <c r="D975" s="135" t="s">
        <v>2886</v>
      </c>
      <c r="E975" s="136"/>
      <c r="F975" s="5" t="s">
        <v>3612</v>
      </c>
      <c r="G975" s="18">
        <v>7</v>
      </c>
      <c r="H975" s="18">
        <v>0</v>
      </c>
    </row>
    <row r="976" spans="1:8" x14ac:dyDescent="0.2">
      <c r="A976" s="5" t="s">
        <v>567</v>
      </c>
      <c r="B976" s="5" t="s">
        <v>3645</v>
      </c>
      <c r="C976" s="5" t="s">
        <v>1660</v>
      </c>
      <c r="D976" s="135" t="s">
        <v>2890</v>
      </c>
      <c r="E976" s="136"/>
      <c r="F976" s="5" t="s">
        <v>3612</v>
      </c>
      <c r="G976" s="18">
        <v>7</v>
      </c>
      <c r="H976" s="18">
        <v>0</v>
      </c>
    </row>
    <row r="977" spans="1:8" x14ac:dyDescent="0.2">
      <c r="A977" s="5" t="s">
        <v>568</v>
      </c>
      <c r="B977" s="5" t="s">
        <v>3645</v>
      </c>
      <c r="C977" s="5" t="s">
        <v>1661</v>
      </c>
      <c r="D977" s="135" t="s">
        <v>2887</v>
      </c>
      <c r="E977" s="136"/>
      <c r="F977" s="5" t="s">
        <v>3612</v>
      </c>
      <c r="G977" s="18">
        <v>7</v>
      </c>
      <c r="H977" s="18">
        <v>0</v>
      </c>
    </row>
    <row r="978" spans="1:8" x14ac:dyDescent="0.2">
      <c r="A978" s="5" t="s">
        <v>569</v>
      </c>
      <c r="B978" s="5" t="s">
        <v>3645</v>
      </c>
      <c r="C978" s="5" t="s">
        <v>1662</v>
      </c>
      <c r="D978" s="135" t="s">
        <v>2891</v>
      </c>
      <c r="E978" s="136"/>
      <c r="F978" s="5" t="s">
        <v>3612</v>
      </c>
      <c r="G978" s="18">
        <v>2</v>
      </c>
      <c r="H978" s="18">
        <v>0</v>
      </c>
    </row>
    <row r="979" spans="1:8" x14ac:dyDescent="0.2">
      <c r="A979" s="5" t="s">
        <v>570</v>
      </c>
      <c r="B979" s="5" t="s">
        <v>3645</v>
      </c>
      <c r="C979" s="5" t="s">
        <v>1663</v>
      </c>
      <c r="D979" s="135" t="s">
        <v>2886</v>
      </c>
      <c r="E979" s="136"/>
      <c r="F979" s="5" t="s">
        <v>3612</v>
      </c>
      <c r="G979" s="18">
        <v>2</v>
      </c>
      <c r="H979" s="18">
        <v>0</v>
      </c>
    </row>
    <row r="980" spans="1:8" x14ac:dyDescent="0.2">
      <c r="A980" s="5" t="s">
        <v>571</v>
      </c>
      <c r="B980" s="5" t="s">
        <v>3645</v>
      </c>
      <c r="C980" s="5" t="s">
        <v>1664</v>
      </c>
      <c r="D980" s="135" t="s">
        <v>2890</v>
      </c>
      <c r="E980" s="136"/>
      <c r="F980" s="5" t="s">
        <v>3612</v>
      </c>
      <c r="G980" s="18">
        <v>2</v>
      </c>
      <c r="H980" s="18">
        <v>0</v>
      </c>
    </row>
    <row r="981" spans="1:8" x14ac:dyDescent="0.2">
      <c r="A981" s="5" t="s">
        <v>572</v>
      </c>
      <c r="B981" s="5" t="s">
        <v>3645</v>
      </c>
      <c r="C981" s="5" t="s">
        <v>1665</v>
      </c>
      <c r="D981" s="135" t="s">
        <v>2887</v>
      </c>
      <c r="E981" s="136"/>
      <c r="F981" s="5" t="s">
        <v>3612</v>
      </c>
      <c r="G981" s="18">
        <v>2</v>
      </c>
      <c r="H981" s="18">
        <v>0</v>
      </c>
    </row>
    <row r="982" spans="1:8" x14ac:dyDescent="0.2">
      <c r="A982" s="5" t="s">
        <v>573</v>
      </c>
      <c r="B982" s="5" t="s">
        <v>3645</v>
      </c>
      <c r="C982" s="5" t="s">
        <v>1666</v>
      </c>
      <c r="D982" s="135" t="s">
        <v>2892</v>
      </c>
      <c r="E982" s="136"/>
      <c r="F982" s="5" t="s">
        <v>3612</v>
      </c>
      <c r="G982" s="18">
        <v>1</v>
      </c>
      <c r="H982" s="18">
        <v>0</v>
      </c>
    </row>
    <row r="983" spans="1:8" x14ac:dyDescent="0.2">
      <c r="A983" s="5" t="s">
        <v>574</v>
      </c>
      <c r="B983" s="5" t="s">
        <v>3645</v>
      </c>
      <c r="C983" s="5" t="s">
        <v>1667</v>
      </c>
      <c r="D983" s="135" t="s">
        <v>2886</v>
      </c>
      <c r="E983" s="136"/>
      <c r="F983" s="5" t="s">
        <v>3612</v>
      </c>
      <c r="G983" s="18">
        <v>1</v>
      </c>
      <c r="H983" s="18">
        <v>0</v>
      </c>
    </row>
    <row r="984" spans="1:8" x14ac:dyDescent="0.2">
      <c r="A984" s="5" t="s">
        <v>575</v>
      </c>
      <c r="B984" s="5" t="s">
        <v>3645</v>
      </c>
      <c r="C984" s="5" t="s">
        <v>1668</v>
      </c>
      <c r="D984" s="135" t="s">
        <v>2893</v>
      </c>
      <c r="E984" s="136"/>
      <c r="F984" s="5" t="s">
        <v>3612</v>
      </c>
      <c r="G984" s="18">
        <v>1</v>
      </c>
      <c r="H984" s="18">
        <v>0</v>
      </c>
    </row>
    <row r="985" spans="1:8" x14ac:dyDescent="0.2">
      <c r="A985" s="5" t="s">
        <v>576</v>
      </c>
      <c r="B985" s="5" t="s">
        <v>3645</v>
      </c>
      <c r="C985" s="5" t="s">
        <v>1669</v>
      </c>
      <c r="D985" s="135" t="s">
        <v>2894</v>
      </c>
      <c r="E985" s="136"/>
      <c r="F985" s="5" t="s">
        <v>3612</v>
      </c>
      <c r="G985" s="18">
        <v>1</v>
      </c>
      <c r="H985" s="18">
        <v>0</v>
      </c>
    </row>
    <row r="986" spans="1:8" x14ac:dyDescent="0.2">
      <c r="A986" s="5" t="s">
        <v>577</v>
      </c>
      <c r="B986" s="5" t="s">
        <v>3645</v>
      </c>
      <c r="C986" s="5" t="s">
        <v>1670</v>
      </c>
      <c r="D986" s="135" t="s">
        <v>2895</v>
      </c>
      <c r="E986" s="136"/>
      <c r="F986" s="5" t="s">
        <v>3612</v>
      </c>
      <c r="G986" s="18">
        <v>1</v>
      </c>
      <c r="H986" s="18">
        <v>0</v>
      </c>
    </row>
    <row r="987" spans="1:8" x14ac:dyDescent="0.2">
      <c r="A987" s="5" t="s">
        <v>578</v>
      </c>
      <c r="B987" s="5" t="s">
        <v>3645</v>
      </c>
      <c r="C987" s="5" t="s">
        <v>1671</v>
      </c>
      <c r="D987" s="135" t="s">
        <v>2887</v>
      </c>
      <c r="E987" s="136"/>
      <c r="F987" s="5" t="s">
        <v>3612</v>
      </c>
      <c r="G987" s="18">
        <v>1</v>
      </c>
      <c r="H987" s="18">
        <v>0</v>
      </c>
    </row>
    <row r="988" spans="1:8" x14ac:dyDescent="0.2">
      <c r="A988" s="5" t="s">
        <v>579</v>
      </c>
      <c r="B988" s="5" t="s">
        <v>3645</v>
      </c>
      <c r="C988" s="5" t="s">
        <v>1672</v>
      </c>
      <c r="D988" s="135" t="s">
        <v>2896</v>
      </c>
      <c r="E988" s="136"/>
      <c r="F988" s="5" t="s">
        <v>3612</v>
      </c>
      <c r="G988" s="18">
        <v>1</v>
      </c>
      <c r="H988" s="18">
        <v>0</v>
      </c>
    </row>
    <row r="989" spans="1:8" x14ac:dyDescent="0.2">
      <c r="A989" s="5" t="s">
        <v>580</v>
      </c>
      <c r="B989" s="5" t="s">
        <v>3645</v>
      </c>
      <c r="C989" s="5" t="s">
        <v>1673</v>
      </c>
      <c r="D989" s="135" t="s">
        <v>2886</v>
      </c>
      <c r="E989" s="136"/>
      <c r="F989" s="5" t="s">
        <v>3612</v>
      </c>
      <c r="G989" s="18">
        <v>1</v>
      </c>
      <c r="H989" s="18">
        <v>0</v>
      </c>
    </row>
    <row r="990" spans="1:8" x14ac:dyDescent="0.2">
      <c r="A990" s="5" t="s">
        <v>581</v>
      </c>
      <c r="B990" s="5" t="s">
        <v>3645</v>
      </c>
      <c r="C990" s="5" t="s">
        <v>1674</v>
      </c>
      <c r="D990" s="135" t="s">
        <v>2893</v>
      </c>
      <c r="E990" s="136"/>
      <c r="F990" s="5" t="s">
        <v>3612</v>
      </c>
      <c r="G990" s="18">
        <v>1</v>
      </c>
      <c r="H990" s="18">
        <v>0</v>
      </c>
    </row>
    <row r="991" spans="1:8" x14ac:dyDescent="0.2">
      <c r="A991" s="5" t="s">
        <v>582</v>
      </c>
      <c r="B991" s="5" t="s">
        <v>3645</v>
      </c>
      <c r="C991" s="5" t="s">
        <v>1675</v>
      </c>
      <c r="D991" s="135" t="s">
        <v>2894</v>
      </c>
      <c r="E991" s="136"/>
      <c r="F991" s="5" t="s">
        <v>3612</v>
      </c>
      <c r="G991" s="18">
        <v>1</v>
      </c>
      <c r="H991" s="18">
        <v>0</v>
      </c>
    </row>
    <row r="992" spans="1:8" x14ac:dyDescent="0.2">
      <c r="A992" s="5" t="s">
        <v>583</v>
      </c>
      <c r="B992" s="5" t="s">
        <v>3645</v>
      </c>
      <c r="C992" s="5" t="s">
        <v>1676</v>
      </c>
      <c r="D992" s="135" t="s">
        <v>2895</v>
      </c>
      <c r="E992" s="136"/>
      <c r="F992" s="5" t="s">
        <v>3612</v>
      </c>
      <c r="G992" s="18">
        <v>1</v>
      </c>
      <c r="H992" s="18">
        <v>0</v>
      </c>
    </row>
    <row r="993" spans="1:8" x14ac:dyDescent="0.2">
      <c r="A993" s="5" t="s">
        <v>584</v>
      </c>
      <c r="B993" s="5" t="s">
        <v>3645</v>
      </c>
      <c r="C993" s="5" t="s">
        <v>1677</v>
      </c>
      <c r="D993" s="135" t="s">
        <v>2887</v>
      </c>
      <c r="E993" s="136"/>
      <c r="F993" s="5" t="s">
        <v>3612</v>
      </c>
      <c r="G993" s="18">
        <v>1</v>
      </c>
      <c r="H993" s="18">
        <v>0</v>
      </c>
    </row>
    <row r="994" spans="1:8" x14ac:dyDescent="0.2">
      <c r="A994" s="5" t="s">
        <v>585</v>
      </c>
      <c r="B994" s="5" t="s">
        <v>3645</v>
      </c>
      <c r="C994" s="5" t="s">
        <v>1678</v>
      </c>
      <c r="D994" s="135" t="s">
        <v>2897</v>
      </c>
      <c r="E994" s="136"/>
      <c r="F994" s="5" t="s">
        <v>3614</v>
      </c>
      <c r="G994" s="18">
        <v>1.8</v>
      </c>
      <c r="H994" s="18">
        <v>0</v>
      </c>
    </row>
    <row r="995" spans="1:8" x14ac:dyDescent="0.2">
      <c r="A995" s="5" t="s">
        <v>586</v>
      </c>
      <c r="B995" s="5" t="s">
        <v>3645</v>
      </c>
      <c r="C995" s="5" t="s">
        <v>1679</v>
      </c>
      <c r="D995" s="135" t="s">
        <v>2898</v>
      </c>
      <c r="E995" s="136"/>
      <c r="F995" s="5" t="s">
        <v>3614</v>
      </c>
      <c r="G995" s="18">
        <v>9.4</v>
      </c>
      <c r="H995" s="18">
        <v>0</v>
      </c>
    </row>
    <row r="996" spans="1:8" x14ac:dyDescent="0.2">
      <c r="A996" s="5" t="s">
        <v>587</v>
      </c>
      <c r="B996" s="5" t="s">
        <v>3645</v>
      </c>
      <c r="C996" s="5" t="s">
        <v>1680</v>
      </c>
      <c r="D996" s="135" t="s">
        <v>2899</v>
      </c>
      <c r="E996" s="136"/>
      <c r="F996" s="5" t="s">
        <v>3614</v>
      </c>
      <c r="G996" s="18">
        <v>8.1</v>
      </c>
      <c r="H996" s="18">
        <v>0</v>
      </c>
    </row>
    <row r="997" spans="1:8" x14ac:dyDescent="0.2">
      <c r="A997" s="5" t="s">
        <v>588</v>
      </c>
      <c r="B997" s="5" t="s">
        <v>3645</v>
      </c>
      <c r="C997" s="5" t="s">
        <v>1681</v>
      </c>
      <c r="D997" s="135" t="s">
        <v>2900</v>
      </c>
      <c r="E997" s="136"/>
      <c r="F997" s="5" t="s">
        <v>3614</v>
      </c>
      <c r="G997" s="18">
        <v>16</v>
      </c>
      <c r="H997" s="18">
        <v>0</v>
      </c>
    </row>
    <row r="998" spans="1:8" x14ac:dyDescent="0.2">
      <c r="A998" s="5" t="s">
        <v>589</v>
      </c>
      <c r="B998" s="5" t="s">
        <v>3645</v>
      </c>
      <c r="C998" s="5" t="s">
        <v>1682</v>
      </c>
      <c r="D998" s="135" t="s">
        <v>2901</v>
      </c>
      <c r="E998" s="136"/>
      <c r="F998" s="5" t="s">
        <v>3614</v>
      </c>
      <c r="G998" s="18">
        <v>5.2</v>
      </c>
      <c r="H998" s="18">
        <v>0</v>
      </c>
    </row>
    <row r="999" spans="1:8" x14ac:dyDescent="0.2">
      <c r="A999" s="5" t="s">
        <v>590</v>
      </c>
      <c r="B999" s="5" t="s">
        <v>3645</v>
      </c>
      <c r="C999" s="5" t="s">
        <v>1683</v>
      </c>
      <c r="D999" s="135" t="s">
        <v>2902</v>
      </c>
      <c r="E999" s="136"/>
      <c r="F999" s="5" t="s">
        <v>3614</v>
      </c>
      <c r="G999" s="18">
        <v>30.6</v>
      </c>
      <c r="H999" s="18">
        <v>0</v>
      </c>
    </row>
    <row r="1000" spans="1:8" x14ac:dyDescent="0.2">
      <c r="A1000" s="5" t="s">
        <v>591</v>
      </c>
      <c r="B1000" s="5" t="s">
        <v>3645</v>
      </c>
      <c r="C1000" s="5" t="s">
        <v>1684</v>
      </c>
      <c r="D1000" s="135" t="s">
        <v>2903</v>
      </c>
      <c r="E1000" s="136"/>
      <c r="F1000" s="5" t="s">
        <v>3614</v>
      </c>
      <c r="G1000" s="18">
        <v>1.9</v>
      </c>
      <c r="H1000" s="18">
        <v>0</v>
      </c>
    </row>
    <row r="1001" spans="1:8" x14ac:dyDescent="0.2">
      <c r="A1001" s="5" t="s">
        <v>592</v>
      </c>
      <c r="B1001" s="5" t="s">
        <v>3645</v>
      </c>
      <c r="C1001" s="5" t="s">
        <v>1685</v>
      </c>
      <c r="D1001" s="135" t="s">
        <v>2904</v>
      </c>
      <c r="E1001" s="136"/>
      <c r="F1001" s="5" t="s">
        <v>3612</v>
      </c>
      <c r="G1001" s="18">
        <v>3</v>
      </c>
      <c r="H1001" s="18">
        <v>0</v>
      </c>
    </row>
    <row r="1002" spans="1:8" x14ac:dyDescent="0.2">
      <c r="A1002" s="5" t="s">
        <v>593</v>
      </c>
      <c r="B1002" s="5" t="s">
        <v>3645</v>
      </c>
      <c r="C1002" s="5" t="s">
        <v>1686</v>
      </c>
      <c r="D1002" s="135" t="s">
        <v>2905</v>
      </c>
      <c r="E1002" s="136"/>
      <c r="F1002" s="5" t="s">
        <v>3612</v>
      </c>
      <c r="G1002" s="18">
        <v>3</v>
      </c>
      <c r="H1002" s="18">
        <v>0</v>
      </c>
    </row>
    <row r="1003" spans="1:8" x14ac:dyDescent="0.2">
      <c r="A1003" s="5" t="s">
        <v>594</v>
      </c>
      <c r="B1003" s="5" t="s">
        <v>3645</v>
      </c>
      <c r="C1003" s="5" t="s">
        <v>1687</v>
      </c>
      <c r="D1003" s="135" t="s">
        <v>2906</v>
      </c>
      <c r="E1003" s="136"/>
      <c r="F1003" s="5" t="s">
        <v>3612</v>
      </c>
      <c r="G1003" s="18">
        <v>1</v>
      </c>
      <c r="H1003" s="18">
        <v>0</v>
      </c>
    </row>
    <row r="1004" spans="1:8" x14ac:dyDescent="0.2">
      <c r="A1004" s="5" t="s">
        <v>595</v>
      </c>
      <c r="B1004" s="5" t="s">
        <v>3645</v>
      </c>
      <c r="C1004" s="5" t="s">
        <v>1688</v>
      </c>
      <c r="D1004" s="135" t="s">
        <v>2907</v>
      </c>
      <c r="E1004" s="136"/>
      <c r="F1004" s="5" t="s">
        <v>3612</v>
      </c>
      <c r="G1004" s="18">
        <v>1</v>
      </c>
      <c r="H1004" s="18">
        <v>0</v>
      </c>
    </row>
    <row r="1005" spans="1:8" x14ac:dyDescent="0.2">
      <c r="A1005" s="5" t="s">
        <v>596</v>
      </c>
      <c r="B1005" s="5" t="s">
        <v>3645</v>
      </c>
      <c r="C1005" s="5" t="s">
        <v>1689</v>
      </c>
      <c r="D1005" s="135" t="s">
        <v>2908</v>
      </c>
      <c r="E1005" s="136"/>
      <c r="F1005" s="5" t="s">
        <v>3612</v>
      </c>
      <c r="G1005" s="18">
        <v>3</v>
      </c>
      <c r="H1005" s="18">
        <v>0</v>
      </c>
    </row>
    <row r="1006" spans="1:8" x14ac:dyDescent="0.2">
      <c r="A1006" s="5" t="s">
        <v>597</v>
      </c>
      <c r="B1006" s="5" t="s">
        <v>3645</v>
      </c>
      <c r="C1006" s="5" t="s">
        <v>1690</v>
      </c>
      <c r="D1006" s="135" t="s">
        <v>2909</v>
      </c>
      <c r="E1006" s="136"/>
      <c r="F1006" s="5" t="s">
        <v>3612</v>
      </c>
      <c r="G1006" s="18">
        <v>1</v>
      </c>
      <c r="H1006" s="18">
        <v>0</v>
      </c>
    </row>
    <row r="1007" spans="1:8" x14ac:dyDescent="0.2">
      <c r="A1007" s="5" t="s">
        <v>598</v>
      </c>
      <c r="B1007" s="5" t="s">
        <v>3645</v>
      </c>
      <c r="C1007" s="5" t="s">
        <v>1691</v>
      </c>
      <c r="D1007" s="135" t="s">
        <v>2910</v>
      </c>
      <c r="E1007" s="136"/>
      <c r="F1007" s="5" t="s">
        <v>3612</v>
      </c>
      <c r="G1007" s="18">
        <v>1</v>
      </c>
      <c r="H1007" s="18">
        <v>0</v>
      </c>
    </row>
    <row r="1008" spans="1:8" x14ac:dyDescent="0.2">
      <c r="A1008" s="5" t="s">
        <v>599</v>
      </c>
      <c r="B1008" s="5" t="s">
        <v>3645</v>
      </c>
      <c r="C1008" s="5" t="s">
        <v>1692</v>
      </c>
      <c r="D1008" s="135" t="s">
        <v>2911</v>
      </c>
      <c r="E1008" s="136"/>
      <c r="F1008" s="5" t="s">
        <v>3612</v>
      </c>
      <c r="G1008" s="18">
        <v>1</v>
      </c>
      <c r="H1008" s="18">
        <v>0</v>
      </c>
    </row>
    <row r="1009" spans="1:8" x14ac:dyDescent="0.2">
      <c r="A1009" s="5" t="s">
        <v>600</v>
      </c>
      <c r="B1009" s="5" t="s">
        <v>3645</v>
      </c>
      <c r="C1009" s="5" t="s">
        <v>1693</v>
      </c>
      <c r="D1009" s="135" t="s">
        <v>2912</v>
      </c>
      <c r="E1009" s="136"/>
      <c r="F1009" s="5" t="s">
        <v>3612</v>
      </c>
      <c r="G1009" s="18">
        <v>1</v>
      </c>
      <c r="H1009" s="18">
        <v>0</v>
      </c>
    </row>
    <row r="1010" spans="1:8" x14ac:dyDescent="0.2">
      <c r="A1010" s="5" t="s">
        <v>601</v>
      </c>
      <c r="B1010" s="5" t="s">
        <v>3645</v>
      </c>
      <c r="C1010" s="5" t="s">
        <v>1694</v>
      </c>
      <c r="D1010" s="135" t="s">
        <v>2913</v>
      </c>
      <c r="E1010" s="136"/>
      <c r="F1010" s="5" t="s">
        <v>3612</v>
      </c>
      <c r="G1010" s="18">
        <v>4</v>
      </c>
      <c r="H1010" s="18">
        <v>0</v>
      </c>
    </row>
    <row r="1011" spans="1:8" x14ac:dyDescent="0.2">
      <c r="A1011" s="5" t="s">
        <v>602</v>
      </c>
      <c r="B1011" s="5" t="s">
        <v>3645</v>
      </c>
      <c r="C1011" s="5" t="s">
        <v>1695</v>
      </c>
      <c r="D1011" s="135" t="s">
        <v>2914</v>
      </c>
      <c r="E1011" s="136"/>
      <c r="F1011" s="5" t="s">
        <v>3612</v>
      </c>
      <c r="G1011" s="18">
        <v>2</v>
      </c>
      <c r="H1011" s="18">
        <v>0</v>
      </c>
    </row>
    <row r="1012" spans="1:8" x14ac:dyDescent="0.2">
      <c r="A1012" s="5" t="s">
        <v>603</v>
      </c>
      <c r="B1012" s="5" t="s">
        <v>3645</v>
      </c>
      <c r="C1012" s="5" t="s">
        <v>1696</v>
      </c>
      <c r="D1012" s="135" t="s">
        <v>2915</v>
      </c>
      <c r="E1012" s="136"/>
      <c r="F1012" s="5" t="s">
        <v>3612</v>
      </c>
      <c r="G1012" s="18">
        <v>2</v>
      </c>
      <c r="H1012" s="18">
        <v>0</v>
      </c>
    </row>
    <row r="1013" spans="1:8" x14ac:dyDescent="0.2">
      <c r="A1013" s="5" t="s">
        <v>604</v>
      </c>
      <c r="B1013" s="5" t="s">
        <v>3645</v>
      </c>
      <c r="C1013" s="5" t="s">
        <v>1697</v>
      </c>
      <c r="D1013" s="135" t="s">
        <v>2916</v>
      </c>
      <c r="E1013" s="136"/>
      <c r="F1013" s="5" t="s">
        <v>3615</v>
      </c>
      <c r="G1013" s="18">
        <v>16.814620000000001</v>
      </c>
      <c r="H1013" s="18">
        <v>0</v>
      </c>
    </row>
    <row r="1014" spans="1:8" x14ac:dyDescent="0.2">
      <c r="A1014" s="5" t="s">
        <v>605</v>
      </c>
      <c r="B1014" s="5" t="s">
        <v>3645</v>
      </c>
      <c r="C1014" s="5" t="s">
        <v>1698</v>
      </c>
      <c r="D1014" s="135" t="s">
        <v>2917</v>
      </c>
      <c r="E1014" s="136"/>
      <c r="F1014" s="5" t="s">
        <v>3620</v>
      </c>
      <c r="G1014" s="18">
        <v>75</v>
      </c>
      <c r="H1014" s="18">
        <v>0</v>
      </c>
    </row>
    <row r="1015" spans="1:8" x14ac:dyDescent="0.2">
      <c r="A1015" s="5" t="s">
        <v>606</v>
      </c>
      <c r="B1015" s="5" t="s">
        <v>3645</v>
      </c>
      <c r="C1015" s="5" t="s">
        <v>1699</v>
      </c>
      <c r="D1015" s="135" t="s">
        <v>2918</v>
      </c>
      <c r="E1015" s="136"/>
      <c r="F1015" s="5" t="s">
        <v>3620</v>
      </c>
      <c r="G1015" s="18">
        <v>60</v>
      </c>
      <c r="H1015" s="18">
        <v>0</v>
      </c>
    </row>
    <row r="1016" spans="1:8" x14ac:dyDescent="0.2">
      <c r="A1016" s="5" t="s">
        <v>607</v>
      </c>
      <c r="B1016" s="5" t="s">
        <v>3645</v>
      </c>
      <c r="C1016" s="5" t="s">
        <v>1700</v>
      </c>
      <c r="D1016" s="135" t="s">
        <v>2919</v>
      </c>
      <c r="E1016" s="136"/>
      <c r="F1016" s="5" t="s">
        <v>3612</v>
      </c>
      <c r="G1016" s="18">
        <v>1</v>
      </c>
      <c r="H1016" s="18">
        <v>0</v>
      </c>
    </row>
    <row r="1017" spans="1:8" x14ac:dyDescent="0.2">
      <c r="A1017" s="5" t="s">
        <v>608</v>
      </c>
      <c r="B1017" s="5" t="s">
        <v>3645</v>
      </c>
      <c r="C1017" s="5" t="s">
        <v>1701</v>
      </c>
      <c r="D1017" s="135" t="s">
        <v>2920</v>
      </c>
      <c r="E1017" s="136"/>
      <c r="F1017" s="5" t="s">
        <v>3612</v>
      </c>
      <c r="G1017" s="18">
        <v>1</v>
      </c>
      <c r="H1017" s="18">
        <v>0</v>
      </c>
    </row>
    <row r="1018" spans="1:8" x14ac:dyDescent="0.2">
      <c r="A1018" s="5" t="s">
        <v>609</v>
      </c>
      <c r="B1018" s="5" t="s">
        <v>3645</v>
      </c>
      <c r="C1018" s="5" t="s">
        <v>1702</v>
      </c>
      <c r="D1018" s="135" t="s">
        <v>2921</v>
      </c>
      <c r="E1018" s="136"/>
      <c r="F1018" s="5" t="s">
        <v>3614</v>
      </c>
      <c r="G1018" s="18">
        <v>17.899999999999999</v>
      </c>
      <c r="H1018" s="18">
        <v>0</v>
      </c>
    </row>
    <row r="1019" spans="1:8" x14ac:dyDescent="0.2">
      <c r="A1019" s="5" t="s">
        <v>610</v>
      </c>
      <c r="B1019" s="5" t="s">
        <v>3645</v>
      </c>
      <c r="C1019" s="5" t="s">
        <v>1703</v>
      </c>
      <c r="D1019" s="135" t="s">
        <v>2922</v>
      </c>
      <c r="E1019" s="136"/>
      <c r="F1019" s="5" t="s">
        <v>3614</v>
      </c>
      <c r="G1019" s="18">
        <v>1.7</v>
      </c>
      <c r="H1019" s="18">
        <v>0</v>
      </c>
    </row>
    <row r="1020" spans="1:8" x14ac:dyDescent="0.2">
      <c r="A1020" s="5" t="s">
        <v>611</v>
      </c>
      <c r="B1020" s="5" t="s">
        <v>3645</v>
      </c>
      <c r="C1020" s="5" t="s">
        <v>1704</v>
      </c>
      <c r="D1020" s="135" t="s">
        <v>2923</v>
      </c>
      <c r="E1020" s="136"/>
      <c r="F1020" s="5" t="s">
        <v>3614</v>
      </c>
      <c r="G1020" s="18">
        <v>5.5</v>
      </c>
      <c r="H1020" s="18">
        <v>0</v>
      </c>
    </row>
    <row r="1021" spans="1:8" x14ac:dyDescent="0.2">
      <c r="A1021" s="5" t="s">
        <v>612</v>
      </c>
      <c r="B1021" s="5" t="s">
        <v>3645</v>
      </c>
      <c r="C1021" s="5" t="s">
        <v>1705</v>
      </c>
      <c r="D1021" s="135" t="s">
        <v>2924</v>
      </c>
      <c r="E1021" s="136"/>
      <c r="F1021" s="5" t="s">
        <v>3614</v>
      </c>
      <c r="G1021" s="18">
        <v>5.9</v>
      </c>
      <c r="H1021" s="18">
        <v>0</v>
      </c>
    </row>
    <row r="1022" spans="1:8" x14ac:dyDescent="0.2">
      <c r="A1022" s="5" t="s">
        <v>613</v>
      </c>
      <c r="B1022" s="5" t="s">
        <v>3645</v>
      </c>
      <c r="C1022" s="5" t="s">
        <v>1706</v>
      </c>
      <c r="D1022" s="135" t="s">
        <v>2925</v>
      </c>
      <c r="E1022" s="136"/>
      <c r="F1022" s="5" t="s">
        <v>3614</v>
      </c>
      <c r="G1022" s="18">
        <v>46.4</v>
      </c>
      <c r="H1022" s="18">
        <v>0</v>
      </c>
    </row>
    <row r="1023" spans="1:8" x14ac:dyDescent="0.2">
      <c r="A1023" s="5" t="s">
        <v>614</v>
      </c>
      <c r="B1023" s="5" t="s">
        <v>3645</v>
      </c>
      <c r="C1023" s="5" t="s">
        <v>1707</v>
      </c>
      <c r="D1023" s="135" t="s">
        <v>2926</v>
      </c>
      <c r="E1023" s="136"/>
      <c r="F1023" s="5" t="s">
        <v>3614</v>
      </c>
      <c r="G1023" s="18">
        <v>1</v>
      </c>
      <c r="H1023" s="18">
        <v>0</v>
      </c>
    </row>
    <row r="1024" spans="1:8" x14ac:dyDescent="0.2">
      <c r="A1024" s="5" t="s">
        <v>615</v>
      </c>
      <c r="B1024" s="5" t="s">
        <v>3645</v>
      </c>
      <c r="C1024" s="5" t="s">
        <v>1708</v>
      </c>
      <c r="D1024" s="135" t="s">
        <v>2927</v>
      </c>
      <c r="E1024" s="136"/>
      <c r="F1024" s="5" t="s">
        <v>3612</v>
      </c>
      <c r="G1024" s="18">
        <v>6</v>
      </c>
      <c r="H1024" s="18">
        <v>0</v>
      </c>
    </row>
    <row r="1025" spans="1:8" x14ac:dyDescent="0.2">
      <c r="A1025" s="5" t="s">
        <v>616</v>
      </c>
      <c r="B1025" s="5" t="s">
        <v>3645</v>
      </c>
      <c r="C1025" s="5" t="s">
        <v>1709</v>
      </c>
      <c r="D1025" s="135" t="s">
        <v>2928</v>
      </c>
      <c r="E1025" s="136"/>
      <c r="F1025" s="5" t="s">
        <v>3612</v>
      </c>
      <c r="G1025" s="18">
        <v>3</v>
      </c>
      <c r="H1025" s="18">
        <v>0</v>
      </c>
    </row>
    <row r="1026" spans="1:8" x14ac:dyDescent="0.2">
      <c r="A1026" s="5" t="s">
        <v>617</v>
      </c>
      <c r="B1026" s="5" t="s">
        <v>3645</v>
      </c>
      <c r="C1026" s="5" t="s">
        <v>1710</v>
      </c>
      <c r="D1026" s="135" t="s">
        <v>2929</v>
      </c>
      <c r="E1026" s="136"/>
      <c r="F1026" s="5" t="s">
        <v>3612</v>
      </c>
      <c r="G1026" s="18">
        <v>2</v>
      </c>
      <c r="H1026" s="18">
        <v>0</v>
      </c>
    </row>
    <row r="1027" spans="1:8" x14ac:dyDescent="0.2">
      <c r="A1027" s="5" t="s">
        <v>618</v>
      </c>
      <c r="B1027" s="5" t="s">
        <v>3645</v>
      </c>
      <c r="C1027" s="5" t="s">
        <v>1711</v>
      </c>
      <c r="D1027" s="135" t="s">
        <v>2930</v>
      </c>
      <c r="E1027" s="136"/>
      <c r="F1027" s="5" t="s">
        <v>3612</v>
      </c>
      <c r="G1027" s="18">
        <v>4</v>
      </c>
      <c r="H1027" s="18">
        <v>0</v>
      </c>
    </row>
    <row r="1028" spans="1:8" x14ac:dyDescent="0.2">
      <c r="A1028" s="5" t="s">
        <v>619</v>
      </c>
      <c r="B1028" s="5" t="s">
        <v>3645</v>
      </c>
      <c r="C1028" s="5" t="s">
        <v>1712</v>
      </c>
      <c r="D1028" s="135" t="s">
        <v>2931</v>
      </c>
      <c r="E1028" s="136"/>
      <c r="F1028" s="5" t="s">
        <v>3612</v>
      </c>
      <c r="G1028" s="18">
        <v>2</v>
      </c>
      <c r="H1028" s="18">
        <v>0</v>
      </c>
    </row>
    <row r="1029" spans="1:8" x14ac:dyDescent="0.2">
      <c r="A1029" s="5" t="s">
        <v>620</v>
      </c>
      <c r="B1029" s="5" t="s">
        <v>3645</v>
      </c>
      <c r="C1029" s="5" t="s">
        <v>1713</v>
      </c>
      <c r="D1029" s="135" t="s">
        <v>2932</v>
      </c>
      <c r="E1029" s="136"/>
      <c r="F1029" s="5" t="s">
        <v>3612</v>
      </c>
      <c r="G1029" s="18">
        <v>1</v>
      </c>
      <c r="H1029" s="18">
        <v>0</v>
      </c>
    </row>
    <row r="1030" spans="1:8" x14ac:dyDescent="0.2">
      <c r="A1030" s="5" t="s">
        <v>621</v>
      </c>
      <c r="B1030" s="5" t="s">
        <v>3645</v>
      </c>
      <c r="C1030" s="5" t="s">
        <v>1714</v>
      </c>
      <c r="D1030" s="135" t="s">
        <v>2933</v>
      </c>
      <c r="E1030" s="136"/>
      <c r="F1030" s="5" t="s">
        <v>3612</v>
      </c>
      <c r="G1030" s="18">
        <v>1</v>
      </c>
      <c r="H1030" s="18">
        <v>0</v>
      </c>
    </row>
    <row r="1031" spans="1:8" x14ac:dyDescent="0.2">
      <c r="A1031" s="5" t="s">
        <v>622</v>
      </c>
      <c r="B1031" s="5" t="s">
        <v>3645</v>
      </c>
      <c r="C1031" s="5" t="s">
        <v>1715</v>
      </c>
      <c r="D1031" s="135" t="s">
        <v>2934</v>
      </c>
      <c r="E1031" s="136"/>
      <c r="F1031" s="5" t="s">
        <v>3612</v>
      </c>
      <c r="G1031" s="18">
        <v>2</v>
      </c>
      <c r="H1031" s="18">
        <v>0</v>
      </c>
    </row>
    <row r="1032" spans="1:8" x14ac:dyDescent="0.2">
      <c r="A1032" s="5" t="s">
        <v>623</v>
      </c>
      <c r="B1032" s="5" t="s">
        <v>3645</v>
      </c>
      <c r="C1032" s="5" t="s">
        <v>1716</v>
      </c>
      <c r="D1032" s="135" t="s">
        <v>2935</v>
      </c>
      <c r="E1032" s="136"/>
      <c r="F1032" s="5" t="s">
        <v>3612</v>
      </c>
      <c r="G1032" s="18">
        <v>2</v>
      </c>
      <c r="H1032" s="18">
        <v>0</v>
      </c>
    </row>
    <row r="1033" spans="1:8" x14ac:dyDescent="0.2">
      <c r="A1033" s="5" t="s">
        <v>624</v>
      </c>
      <c r="B1033" s="5" t="s">
        <v>3645</v>
      </c>
      <c r="C1033" s="5" t="s">
        <v>1717</v>
      </c>
      <c r="D1033" s="135" t="s">
        <v>2916</v>
      </c>
      <c r="E1033" s="136"/>
      <c r="F1033" s="5" t="s">
        <v>3615</v>
      </c>
      <c r="G1033" s="18">
        <v>54.703090000000003</v>
      </c>
      <c r="H1033" s="18">
        <v>0</v>
      </c>
    </row>
    <row r="1034" spans="1:8" x14ac:dyDescent="0.2">
      <c r="A1034" s="5" t="s">
        <v>625</v>
      </c>
      <c r="B1034" s="5" t="s">
        <v>3645</v>
      </c>
      <c r="C1034" s="5" t="s">
        <v>1718</v>
      </c>
      <c r="D1034" s="135" t="s">
        <v>2917</v>
      </c>
      <c r="E1034" s="136"/>
      <c r="F1034" s="5" t="s">
        <v>3620</v>
      </c>
      <c r="G1034" s="18">
        <v>50</v>
      </c>
      <c r="H1034" s="18">
        <v>0</v>
      </c>
    </row>
    <row r="1035" spans="1:8" x14ac:dyDescent="0.2">
      <c r="A1035" s="5" t="s">
        <v>626</v>
      </c>
      <c r="B1035" s="5" t="s">
        <v>3645</v>
      </c>
      <c r="C1035" s="5" t="s">
        <v>1719</v>
      </c>
      <c r="D1035" s="135" t="s">
        <v>2918</v>
      </c>
      <c r="E1035" s="136"/>
      <c r="F1035" s="5" t="s">
        <v>3620</v>
      </c>
      <c r="G1035" s="18">
        <v>30</v>
      </c>
      <c r="H1035" s="18">
        <v>0</v>
      </c>
    </row>
    <row r="1036" spans="1:8" x14ac:dyDescent="0.2">
      <c r="A1036" s="5" t="s">
        <v>627</v>
      </c>
      <c r="B1036" s="5" t="s">
        <v>3645</v>
      </c>
      <c r="C1036" s="5" t="s">
        <v>1720</v>
      </c>
      <c r="D1036" s="135" t="s">
        <v>2936</v>
      </c>
      <c r="E1036" s="136"/>
      <c r="F1036" s="5" t="s">
        <v>3612</v>
      </c>
      <c r="G1036" s="18">
        <v>1</v>
      </c>
      <c r="H1036" s="18">
        <v>0</v>
      </c>
    </row>
    <row r="1037" spans="1:8" x14ac:dyDescent="0.2">
      <c r="A1037" s="5" t="s">
        <v>628</v>
      </c>
      <c r="B1037" s="5" t="s">
        <v>3645</v>
      </c>
      <c r="C1037" s="5" t="s">
        <v>1721</v>
      </c>
      <c r="D1037" s="135" t="s">
        <v>2937</v>
      </c>
      <c r="E1037" s="136"/>
      <c r="F1037" s="5" t="s">
        <v>3612</v>
      </c>
      <c r="G1037" s="18">
        <v>4</v>
      </c>
      <c r="H1037" s="18">
        <v>0</v>
      </c>
    </row>
    <row r="1038" spans="1:8" x14ac:dyDescent="0.2">
      <c r="A1038" s="5" t="s">
        <v>629</v>
      </c>
      <c r="B1038" s="5" t="s">
        <v>3645</v>
      </c>
      <c r="C1038" s="5" t="s">
        <v>1722</v>
      </c>
      <c r="D1038" s="135" t="s">
        <v>2938</v>
      </c>
      <c r="E1038" s="136"/>
      <c r="F1038" s="5" t="s">
        <v>3614</v>
      </c>
      <c r="G1038" s="18">
        <v>58.9</v>
      </c>
      <c r="H1038" s="18">
        <v>0</v>
      </c>
    </row>
    <row r="1039" spans="1:8" x14ac:dyDescent="0.2">
      <c r="A1039" s="5" t="s">
        <v>630</v>
      </c>
      <c r="B1039" s="5" t="s">
        <v>3645</v>
      </c>
      <c r="C1039" s="5" t="s">
        <v>1723</v>
      </c>
      <c r="D1039" s="135" t="s">
        <v>2917</v>
      </c>
      <c r="E1039" s="136"/>
      <c r="F1039" s="5" t="s">
        <v>3620</v>
      </c>
      <c r="G1039" s="18">
        <v>15</v>
      </c>
      <c r="H1039" s="18">
        <v>0</v>
      </c>
    </row>
    <row r="1040" spans="1:8" x14ac:dyDescent="0.2">
      <c r="A1040" s="5" t="s">
        <v>631</v>
      </c>
      <c r="B1040" s="5" t="s">
        <v>3645</v>
      </c>
      <c r="C1040" s="5" t="s">
        <v>1724</v>
      </c>
      <c r="D1040" s="135" t="s">
        <v>2918</v>
      </c>
      <c r="E1040" s="136"/>
      <c r="F1040" s="5" t="s">
        <v>3620</v>
      </c>
      <c r="G1040" s="18">
        <v>10</v>
      </c>
      <c r="H1040" s="18">
        <v>0</v>
      </c>
    </row>
    <row r="1041" spans="1:8" x14ac:dyDescent="0.2">
      <c r="A1041" s="5" t="s">
        <v>632</v>
      </c>
      <c r="B1041" s="5" t="s">
        <v>3645</v>
      </c>
      <c r="C1041" s="5" t="s">
        <v>1725</v>
      </c>
      <c r="D1041" s="135" t="s">
        <v>2939</v>
      </c>
      <c r="E1041" s="136"/>
      <c r="F1041" s="5" t="s">
        <v>3612</v>
      </c>
      <c r="G1041" s="18">
        <v>1</v>
      </c>
      <c r="H1041" s="18">
        <v>0</v>
      </c>
    </row>
    <row r="1042" spans="1:8" x14ac:dyDescent="0.2">
      <c r="A1042" s="5" t="s">
        <v>633</v>
      </c>
      <c r="B1042" s="5" t="s">
        <v>3645</v>
      </c>
      <c r="C1042" s="5" t="s">
        <v>1726</v>
      </c>
      <c r="D1042" s="135" t="s">
        <v>2940</v>
      </c>
      <c r="E1042" s="136"/>
      <c r="F1042" s="5" t="s">
        <v>3612</v>
      </c>
      <c r="G1042" s="18">
        <v>3</v>
      </c>
      <c r="H1042" s="18">
        <v>0</v>
      </c>
    </row>
    <row r="1043" spans="1:8" x14ac:dyDescent="0.2">
      <c r="A1043" s="5" t="s">
        <v>634</v>
      </c>
      <c r="B1043" s="5" t="s">
        <v>3645</v>
      </c>
      <c r="C1043" s="5" t="s">
        <v>1727</v>
      </c>
      <c r="D1043" s="135" t="s">
        <v>2938</v>
      </c>
      <c r="E1043" s="136"/>
      <c r="F1043" s="5" t="s">
        <v>3614</v>
      </c>
      <c r="G1043" s="18">
        <v>43.9</v>
      </c>
      <c r="H1043" s="18">
        <v>0</v>
      </c>
    </row>
    <row r="1044" spans="1:8" x14ac:dyDescent="0.2">
      <c r="A1044" s="5" t="s">
        <v>635</v>
      </c>
      <c r="B1044" s="5" t="s">
        <v>3645</v>
      </c>
      <c r="C1044" s="5" t="s">
        <v>1728</v>
      </c>
      <c r="D1044" s="135" t="s">
        <v>2917</v>
      </c>
      <c r="E1044" s="136"/>
      <c r="F1044" s="5" t="s">
        <v>3620</v>
      </c>
      <c r="G1044" s="18">
        <v>15</v>
      </c>
      <c r="H1044" s="18">
        <v>0</v>
      </c>
    </row>
    <row r="1045" spans="1:8" x14ac:dyDescent="0.2">
      <c r="A1045" s="5" t="s">
        <v>636</v>
      </c>
      <c r="B1045" s="5" t="s">
        <v>3645</v>
      </c>
      <c r="C1045" s="5" t="s">
        <v>1729</v>
      </c>
      <c r="D1045" s="135" t="s">
        <v>2918</v>
      </c>
      <c r="E1045" s="136"/>
      <c r="F1045" s="5" t="s">
        <v>3620</v>
      </c>
      <c r="G1045" s="18">
        <v>10</v>
      </c>
      <c r="H1045" s="18">
        <v>0</v>
      </c>
    </row>
    <row r="1046" spans="1:8" x14ac:dyDescent="0.2">
      <c r="A1046" s="5" t="s">
        <v>637</v>
      </c>
      <c r="B1046" s="5" t="s">
        <v>3645</v>
      </c>
      <c r="C1046" s="5" t="s">
        <v>1730</v>
      </c>
      <c r="D1046" s="135" t="s">
        <v>2941</v>
      </c>
      <c r="E1046" s="136"/>
      <c r="F1046" s="5" t="s">
        <v>3612</v>
      </c>
      <c r="G1046" s="18">
        <v>21</v>
      </c>
      <c r="H1046" s="18">
        <v>0</v>
      </c>
    </row>
    <row r="1047" spans="1:8" x14ac:dyDescent="0.2">
      <c r="A1047" s="5" t="s">
        <v>638</v>
      </c>
      <c r="B1047" s="5" t="s">
        <v>3645</v>
      </c>
      <c r="C1047" s="5" t="s">
        <v>1731</v>
      </c>
      <c r="D1047" s="135" t="s">
        <v>2942</v>
      </c>
      <c r="E1047" s="136"/>
      <c r="F1047" s="5" t="s">
        <v>3612</v>
      </c>
      <c r="G1047" s="18">
        <v>19</v>
      </c>
      <c r="H1047" s="18">
        <v>0</v>
      </c>
    </row>
    <row r="1048" spans="1:8" x14ac:dyDescent="0.2">
      <c r="A1048" s="5" t="s">
        <v>639</v>
      </c>
      <c r="B1048" s="5" t="s">
        <v>3645</v>
      </c>
      <c r="C1048" s="5" t="s">
        <v>1732</v>
      </c>
      <c r="D1048" s="135" t="s">
        <v>2943</v>
      </c>
      <c r="E1048" s="136"/>
      <c r="F1048" s="5" t="s">
        <v>3621</v>
      </c>
      <c r="G1048" s="18">
        <v>1</v>
      </c>
      <c r="H1048" s="18">
        <v>0</v>
      </c>
    </row>
    <row r="1049" spans="1:8" x14ac:dyDescent="0.2">
      <c r="A1049" s="5" t="s">
        <v>640</v>
      </c>
      <c r="B1049" s="5" t="s">
        <v>3645</v>
      </c>
      <c r="C1049" s="5" t="s">
        <v>1733</v>
      </c>
      <c r="D1049" s="135" t="s">
        <v>2792</v>
      </c>
      <c r="E1049" s="136"/>
      <c r="F1049" s="5" t="s">
        <v>3619</v>
      </c>
      <c r="G1049" s="18">
        <v>50</v>
      </c>
      <c r="H1049" s="18">
        <v>0</v>
      </c>
    </row>
    <row r="1050" spans="1:8" x14ac:dyDescent="0.2">
      <c r="A1050" s="5" t="s">
        <v>641</v>
      </c>
      <c r="B1050" s="5" t="s">
        <v>3645</v>
      </c>
      <c r="C1050" s="5" t="s">
        <v>1734</v>
      </c>
      <c r="D1050" s="135" t="s">
        <v>2944</v>
      </c>
      <c r="E1050" s="136"/>
      <c r="F1050" s="5" t="s">
        <v>3618</v>
      </c>
      <c r="G1050" s="18">
        <v>1</v>
      </c>
      <c r="H1050" s="18">
        <v>0</v>
      </c>
    </row>
    <row r="1051" spans="1:8" x14ac:dyDescent="0.2">
      <c r="A1051" s="5" t="s">
        <v>642</v>
      </c>
      <c r="B1051" s="5" t="s">
        <v>3645</v>
      </c>
      <c r="C1051" s="5" t="s">
        <v>1735</v>
      </c>
      <c r="D1051" s="135" t="s">
        <v>2945</v>
      </c>
      <c r="E1051" s="136"/>
      <c r="F1051" s="5" t="s">
        <v>3618</v>
      </c>
      <c r="G1051" s="18">
        <v>1</v>
      </c>
      <c r="H1051" s="18">
        <v>0</v>
      </c>
    </row>
    <row r="1052" spans="1:8" x14ac:dyDescent="0.2">
      <c r="A1052" s="5" t="s">
        <v>643</v>
      </c>
      <c r="B1052" s="5" t="s">
        <v>3645</v>
      </c>
      <c r="C1052" s="5" t="s">
        <v>1736</v>
      </c>
      <c r="D1052" s="135" t="s">
        <v>2946</v>
      </c>
      <c r="E1052" s="136"/>
      <c r="F1052" s="5" t="s">
        <v>3618</v>
      </c>
      <c r="G1052" s="18">
        <v>1</v>
      </c>
      <c r="H1052" s="18">
        <v>0</v>
      </c>
    </row>
    <row r="1053" spans="1:8" x14ac:dyDescent="0.2">
      <c r="A1053" s="5" t="s">
        <v>644</v>
      </c>
      <c r="B1053" s="5" t="s">
        <v>3645</v>
      </c>
      <c r="C1053" s="5" t="s">
        <v>1737</v>
      </c>
      <c r="D1053" s="135" t="s">
        <v>2947</v>
      </c>
      <c r="E1053" s="136"/>
      <c r="F1053" s="5" t="s">
        <v>3618</v>
      </c>
      <c r="G1053" s="18">
        <v>1</v>
      </c>
      <c r="H1053" s="18">
        <v>0</v>
      </c>
    </row>
    <row r="1054" spans="1:8" x14ac:dyDescent="0.2">
      <c r="A1054" s="5" t="s">
        <v>645</v>
      </c>
      <c r="B1054" s="5" t="s">
        <v>3645</v>
      </c>
      <c r="C1054" s="5" t="s">
        <v>1738</v>
      </c>
      <c r="D1054" s="135" t="s">
        <v>2948</v>
      </c>
      <c r="E1054" s="136"/>
      <c r="F1054" s="5" t="s">
        <v>3619</v>
      </c>
      <c r="G1054" s="18">
        <v>70</v>
      </c>
      <c r="H1054" s="18">
        <v>0</v>
      </c>
    </row>
    <row r="1055" spans="1:8" x14ac:dyDescent="0.2">
      <c r="A1055" s="5" t="s">
        <v>646</v>
      </c>
      <c r="B1055" s="5" t="s">
        <v>3645</v>
      </c>
      <c r="C1055" s="5" t="s">
        <v>1739</v>
      </c>
      <c r="D1055" s="135" t="s">
        <v>2949</v>
      </c>
      <c r="E1055" s="136"/>
      <c r="F1055" s="5" t="s">
        <v>3619</v>
      </c>
      <c r="G1055" s="18">
        <v>30</v>
      </c>
      <c r="H1055" s="18">
        <v>0</v>
      </c>
    </row>
    <row r="1056" spans="1:8" x14ac:dyDescent="0.2">
      <c r="A1056" s="5" t="s">
        <v>647</v>
      </c>
      <c r="B1056" s="5" t="s">
        <v>3645</v>
      </c>
      <c r="C1056" s="5" t="s">
        <v>1740</v>
      </c>
      <c r="D1056" s="135" t="s">
        <v>2950</v>
      </c>
      <c r="E1056" s="136"/>
      <c r="F1056" s="5" t="s">
        <v>3618</v>
      </c>
      <c r="G1056" s="18">
        <v>1</v>
      </c>
      <c r="H1056" s="18">
        <v>0</v>
      </c>
    </row>
    <row r="1057" spans="1:8" x14ac:dyDescent="0.2">
      <c r="A1057" s="5" t="s">
        <v>648</v>
      </c>
      <c r="B1057" s="5" t="s">
        <v>3645</v>
      </c>
      <c r="C1057" s="5" t="s">
        <v>1741</v>
      </c>
      <c r="D1057" s="135" t="s">
        <v>2798</v>
      </c>
      <c r="E1057" s="136"/>
      <c r="F1057" s="5" t="s">
        <v>3619</v>
      </c>
      <c r="G1057" s="18">
        <v>15</v>
      </c>
      <c r="H1057" s="18">
        <v>0</v>
      </c>
    </row>
    <row r="1058" spans="1:8" x14ac:dyDescent="0.2">
      <c r="A1058" s="5" t="s">
        <v>649</v>
      </c>
      <c r="B1058" s="5" t="s">
        <v>3645</v>
      </c>
      <c r="C1058" s="5" t="s">
        <v>1742</v>
      </c>
      <c r="D1058" s="135" t="s">
        <v>2799</v>
      </c>
      <c r="E1058" s="136"/>
      <c r="F1058" s="5" t="s">
        <v>3618</v>
      </c>
      <c r="G1058" s="18">
        <v>1</v>
      </c>
      <c r="H1058" s="18">
        <v>0</v>
      </c>
    </row>
    <row r="1059" spans="1:8" x14ac:dyDescent="0.2">
      <c r="A1059" s="5" t="s">
        <v>650</v>
      </c>
      <c r="B1059" s="5" t="s">
        <v>3645</v>
      </c>
      <c r="C1059" s="5" t="s">
        <v>1743</v>
      </c>
      <c r="D1059" s="135" t="s">
        <v>2800</v>
      </c>
      <c r="E1059" s="136"/>
      <c r="F1059" s="5" t="s">
        <v>3612</v>
      </c>
      <c r="G1059" s="18">
        <v>1</v>
      </c>
      <c r="H1059" s="18">
        <v>0</v>
      </c>
    </row>
    <row r="1060" spans="1:8" x14ac:dyDescent="0.2">
      <c r="A1060" s="5" t="s">
        <v>651</v>
      </c>
      <c r="B1060" s="5" t="s">
        <v>3645</v>
      </c>
      <c r="C1060" s="5" t="s">
        <v>1744</v>
      </c>
      <c r="D1060" s="135" t="s">
        <v>2801</v>
      </c>
      <c r="E1060" s="136"/>
      <c r="F1060" s="5" t="s">
        <v>3612</v>
      </c>
      <c r="G1060" s="18">
        <v>1</v>
      </c>
      <c r="H1060" s="18">
        <v>0</v>
      </c>
    </row>
    <row r="1061" spans="1:8" x14ac:dyDescent="0.2">
      <c r="A1061" s="14"/>
      <c r="B1061" s="14"/>
      <c r="C1061" s="14" t="s">
        <v>737</v>
      </c>
      <c r="D1061" s="133" t="s">
        <v>2951</v>
      </c>
      <c r="E1061" s="134"/>
      <c r="F1061" s="14"/>
      <c r="G1061" s="27"/>
      <c r="H1061" s="27"/>
    </row>
    <row r="1062" spans="1:8" x14ac:dyDescent="0.2">
      <c r="A1062" s="5" t="s">
        <v>652</v>
      </c>
      <c r="B1062" s="5" t="s">
        <v>3647</v>
      </c>
      <c r="C1062" s="5" t="s">
        <v>2182</v>
      </c>
      <c r="D1062" s="135" t="s">
        <v>3389</v>
      </c>
      <c r="E1062" s="136"/>
      <c r="F1062" s="5" t="s">
        <v>3614</v>
      </c>
      <c r="G1062" s="18">
        <v>20</v>
      </c>
      <c r="H1062" s="18">
        <v>0</v>
      </c>
    </row>
    <row r="1063" spans="1:8" x14ac:dyDescent="0.2">
      <c r="A1063" s="5" t="s">
        <v>653</v>
      </c>
      <c r="B1063" s="5" t="s">
        <v>3647</v>
      </c>
      <c r="C1063" s="5" t="s">
        <v>2183</v>
      </c>
      <c r="D1063" s="135" t="s">
        <v>3390</v>
      </c>
      <c r="E1063" s="136"/>
      <c r="F1063" s="5" t="s">
        <v>3612</v>
      </c>
      <c r="G1063" s="18">
        <v>2</v>
      </c>
      <c r="H1063" s="18">
        <v>0</v>
      </c>
    </row>
    <row r="1064" spans="1:8" x14ac:dyDescent="0.2">
      <c r="A1064" s="5" t="s">
        <v>654</v>
      </c>
      <c r="B1064" s="5" t="s">
        <v>3647</v>
      </c>
      <c r="C1064" s="5" t="s">
        <v>2184</v>
      </c>
      <c r="D1064" s="135" t="s">
        <v>3391</v>
      </c>
      <c r="E1064" s="136"/>
      <c r="F1064" s="5" t="s">
        <v>3612</v>
      </c>
      <c r="G1064" s="18">
        <v>2</v>
      </c>
      <c r="H1064" s="18">
        <v>0</v>
      </c>
    </row>
    <row r="1065" spans="1:8" x14ac:dyDescent="0.2">
      <c r="A1065" s="5" t="s">
        <v>655</v>
      </c>
      <c r="B1065" s="5" t="s">
        <v>3647</v>
      </c>
      <c r="C1065" s="5" t="s">
        <v>2185</v>
      </c>
      <c r="D1065" s="135" t="s">
        <v>3392</v>
      </c>
      <c r="E1065" s="136"/>
      <c r="F1065" s="5" t="s">
        <v>3612</v>
      </c>
      <c r="G1065" s="18">
        <v>2</v>
      </c>
      <c r="H1065" s="18">
        <v>0</v>
      </c>
    </row>
    <row r="1066" spans="1:8" x14ac:dyDescent="0.2">
      <c r="A1066" s="5" t="s">
        <v>656</v>
      </c>
      <c r="B1066" s="5" t="s">
        <v>3647</v>
      </c>
      <c r="C1066" s="5" t="s">
        <v>2186</v>
      </c>
      <c r="D1066" s="135" t="s">
        <v>3393</v>
      </c>
      <c r="E1066" s="136"/>
      <c r="F1066" s="5" t="s">
        <v>3612</v>
      </c>
      <c r="G1066" s="18">
        <v>6</v>
      </c>
      <c r="H1066" s="18">
        <v>0</v>
      </c>
    </row>
    <row r="1067" spans="1:8" x14ac:dyDescent="0.2">
      <c r="A1067" s="5" t="s">
        <v>657</v>
      </c>
      <c r="B1067" s="5" t="s">
        <v>3647</v>
      </c>
      <c r="C1067" s="5" t="s">
        <v>2187</v>
      </c>
      <c r="D1067" s="135" t="s">
        <v>3394</v>
      </c>
      <c r="E1067" s="136"/>
      <c r="F1067" s="5" t="s">
        <v>3612</v>
      </c>
      <c r="G1067" s="18">
        <v>2</v>
      </c>
      <c r="H1067" s="18">
        <v>0</v>
      </c>
    </row>
    <row r="1068" spans="1:8" x14ac:dyDescent="0.2">
      <c r="A1068" s="5" t="s">
        <v>658</v>
      </c>
      <c r="B1068" s="5" t="s">
        <v>3647</v>
      </c>
      <c r="C1068" s="5" t="s">
        <v>2188</v>
      </c>
      <c r="D1068" s="135" t="s">
        <v>3395</v>
      </c>
      <c r="E1068" s="136"/>
      <c r="F1068" s="5" t="s">
        <v>3612</v>
      </c>
      <c r="G1068" s="18">
        <v>2</v>
      </c>
      <c r="H1068" s="18">
        <v>0</v>
      </c>
    </row>
    <row r="1069" spans="1:8" x14ac:dyDescent="0.2">
      <c r="A1069" s="5" t="s">
        <v>659</v>
      </c>
      <c r="B1069" s="5" t="s">
        <v>3647</v>
      </c>
      <c r="C1069" s="5" t="s">
        <v>2189</v>
      </c>
      <c r="D1069" s="135" t="s">
        <v>3396</v>
      </c>
      <c r="E1069" s="136"/>
      <c r="F1069" s="5" t="s">
        <v>3612</v>
      </c>
      <c r="G1069" s="18">
        <v>12</v>
      </c>
      <c r="H1069" s="18">
        <v>0</v>
      </c>
    </row>
    <row r="1070" spans="1:8" x14ac:dyDescent="0.2">
      <c r="A1070" s="5" t="s">
        <v>660</v>
      </c>
      <c r="B1070" s="5" t="s">
        <v>3647</v>
      </c>
      <c r="C1070" s="5" t="s">
        <v>2190</v>
      </c>
      <c r="D1070" s="135" t="s">
        <v>3397</v>
      </c>
      <c r="E1070" s="136"/>
      <c r="F1070" s="5" t="s">
        <v>3612</v>
      </c>
      <c r="G1070" s="18">
        <v>12</v>
      </c>
      <c r="H1070" s="18">
        <v>0</v>
      </c>
    </row>
    <row r="1071" spans="1:8" x14ac:dyDescent="0.2">
      <c r="A1071" s="5" t="s">
        <v>661</v>
      </c>
      <c r="B1071" s="5" t="s">
        <v>3647</v>
      </c>
      <c r="C1071" s="5" t="s">
        <v>2191</v>
      </c>
      <c r="D1071" s="135" t="s">
        <v>3398</v>
      </c>
      <c r="E1071" s="136"/>
      <c r="F1071" s="5" t="s">
        <v>3626</v>
      </c>
      <c r="G1071" s="18">
        <v>1</v>
      </c>
      <c r="H1071" s="18">
        <v>0</v>
      </c>
    </row>
    <row r="1072" spans="1:8" x14ac:dyDescent="0.2">
      <c r="A1072" s="5" t="s">
        <v>662</v>
      </c>
      <c r="B1072" s="5" t="s">
        <v>3647</v>
      </c>
      <c r="C1072" s="5" t="s">
        <v>2192</v>
      </c>
      <c r="D1072" s="135" t="s">
        <v>3399</v>
      </c>
      <c r="E1072" s="136"/>
      <c r="F1072" s="5" t="s">
        <v>3612</v>
      </c>
      <c r="G1072" s="18">
        <v>1</v>
      </c>
      <c r="H1072" s="18">
        <v>0</v>
      </c>
    </row>
    <row r="1073" spans="1:8" x14ac:dyDescent="0.2">
      <c r="A1073" s="5" t="s">
        <v>663</v>
      </c>
      <c r="B1073" s="5" t="s">
        <v>3647</v>
      </c>
      <c r="C1073" s="5" t="s">
        <v>2193</v>
      </c>
      <c r="D1073" s="135" t="s">
        <v>3400</v>
      </c>
      <c r="E1073" s="136"/>
      <c r="F1073" s="5" t="s">
        <v>3612</v>
      </c>
      <c r="G1073" s="18">
        <v>1</v>
      </c>
      <c r="H1073" s="18">
        <v>0</v>
      </c>
    </row>
    <row r="1074" spans="1:8" x14ac:dyDescent="0.2">
      <c r="A1074" s="5" t="s">
        <v>664</v>
      </c>
      <c r="B1074" s="5" t="s">
        <v>3647</v>
      </c>
      <c r="C1074" s="5" t="s">
        <v>2194</v>
      </c>
      <c r="D1074" s="135" t="s">
        <v>3401</v>
      </c>
      <c r="E1074" s="136"/>
      <c r="F1074" s="5" t="s">
        <v>3612</v>
      </c>
      <c r="G1074" s="18">
        <v>1</v>
      </c>
      <c r="H1074" s="18">
        <v>0</v>
      </c>
    </row>
    <row r="1075" spans="1:8" x14ac:dyDescent="0.2">
      <c r="A1075" s="5" t="s">
        <v>665</v>
      </c>
      <c r="B1075" s="5" t="s">
        <v>3647</v>
      </c>
      <c r="C1075" s="5" t="s">
        <v>2195</v>
      </c>
      <c r="D1075" s="135" t="s">
        <v>3402</v>
      </c>
      <c r="E1075" s="136"/>
      <c r="F1075" s="5" t="s">
        <v>3612</v>
      </c>
      <c r="G1075" s="18">
        <v>1</v>
      </c>
      <c r="H1075" s="18">
        <v>0</v>
      </c>
    </row>
    <row r="1076" spans="1:8" x14ac:dyDescent="0.2">
      <c r="A1076" s="5" t="s">
        <v>666</v>
      </c>
      <c r="B1076" s="5" t="s">
        <v>3647</v>
      </c>
      <c r="C1076" s="5" t="s">
        <v>2196</v>
      </c>
      <c r="D1076" s="135" t="s">
        <v>3403</v>
      </c>
      <c r="E1076" s="136"/>
      <c r="F1076" s="5" t="s">
        <v>3626</v>
      </c>
      <c r="G1076" s="18">
        <v>3</v>
      </c>
      <c r="H1076" s="18">
        <v>0</v>
      </c>
    </row>
    <row r="1077" spans="1:8" x14ac:dyDescent="0.2">
      <c r="A1077" s="5" t="s">
        <v>667</v>
      </c>
      <c r="B1077" s="5" t="s">
        <v>3647</v>
      </c>
      <c r="C1077" s="5" t="s">
        <v>2197</v>
      </c>
      <c r="D1077" s="135" t="s">
        <v>3404</v>
      </c>
      <c r="E1077" s="136"/>
      <c r="F1077" s="5" t="s">
        <v>3626</v>
      </c>
      <c r="G1077" s="18">
        <v>1</v>
      </c>
      <c r="H1077" s="18">
        <v>0</v>
      </c>
    </row>
    <row r="1078" spans="1:8" x14ac:dyDescent="0.2">
      <c r="A1078" s="5" t="s">
        <v>668</v>
      </c>
      <c r="B1078" s="5" t="s">
        <v>3647</v>
      </c>
      <c r="C1078" s="5" t="s">
        <v>2198</v>
      </c>
      <c r="D1078" s="135" t="s">
        <v>3405</v>
      </c>
      <c r="E1078" s="136"/>
      <c r="F1078" s="5" t="s">
        <v>3626</v>
      </c>
      <c r="G1078" s="18">
        <v>1</v>
      </c>
      <c r="H1078" s="18">
        <v>0</v>
      </c>
    </row>
    <row r="1079" spans="1:8" x14ac:dyDescent="0.2">
      <c r="A1079" s="5" t="s">
        <v>669</v>
      </c>
      <c r="B1079" s="5" t="s">
        <v>3647</v>
      </c>
      <c r="C1079" s="5" t="s">
        <v>2199</v>
      </c>
      <c r="D1079" s="135" t="s">
        <v>3406</v>
      </c>
      <c r="E1079" s="136"/>
      <c r="F1079" s="5" t="s">
        <v>3614</v>
      </c>
      <c r="G1079" s="18">
        <v>10</v>
      </c>
      <c r="H1079" s="18">
        <v>0</v>
      </c>
    </row>
    <row r="1080" spans="1:8" x14ac:dyDescent="0.2">
      <c r="A1080" s="5" t="s">
        <v>670</v>
      </c>
      <c r="B1080" s="5" t="s">
        <v>3647</v>
      </c>
      <c r="C1080" s="5" t="s">
        <v>2200</v>
      </c>
      <c r="D1080" s="135" t="s">
        <v>3407</v>
      </c>
      <c r="E1080" s="136"/>
      <c r="F1080" s="5" t="s">
        <v>3614</v>
      </c>
      <c r="G1080" s="18">
        <v>5</v>
      </c>
      <c r="H1080" s="18">
        <v>0</v>
      </c>
    </row>
    <row r="1081" spans="1:8" x14ac:dyDescent="0.2">
      <c r="A1081" s="5" t="s">
        <v>671</v>
      </c>
      <c r="B1081" s="5" t="s">
        <v>3647</v>
      </c>
      <c r="C1081" s="5" t="s">
        <v>2201</v>
      </c>
      <c r="D1081" s="135" t="s">
        <v>3408</v>
      </c>
      <c r="E1081" s="136"/>
      <c r="F1081" s="5" t="s">
        <v>3614</v>
      </c>
      <c r="G1081" s="18">
        <v>1</v>
      </c>
      <c r="H1081" s="18">
        <v>0</v>
      </c>
    </row>
    <row r="1082" spans="1:8" x14ac:dyDescent="0.2">
      <c r="A1082" s="5" t="s">
        <v>672</v>
      </c>
      <c r="B1082" s="5" t="s">
        <v>3647</v>
      </c>
      <c r="C1082" s="5" t="s">
        <v>2202</v>
      </c>
      <c r="D1082" s="135" t="s">
        <v>3409</v>
      </c>
      <c r="E1082" s="136"/>
      <c r="F1082" s="5" t="s">
        <v>3614</v>
      </c>
      <c r="G1082" s="18">
        <v>30</v>
      </c>
      <c r="H1082" s="18">
        <v>0</v>
      </c>
    </row>
    <row r="1083" spans="1:8" x14ac:dyDescent="0.2">
      <c r="A1083" s="5" t="s">
        <v>673</v>
      </c>
      <c r="B1083" s="5" t="s">
        <v>3647</v>
      </c>
      <c r="C1083" s="5" t="s">
        <v>2203</v>
      </c>
      <c r="D1083" s="135" t="s">
        <v>3410</v>
      </c>
      <c r="E1083" s="136"/>
      <c r="F1083" s="5" t="s">
        <v>3614</v>
      </c>
      <c r="G1083" s="18">
        <v>26</v>
      </c>
      <c r="H1083" s="18">
        <v>0</v>
      </c>
    </row>
    <row r="1084" spans="1:8" x14ac:dyDescent="0.2">
      <c r="A1084" s="5" t="s">
        <v>674</v>
      </c>
      <c r="B1084" s="5" t="s">
        <v>3647</v>
      </c>
      <c r="C1084" s="5" t="s">
        <v>2204</v>
      </c>
      <c r="D1084" s="135" t="s">
        <v>3411</v>
      </c>
      <c r="E1084" s="136"/>
      <c r="F1084" s="5" t="s">
        <v>3612</v>
      </c>
      <c r="G1084" s="18">
        <v>2</v>
      </c>
      <c r="H1084" s="18">
        <v>0</v>
      </c>
    </row>
    <row r="1085" spans="1:8" x14ac:dyDescent="0.2">
      <c r="A1085" s="5" t="s">
        <v>675</v>
      </c>
      <c r="B1085" s="5" t="s">
        <v>3647</v>
      </c>
      <c r="C1085" s="5" t="s">
        <v>2205</v>
      </c>
      <c r="D1085" s="135" t="s">
        <v>3412</v>
      </c>
      <c r="E1085" s="136"/>
      <c r="F1085" s="5" t="s">
        <v>3612</v>
      </c>
      <c r="G1085" s="18">
        <v>2</v>
      </c>
      <c r="H1085" s="18">
        <v>0</v>
      </c>
    </row>
    <row r="1086" spans="1:8" x14ac:dyDescent="0.2">
      <c r="A1086" s="5" t="s">
        <v>676</v>
      </c>
      <c r="B1086" s="5" t="s">
        <v>3647</v>
      </c>
      <c r="C1086" s="5" t="s">
        <v>2206</v>
      </c>
      <c r="D1086" s="135" t="s">
        <v>3413</v>
      </c>
      <c r="E1086" s="136"/>
      <c r="F1086" s="5" t="s">
        <v>3612</v>
      </c>
      <c r="G1086" s="18">
        <v>10</v>
      </c>
      <c r="H1086" s="18">
        <v>0</v>
      </c>
    </row>
    <row r="1087" spans="1:8" x14ac:dyDescent="0.2">
      <c r="A1087" s="5" t="s">
        <v>677</v>
      </c>
      <c r="B1087" s="5" t="s">
        <v>3647</v>
      </c>
      <c r="C1087" s="5" t="s">
        <v>2207</v>
      </c>
      <c r="D1087" s="135" t="s">
        <v>3414</v>
      </c>
      <c r="E1087" s="136"/>
      <c r="F1087" s="5" t="s">
        <v>3614</v>
      </c>
      <c r="G1087" s="18">
        <v>72</v>
      </c>
      <c r="H1087" s="18">
        <v>0</v>
      </c>
    </row>
    <row r="1088" spans="1:8" x14ac:dyDescent="0.2">
      <c r="A1088" s="5" t="s">
        <v>678</v>
      </c>
      <c r="B1088" s="5" t="s">
        <v>3647</v>
      </c>
      <c r="C1088" s="5" t="s">
        <v>2208</v>
      </c>
      <c r="D1088" s="135" t="s">
        <v>3415</v>
      </c>
      <c r="E1088" s="136"/>
      <c r="F1088" s="5" t="s">
        <v>3612</v>
      </c>
      <c r="G1088" s="18">
        <v>2</v>
      </c>
      <c r="H1088" s="18">
        <v>0</v>
      </c>
    </row>
    <row r="1089" spans="1:8" x14ac:dyDescent="0.2">
      <c r="A1089" s="5" t="s">
        <v>679</v>
      </c>
      <c r="B1089" s="5" t="s">
        <v>3647</v>
      </c>
      <c r="C1089" s="5" t="s">
        <v>2209</v>
      </c>
      <c r="D1089" s="135" t="s">
        <v>3416</v>
      </c>
      <c r="E1089" s="136"/>
      <c r="F1089" s="5" t="s">
        <v>3626</v>
      </c>
      <c r="G1089" s="18">
        <v>1</v>
      </c>
      <c r="H1089" s="18">
        <v>0</v>
      </c>
    </row>
    <row r="1090" spans="1:8" x14ac:dyDescent="0.2">
      <c r="A1090" s="5" t="s">
        <v>680</v>
      </c>
      <c r="B1090" s="5" t="s">
        <v>3647</v>
      </c>
      <c r="C1090" s="5" t="s">
        <v>2210</v>
      </c>
      <c r="D1090" s="135" t="s">
        <v>3417</v>
      </c>
      <c r="E1090" s="136"/>
      <c r="F1090" s="5" t="s">
        <v>3612</v>
      </c>
      <c r="G1090" s="18">
        <v>2</v>
      </c>
      <c r="H1090" s="18">
        <v>0</v>
      </c>
    </row>
    <row r="1091" spans="1:8" x14ac:dyDescent="0.2">
      <c r="A1091" s="5" t="s">
        <v>681</v>
      </c>
      <c r="B1091" s="5" t="s">
        <v>3647</v>
      </c>
      <c r="C1091" s="5" t="s">
        <v>2211</v>
      </c>
      <c r="D1091" s="135" t="s">
        <v>3418</v>
      </c>
      <c r="E1091" s="136"/>
      <c r="F1091" s="5" t="s">
        <v>3612</v>
      </c>
      <c r="G1091" s="18">
        <v>1</v>
      </c>
      <c r="H1091" s="18">
        <v>0</v>
      </c>
    </row>
    <row r="1092" spans="1:8" x14ac:dyDescent="0.2">
      <c r="A1092" s="5" t="s">
        <v>682</v>
      </c>
      <c r="B1092" s="5" t="s">
        <v>3647</v>
      </c>
      <c r="C1092" s="5" t="s">
        <v>2212</v>
      </c>
      <c r="D1092" s="135" t="s">
        <v>3419</v>
      </c>
      <c r="E1092" s="136"/>
      <c r="F1092" s="5" t="s">
        <v>3612</v>
      </c>
      <c r="G1092" s="18">
        <v>1</v>
      </c>
      <c r="H1092" s="18">
        <v>0</v>
      </c>
    </row>
    <row r="1093" spans="1:8" x14ac:dyDescent="0.2">
      <c r="A1093" s="5" t="s">
        <v>683</v>
      </c>
      <c r="B1093" s="5" t="s">
        <v>3647</v>
      </c>
      <c r="C1093" s="5" t="s">
        <v>2213</v>
      </c>
      <c r="D1093" s="135" t="s">
        <v>3420</v>
      </c>
      <c r="E1093" s="136"/>
      <c r="F1093" s="5" t="s">
        <v>3612</v>
      </c>
      <c r="G1093" s="18">
        <v>4</v>
      </c>
      <c r="H1093" s="18">
        <v>0</v>
      </c>
    </row>
    <row r="1094" spans="1:8" x14ac:dyDescent="0.2">
      <c r="A1094" s="5" t="s">
        <v>684</v>
      </c>
      <c r="B1094" s="5" t="s">
        <v>3647</v>
      </c>
      <c r="C1094" s="5" t="s">
        <v>2214</v>
      </c>
      <c r="D1094" s="135" t="s">
        <v>3421</v>
      </c>
      <c r="E1094" s="136"/>
      <c r="F1094" s="5" t="s">
        <v>3612</v>
      </c>
      <c r="G1094" s="18">
        <v>2</v>
      </c>
      <c r="H1094" s="18">
        <v>0</v>
      </c>
    </row>
    <row r="1095" spans="1:8" x14ac:dyDescent="0.2">
      <c r="A1095" s="5" t="s">
        <v>685</v>
      </c>
      <c r="B1095" s="5" t="s">
        <v>3647</v>
      </c>
      <c r="C1095" s="5" t="s">
        <v>2215</v>
      </c>
      <c r="D1095" s="135" t="s">
        <v>3422</v>
      </c>
      <c r="E1095" s="136"/>
      <c r="F1095" s="5" t="s">
        <v>3614</v>
      </c>
      <c r="G1095" s="18">
        <v>7</v>
      </c>
      <c r="H1095" s="18">
        <v>0</v>
      </c>
    </row>
    <row r="1096" spans="1:8" x14ac:dyDescent="0.2">
      <c r="A1096" s="5" t="s">
        <v>686</v>
      </c>
      <c r="B1096" s="5" t="s">
        <v>3647</v>
      </c>
      <c r="C1096" s="5" t="s">
        <v>2216</v>
      </c>
      <c r="D1096" s="135" t="s">
        <v>3423</v>
      </c>
      <c r="E1096" s="136"/>
      <c r="F1096" s="5" t="s">
        <v>3626</v>
      </c>
      <c r="G1096" s="18">
        <v>1</v>
      </c>
      <c r="H1096" s="18">
        <v>0</v>
      </c>
    </row>
    <row r="1097" spans="1:8" x14ac:dyDescent="0.2">
      <c r="A1097" s="5" t="s">
        <v>687</v>
      </c>
      <c r="B1097" s="5" t="s">
        <v>3647</v>
      </c>
      <c r="C1097" s="5" t="s">
        <v>2217</v>
      </c>
      <c r="D1097" s="135" t="s">
        <v>3424</v>
      </c>
      <c r="E1097" s="136"/>
      <c r="F1097" s="5" t="s">
        <v>3612</v>
      </c>
      <c r="G1097" s="18">
        <v>10</v>
      </c>
      <c r="H1097" s="18">
        <v>0</v>
      </c>
    </row>
    <row r="1098" spans="1:8" x14ac:dyDescent="0.2">
      <c r="A1098" s="5" t="s">
        <v>688</v>
      </c>
      <c r="B1098" s="5" t="s">
        <v>3647</v>
      </c>
      <c r="C1098" s="5" t="s">
        <v>2218</v>
      </c>
      <c r="D1098" s="135" t="s">
        <v>3425</v>
      </c>
      <c r="E1098" s="136"/>
      <c r="F1098" s="5" t="s">
        <v>3612</v>
      </c>
      <c r="G1098" s="18">
        <v>11</v>
      </c>
      <c r="H1098" s="18">
        <v>0</v>
      </c>
    </row>
    <row r="1099" spans="1:8" x14ac:dyDescent="0.2">
      <c r="A1099" s="5" t="s">
        <v>689</v>
      </c>
      <c r="B1099" s="5" t="s">
        <v>3647</v>
      </c>
      <c r="C1099" s="5" t="s">
        <v>2219</v>
      </c>
      <c r="D1099" s="135" t="s">
        <v>3426</v>
      </c>
      <c r="E1099" s="136"/>
      <c r="F1099" s="5" t="s">
        <v>3612</v>
      </c>
      <c r="G1099" s="18">
        <v>4</v>
      </c>
      <c r="H1099" s="18">
        <v>0</v>
      </c>
    </row>
    <row r="1100" spans="1:8" x14ac:dyDescent="0.2">
      <c r="A1100" s="5" t="s">
        <v>690</v>
      </c>
      <c r="B1100" s="5" t="s">
        <v>3647</v>
      </c>
      <c r="C1100" s="5" t="s">
        <v>2220</v>
      </c>
      <c r="D1100" s="135" t="s">
        <v>3427</v>
      </c>
      <c r="E1100" s="136"/>
      <c r="F1100" s="5" t="s">
        <v>3612</v>
      </c>
      <c r="G1100" s="18">
        <v>5</v>
      </c>
      <c r="H1100" s="18">
        <v>0</v>
      </c>
    </row>
    <row r="1101" spans="1:8" x14ac:dyDescent="0.2">
      <c r="A1101" s="5" t="s">
        <v>691</v>
      </c>
      <c r="B1101" s="5" t="s">
        <v>3647</v>
      </c>
      <c r="C1101" s="5" t="s">
        <v>2221</v>
      </c>
      <c r="D1101" s="135" t="s">
        <v>3428</v>
      </c>
      <c r="E1101" s="136"/>
      <c r="F1101" s="5" t="s">
        <v>3612</v>
      </c>
      <c r="G1101" s="18">
        <v>21</v>
      </c>
      <c r="H1101" s="18">
        <v>0</v>
      </c>
    </row>
    <row r="1102" spans="1:8" x14ac:dyDescent="0.2">
      <c r="A1102" s="5" t="s">
        <v>692</v>
      </c>
      <c r="B1102" s="5" t="s">
        <v>3647</v>
      </c>
      <c r="C1102" s="5" t="s">
        <v>2222</v>
      </c>
      <c r="D1102" s="135" t="s">
        <v>3429</v>
      </c>
      <c r="E1102" s="136"/>
      <c r="F1102" s="5" t="s">
        <v>3612</v>
      </c>
      <c r="G1102" s="18">
        <v>7</v>
      </c>
      <c r="H1102" s="18">
        <v>0</v>
      </c>
    </row>
    <row r="1103" spans="1:8" x14ac:dyDescent="0.2">
      <c r="A1103" s="5" t="s">
        <v>693</v>
      </c>
      <c r="B1103" s="5" t="s">
        <v>3647</v>
      </c>
      <c r="C1103" s="5" t="s">
        <v>2223</v>
      </c>
      <c r="D1103" s="135" t="s">
        <v>3430</v>
      </c>
      <c r="E1103" s="136"/>
      <c r="F1103" s="5" t="s">
        <v>3612</v>
      </c>
      <c r="G1103" s="18">
        <v>1</v>
      </c>
      <c r="H1103" s="18">
        <v>0</v>
      </c>
    </row>
    <row r="1104" spans="1:8" x14ac:dyDescent="0.2">
      <c r="A1104" s="5" t="s">
        <v>694</v>
      </c>
      <c r="B1104" s="5" t="s">
        <v>3647</v>
      </c>
      <c r="C1104" s="5" t="s">
        <v>2224</v>
      </c>
      <c r="D1104" s="135" t="s">
        <v>3431</v>
      </c>
      <c r="E1104" s="136"/>
      <c r="F1104" s="5" t="s">
        <v>3612</v>
      </c>
      <c r="G1104" s="18">
        <v>1</v>
      </c>
      <c r="H1104" s="18">
        <v>0</v>
      </c>
    </row>
    <row r="1105" spans="1:8" x14ac:dyDescent="0.2">
      <c r="A1105" s="5" t="s">
        <v>695</v>
      </c>
      <c r="B1105" s="5" t="s">
        <v>3647</v>
      </c>
      <c r="C1105" s="5" t="s">
        <v>2225</v>
      </c>
      <c r="D1105" s="135" t="s">
        <v>3432</v>
      </c>
      <c r="E1105" s="136"/>
      <c r="F1105" s="5" t="s">
        <v>3612</v>
      </c>
      <c r="G1105" s="18">
        <v>10</v>
      </c>
      <c r="H1105" s="18">
        <v>0</v>
      </c>
    </row>
    <row r="1106" spans="1:8" x14ac:dyDescent="0.2">
      <c r="A1106" s="5" t="s">
        <v>696</v>
      </c>
      <c r="B1106" s="5" t="s">
        <v>3647</v>
      </c>
      <c r="C1106" s="5" t="s">
        <v>2226</v>
      </c>
      <c r="D1106" s="135" t="s">
        <v>3433</v>
      </c>
      <c r="E1106" s="136"/>
      <c r="F1106" s="5" t="s">
        <v>3612</v>
      </c>
      <c r="G1106" s="18">
        <v>1</v>
      </c>
      <c r="H1106" s="18">
        <v>0</v>
      </c>
    </row>
    <row r="1107" spans="1:8" x14ac:dyDescent="0.2">
      <c r="A1107" s="5" t="s">
        <v>697</v>
      </c>
      <c r="B1107" s="5" t="s">
        <v>3647</v>
      </c>
      <c r="C1107" s="5" t="s">
        <v>2227</v>
      </c>
      <c r="D1107" s="135" t="s">
        <v>3434</v>
      </c>
      <c r="E1107" s="136"/>
      <c r="F1107" s="5" t="s">
        <v>3612</v>
      </c>
      <c r="G1107" s="18">
        <v>1</v>
      </c>
      <c r="H1107" s="18">
        <v>0</v>
      </c>
    </row>
    <row r="1108" spans="1:8" x14ac:dyDescent="0.2">
      <c r="A1108" s="5" t="s">
        <v>698</v>
      </c>
      <c r="B1108" s="5" t="s">
        <v>3647</v>
      </c>
      <c r="C1108" s="5" t="s">
        <v>2228</v>
      </c>
      <c r="D1108" s="135" t="s">
        <v>3435</v>
      </c>
      <c r="E1108" s="136"/>
      <c r="F1108" s="5" t="s">
        <v>3612</v>
      </c>
      <c r="G1108" s="18">
        <v>3</v>
      </c>
      <c r="H1108" s="18">
        <v>0</v>
      </c>
    </row>
    <row r="1109" spans="1:8" x14ac:dyDescent="0.2">
      <c r="A1109" s="5" t="s">
        <v>699</v>
      </c>
      <c r="B1109" s="5" t="s">
        <v>3647</v>
      </c>
      <c r="C1109" s="5" t="s">
        <v>2229</v>
      </c>
      <c r="D1109" s="135" t="s">
        <v>3436</v>
      </c>
      <c r="E1109" s="136"/>
      <c r="F1109" s="5" t="s">
        <v>3612</v>
      </c>
      <c r="G1109" s="18">
        <v>3</v>
      </c>
      <c r="H1109" s="18">
        <v>0</v>
      </c>
    </row>
    <row r="1110" spans="1:8" x14ac:dyDescent="0.2">
      <c r="A1110" s="5" t="s">
        <v>700</v>
      </c>
      <c r="B1110" s="5" t="s">
        <v>3647</v>
      </c>
      <c r="C1110" s="5" t="s">
        <v>2230</v>
      </c>
      <c r="D1110" s="135" t="s">
        <v>3437</v>
      </c>
      <c r="E1110" s="136"/>
      <c r="F1110" s="5" t="s">
        <v>3612</v>
      </c>
      <c r="G1110" s="18">
        <v>5</v>
      </c>
      <c r="H1110" s="18">
        <v>0</v>
      </c>
    </row>
    <row r="1111" spans="1:8" x14ac:dyDescent="0.2">
      <c r="A1111" s="5" t="s">
        <v>701</v>
      </c>
      <c r="B1111" s="5" t="s">
        <v>3647</v>
      </c>
      <c r="C1111" s="5" t="s">
        <v>2231</v>
      </c>
      <c r="D1111" s="135" t="s">
        <v>3438</v>
      </c>
      <c r="E1111" s="136"/>
      <c r="F1111" s="5" t="s">
        <v>3612</v>
      </c>
      <c r="G1111" s="18">
        <v>11</v>
      </c>
      <c r="H1111" s="18">
        <v>0</v>
      </c>
    </row>
    <row r="1112" spans="1:8" x14ac:dyDescent="0.2">
      <c r="A1112" s="5" t="s">
        <v>702</v>
      </c>
      <c r="B1112" s="5" t="s">
        <v>3647</v>
      </c>
      <c r="C1112" s="5" t="s">
        <v>2232</v>
      </c>
      <c r="D1112" s="135" t="s">
        <v>3438</v>
      </c>
      <c r="E1112" s="136"/>
      <c r="F1112" s="5" t="s">
        <v>3612</v>
      </c>
      <c r="G1112" s="18">
        <v>4</v>
      </c>
      <c r="H1112" s="18">
        <v>0</v>
      </c>
    </row>
    <row r="1113" spans="1:8" x14ac:dyDescent="0.2">
      <c r="A1113" s="5" t="s">
        <v>703</v>
      </c>
      <c r="B1113" s="5" t="s">
        <v>3647</v>
      </c>
      <c r="C1113" s="5" t="s">
        <v>2233</v>
      </c>
      <c r="D1113" s="135" t="s">
        <v>3439</v>
      </c>
      <c r="E1113" s="136"/>
      <c r="F1113" s="5" t="s">
        <v>3612</v>
      </c>
      <c r="G1113" s="18">
        <v>1</v>
      </c>
      <c r="H1113" s="18">
        <v>0</v>
      </c>
    </row>
    <row r="1114" spans="1:8" x14ac:dyDescent="0.2">
      <c r="A1114" s="5" t="s">
        <v>704</v>
      </c>
      <c r="B1114" s="5" t="s">
        <v>3647</v>
      </c>
      <c r="C1114" s="5" t="s">
        <v>2234</v>
      </c>
      <c r="D1114" s="135" t="s">
        <v>3440</v>
      </c>
      <c r="E1114" s="136"/>
      <c r="F1114" s="5" t="s">
        <v>3612</v>
      </c>
      <c r="G1114" s="18">
        <v>3</v>
      </c>
      <c r="H1114" s="18">
        <v>0</v>
      </c>
    </row>
    <row r="1115" spans="1:8" x14ac:dyDescent="0.2">
      <c r="A1115" s="5" t="s">
        <v>705</v>
      </c>
      <c r="B1115" s="5" t="s">
        <v>3647</v>
      </c>
      <c r="C1115" s="5" t="s">
        <v>2235</v>
      </c>
      <c r="D1115" s="135" t="s">
        <v>3441</v>
      </c>
      <c r="E1115" s="136"/>
      <c r="F1115" s="5" t="s">
        <v>3612</v>
      </c>
      <c r="G1115" s="18">
        <v>1</v>
      </c>
      <c r="H1115" s="18">
        <v>0</v>
      </c>
    </row>
    <row r="1116" spans="1:8" x14ac:dyDescent="0.2">
      <c r="A1116" s="5" t="s">
        <v>706</v>
      </c>
      <c r="B1116" s="5" t="s">
        <v>3647</v>
      </c>
      <c r="C1116" s="5" t="s">
        <v>2236</v>
      </c>
      <c r="D1116" s="135" t="s">
        <v>3442</v>
      </c>
      <c r="E1116" s="136"/>
      <c r="F1116" s="5" t="s">
        <v>3612</v>
      </c>
      <c r="G1116" s="18">
        <v>3</v>
      </c>
      <c r="H1116" s="18">
        <v>0</v>
      </c>
    </row>
    <row r="1117" spans="1:8" x14ac:dyDescent="0.2">
      <c r="A1117" s="5" t="s">
        <v>707</v>
      </c>
      <c r="B1117" s="5" t="s">
        <v>3647</v>
      </c>
      <c r="C1117" s="5" t="s">
        <v>2237</v>
      </c>
      <c r="D1117" s="135" t="s">
        <v>3443</v>
      </c>
      <c r="E1117" s="136"/>
      <c r="F1117" s="5" t="s">
        <v>3612</v>
      </c>
      <c r="G1117" s="18">
        <v>14</v>
      </c>
      <c r="H1117" s="18">
        <v>0</v>
      </c>
    </row>
    <row r="1118" spans="1:8" x14ac:dyDescent="0.2">
      <c r="A1118" s="5" t="s">
        <v>708</v>
      </c>
      <c r="B1118" s="5" t="s">
        <v>3647</v>
      </c>
      <c r="C1118" s="5" t="s">
        <v>2238</v>
      </c>
      <c r="D1118" s="135" t="s">
        <v>3444</v>
      </c>
      <c r="E1118" s="136"/>
      <c r="F1118" s="5" t="s">
        <v>3612</v>
      </c>
      <c r="G1118" s="18">
        <v>6</v>
      </c>
      <c r="H1118" s="18">
        <v>0</v>
      </c>
    </row>
    <row r="1119" spans="1:8" x14ac:dyDescent="0.2">
      <c r="A1119" s="5" t="s">
        <v>709</v>
      </c>
      <c r="B1119" s="5" t="s">
        <v>3647</v>
      </c>
      <c r="C1119" s="5" t="s">
        <v>2239</v>
      </c>
      <c r="D1119" s="135" t="s">
        <v>3445</v>
      </c>
      <c r="E1119" s="136"/>
      <c r="F1119" s="5" t="s">
        <v>3612</v>
      </c>
      <c r="G1119" s="18">
        <v>10</v>
      </c>
      <c r="H1119" s="18">
        <v>0</v>
      </c>
    </row>
    <row r="1120" spans="1:8" x14ac:dyDescent="0.2">
      <c r="A1120" s="5" t="s">
        <v>710</v>
      </c>
      <c r="B1120" s="5" t="s">
        <v>3647</v>
      </c>
      <c r="C1120" s="5" t="s">
        <v>2240</v>
      </c>
      <c r="D1120" s="135" t="s">
        <v>3446</v>
      </c>
      <c r="E1120" s="136"/>
      <c r="F1120" s="5" t="s">
        <v>3612</v>
      </c>
      <c r="G1120" s="18">
        <v>1</v>
      </c>
      <c r="H1120" s="18">
        <v>0</v>
      </c>
    </row>
    <row r="1121" spans="1:8" x14ac:dyDescent="0.2">
      <c r="A1121" s="5" t="s">
        <v>711</v>
      </c>
      <c r="B1121" s="5" t="s">
        <v>3647</v>
      </c>
      <c r="C1121" s="5" t="s">
        <v>2241</v>
      </c>
      <c r="D1121" s="135" t="s">
        <v>3447</v>
      </c>
      <c r="E1121" s="136"/>
      <c r="F1121" s="5" t="s">
        <v>3612</v>
      </c>
      <c r="G1121" s="18">
        <v>2</v>
      </c>
      <c r="H1121" s="18">
        <v>0</v>
      </c>
    </row>
    <row r="1122" spans="1:8" x14ac:dyDescent="0.2">
      <c r="A1122" s="5" t="s">
        <v>712</v>
      </c>
      <c r="B1122" s="5" t="s">
        <v>3647</v>
      </c>
      <c r="C1122" s="5" t="s">
        <v>2242</v>
      </c>
      <c r="D1122" s="135" t="s">
        <v>3448</v>
      </c>
      <c r="E1122" s="136"/>
      <c r="F1122" s="5" t="s">
        <v>3612</v>
      </c>
      <c r="G1122" s="18">
        <v>3</v>
      </c>
      <c r="H1122" s="18">
        <v>0</v>
      </c>
    </row>
    <row r="1123" spans="1:8" x14ac:dyDescent="0.2">
      <c r="A1123" s="5" t="s">
        <v>713</v>
      </c>
      <c r="B1123" s="5" t="s">
        <v>3647</v>
      </c>
      <c r="C1123" s="5" t="s">
        <v>2243</v>
      </c>
      <c r="D1123" s="135" t="s">
        <v>3449</v>
      </c>
      <c r="E1123" s="136"/>
      <c r="F1123" s="5" t="s">
        <v>3612</v>
      </c>
      <c r="G1123" s="18">
        <v>3</v>
      </c>
      <c r="H1123" s="18">
        <v>0</v>
      </c>
    </row>
    <row r="1124" spans="1:8" x14ac:dyDescent="0.2">
      <c r="A1124" s="5" t="s">
        <v>714</v>
      </c>
      <c r="B1124" s="5" t="s">
        <v>3647</v>
      </c>
      <c r="C1124" s="5" t="s">
        <v>2244</v>
      </c>
      <c r="D1124" s="135" t="s">
        <v>3450</v>
      </c>
      <c r="E1124" s="136"/>
      <c r="F1124" s="5" t="s">
        <v>3612</v>
      </c>
      <c r="G1124" s="18">
        <v>2</v>
      </c>
      <c r="H1124" s="18">
        <v>0</v>
      </c>
    </row>
    <row r="1125" spans="1:8" x14ac:dyDescent="0.2">
      <c r="A1125" s="5" t="s">
        <v>715</v>
      </c>
      <c r="B1125" s="5" t="s">
        <v>3647</v>
      </c>
      <c r="C1125" s="5" t="s">
        <v>2245</v>
      </c>
      <c r="D1125" s="135" t="s">
        <v>3451</v>
      </c>
      <c r="E1125" s="136"/>
      <c r="F1125" s="5" t="s">
        <v>3612</v>
      </c>
      <c r="G1125" s="18">
        <v>16</v>
      </c>
      <c r="H1125" s="18">
        <v>0</v>
      </c>
    </row>
    <row r="1126" spans="1:8" x14ac:dyDescent="0.2">
      <c r="A1126" s="5" t="s">
        <v>716</v>
      </c>
      <c r="B1126" s="5" t="s">
        <v>3647</v>
      </c>
      <c r="C1126" s="5" t="s">
        <v>2246</v>
      </c>
      <c r="D1126" s="135" t="s">
        <v>3452</v>
      </c>
      <c r="E1126" s="136"/>
      <c r="F1126" s="5" t="s">
        <v>3612</v>
      </c>
      <c r="G1126" s="18">
        <v>11</v>
      </c>
      <c r="H1126" s="18">
        <v>0</v>
      </c>
    </row>
    <row r="1127" spans="1:8" x14ac:dyDescent="0.2">
      <c r="A1127" s="5" t="s">
        <v>717</v>
      </c>
      <c r="B1127" s="5" t="s">
        <v>3647</v>
      </c>
      <c r="C1127" s="5" t="s">
        <v>2247</v>
      </c>
      <c r="D1127" s="135" t="s">
        <v>3453</v>
      </c>
      <c r="E1127" s="136"/>
      <c r="F1127" s="5" t="s">
        <v>3612</v>
      </c>
      <c r="G1127" s="18">
        <v>4</v>
      </c>
      <c r="H1127" s="18">
        <v>0</v>
      </c>
    </row>
    <row r="1128" spans="1:8" x14ac:dyDescent="0.2">
      <c r="A1128" s="5" t="s">
        <v>718</v>
      </c>
      <c r="B1128" s="5" t="s">
        <v>3647</v>
      </c>
      <c r="C1128" s="5" t="s">
        <v>2248</v>
      </c>
      <c r="D1128" s="135" t="s">
        <v>3454</v>
      </c>
      <c r="E1128" s="136"/>
      <c r="F1128" s="5" t="s">
        <v>3612</v>
      </c>
      <c r="G1128" s="18">
        <v>33</v>
      </c>
      <c r="H1128" s="18">
        <v>0</v>
      </c>
    </row>
    <row r="1129" spans="1:8" x14ac:dyDescent="0.2">
      <c r="A1129" s="5" t="s">
        <v>719</v>
      </c>
      <c r="B1129" s="5" t="s">
        <v>3647</v>
      </c>
      <c r="C1129" s="5" t="s">
        <v>2249</v>
      </c>
      <c r="D1129" s="135" t="s">
        <v>3455</v>
      </c>
      <c r="E1129" s="136"/>
      <c r="F1129" s="5" t="s">
        <v>3614</v>
      </c>
      <c r="G1129" s="18">
        <v>6</v>
      </c>
      <c r="H1129" s="18">
        <v>0</v>
      </c>
    </row>
    <row r="1130" spans="1:8" x14ac:dyDescent="0.2">
      <c r="A1130" s="5" t="s">
        <v>720</v>
      </c>
      <c r="B1130" s="5" t="s">
        <v>3647</v>
      </c>
      <c r="C1130" s="5" t="s">
        <v>2249</v>
      </c>
      <c r="D1130" s="135" t="s">
        <v>3456</v>
      </c>
      <c r="E1130" s="136"/>
      <c r="F1130" s="5" t="s">
        <v>3614</v>
      </c>
      <c r="G1130" s="18">
        <v>30</v>
      </c>
      <c r="H1130" s="18">
        <v>0</v>
      </c>
    </row>
    <row r="1131" spans="1:8" x14ac:dyDescent="0.2">
      <c r="A1131" s="5" t="s">
        <v>721</v>
      </c>
      <c r="B1131" s="5" t="s">
        <v>3647</v>
      </c>
      <c r="C1131" s="5" t="s">
        <v>2249</v>
      </c>
      <c r="D1131" s="135" t="s">
        <v>3457</v>
      </c>
      <c r="E1131" s="136"/>
      <c r="F1131" s="5" t="s">
        <v>3614</v>
      </c>
      <c r="G1131" s="18">
        <v>26</v>
      </c>
      <c r="H1131" s="18">
        <v>0</v>
      </c>
    </row>
    <row r="1132" spans="1:8" x14ac:dyDescent="0.2">
      <c r="A1132" s="5" t="s">
        <v>722</v>
      </c>
      <c r="B1132" s="5" t="s">
        <v>3647</v>
      </c>
      <c r="C1132" s="5" t="s">
        <v>2250</v>
      </c>
      <c r="D1132" s="135" t="s">
        <v>3458</v>
      </c>
      <c r="E1132" s="136"/>
      <c r="F1132" s="5" t="s">
        <v>3627</v>
      </c>
      <c r="G1132" s="18">
        <v>1</v>
      </c>
      <c r="H1132" s="18">
        <v>0</v>
      </c>
    </row>
    <row r="1133" spans="1:8" x14ac:dyDescent="0.2">
      <c r="A1133" s="5" t="s">
        <v>723</v>
      </c>
      <c r="B1133" s="5" t="s">
        <v>3647</v>
      </c>
      <c r="C1133" s="5" t="s">
        <v>2251</v>
      </c>
      <c r="D1133" s="135" t="s">
        <v>3459</v>
      </c>
      <c r="E1133" s="136"/>
      <c r="F1133" s="5" t="s">
        <v>3615</v>
      </c>
      <c r="G1133" s="18">
        <v>5.4</v>
      </c>
      <c r="H1133" s="18">
        <v>0</v>
      </c>
    </row>
    <row r="1134" spans="1:8" x14ac:dyDescent="0.2">
      <c r="A1134" s="5" t="s">
        <v>724</v>
      </c>
      <c r="B1134" s="5" t="s">
        <v>3647</v>
      </c>
      <c r="C1134" s="5" t="s">
        <v>2252</v>
      </c>
      <c r="D1134" s="135" t="s">
        <v>3460</v>
      </c>
      <c r="E1134" s="136"/>
      <c r="F1134" s="5" t="s">
        <v>3620</v>
      </c>
      <c r="G1134" s="18">
        <v>8.6999999999999993</v>
      </c>
      <c r="H1134" s="18">
        <v>0</v>
      </c>
    </row>
    <row r="1135" spans="1:8" x14ac:dyDescent="0.2">
      <c r="A1135" s="5" t="s">
        <v>725</v>
      </c>
      <c r="B1135" s="5" t="s">
        <v>3647</v>
      </c>
      <c r="C1135" s="5" t="s">
        <v>2253</v>
      </c>
      <c r="D1135" s="135" t="s">
        <v>3461</v>
      </c>
      <c r="E1135" s="136"/>
      <c r="F1135" s="5" t="s">
        <v>3615</v>
      </c>
      <c r="G1135" s="18">
        <v>3.3</v>
      </c>
      <c r="H1135" s="18">
        <v>0</v>
      </c>
    </row>
    <row r="1136" spans="1:8" x14ac:dyDescent="0.2">
      <c r="A1136" s="5" t="s">
        <v>726</v>
      </c>
      <c r="B1136" s="5" t="s">
        <v>3647</v>
      </c>
      <c r="C1136" s="5" t="s">
        <v>2254</v>
      </c>
      <c r="D1136" s="135" t="s">
        <v>3462</v>
      </c>
      <c r="E1136" s="136"/>
      <c r="F1136" s="5" t="s">
        <v>3615</v>
      </c>
      <c r="G1136" s="18">
        <v>3.3</v>
      </c>
      <c r="H1136" s="18">
        <v>0</v>
      </c>
    </row>
    <row r="1137" spans="1:8" x14ac:dyDescent="0.2">
      <c r="A1137" s="5" t="s">
        <v>727</v>
      </c>
      <c r="B1137" s="5" t="s">
        <v>3647</v>
      </c>
      <c r="C1137" s="5" t="s">
        <v>2255</v>
      </c>
      <c r="D1137" s="135" t="s">
        <v>3463</v>
      </c>
      <c r="E1137" s="136"/>
      <c r="F1137" s="5" t="s">
        <v>3614</v>
      </c>
      <c r="G1137" s="18">
        <v>62</v>
      </c>
      <c r="H1137" s="18">
        <v>0</v>
      </c>
    </row>
    <row r="1138" spans="1:8" x14ac:dyDescent="0.2">
      <c r="A1138" s="5" t="s">
        <v>728</v>
      </c>
      <c r="B1138" s="5" t="s">
        <v>3647</v>
      </c>
      <c r="C1138" s="5" t="s">
        <v>2256</v>
      </c>
      <c r="D1138" s="135" t="s">
        <v>3464</v>
      </c>
      <c r="E1138" s="136"/>
      <c r="F1138" s="5" t="s">
        <v>3614</v>
      </c>
      <c r="G1138" s="18">
        <v>10</v>
      </c>
      <c r="H1138" s="18">
        <v>0</v>
      </c>
    </row>
    <row r="1139" spans="1:8" x14ac:dyDescent="0.2">
      <c r="A1139" s="5" t="s">
        <v>729</v>
      </c>
      <c r="B1139" s="5" t="s">
        <v>3647</v>
      </c>
      <c r="C1139" s="5" t="s">
        <v>2257</v>
      </c>
      <c r="D1139" s="135" t="s">
        <v>3465</v>
      </c>
      <c r="E1139" s="136"/>
      <c r="F1139" s="5" t="s">
        <v>3615</v>
      </c>
      <c r="G1139" s="18">
        <v>1</v>
      </c>
      <c r="H1139" s="18">
        <v>0</v>
      </c>
    </row>
    <row r="1140" spans="1:8" x14ac:dyDescent="0.2">
      <c r="A1140" s="5" t="s">
        <v>730</v>
      </c>
      <c r="B1140" s="5" t="s">
        <v>3647</v>
      </c>
      <c r="C1140" s="5" t="s">
        <v>2258</v>
      </c>
      <c r="D1140" s="135" t="s">
        <v>2799</v>
      </c>
      <c r="E1140" s="136"/>
      <c r="F1140" s="5" t="s">
        <v>3618</v>
      </c>
      <c r="G1140" s="18">
        <v>1</v>
      </c>
      <c r="H1140" s="18">
        <v>0</v>
      </c>
    </row>
    <row r="1141" spans="1:8" x14ac:dyDescent="0.2">
      <c r="A1141" s="5" t="s">
        <v>731</v>
      </c>
      <c r="B1141" s="5" t="s">
        <v>3647</v>
      </c>
      <c r="C1141" s="5" t="s">
        <v>2259</v>
      </c>
      <c r="D1141" s="135" t="s">
        <v>3466</v>
      </c>
      <c r="E1141" s="136"/>
      <c r="F1141" s="5" t="s">
        <v>3619</v>
      </c>
      <c r="G1141" s="18">
        <v>72</v>
      </c>
      <c r="H1141" s="18">
        <v>0</v>
      </c>
    </row>
    <row r="1142" spans="1:8" x14ac:dyDescent="0.2">
      <c r="A1142" s="5" t="s">
        <v>732</v>
      </c>
      <c r="B1142" s="5" t="s">
        <v>3645</v>
      </c>
      <c r="C1142" s="5" t="s">
        <v>1745</v>
      </c>
      <c r="D1142" s="135" t="s">
        <v>2952</v>
      </c>
      <c r="E1142" s="136"/>
      <c r="F1142" s="5" t="s">
        <v>3614</v>
      </c>
      <c r="G1142" s="18">
        <v>362.25</v>
      </c>
      <c r="H1142" s="18">
        <v>0</v>
      </c>
    </row>
    <row r="1143" spans="1:8" x14ac:dyDescent="0.2">
      <c r="A1143" s="5" t="s">
        <v>733</v>
      </c>
      <c r="B1143" s="5" t="s">
        <v>3645</v>
      </c>
      <c r="C1143" s="5" t="s">
        <v>1746</v>
      </c>
      <c r="D1143" s="135" t="s">
        <v>2953</v>
      </c>
      <c r="E1143" s="136"/>
      <c r="F1143" s="5" t="s">
        <v>3614</v>
      </c>
      <c r="G1143" s="18">
        <v>192</v>
      </c>
      <c r="H1143" s="18">
        <v>0</v>
      </c>
    </row>
    <row r="1144" spans="1:8" x14ac:dyDescent="0.2">
      <c r="A1144" s="5" t="s">
        <v>734</v>
      </c>
      <c r="B1144" s="5" t="s">
        <v>3645</v>
      </c>
      <c r="C1144" s="5" t="s">
        <v>1747</v>
      </c>
      <c r="D1144" s="135" t="s">
        <v>2804</v>
      </c>
      <c r="E1144" s="136"/>
      <c r="F1144" s="5" t="s">
        <v>3614</v>
      </c>
      <c r="G1144" s="18">
        <v>96</v>
      </c>
      <c r="H1144" s="18">
        <v>0</v>
      </c>
    </row>
    <row r="1145" spans="1:8" x14ac:dyDescent="0.2">
      <c r="A1145" s="5" t="s">
        <v>735</v>
      </c>
      <c r="B1145" s="5" t="s">
        <v>3645</v>
      </c>
      <c r="C1145" s="5" t="s">
        <v>1748</v>
      </c>
      <c r="D1145" s="135" t="s">
        <v>2954</v>
      </c>
      <c r="E1145" s="136"/>
      <c r="F1145" s="5" t="s">
        <v>3612</v>
      </c>
      <c r="G1145" s="18">
        <v>17</v>
      </c>
      <c r="H1145" s="18">
        <v>0</v>
      </c>
    </row>
    <row r="1146" spans="1:8" x14ac:dyDescent="0.2">
      <c r="A1146" s="5" t="s">
        <v>736</v>
      </c>
      <c r="B1146" s="5" t="s">
        <v>3645</v>
      </c>
      <c r="C1146" s="5" t="s">
        <v>1749</v>
      </c>
      <c r="D1146" s="135" t="s">
        <v>2955</v>
      </c>
      <c r="E1146" s="136"/>
      <c r="F1146" s="5" t="s">
        <v>3612</v>
      </c>
      <c r="G1146" s="18">
        <v>3</v>
      </c>
      <c r="H1146" s="18">
        <v>0</v>
      </c>
    </row>
    <row r="1147" spans="1:8" x14ac:dyDescent="0.2">
      <c r="A1147" s="5" t="s">
        <v>737</v>
      </c>
      <c r="B1147" s="5" t="s">
        <v>3645</v>
      </c>
      <c r="C1147" s="5" t="s">
        <v>1750</v>
      </c>
      <c r="D1147" s="135" t="s">
        <v>2956</v>
      </c>
      <c r="E1147" s="136"/>
      <c r="F1147" s="5" t="s">
        <v>3618</v>
      </c>
      <c r="G1147" s="18">
        <v>1</v>
      </c>
      <c r="H1147" s="18">
        <v>0</v>
      </c>
    </row>
    <row r="1148" spans="1:8" x14ac:dyDescent="0.2">
      <c r="A1148" s="5" t="s">
        <v>738</v>
      </c>
      <c r="B1148" s="5" t="s">
        <v>3645</v>
      </c>
      <c r="C1148" s="5" t="s">
        <v>1751</v>
      </c>
      <c r="D1148" s="135" t="s">
        <v>2957</v>
      </c>
      <c r="E1148" s="136"/>
      <c r="F1148" s="5" t="s">
        <v>3614</v>
      </c>
      <c r="G1148" s="18">
        <v>222</v>
      </c>
      <c r="H1148" s="18">
        <v>0</v>
      </c>
    </row>
    <row r="1149" spans="1:8" x14ac:dyDescent="0.2">
      <c r="A1149" s="5" t="s">
        <v>739</v>
      </c>
      <c r="B1149" s="5" t="s">
        <v>3645</v>
      </c>
      <c r="C1149" s="5" t="s">
        <v>1752</v>
      </c>
      <c r="D1149" s="135" t="s">
        <v>2958</v>
      </c>
      <c r="E1149" s="136"/>
      <c r="F1149" s="5" t="s">
        <v>3614</v>
      </c>
      <c r="G1149" s="18">
        <v>39</v>
      </c>
      <c r="H1149" s="18">
        <v>0</v>
      </c>
    </row>
    <row r="1150" spans="1:8" x14ac:dyDescent="0.2">
      <c r="A1150" s="5" t="s">
        <v>740</v>
      </c>
      <c r="B1150" s="5" t="s">
        <v>3645</v>
      </c>
      <c r="C1150" s="5" t="s">
        <v>1753</v>
      </c>
      <c r="D1150" s="135" t="s">
        <v>2959</v>
      </c>
      <c r="E1150" s="136"/>
      <c r="F1150" s="5" t="s">
        <v>3614</v>
      </c>
      <c r="G1150" s="18">
        <v>278</v>
      </c>
      <c r="H1150" s="18">
        <v>0</v>
      </c>
    </row>
    <row r="1151" spans="1:8" x14ac:dyDescent="0.2">
      <c r="A1151" s="5" t="s">
        <v>741</v>
      </c>
      <c r="B1151" s="5" t="s">
        <v>3645</v>
      </c>
      <c r="C1151" s="5" t="s">
        <v>1754</v>
      </c>
      <c r="D1151" s="135" t="s">
        <v>2960</v>
      </c>
      <c r="E1151" s="136"/>
      <c r="F1151" s="5" t="s">
        <v>3614</v>
      </c>
      <c r="G1151" s="18">
        <v>25</v>
      </c>
      <c r="H1151" s="18">
        <v>0</v>
      </c>
    </row>
    <row r="1152" spans="1:8" x14ac:dyDescent="0.2">
      <c r="A1152" s="5" t="s">
        <v>742</v>
      </c>
      <c r="B1152" s="5" t="s">
        <v>3645</v>
      </c>
      <c r="C1152" s="5" t="s">
        <v>1755</v>
      </c>
      <c r="D1152" s="135" t="s">
        <v>2961</v>
      </c>
      <c r="E1152" s="136"/>
      <c r="F1152" s="5" t="s">
        <v>3614</v>
      </c>
      <c r="G1152" s="18">
        <v>166</v>
      </c>
      <c r="H1152" s="18">
        <v>0</v>
      </c>
    </row>
    <row r="1153" spans="1:8" x14ac:dyDescent="0.2">
      <c r="A1153" s="5" t="s">
        <v>743</v>
      </c>
      <c r="B1153" s="5" t="s">
        <v>3645</v>
      </c>
      <c r="C1153" s="5" t="s">
        <v>1755</v>
      </c>
      <c r="D1153" s="135" t="s">
        <v>2962</v>
      </c>
      <c r="E1153" s="136"/>
      <c r="F1153" s="5" t="s">
        <v>3614</v>
      </c>
      <c r="G1153" s="18">
        <v>197</v>
      </c>
      <c r="H1153" s="18">
        <v>0</v>
      </c>
    </row>
    <row r="1154" spans="1:8" x14ac:dyDescent="0.2">
      <c r="A1154" s="5" t="s">
        <v>744</v>
      </c>
      <c r="B1154" s="5" t="s">
        <v>3645</v>
      </c>
      <c r="C1154" s="5" t="s">
        <v>1756</v>
      </c>
      <c r="D1154" s="135" t="s">
        <v>2963</v>
      </c>
      <c r="E1154" s="136"/>
      <c r="F1154" s="5" t="s">
        <v>3614</v>
      </c>
      <c r="G1154" s="18">
        <v>39</v>
      </c>
      <c r="H1154" s="18">
        <v>0</v>
      </c>
    </row>
    <row r="1155" spans="1:8" x14ac:dyDescent="0.2">
      <c r="A1155" s="5" t="s">
        <v>745</v>
      </c>
      <c r="B1155" s="5" t="s">
        <v>3645</v>
      </c>
      <c r="C1155" s="5" t="s">
        <v>1756</v>
      </c>
      <c r="D1155" s="135" t="s">
        <v>2964</v>
      </c>
      <c r="E1155" s="136"/>
      <c r="F1155" s="5" t="s">
        <v>3614</v>
      </c>
      <c r="G1155" s="18">
        <v>112</v>
      </c>
      <c r="H1155" s="18">
        <v>0</v>
      </c>
    </row>
    <row r="1156" spans="1:8" x14ac:dyDescent="0.2">
      <c r="A1156" s="5" t="s">
        <v>746</v>
      </c>
      <c r="B1156" s="5" t="s">
        <v>3645</v>
      </c>
      <c r="C1156" s="5" t="s">
        <v>1757</v>
      </c>
      <c r="D1156" s="135" t="s">
        <v>2965</v>
      </c>
      <c r="E1156" s="136"/>
      <c r="F1156" s="5" t="s">
        <v>3612</v>
      </c>
      <c r="G1156" s="18">
        <v>2</v>
      </c>
      <c r="H1156" s="18">
        <v>0</v>
      </c>
    </row>
    <row r="1157" spans="1:8" x14ac:dyDescent="0.2">
      <c r="A1157" s="5" t="s">
        <v>747</v>
      </c>
      <c r="B1157" s="5" t="s">
        <v>3645</v>
      </c>
      <c r="C1157" s="5" t="s">
        <v>1758</v>
      </c>
      <c r="D1157" s="135" t="s">
        <v>2966</v>
      </c>
      <c r="E1157" s="136"/>
      <c r="F1157" s="5" t="s">
        <v>3612</v>
      </c>
      <c r="G1157" s="18">
        <v>2</v>
      </c>
      <c r="H1157" s="18">
        <v>0</v>
      </c>
    </row>
    <row r="1158" spans="1:8" x14ac:dyDescent="0.2">
      <c r="A1158" s="5" t="s">
        <v>748</v>
      </c>
      <c r="B1158" s="5" t="s">
        <v>3645</v>
      </c>
      <c r="C1158" s="5" t="s">
        <v>1759</v>
      </c>
      <c r="D1158" s="135" t="s">
        <v>2967</v>
      </c>
      <c r="E1158" s="136"/>
      <c r="F1158" s="5" t="s">
        <v>3612</v>
      </c>
      <c r="G1158" s="18">
        <v>4</v>
      </c>
      <c r="H1158" s="18">
        <v>0</v>
      </c>
    </row>
    <row r="1159" spans="1:8" x14ac:dyDescent="0.2">
      <c r="A1159" s="5" t="s">
        <v>749</v>
      </c>
      <c r="B1159" s="5" t="s">
        <v>3645</v>
      </c>
      <c r="C1159" s="5" t="s">
        <v>1760</v>
      </c>
      <c r="D1159" s="135" t="s">
        <v>2968</v>
      </c>
      <c r="E1159" s="136"/>
      <c r="F1159" s="5" t="s">
        <v>3612</v>
      </c>
      <c r="G1159" s="18">
        <v>2</v>
      </c>
      <c r="H1159" s="18">
        <v>0</v>
      </c>
    </row>
    <row r="1160" spans="1:8" x14ac:dyDescent="0.2">
      <c r="A1160" s="5" t="s">
        <v>750</v>
      </c>
      <c r="B1160" s="5" t="s">
        <v>3645</v>
      </c>
      <c r="C1160" s="5" t="s">
        <v>1761</v>
      </c>
      <c r="D1160" s="135" t="s">
        <v>2969</v>
      </c>
      <c r="E1160" s="136"/>
      <c r="F1160" s="5" t="s">
        <v>3612</v>
      </c>
      <c r="G1160" s="18">
        <v>1</v>
      </c>
      <c r="H1160" s="18">
        <v>0</v>
      </c>
    </row>
    <row r="1161" spans="1:8" x14ac:dyDescent="0.2">
      <c r="A1161" s="5" t="s">
        <v>751</v>
      </c>
      <c r="B1161" s="5" t="s">
        <v>3645</v>
      </c>
      <c r="C1161" s="5" t="s">
        <v>1762</v>
      </c>
      <c r="D1161" s="135" t="s">
        <v>2970</v>
      </c>
      <c r="E1161" s="136"/>
      <c r="F1161" s="5" t="s">
        <v>3612</v>
      </c>
      <c r="G1161" s="18">
        <v>3</v>
      </c>
      <c r="H1161" s="18">
        <v>0</v>
      </c>
    </row>
    <row r="1162" spans="1:8" x14ac:dyDescent="0.2">
      <c r="A1162" s="5" t="s">
        <v>752</v>
      </c>
      <c r="B1162" s="5" t="s">
        <v>3645</v>
      </c>
      <c r="C1162" s="5" t="s">
        <v>1763</v>
      </c>
      <c r="D1162" s="135" t="s">
        <v>2971</v>
      </c>
      <c r="E1162" s="136"/>
      <c r="F1162" s="5" t="s">
        <v>3612</v>
      </c>
      <c r="G1162" s="18">
        <v>4</v>
      </c>
      <c r="H1162" s="18">
        <v>0</v>
      </c>
    </row>
    <row r="1163" spans="1:8" x14ac:dyDescent="0.2">
      <c r="A1163" s="5" t="s">
        <v>753</v>
      </c>
      <c r="B1163" s="5" t="s">
        <v>3645</v>
      </c>
      <c r="C1163" s="5" t="s">
        <v>1764</v>
      </c>
      <c r="D1163" s="135" t="s">
        <v>2972</v>
      </c>
      <c r="E1163" s="136"/>
      <c r="F1163" s="5" t="s">
        <v>3612</v>
      </c>
      <c r="G1163" s="18">
        <v>1</v>
      </c>
      <c r="H1163" s="18">
        <v>0</v>
      </c>
    </row>
    <row r="1164" spans="1:8" x14ac:dyDescent="0.2">
      <c r="A1164" s="5" t="s">
        <v>754</v>
      </c>
      <c r="B1164" s="5" t="s">
        <v>3645</v>
      </c>
      <c r="C1164" s="5" t="s">
        <v>1765</v>
      </c>
      <c r="D1164" s="135" t="s">
        <v>2973</v>
      </c>
      <c r="E1164" s="136"/>
      <c r="F1164" s="5" t="s">
        <v>3612</v>
      </c>
      <c r="G1164" s="18">
        <v>19</v>
      </c>
      <c r="H1164" s="18">
        <v>0</v>
      </c>
    </row>
    <row r="1165" spans="1:8" x14ac:dyDescent="0.2">
      <c r="A1165" s="5" t="s">
        <v>755</v>
      </c>
      <c r="B1165" s="5" t="s">
        <v>3645</v>
      </c>
      <c r="C1165" s="5" t="s">
        <v>1766</v>
      </c>
      <c r="D1165" s="135" t="s">
        <v>2974</v>
      </c>
      <c r="E1165" s="136"/>
      <c r="F1165" s="5" t="s">
        <v>3612</v>
      </c>
      <c r="G1165" s="18">
        <v>15</v>
      </c>
      <c r="H1165" s="18">
        <v>0</v>
      </c>
    </row>
    <row r="1166" spans="1:8" x14ac:dyDescent="0.2">
      <c r="A1166" s="5" t="s">
        <v>756</v>
      </c>
      <c r="B1166" s="5" t="s">
        <v>3645</v>
      </c>
      <c r="C1166" s="5" t="s">
        <v>1767</v>
      </c>
      <c r="D1166" s="135" t="s">
        <v>2975</v>
      </c>
      <c r="E1166" s="136"/>
      <c r="F1166" s="5" t="s">
        <v>3612</v>
      </c>
      <c r="G1166" s="18">
        <v>4</v>
      </c>
      <c r="H1166" s="18">
        <v>0</v>
      </c>
    </row>
    <row r="1167" spans="1:8" x14ac:dyDescent="0.2">
      <c r="A1167" s="5" t="s">
        <v>757</v>
      </c>
      <c r="B1167" s="5" t="s">
        <v>3645</v>
      </c>
      <c r="C1167" s="5" t="s">
        <v>1768</v>
      </c>
      <c r="D1167" s="135" t="s">
        <v>2976</v>
      </c>
      <c r="E1167" s="136"/>
      <c r="F1167" s="5" t="s">
        <v>3612</v>
      </c>
      <c r="G1167" s="18">
        <v>19</v>
      </c>
      <c r="H1167" s="18">
        <v>0</v>
      </c>
    </row>
    <row r="1168" spans="1:8" x14ac:dyDescent="0.2">
      <c r="A1168" s="5" t="s">
        <v>758</v>
      </c>
      <c r="B1168" s="5" t="s">
        <v>3645</v>
      </c>
      <c r="C1168" s="5" t="s">
        <v>1769</v>
      </c>
      <c r="D1168" s="135" t="s">
        <v>2977</v>
      </c>
      <c r="E1168" s="136"/>
      <c r="F1168" s="5" t="s">
        <v>3612</v>
      </c>
      <c r="G1168" s="18">
        <v>19</v>
      </c>
      <c r="H1168" s="18">
        <v>0</v>
      </c>
    </row>
    <row r="1169" spans="1:8" x14ac:dyDescent="0.2">
      <c r="A1169" s="5" t="s">
        <v>759</v>
      </c>
      <c r="B1169" s="5" t="s">
        <v>3645</v>
      </c>
      <c r="C1169" s="5" t="s">
        <v>1770</v>
      </c>
      <c r="D1169" s="135" t="s">
        <v>2978</v>
      </c>
      <c r="E1169" s="136"/>
      <c r="F1169" s="5" t="s">
        <v>3612</v>
      </c>
      <c r="G1169" s="18">
        <v>15</v>
      </c>
      <c r="H1169" s="18">
        <v>0</v>
      </c>
    </row>
    <row r="1170" spans="1:8" x14ac:dyDescent="0.2">
      <c r="A1170" s="5" t="s">
        <v>760</v>
      </c>
      <c r="B1170" s="5" t="s">
        <v>3645</v>
      </c>
      <c r="C1170" s="5" t="s">
        <v>1771</v>
      </c>
      <c r="D1170" s="135" t="s">
        <v>2979</v>
      </c>
      <c r="E1170" s="136"/>
      <c r="F1170" s="5" t="s">
        <v>3612</v>
      </c>
      <c r="G1170" s="18">
        <v>15</v>
      </c>
      <c r="H1170" s="18">
        <v>0</v>
      </c>
    </row>
    <row r="1171" spans="1:8" x14ac:dyDescent="0.2">
      <c r="A1171" s="5" t="s">
        <v>761</v>
      </c>
      <c r="B1171" s="5" t="s">
        <v>3645</v>
      </c>
      <c r="C1171" s="5" t="s">
        <v>1772</v>
      </c>
      <c r="D1171" s="135" t="s">
        <v>2980</v>
      </c>
      <c r="E1171" s="136"/>
      <c r="F1171" s="5" t="s">
        <v>3612</v>
      </c>
      <c r="G1171" s="18">
        <v>7</v>
      </c>
      <c r="H1171" s="18">
        <v>0</v>
      </c>
    </row>
    <row r="1172" spans="1:8" x14ac:dyDescent="0.2">
      <c r="A1172" s="5" t="s">
        <v>762</v>
      </c>
      <c r="B1172" s="5" t="s">
        <v>3645</v>
      </c>
      <c r="C1172" s="5" t="s">
        <v>1773</v>
      </c>
      <c r="D1172" s="135" t="s">
        <v>2846</v>
      </c>
      <c r="E1172" s="136"/>
      <c r="F1172" s="5" t="s">
        <v>3612</v>
      </c>
      <c r="G1172" s="18">
        <v>3</v>
      </c>
      <c r="H1172" s="18">
        <v>0</v>
      </c>
    </row>
    <row r="1173" spans="1:8" x14ac:dyDescent="0.2">
      <c r="A1173" s="5" t="s">
        <v>763</v>
      </c>
      <c r="B1173" s="5" t="s">
        <v>3645</v>
      </c>
      <c r="C1173" s="5" t="s">
        <v>1774</v>
      </c>
      <c r="D1173" s="135" t="s">
        <v>2981</v>
      </c>
      <c r="E1173" s="136"/>
      <c r="F1173" s="5" t="s">
        <v>3612</v>
      </c>
      <c r="G1173" s="18">
        <v>6</v>
      </c>
      <c r="H1173" s="18">
        <v>0</v>
      </c>
    </row>
    <row r="1174" spans="1:8" x14ac:dyDescent="0.2">
      <c r="A1174" s="5" t="s">
        <v>764</v>
      </c>
      <c r="B1174" s="5" t="s">
        <v>3645</v>
      </c>
      <c r="C1174" s="5" t="s">
        <v>1775</v>
      </c>
      <c r="D1174" s="135" t="s">
        <v>2982</v>
      </c>
      <c r="E1174" s="136"/>
      <c r="F1174" s="5" t="s">
        <v>3612</v>
      </c>
      <c r="G1174" s="18">
        <v>1</v>
      </c>
      <c r="H1174" s="18">
        <v>0</v>
      </c>
    </row>
    <row r="1175" spans="1:8" x14ac:dyDescent="0.2">
      <c r="A1175" s="5" t="s">
        <v>765</v>
      </c>
      <c r="B1175" s="5" t="s">
        <v>3645</v>
      </c>
      <c r="C1175" s="5" t="s">
        <v>1776</v>
      </c>
      <c r="D1175" s="135" t="s">
        <v>2983</v>
      </c>
      <c r="E1175" s="136"/>
      <c r="F1175" s="5" t="s">
        <v>3612</v>
      </c>
      <c r="G1175" s="18">
        <v>1</v>
      </c>
      <c r="H1175" s="18">
        <v>0</v>
      </c>
    </row>
    <row r="1176" spans="1:8" x14ac:dyDescent="0.2">
      <c r="A1176" s="5" t="s">
        <v>766</v>
      </c>
      <c r="B1176" s="5" t="s">
        <v>3645</v>
      </c>
      <c r="C1176" s="5" t="s">
        <v>1777</v>
      </c>
      <c r="D1176" s="135" t="s">
        <v>2984</v>
      </c>
      <c r="E1176" s="136"/>
      <c r="F1176" s="5" t="s">
        <v>3612</v>
      </c>
      <c r="G1176" s="18">
        <v>1</v>
      </c>
      <c r="H1176" s="18">
        <v>0</v>
      </c>
    </row>
    <row r="1177" spans="1:8" x14ac:dyDescent="0.2">
      <c r="A1177" s="5" t="s">
        <v>767</v>
      </c>
      <c r="B1177" s="5" t="s">
        <v>3645</v>
      </c>
      <c r="C1177" s="5" t="s">
        <v>1778</v>
      </c>
      <c r="D1177" s="135" t="s">
        <v>2985</v>
      </c>
      <c r="E1177" s="136"/>
      <c r="F1177" s="5" t="s">
        <v>3612</v>
      </c>
      <c r="G1177" s="18">
        <v>1</v>
      </c>
      <c r="H1177" s="18">
        <v>0</v>
      </c>
    </row>
    <row r="1178" spans="1:8" x14ac:dyDescent="0.2">
      <c r="A1178" s="5" t="s">
        <v>768</v>
      </c>
      <c r="B1178" s="5" t="s">
        <v>3645</v>
      </c>
      <c r="C1178" s="5" t="s">
        <v>1779</v>
      </c>
      <c r="D1178" s="135" t="s">
        <v>2986</v>
      </c>
      <c r="E1178" s="136"/>
      <c r="F1178" s="5" t="s">
        <v>3612</v>
      </c>
      <c r="G1178" s="18">
        <v>1</v>
      </c>
      <c r="H1178" s="18">
        <v>0</v>
      </c>
    </row>
    <row r="1179" spans="1:8" x14ac:dyDescent="0.2">
      <c r="A1179" s="5" t="s">
        <v>769</v>
      </c>
      <c r="B1179" s="5" t="s">
        <v>3645</v>
      </c>
      <c r="C1179" s="5" t="s">
        <v>1780</v>
      </c>
      <c r="D1179" s="135" t="s">
        <v>2987</v>
      </c>
      <c r="E1179" s="136"/>
      <c r="F1179" s="5" t="s">
        <v>3612</v>
      </c>
      <c r="G1179" s="18">
        <v>1</v>
      </c>
      <c r="H1179" s="18">
        <v>0</v>
      </c>
    </row>
    <row r="1180" spans="1:8" x14ac:dyDescent="0.2">
      <c r="A1180" s="5" t="s">
        <v>770</v>
      </c>
      <c r="B1180" s="5" t="s">
        <v>3645</v>
      </c>
      <c r="C1180" s="5" t="s">
        <v>1781</v>
      </c>
      <c r="D1180" s="135" t="s">
        <v>2988</v>
      </c>
      <c r="E1180" s="136"/>
      <c r="F1180" s="5" t="s">
        <v>3612</v>
      </c>
      <c r="G1180" s="18">
        <v>1</v>
      </c>
      <c r="H1180" s="18">
        <v>0</v>
      </c>
    </row>
    <row r="1181" spans="1:8" x14ac:dyDescent="0.2">
      <c r="A1181" s="5" t="s">
        <v>771</v>
      </c>
      <c r="B1181" s="5" t="s">
        <v>3645</v>
      </c>
      <c r="C1181" s="5" t="s">
        <v>1782</v>
      </c>
      <c r="D1181" s="135" t="s">
        <v>2989</v>
      </c>
      <c r="E1181" s="136"/>
      <c r="F1181" s="5" t="s">
        <v>3614</v>
      </c>
      <c r="G1181" s="18">
        <v>2800</v>
      </c>
      <c r="H1181" s="18">
        <v>0</v>
      </c>
    </row>
    <row r="1182" spans="1:8" x14ac:dyDescent="0.2">
      <c r="A1182" s="5" t="s">
        <v>772</v>
      </c>
      <c r="B1182" s="5" t="s">
        <v>3645</v>
      </c>
      <c r="C1182" s="5" t="s">
        <v>1783</v>
      </c>
      <c r="D1182" s="135" t="s">
        <v>2990</v>
      </c>
      <c r="E1182" s="136"/>
      <c r="F1182" s="5" t="s">
        <v>3614</v>
      </c>
      <c r="G1182" s="18">
        <v>500</v>
      </c>
      <c r="H1182" s="18">
        <v>0</v>
      </c>
    </row>
    <row r="1183" spans="1:8" x14ac:dyDescent="0.2">
      <c r="A1183" s="5" t="s">
        <v>773</v>
      </c>
      <c r="B1183" s="5" t="s">
        <v>3645</v>
      </c>
      <c r="C1183" s="5" t="s">
        <v>1784</v>
      </c>
      <c r="D1183" s="135" t="s">
        <v>2991</v>
      </c>
      <c r="E1183" s="136"/>
      <c r="F1183" s="5" t="s">
        <v>3612</v>
      </c>
      <c r="G1183" s="18">
        <v>1</v>
      </c>
      <c r="H1183" s="18">
        <v>0</v>
      </c>
    </row>
    <row r="1184" spans="1:8" x14ac:dyDescent="0.2">
      <c r="A1184" s="5" t="s">
        <v>774</v>
      </c>
      <c r="B1184" s="5" t="s">
        <v>3645</v>
      </c>
      <c r="C1184" s="5" t="s">
        <v>1785</v>
      </c>
      <c r="D1184" s="135" t="s">
        <v>2992</v>
      </c>
      <c r="E1184" s="136"/>
      <c r="F1184" s="5" t="s">
        <v>3612</v>
      </c>
      <c r="G1184" s="18">
        <v>2</v>
      </c>
      <c r="H1184" s="18">
        <v>0</v>
      </c>
    </row>
    <row r="1185" spans="1:8" x14ac:dyDescent="0.2">
      <c r="A1185" s="5" t="s">
        <v>775</v>
      </c>
      <c r="B1185" s="5" t="s">
        <v>3645</v>
      </c>
      <c r="C1185" s="5" t="s">
        <v>1786</v>
      </c>
      <c r="D1185" s="135" t="s">
        <v>2993</v>
      </c>
      <c r="E1185" s="136"/>
      <c r="F1185" s="5" t="s">
        <v>3612</v>
      </c>
      <c r="G1185" s="18">
        <v>1</v>
      </c>
      <c r="H1185" s="18">
        <v>0</v>
      </c>
    </row>
    <row r="1186" spans="1:8" x14ac:dyDescent="0.2">
      <c r="A1186" s="5" t="s">
        <v>776</v>
      </c>
      <c r="B1186" s="5" t="s">
        <v>3645</v>
      </c>
      <c r="C1186" s="5" t="s">
        <v>1787</v>
      </c>
      <c r="D1186" s="135" t="s">
        <v>2994</v>
      </c>
      <c r="E1186" s="136"/>
      <c r="F1186" s="5" t="s">
        <v>3612</v>
      </c>
      <c r="G1186" s="18">
        <v>1</v>
      </c>
      <c r="H1186" s="18">
        <v>0</v>
      </c>
    </row>
    <row r="1187" spans="1:8" x14ac:dyDescent="0.2">
      <c r="A1187" s="5" t="s">
        <v>777</v>
      </c>
      <c r="B1187" s="5" t="s">
        <v>3645</v>
      </c>
      <c r="C1187" s="5" t="s">
        <v>1788</v>
      </c>
      <c r="D1187" s="135" t="s">
        <v>2995</v>
      </c>
      <c r="E1187" s="136"/>
      <c r="F1187" s="5" t="s">
        <v>3612</v>
      </c>
      <c r="G1187" s="18">
        <v>2</v>
      </c>
      <c r="H1187" s="18">
        <v>0</v>
      </c>
    </row>
    <row r="1188" spans="1:8" x14ac:dyDescent="0.2">
      <c r="A1188" s="5" t="s">
        <v>778</v>
      </c>
      <c r="B1188" s="5" t="s">
        <v>3645</v>
      </c>
      <c r="C1188" s="5" t="s">
        <v>1789</v>
      </c>
      <c r="D1188" s="135" t="s">
        <v>2996</v>
      </c>
      <c r="E1188" s="136"/>
      <c r="F1188" s="5" t="s">
        <v>3612</v>
      </c>
      <c r="G1188" s="18">
        <v>1</v>
      </c>
      <c r="H1188" s="18">
        <v>0</v>
      </c>
    </row>
    <row r="1189" spans="1:8" x14ac:dyDescent="0.2">
      <c r="A1189" s="5" t="s">
        <v>779</v>
      </c>
      <c r="B1189" s="5" t="s">
        <v>3645</v>
      </c>
      <c r="C1189" s="5" t="s">
        <v>1790</v>
      </c>
      <c r="D1189" s="135" t="s">
        <v>2997</v>
      </c>
      <c r="E1189" s="136"/>
      <c r="F1189" s="5" t="s">
        <v>3612</v>
      </c>
      <c r="G1189" s="18">
        <v>8</v>
      </c>
      <c r="H1189" s="18">
        <v>0</v>
      </c>
    </row>
    <row r="1190" spans="1:8" x14ac:dyDescent="0.2">
      <c r="A1190" s="5" t="s">
        <v>780</v>
      </c>
      <c r="B1190" s="5" t="s">
        <v>3645</v>
      </c>
      <c r="C1190" s="5" t="s">
        <v>1791</v>
      </c>
      <c r="D1190" s="135" t="s">
        <v>2998</v>
      </c>
      <c r="E1190" s="136"/>
      <c r="F1190" s="5" t="s">
        <v>3612</v>
      </c>
      <c r="G1190" s="18">
        <v>62</v>
      </c>
      <c r="H1190" s="18">
        <v>0</v>
      </c>
    </row>
    <row r="1191" spans="1:8" x14ac:dyDescent="0.2">
      <c r="A1191" s="5" t="s">
        <v>781</v>
      </c>
      <c r="B1191" s="5" t="s">
        <v>3645</v>
      </c>
      <c r="C1191" s="5" t="s">
        <v>1792</v>
      </c>
      <c r="D1191" s="135" t="s">
        <v>2999</v>
      </c>
      <c r="E1191" s="136"/>
      <c r="F1191" s="5" t="s">
        <v>3614</v>
      </c>
      <c r="G1191" s="18">
        <v>50</v>
      </c>
      <c r="H1191" s="18">
        <v>0</v>
      </c>
    </row>
    <row r="1192" spans="1:8" x14ac:dyDescent="0.2">
      <c r="A1192" s="5" t="s">
        <v>782</v>
      </c>
      <c r="B1192" s="5" t="s">
        <v>3645</v>
      </c>
      <c r="C1192" s="5" t="s">
        <v>1793</v>
      </c>
      <c r="D1192" s="135" t="s">
        <v>3000</v>
      </c>
      <c r="E1192" s="136"/>
      <c r="F1192" s="5" t="s">
        <v>3614</v>
      </c>
      <c r="G1192" s="18">
        <v>50</v>
      </c>
      <c r="H1192" s="18">
        <v>0</v>
      </c>
    </row>
    <row r="1193" spans="1:8" x14ac:dyDescent="0.2">
      <c r="A1193" s="5" t="s">
        <v>783</v>
      </c>
      <c r="B1193" s="5" t="s">
        <v>3645</v>
      </c>
      <c r="C1193" s="5" t="s">
        <v>1794</v>
      </c>
      <c r="D1193" s="135" t="s">
        <v>3001</v>
      </c>
      <c r="E1193" s="136"/>
      <c r="F1193" s="5" t="s">
        <v>3612</v>
      </c>
      <c r="G1193" s="18">
        <v>62</v>
      </c>
      <c r="H1193" s="18">
        <v>0</v>
      </c>
    </row>
    <row r="1194" spans="1:8" x14ac:dyDescent="0.2">
      <c r="A1194" s="5" t="s">
        <v>784</v>
      </c>
      <c r="B1194" s="5" t="s">
        <v>3645</v>
      </c>
      <c r="C1194" s="5" t="s">
        <v>1795</v>
      </c>
      <c r="D1194" s="135" t="s">
        <v>3002</v>
      </c>
      <c r="E1194" s="136"/>
      <c r="F1194" s="5" t="s">
        <v>3615</v>
      </c>
      <c r="G1194" s="18">
        <v>459.2</v>
      </c>
      <c r="H1194" s="18">
        <v>0</v>
      </c>
    </row>
    <row r="1195" spans="1:8" x14ac:dyDescent="0.2">
      <c r="A1195" s="5" t="s">
        <v>785</v>
      </c>
      <c r="B1195" s="5" t="s">
        <v>3645</v>
      </c>
      <c r="C1195" s="5" t="s">
        <v>1796</v>
      </c>
      <c r="D1195" s="135" t="s">
        <v>3003</v>
      </c>
      <c r="E1195" s="136"/>
      <c r="F1195" s="5" t="s">
        <v>3619</v>
      </c>
      <c r="G1195" s="18">
        <v>25</v>
      </c>
      <c r="H1195" s="18">
        <v>0</v>
      </c>
    </row>
    <row r="1196" spans="1:8" x14ac:dyDescent="0.2">
      <c r="A1196" s="5" t="s">
        <v>786</v>
      </c>
      <c r="B1196" s="5" t="s">
        <v>3645</v>
      </c>
      <c r="C1196" s="5" t="s">
        <v>1797</v>
      </c>
      <c r="D1196" s="135" t="s">
        <v>3004</v>
      </c>
      <c r="E1196" s="136"/>
      <c r="F1196" s="5" t="s">
        <v>3619</v>
      </c>
      <c r="G1196" s="18">
        <v>40</v>
      </c>
      <c r="H1196" s="18">
        <v>0</v>
      </c>
    </row>
    <row r="1197" spans="1:8" x14ac:dyDescent="0.2">
      <c r="A1197" s="5" t="s">
        <v>787</v>
      </c>
      <c r="B1197" s="5" t="s">
        <v>3645</v>
      </c>
      <c r="C1197" s="5" t="s">
        <v>1798</v>
      </c>
      <c r="D1197" s="135" t="s">
        <v>2874</v>
      </c>
      <c r="E1197" s="136"/>
      <c r="F1197" s="5" t="s">
        <v>3618</v>
      </c>
      <c r="G1197" s="18">
        <v>1</v>
      </c>
      <c r="H1197" s="18">
        <v>0</v>
      </c>
    </row>
    <row r="1198" spans="1:8" x14ac:dyDescent="0.2">
      <c r="A1198" s="5" t="s">
        <v>788</v>
      </c>
      <c r="B1198" s="5" t="s">
        <v>3645</v>
      </c>
      <c r="C1198" s="5" t="s">
        <v>1799</v>
      </c>
      <c r="D1198" s="135" t="s">
        <v>3005</v>
      </c>
      <c r="E1198" s="136"/>
      <c r="F1198" s="5" t="s">
        <v>3612</v>
      </c>
      <c r="G1198" s="18">
        <v>26</v>
      </c>
      <c r="H1198" s="18">
        <v>0</v>
      </c>
    </row>
    <row r="1199" spans="1:8" x14ac:dyDescent="0.2">
      <c r="A1199" s="5" t="s">
        <v>789</v>
      </c>
      <c r="B1199" s="5" t="s">
        <v>3645</v>
      </c>
      <c r="C1199" s="5" t="s">
        <v>1800</v>
      </c>
      <c r="D1199" s="135" t="s">
        <v>2792</v>
      </c>
      <c r="E1199" s="136"/>
      <c r="F1199" s="5" t="s">
        <v>3619</v>
      </c>
      <c r="G1199" s="18">
        <v>50</v>
      </c>
      <c r="H1199" s="18">
        <v>0</v>
      </c>
    </row>
    <row r="1200" spans="1:8" x14ac:dyDescent="0.2">
      <c r="A1200" s="5" t="s">
        <v>790</v>
      </c>
      <c r="B1200" s="5" t="s">
        <v>3645</v>
      </c>
      <c r="C1200" s="5" t="s">
        <v>1801</v>
      </c>
      <c r="D1200" s="135" t="s">
        <v>3006</v>
      </c>
      <c r="E1200" s="136"/>
      <c r="F1200" s="5" t="s">
        <v>3612</v>
      </c>
      <c r="G1200" s="18">
        <v>1</v>
      </c>
      <c r="H1200" s="18">
        <v>0</v>
      </c>
    </row>
    <row r="1201" spans="1:8" x14ac:dyDescent="0.2">
      <c r="A1201" s="5" t="s">
        <v>791</v>
      </c>
      <c r="B1201" s="5" t="s">
        <v>3645</v>
      </c>
      <c r="C1201" s="5" t="s">
        <v>1802</v>
      </c>
      <c r="D1201" s="135" t="s">
        <v>3007</v>
      </c>
      <c r="E1201" s="136"/>
      <c r="F1201" s="5" t="s">
        <v>3612</v>
      </c>
      <c r="G1201" s="18">
        <v>1</v>
      </c>
      <c r="H1201" s="18">
        <v>0</v>
      </c>
    </row>
    <row r="1202" spans="1:8" x14ac:dyDescent="0.2">
      <c r="A1202" s="5" t="s">
        <v>792</v>
      </c>
      <c r="B1202" s="5" t="s">
        <v>3645</v>
      </c>
      <c r="C1202" s="5" t="s">
        <v>1803</v>
      </c>
      <c r="D1202" s="135" t="s">
        <v>3008</v>
      </c>
      <c r="E1202" s="136"/>
      <c r="F1202" s="5" t="s">
        <v>3612</v>
      </c>
      <c r="G1202" s="18">
        <v>1</v>
      </c>
      <c r="H1202" s="18">
        <v>0</v>
      </c>
    </row>
    <row r="1203" spans="1:8" x14ac:dyDescent="0.2">
      <c r="A1203" s="5" t="s">
        <v>793</v>
      </c>
      <c r="B1203" s="5" t="s">
        <v>3645</v>
      </c>
      <c r="C1203" s="5" t="s">
        <v>1804</v>
      </c>
      <c r="D1203" s="135" t="s">
        <v>2878</v>
      </c>
      <c r="E1203" s="136"/>
      <c r="F1203" s="5" t="s">
        <v>3612</v>
      </c>
      <c r="G1203" s="18">
        <v>6</v>
      </c>
      <c r="H1203" s="18">
        <v>0</v>
      </c>
    </row>
    <row r="1204" spans="1:8" x14ac:dyDescent="0.2">
      <c r="A1204" s="5" t="s">
        <v>794</v>
      </c>
      <c r="B1204" s="5" t="s">
        <v>3645</v>
      </c>
      <c r="C1204" s="5" t="s">
        <v>1805</v>
      </c>
      <c r="D1204" s="135" t="s">
        <v>3009</v>
      </c>
      <c r="E1204" s="136"/>
      <c r="F1204" s="5" t="s">
        <v>3612</v>
      </c>
      <c r="G1204" s="18">
        <v>1</v>
      </c>
      <c r="H1204" s="18">
        <v>0</v>
      </c>
    </row>
    <row r="1205" spans="1:8" x14ac:dyDescent="0.2">
      <c r="A1205" s="5" t="s">
        <v>795</v>
      </c>
      <c r="B1205" s="5" t="s">
        <v>3645</v>
      </c>
      <c r="C1205" s="5" t="s">
        <v>1806</v>
      </c>
      <c r="D1205" s="135" t="s">
        <v>3010</v>
      </c>
      <c r="E1205" s="136"/>
      <c r="F1205" s="5" t="s">
        <v>3618</v>
      </c>
      <c r="G1205" s="18">
        <v>1</v>
      </c>
      <c r="H1205" s="18">
        <v>0</v>
      </c>
    </row>
    <row r="1206" spans="1:8" x14ac:dyDescent="0.2">
      <c r="A1206" s="5" t="s">
        <v>796</v>
      </c>
      <c r="B1206" s="5" t="s">
        <v>3645</v>
      </c>
      <c r="C1206" s="5" t="s">
        <v>1807</v>
      </c>
      <c r="D1206" s="135" t="s">
        <v>2785</v>
      </c>
      <c r="E1206" s="136"/>
      <c r="F1206" s="5" t="s">
        <v>3612</v>
      </c>
      <c r="G1206" s="18">
        <v>3</v>
      </c>
      <c r="H1206" s="18">
        <v>0</v>
      </c>
    </row>
    <row r="1207" spans="1:8" x14ac:dyDescent="0.2">
      <c r="A1207" s="5" t="s">
        <v>797</v>
      </c>
      <c r="B1207" s="5" t="s">
        <v>3645</v>
      </c>
      <c r="C1207" s="5" t="s">
        <v>1808</v>
      </c>
      <c r="D1207" s="135" t="s">
        <v>3011</v>
      </c>
      <c r="E1207" s="136"/>
      <c r="F1207" s="5" t="s">
        <v>3612</v>
      </c>
      <c r="G1207" s="18">
        <v>1</v>
      </c>
      <c r="H1207" s="18">
        <v>0</v>
      </c>
    </row>
    <row r="1208" spans="1:8" x14ac:dyDescent="0.2">
      <c r="A1208" s="5" t="s">
        <v>798</v>
      </c>
      <c r="B1208" s="5" t="s">
        <v>3645</v>
      </c>
      <c r="C1208" s="5" t="s">
        <v>1809</v>
      </c>
      <c r="D1208" s="135" t="s">
        <v>2798</v>
      </c>
      <c r="E1208" s="136"/>
      <c r="F1208" s="5" t="s">
        <v>3619</v>
      </c>
      <c r="G1208" s="18">
        <v>40</v>
      </c>
      <c r="H1208" s="18">
        <v>0</v>
      </c>
    </row>
    <row r="1209" spans="1:8" x14ac:dyDescent="0.2">
      <c r="A1209" s="5" t="s">
        <v>799</v>
      </c>
      <c r="B1209" s="5" t="s">
        <v>3645</v>
      </c>
      <c r="C1209" s="5" t="s">
        <v>1810</v>
      </c>
      <c r="D1209" s="135" t="s">
        <v>2799</v>
      </c>
      <c r="E1209" s="136"/>
      <c r="F1209" s="5" t="s">
        <v>3612</v>
      </c>
      <c r="G1209" s="18">
        <v>1</v>
      </c>
      <c r="H1209" s="18">
        <v>0</v>
      </c>
    </row>
    <row r="1210" spans="1:8" x14ac:dyDescent="0.2">
      <c r="A1210" s="5" t="s">
        <v>800</v>
      </c>
      <c r="B1210" s="5" t="s">
        <v>3645</v>
      </c>
      <c r="C1210" s="5" t="s">
        <v>1811</v>
      </c>
      <c r="D1210" s="135" t="s">
        <v>2800</v>
      </c>
      <c r="E1210" s="136"/>
      <c r="F1210" s="5" t="s">
        <v>3612</v>
      </c>
      <c r="G1210" s="18">
        <v>1</v>
      </c>
      <c r="H1210" s="18">
        <v>0</v>
      </c>
    </row>
    <row r="1211" spans="1:8" x14ac:dyDescent="0.2">
      <c r="A1211" s="5" t="s">
        <v>801</v>
      </c>
      <c r="B1211" s="5" t="s">
        <v>3645</v>
      </c>
      <c r="C1211" s="5" t="s">
        <v>1812</v>
      </c>
      <c r="D1211" s="135" t="s">
        <v>2801</v>
      </c>
      <c r="E1211" s="136"/>
      <c r="F1211" s="5" t="s">
        <v>3612</v>
      </c>
      <c r="G1211" s="18">
        <v>1</v>
      </c>
      <c r="H1211" s="18">
        <v>0</v>
      </c>
    </row>
    <row r="1212" spans="1:8" x14ac:dyDescent="0.2">
      <c r="A1212" s="14"/>
      <c r="B1212" s="14"/>
      <c r="C1212" s="14" t="s">
        <v>2260</v>
      </c>
      <c r="D1212" s="133" t="s">
        <v>3467</v>
      </c>
      <c r="E1212" s="134"/>
      <c r="F1212" s="14"/>
      <c r="G1212" s="27"/>
      <c r="H1212" s="27"/>
    </row>
    <row r="1213" spans="1:8" x14ac:dyDescent="0.2">
      <c r="A1213" s="5" t="s">
        <v>802</v>
      </c>
      <c r="B1213" s="5" t="s">
        <v>3647</v>
      </c>
      <c r="C1213" s="5" t="s">
        <v>2261</v>
      </c>
      <c r="D1213" s="135" t="s">
        <v>3468</v>
      </c>
      <c r="E1213" s="136"/>
      <c r="F1213" s="5" t="s">
        <v>3612</v>
      </c>
      <c r="G1213" s="18">
        <v>1</v>
      </c>
      <c r="H1213" s="18">
        <v>0</v>
      </c>
    </row>
    <row r="1214" spans="1:8" x14ac:dyDescent="0.2">
      <c r="A1214" s="5" t="s">
        <v>803</v>
      </c>
      <c r="B1214" s="5" t="s">
        <v>3647</v>
      </c>
      <c r="C1214" s="5" t="s">
        <v>2262</v>
      </c>
      <c r="D1214" s="135" t="s">
        <v>3469</v>
      </c>
      <c r="E1214" s="136"/>
      <c r="F1214" s="5" t="s">
        <v>3612</v>
      </c>
      <c r="G1214" s="18">
        <v>1</v>
      </c>
      <c r="H1214" s="18">
        <v>0</v>
      </c>
    </row>
    <row r="1215" spans="1:8" x14ac:dyDescent="0.2">
      <c r="A1215" s="5" t="s">
        <v>804</v>
      </c>
      <c r="B1215" s="5" t="s">
        <v>3647</v>
      </c>
      <c r="C1215" s="5" t="s">
        <v>2263</v>
      </c>
      <c r="D1215" s="135" t="s">
        <v>3470</v>
      </c>
      <c r="E1215" s="136"/>
      <c r="F1215" s="5" t="s">
        <v>3612</v>
      </c>
      <c r="G1215" s="18">
        <v>1</v>
      </c>
      <c r="H1215" s="18">
        <v>0</v>
      </c>
    </row>
    <row r="1216" spans="1:8" x14ac:dyDescent="0.2">
      <c r="A1216" s="5" t="s">
        <v>805</v>
      </c>
      <c r="B1216" s="5" t="s">
        <v>3647</v>
      </c>
      <c r="C1216" s="5" t="s">
        <v>2264</v>
      </c>
      <c r="D1216" s="135" t="s">
        <v>3471</v>
      </c>
      <c r="E1216" s="136"/>
      <c r="F1216" s="5" t="s">
        <v>3612</v>
      </c>
      <c r="G1216" s="18">
        <v>1</v>
      </c>
      <c r="H1216" s="18">
        <v>0</v>
      </c>
    </row>
    <row r="1217" spans="1:8" x14ac:dyDescent="0.2">
      <c r="A1217" s="5" t="s">
        <v>806</v>
      </c>
      <c r="B1217" s="5" t="s">
        <v>3647</v>
      </c>
      <c r="C1217" s="5" t="s">
        <v>2265</v>
      </c>
      <c r="D1217" s="135" t="s">
        <v>3472</v>
      </c>
      <c r="E1217" s="136"/>
      <c r="F1217" s="5" t="s">
        <v>3612</v>
      </c>
      <c r="G1217" s="18">
        <v>1</v>
      </c>
      <c r="H1217" s="18">
        <v>0</v>
      </c>
    </row>
    <row r="1218" spans="1:8" x14ac:dyDescent="0.2">
      <c r="A1218" s="5" t="s">
        <v>807</v>
      </c>
      <c r="B1218" s="5" t="s">
        <v>3647</v>
      </c>
      <c r="C1218" s="5" t="s">
        <v>2266</v>
      </c>
      <c r="D1218" s="135" t="s">
        <v>3473</v>
      </c>
      <c r="E1218" s="136"/>
      <c r="F1218" s="5" t="s">
        <v>3612</v>
      </c>
      <c r="G1218" s="18">
        <v>1</v>
      </c>
      <c r="H1218" s="18">
        <v>0</v>
      </c>
    </row>
    <row r="1219" spans="1:8" x14ac:dyDescent="0.2">
      <c r="A1219" s="5" t="s">
        <v>808</v>
      </c>
      <c r="B1219" s="5" t="s">
        <v>3647</v>
      </c>
      <c r="C1219" s="5" t="s">
        <v>2267</v>
      </c>
      <c r="D1219" s="135" t="s">
        <v>3474</v>
      </c>
      <c r="E1219" s="136"/>
      <c r="F1219" s="5" t="s">
        <v>3612</v>
      </c>
      <c r="G1219" s="18">
        <v>1</v>
      </c>
      <c r="H1219" s="18">
        <v>0</v>
      </c>
    </row>
    <row r="1220" spans="1:8" x14ac:dyDescent="0.2">
      <c r="A1220" s="5" t="s">
        <v>809</v>
      </c>
      <c r="B1220" s="5" t="s">
        <v>3647</v>
      </c>
      <c r="C1220" s="5" t="s">
        <v>2268</v>
      </c>
      <c r="D1220" s="135" t="s">
        <v>3475</v>
      </c>
      <c r="E1220" s="136"/>
      <c r="F1220" s="5" t="s">
        <v>3612</v>
      </c>
      <c r="G1220" s="18">
        <v>1</v>
      </c>
      <c r="H1220" s="18">
        <v>0</v>
      </c>
    </row>
    <row r="1221" spans="1:8" x14ac:dyDescent="0.2">
      <c r="A1221" s="5" t="s">
        <v>810</v>
      </c>
      <c r="B1221" s="5" t="s">
        <v>3647</v>
      </c>
      <c r="C1221" s="5" t="s">
        <v>2269</v>
      </c>
      <c r="D1221" s="135" t="s">
        <v>3476</v>
      </c>
      <c r="E1221" s="136"/>
      <c r="F1221" s="5" t="s">
        <v>3612</v>
      </c>
      <c r="G1221" s="18">
        <v>2</v>
      </c>
      <c r="H1221" s="18">
        <v>0</v>
      </c>
    </row>
    <row r="1222" spans="1:8" x14ac:dyDescent="0.2">
      <c r="A1222" s="5" t="s">
        <v>811</v>
      </c>
      <c r="B1222" s="5" t="s">
        <v>3647</v>
      </c>
      <c r="C1222" s="5" t="s">
        <v>2270</v>
      </c>
      <c r="D1222" s="135" t="s">
        <v>3477</v>
      </c>
      <c r="E1222" s="136"/>
      <c r="F1222" s="5" t="s">
        <v>3612</v>
      </c>
      <c r="G1222" s="18">
        <v>1</v>
      </c>
      <c r="H1222" s="18">
        <v>0</v>
      </c>
    </row>
    <row r="1223" spans="1:8" x14ac:dyDescent="0.2">
      <c r="A1223" s="5" t="s">
        <v>812</v>
      </c>
      <c r="B1223" s="5" t="s">
        <v>3647</v>
      </c>
      <c r="C1223" s="5" t="s">
        <v>2271</v>
      </c>
      <c r="D1223" s="135" t="s">
        <v>3478</v>
      </c>
      <c r="E1223" s="136"/>
      <c r="F1223" s="5" t="s">
        <v>3612</v>
      </c>
      <c r="G1223" s="18">
        <v>1</v>
      </c>
      <c r="H1223" s="18">
        <v>0</v>
      </c>
    </row>
    <row r="1224" spans="1:8" x14ac:dyDescent="0.2">
      <c r="A1224" s="5" t="s">
        <v>813</v>
      </c>
      <c r="B1224" s="5" t="s">
        <v>3647</v>
      </c>
      <c r="C1224" s="5" t="s">
        <v>2272</v>
      </c>
      <c r="D1224" s="135" t="s">
        <v>3479</v>
      </c>
      <c r="E1224" s="136"/>
      <c r="F1224" s="5" t="s">
        <v>3612</v>
      </c>
      <c r="G1224" s="18">
        <v>1</v>
      </c>
      <c r="H1224" s="18">
        <v>0</v>
      </c>
    </row>
    <row r="1225" spans="1:8" x14ac:dyDescent="0.2">
      <c r="A1225" s="5" t="s">
        <v>814</v>
      </c>
      <c r="B1225" s="5" t="s">
        <v>3647</v>
      </c>
      <c r="C1225" s="5" t="s">
        <v>2273</v>
      </c>
      <c r="D1225" s="135" t="s">
        <v>3480</v>
      </c>
      <c r="E1225" s="136"/>
      <c r="F1225" s="5" t="s">
        <v>3612</v>
      </c>
      <c r="G1225" s="18">
        <v>1</v>
      </c>
      <c r="H1225" s="18">
        <v>0</v>
      </c>
    </row>
    <row r="1226" spans="1:8" x14ac:dyDescent="0.2">
      <c r="A1226" s="5" t="s">
        <v>815</v>
      </c>
      <c r="B1226" s="5" t="s">
        <v>3647</v>
      </c>
      <c r="C1226" s="5" t="s">
        <v>2274</v>
      </c>
      <c r="D1226" s="135" t="s">
        <v>3481</v>
      </c>
      <c r="E1226" s="136"/>
      <c r="F1226" s="5" t="s">
        <v>3612</v>
      </c>
      <c r="G1226" s="18">
        <v>1</v>
      </c>
      <c r="H1226" s="18">
        <v>0</v>
      </c>
    </row>
    <row r="1227" spans="1:8" x14ac:dyDescent="0.2">
      <c r="A1227" s="5" t="s">
        <v>816</v>
      </c>
      <c r="B1227" s="5" t="s">
        <v>3647</v>
      </c>
      <c r="C1227" s="5" t="s">
        <v>2275</v>
      </c>
      <c r="D1227" s="135" t="s">
        <v>3482</v>
      </c>
      <c r="E1227" s="136"/>
      <c r="F1227" s="5" t="s">
        <v>3612</v>
      </c>
      <c r="G1227" s="18">
        <v>1</v>
      </c>
      <c r="H1227" s="18">
        <v>0</v>
      </c>
    </row>
    <row r="1228" spans="1:8" x14ac:dyDescent="0.2">
      <c r="A1228" s="5" t="s">
        <v>817</v>
      </c>
      <c r="B1228" s="5" t="s">
        <v>3647</v>
      </c>
      <c r="C1228" s="5" t="s">
        <v>2276</v>
      </c>
      <c r="D1228" s="135" t="s">
        <v>3483</v>
      </c>
      <c r="E1228" s="136"/>
      <c r="F1228" s="5" t="s">
        <v>3612</v>
      </c>
      <c r="G1228" s="18">
        <v>1</v>
      </c>
      <c r="H1228" s="18">
        <v>0</v>
      </c>
    </row>
    <row r="1229" spans="1:8" x14ac:dyDescent="0.2">
      <c r="A1229" s="5" t="s">
        <v>818</v>
      </c>
      <c r="B1229" s="5" t="s">
        <v>3647</v>
      </c>
      <c r="C1229" s="5" t="s">
        <v>2277</v>
      </c>
      <c r="D1229" s="135" t="s">
        <v>3484</v>
      </c>
      <c r="E1229" s="136"/>
      <c r="F1229" s="5" t="s">
        <v>3612</v>
      </c>
      <c r="G1229" s="18">
        <v>1</v>
      </c>
      <c r="H1229" s="18">
        <v>0</v>
      </c>
    </row>
    <row r="1230" spans="1:8" x14ac:dyDescent="0.2">
      <c r="A1230" s="5" t="s">
        <v>819</v>
      </c>
      <c r="B1230" s="5" t="s">
        <v>3647</v>
      </c>
      <c r="C1230" s="5" t="s">
        <v>2278</v>
      </c>
      <c r="D1230" s="135" t="s">
        <v>3485</v>
      </c>
      <c r="E1230" s="136"/>
      <c r="F1230" s="5" t="s">
        <v>3612</v>
      </c>
      <c r="G1230" s="18">
        <v>15</v>
      </c>
      <c r="H1230" s="18">
        <v>0</v>
      </c>
    </row>
    <row r="1231" spans="1:8" x14ac:dyDescent="0.2">
      <c r="A1231" s="5" t="s">
        <v>820</v>
      </c>
      <c r="B1231" s="5" t="s">
        <v>3647</v>
      </c>
      <c r="C1231" s="5" t="s">
        <v>2279</v>
      </c>
      <c r="D1231" s="135" t="s">
        <v>3486</v>
      </c>
      <c r="E1231" s="136"/>
      <c r="F1231" s="5" t="s">
        <v>3612</v>
      </c>
      <c r="G1231" s="18">
        <v>1</v>
      </c>
      <c r="H1231" s="18">
        <v>0</v>
      </c>
    </row>
    <row r="1232" spans="1:8" x14ac:dyDescent="0.2">
      <c r="A1232" s="5" t="s">
        <v>821</v>
      </c>
      <c r="B1232" s="5" t="s">
        <v>3647</v>
      </c>
      <c r="C1232" s="5" t="s">
        <v>2280</v>
      </c>
      <c r="D1232" s="135" t="s">
        <v>3487</v>
      </c>
      <c r="E1232" s="136"/>
      <c r="F1232" s="5" t="s">
        <v>3612</v>
      </c>
      <c r="G1232" s="18">
        <v>1</v>
      </c>
      <c r="H1232" s="18">
        <v>0</v>
      </c>
    </row>
    <row r="1233" spans="1:8" x14ac:dyDescent="0.2">
      <c r="A1233" s="5" t="s">
        <v>822</v>
      </c>
      <c r="B1233" s="5" t="s">
        <v>3647</v>
      </c>
      <c r="C1233" s="5" t="s">
        <v>2281</v>
      </c>
      <c r="D1233" s="135" t="s">
        <v>3488</v>
      </c>
      <c r="E1233" s="136"/>
      <c r="F1233" s="5" t="s">
        <v>3612</v>
      </c>
      <c r="G1233" s="18">
        <v>1</v>
      </c>
      <c r="H1233" s="18">
        <v>0</v>
      </c>
    </row>
    <row r="1234" spans="1:8" x14ac:dyDescent="0.2">
      <c r="A1234" s="5" t="s">
        <v>823</v>
      </c>
      <c r="B1234" s="5" t="s">
        <v>3647</v>
      </c>
      <c r="C1234" s="5" t="s">
        <v>2282</v>
      </c>
      <c r="D1234" s="135" t="s">
        <v>3489</v>
      </c>
      <c r="E1234" s="136"/>
      <c r="F1234" s="5" t="s">
        <v>3612</v>
      </c>
      <c r="G1234" s="18">
        <v>1</v>
      </c>
      <c r="H1234" s="18">
        <v>0</v>
      </c>
    </row>
    <row r="1235" spans="1:8" x14ac:dyDescent="0.2">
      <c r="A1235" s="5" t="s">
        <v>824</v>
      </c>
      <c r="B1235" s="5" t="s">
        <v>3647</v>
      </c>
      <c r="C1235" s="5" t="s">
        <v>2283</v>
      </c>
      <c r="D1235" s="135" t="s">
        <v>3490</v>
      </c>
      <c r="E1235" s="136"/>
      <c r="F1235" s="5" t="s">
        <v>3612</v>
      </c>
      <c r="G1235" s="18">
        <v>2</v>
      </c>
      <c r="H1235" s="18">
        <v>0</v>
      </c>
    </row>
    <row r="1236" spans="1:8" x14ac:dyDescent="0.2">
      <c r="A1236" s="5" t="s">
        <v>825</v>
      </c>
      <c r="B1236" s="5" t="s">
        <v>3647</v>
      </c>
      <c r="C1236" s="5" t="s">
        <v>2284</v>
      </c>
      <c r="D1236" s="135" t="s">
        <v>3491</v>
      </c>
      <c r="E1236" s="136"/>
      <c r="F1236" s="5" t="s">
        <v>3612</v>
      </c>
      <c r="G1236" s="18">
        <v>4</v>
      </c>
      <c r="H1236" s="18">
        <v>0</v>
      </c>
    </row>
    <row r="1237" spans="1:8" x14ac:dyDescent="0.2">
      <c r="A1237" s="5" t="s">
        <v>826</v>
      </c>
      <c r="B1237" s="5" t="s">
        <v>3647</v>
      </c>
      <c r="C1237" s="5" t="s">
        <v>2285</v>
      </c>
      <c r="D1237" s="135" t="s">
        <v>3492</v>
      </c>
      <c r="E1237" s="136"/>
      <c r="F1237" s="5" t="s">
        <v>3612</v>
      </c>
      <c r="G1237" s="18">
        <v>4</v>
      </c>
      <c r="H1237" s="18">
        <v>0</v>
      </c>
    </row>
    <row r="1238" spans="1:8" x14ac:dyDescent="0.2">
      <c r="A1238" s="5" t="s">
        <v>827</v>
      </c>
      <c r="B1238" s="5" t="s">
        <v>3647</v>
      </c>
      <c r="C1238" s="5" t="s">
        <v>2286</v>
      </c>
      <c r="D1238" s="135" t="s">
        <v>3493</v>
      </c>
      <c r="E1238" s="136"/>
      <c r="F1238" s="5" t="s">
        <v>3612</v>
      </c>
      <c r="G1238" s="18">
        <v>4</v>
      </c>
      <c r="H1238" s="18">
        <v>0</v>
      </c>
    </row>
    <row r="1239" spans="1:8" x14ac:dyDescent="0.2">
      <c r="A1239" s="5" t="s">
        <v>828</v>
      </c>
      <c r="B1239" s="5" t="s">
        <v>3647</v>
      </c>
      <c r="C1239" s="5" t="s">
        <v>2287</v>
      </c>
      <c r="D1239" s="135" t="s">
        <v>3494</v>
      </c>
      <c r="E1239" s="136"/>
      <c r="F1239" s="5" t="s">
        <v>3612</v>
      </c>
      <c r="G1239" s="18">
        <v>4</v>
      </c>
      <c r="H1239" s="18">
        <v>0</v>
      </c>
    </row>
    <row r="1240" spans="1:8" x14ac:dyDescent="0.2">
      <c r="A1240" s="5" t="s">
        <v>829</v>
      </c>
      <c r="B1240" s="5" t="s">
        <v>3647</v>
      </c>
      <c r="C1240" s="5" t="s">
        <v>2288</v>
      </c>
      <c r="D1240" s="135" t="s">
        <v>3495</v>
      </c>
      <c r="E1240" s="136"/>
      <c r="F1240" s="5" t="s">
        <v>3612</v>
      </c>
      <c r="G1240" s="18">
        <v>4</v>
      </c>
      <c r="H1240" s="18">
        <v>0</v>
      </c>
    </row>
    <row r="1241" spans="1:8" x14ac:dyDescent="0.2">
      <c r="A1241" s="5" t="s">
        <v>830</v>
      </c>
      <c r="B1241" s="5" t="s">
        <v>3647</v>
      </c>
      <c r="C1241" s="5" t="s">
        <v>2289</v>
      </c>
      <c r="D1241" s="135" t="s">
        <v>3496</v>
      </c>
      <c r="E1241" s="136"/>
      <c r="F1241" s="5" t="s">
        <v>3612</v>
      </c>
      <c r="G1241" s="18">
        <v>8</v>
      </c>
      <c r="H1241" s="18">
        <v>0</v>
      </c>
    </row>
    <row r="1242" spans="1:8" x14ac:dyDescent="0.2">
      <c r="A1242" s="5" t="s">
        <v>831</v>
      </c>
      <c r="B1242" s="5" t="s">
        <v>3647</v>
      </c>
      <c r="C1242" s="5" t="s">
        <v>2290</v>
      </c>
      <c r="D1242" s="135" t="s">
        <v>3497</v>
      </c>
      <c r="E1242" s="136"/>
      <c r="F1242" s="5" t="s">
        <v>3612</v>
      </c>
      <c r="G1242" s="18">
        <v>20</v>
      </c>
      <c r="H1242" s="18">
        <v>0</v>
      </c>
    </row>
    <row r="1243" spans="1:8" x14ac:dyDescent="0.2">
      <c r="A1243" s="5" t="s">
        <v>832</v>
      </c>
      <c r="B1243" s="5" t="s">
        <v>3647</v>
      </c>
      <c r="C1243" s="5" t="s">
        <v>2291</v>
      </c>
      <c r="D1243" s="135" t="s">
        <v>3498</v>
      </c>
      <c r="E1243" s="136"/>
      <c r="F1243" s="5" t="s">
        <v>3612</v>
      </c>
      <c r="G1243" s="18">
        <v>3</v>
      </c>
      <c r="H1243" s="18">
        <v>0</v>
      </c>
    </row>
    <row r="1244" spans="1:8" x14ac:dyDescent="0.2">
      <c r="A1244" s="5" t="s">
        <v>833</v>
      </c>
      <c r="B1244" s="5" t="s">
        <v>3647</v>
      </c>
      <c r="C1244" s="5" t="s">
        <v>2292</v>
      </c>
      <c r="D1244" s="135" t="s">
        <v>3499</v>
      </c>
      <c r="E1244" s="136"/>
      <c r="F1244" s="5" t="s">
        <v>3612</v>
      </c>
      <c r="G1244" s="18">
        <v>1</v>
      </c>
      <c r="H1244" s="18">
        <v>0</v>
      </c>
    </row>
    <row r="1245" spans="1:8" x14ac:dyDescent="0.2">
      <c r="A1245" s="5" t="s">
        <v>834</v>
      </c>
      <c r="B1245" s="5" t="s">
        <v>3647</v>
      </c>
      <c r="C1245" s="5" t="s">
        <v>2293</v>
      </c>
      <c r="D1245" s="135" t="s">
        <v>3500</v>
      </c>
      <c r="E1245" s="136"/>
      <c r="F1245" s="5" t="s">
        <v>3612</v>
      </c>
      <c r="G1245" s="18">
        <v>1</v>
      </c>
      <c r="H1245" s="18">
        <v>0</v>
      </c>
    </row>
    <row r="1246" spans="1:8" x14ac:dyDescent="0.2">
      <c r="A1246" s="5" t="s">
        <v>835</v>
      </c>
      <c r="B1246" s="5" t="s">
        <v>3647</v>
      </c>
      <c r="C1246" s="5" t="s">
        <v>2294</v>
      </c>
      <c r="D1246" s="135" t="s">
        <v>3501</v>
      </c>
      <c r="E1246" s="136"/>
      <c r="F1246" s="5" t="s">
        <v>3614</v>
      </c>
      <c r="G1246" s="18">
        <v>45</v>
      </c>
      <c r="H1246" s="18">
        <v>0</v>
      </c>
    </row>
    <row r="1247" spans="1:8" x14ac:dyDescent="0.2">
      <c r="A1247" s="5" t="s">
        <v>836</v>
      </c>
      <c r="B1247" s="5" t="s">
        <v>3647</v>
      </c>
      <c r="C1247" s="5" t="s">
        <v>2295</v>
      </c>
      <c r="D1247" s="135" t="s">
        <v>3502</v>
      </c>
      <c r="E1247" s="136"/>
      <c r="F1247" s="5" t="s">
        <v>3614</v>
      </c>
      <c r="G1247" s="18">
        <v>60</v>
      </c>
      <c r="H1247" s="18">
        <v>0</v>
      </c>
    </row>
    <row r="1248" spans="1:8" x14ac:dyDescent="0.2">
      <c r="A1248" s="5" t="s">
        <v>837</v>
      </c>
      <c r="B1248" s="5" t="s">
        <v>3647</v>
      </c>
      <c r="C1248" s="5" t="s">
        <v>2296</v>
      </c>
      <c r="D1248" s="135" t="s">
        <v>3503</v>
      </c>
      <c r="E1248" s="136"/>
      <c r="F1248" s="5" t="s">
        <v>3614</v>
      </c>
      <c r="G1248" s="18">
        <v>105</v>
      </c>
      <c r="H1248" s="18">
        <v>0</v>
      </c>
    </row>
    <row r="1249" spans="1:8" x14ac:dyDescent="0.2">
      <c r="A1249" s="5" t="s">
        <v>838</v>
      </c>
      <c r="B1249" s="5" t="s">
        <v>3647</v>
      </c>
      <c r="C1249" s="5" t="s">
        <v>2297</v>
      </c>
      <c r="D1249" s="135" t="s">
        <v>3504</v>
      </c>
      <c r="E1249" s="136"/>
      <c r="F1249" s="5" t="s">
        <v>3614</v>
      </c>
      <c r="G1249" s="18">
        <v>210</v>
      </c>
      <c r="H1249" s="18">
        <v>0</v>
      </c>
    </row>
    <row r="1250" spans="1:8" x14ac:dyDescent="0.2">
      <c r="A1250" s="5" t="s">
        <v>839</v>
      </c>
      <c r="B1250" s="5" t="s">
        <v>3647</v>
      </c>
      <c r="C1250" s="5" t="s">
        <v>2298</v>
      </c>
      <c r="D1250" s="135" t="s">
        <v>3505</v>
      </c>
      <c r="E1250" s="136"/>
      <c r="F1250" s="5" t="s">
        <v>3622</v>
      </c>
      <c r="G1250" s="18">
        <v>13</v>
      </c>
      <c r="H1250" s="18">
        <v>0</v>
      </c>
    </row>
    <row r="1251" spans="1:8" x14ac:dyDescent="0.2">
      <c r="A1251" s="5" t="s">
        <v>840</v>
      </c>
      <c r="B1251" s="5" t="s">
        <v>3647</v>
      </c>
      <c r="C1251" s="5" t="s">
        <v>2299</v>
      </c>
      <c r="D1251" s="135" t="s">
        <v>3506</v>
      </c>
      <c r="E1251" s="136"/>
      <c r="F1251" s="5" t="s">
        <v>3614</v>
      </c>
      <c r="G1251" s="18">
        <v>50</v>
      </c>
      <c r="H1251" s="18">
        <v>0</v>
      </c>
    </row>
    <row r="1252" spans="1:8" x14ac:dyDescent="0.2">
      <c r="A1252" s="5" t="s">
        <v>841</v>
      </c>
      <c r="B1252" s="5" t="s">
        <v>3647</v>
      </c>
      <c r="C1252" s="5" t="s">
        <v>2300</v>
      </c>
      <c r="D1252" s="135" t="s">
        <v>3507</v>
      </c>
      <c r="E1252" s="136"/>
      <c r="F1252" s="5" t="s">
        <v>3614</v>
      </c>
      <c r="G1252" s="18">
        <v>5</v>
      </c>
      <c r="H1252" s="18">
        <v>0</v>
      </c>
    </row>
    <row r="1253" spans="1:8" x14ac:dyDescent="0.2">
      <c r="A1253" s="5" t="s">
        <v>842</v>
      </c>
      <c r="B1253" s="5" t="s">
        <v>3647</v>
      </c>
      <c r="C1253" s="5" t="s">
        <v>2301</v>
      </c>
      <c r="D1253" s="135" t="s">
        <v>3508</v>
      </c>
      <c r="E1253" s="136"/>
      <c r="F1253" s="5" t="s">
        <v>3614</v>
      </c>
      <c r="G1253" s="18">
        <v>10</v>
      </c>
      <c r="H1253" s="18">
        <v>0</v>
      </c>
    </row>
    <row r="1254" spans="1:8" x14ac:dyDescent="0.2">
      <c r="A1254" s="5" t="s">
        <v>843</v>
      </c>
      <c r="B1254" s="5" t="s">
        <v>3647</v>
      </c>
      <c r="C1254" s="5" t="s">
        <v>2302</v>
      </c>
      <c r="D1254" s="135" t="s">
        <v>3509</v>
      </c>
      <c r="E1254" s="136"/>
      <c r="F1254" s="5" t="s">
        <v>3614</v>
      </c>
      <c r="G1254" s="18">
        <v>10</v>
      </c>
      <c r="H1254" s="18">
        <v>0</v>
      </c>
    </row>
    <row r="1255" spans="1:8" x14ac:dyDescent="0.2">
      <c r="A1255" s="5" t="s">
        <v>844</v>
      </c>
      <c r="B1255" s="5" t="s">
        <v>3647</v>
      </c>
      <c r="C1255" s="5" t="s">
        <v>2303</v>
      </c>
      <c r="D1255" s="135" t="s">
        <v>3510</v>
      </c>
      <c r="E1255" s="136"/>
      <c r="F1255" s="5" t="s">
        <v>3614</v>
      </c>
      <c r="G1255" s="18">
        <v>30</v>
      </c>
      <c r="H1255" s="18">
        <v>0</v>
      </c>
    </row>
    <row r="1256" spans="1:8" x14ac:dyDescent="0.2">
      <c r="A1256" s="5" t="s">
        <v>845</v>
      </c>
      <c r="B1256" s="5" t="s">
        <v>3647</v>
      </c>
      <c r="C1256" s="5" t="s">
        <v>2304</v>
      </c>
      <c r="D1256" s="135" t="s">
        <v>3511</v>
      </c>
      <c r="E1256" s="136"/>
      <c r="F1256" s="5" t="s">
        <v>3614</v>
      </c>
      <c r="G1256" s="18">
        <v>20</v>
      </c>
      <c r="H1256" s="18">
        <v>0</v>
      </c>
    </row>
    <row r="1257" spans="1:8" x14ac:dyDescent="0.2">
      <c r="A1257" s="5" t="s">
        <v>846</v>
      </c>
      <c r="B1257" s="5" t="s">
        <v>3647</v>
      </c>
      <c r="C1257" s="5" t="s">
        <v>2305</v>
      </c>
      <c r="D1257" s="135" t="s">
        <v>3512</v>
      </c>
      <c r="E1257" s="136"/>
      <c r="F1257" s="5" t="s">
        <v>3612</v>
      </c>
      <c r="G1257" s="18">
        <v>1</v>
      </c>
      <c r="H1257" s="18">
        <v>0</v>
      </c>
    </row>
    <row r="1258" spans="1:8" x14ac:dyDescent="0.2">
      <c r="A1258" s="5" t="s">
        <v>847</v>
      </c>
      <c r="B1258" s="5" t="s">
        <v>3647</v>
      </c>
      <c r="C1258" s="5" t="s">
        <v>2306</v>
      </c>
      <c r="D1258" s="135" t="s">
        <v>3513</v>
      </c>
      <c r="E1258" s="136"/>
      <c r="F1258" s="5" t="s">
        <v>3612</v>
      </c>
      <c r="G1258" s="18">
        <v>1</v>
      </c>
      <c r="H1258" s="18">
        <v>0</v>
      </c>
    </row>
    <row r="1259" spans="1:8" x14ac:dyDescent="0.2">
      <c r="A1259" s="5" t="s">
        <v>848</v>
      </c>
      <c r="B1259" s="5" t="s">
        <v>3647</v>
      </c>
      <c r="C1259" s="5" t="s">
        <v>2307</v>
      </c>
      <c r="D1259" s="135" t="s">
        <v>3514</v>
      </c>
      <c r="E1259" s="136"/>
      <c r="F1259" s="5" t="s">
        <v>3612</v>
      </c>
      <c r="G1259" s="18">
        <v>1</v>
      </c>
      <c r="H1259" s="18">
        <v>0</v>
      </c>
    </row>
    <row r="1260" spans="1:8" x14ac:dyDescent="0.2">
      <c r="A1260" s="5" t="s">
        <v>849</v>
      </c>
      <c r="B1260" s="5" t="s">
        <v>3647</v>
      </c>
      <c r="C1260" s="5" t="s">
        <v>2308</v>
      </c>
      <c r="D1260" s="135" t="s">
        <v>3515</v>
      </c>
      <c r="E1260" s="136"/>
      <c r="F1260" s="5" t="s">
        <v>3612</v>
      </c>
      <c r="G1260" s="18">
        <v>1</v>
      </c>
      <c r="H1260" s="18">
        <v>0</v>
      </c>
    </row>
    <row r="1261" spans="1:8" x14ac:dyDescent="0.2">
      <c r="A1261" s="5" t="s">
        <v>850</v>
      </c>
      <c r="B1261" s="5" t="s">
        <v>3647</v>
      </c>
      <c r="C1261" s="5" t="s">
        <v>2309</v>
      </c>
      <c r="D1261" s="135" t="s">
        <v>3516</v>
      </c>
      <c r="E1261" s="136"/>
      <c r="F1261" s="5" t="s">
        <v>3612</v>
      </c>
      <c r="G1261" s="18">
        <v>1</v>
      </c>
      <c r="H1261" s="18">
        <v>0</v>
      </c>
    </row>
    <row r="1262" spans="1:8" x14ac:dyDescent="0.2">
      <c r="A1262" s="5" t="s">
        <v>851</v>
      </c>
      <c r="B1262" s="5" t="s">
        <v>3647</v>
      </c>
      <c r="C1262" s="5" t="s">
        <v>2310</v>
      </c>
      <c r="D1262" s="135" t="s">
        <v>3517</v>
      </c>
      <c r="E1262" s="136"/>
      <c r="F1262" s="5" t="s">
        <v>3612</v>
      </c>
      <c r="G1262" s="18">
        <v>1</v>
      </c>
      <c r="H1262" s="18">
        <v>0</v>
      </c>
    </row>
    <row r="1263" spans="1:8" x14ac:dyDescent="0.2">
      <c r="A1263" s="5" t="s">
        <v>852</v>
      </c>
      <c r="B1263" s="5" t="s">
        <v>3647</v>
      </c>
      <c r="C1263" s="5" t="s">
        <v>2311</v>
      </c>
      <c r="D1263" s="135" t="s">
        <v>3518</v>
      </c>
      <c r="E1263" s="136"/>
      <c r="F1263" s="5" t="s">
        <v>3612</v>
      </c>
      <c r="G1263" s="18">
        <v>1</v>
      </c>
      <c r="H1263" s="18">
        <v>0</v>
      </c>
    </row>
    <row r="1264" spans="1:8" x14ac:dyDescent="0.2">
      <c r="A1264" s="5" t="s">
        <v>853</v>
      </c>
      <c r="B1264" s="5" t="s">
        <v>3647</v>
      </c>
      <c r="C1264" s="5" t="s">
        <v>2312</v>
      </c>
      <c r="D1264" s="135" t="s">
        <v>3519</v>
      </c>
      <c r="E1264" s="136"/>
      <c r="F1264" s="5" t="s">
        <v>3612</v>
      </c>
      <c r="G1264" s="18">
        <v>1</v>
      </c>
      <c r="H1264" s="18">
        <v>0</v>
      </c>
    </row>
    <row r="1265" spans="1:8" x14ac:dyDescent="0.2">
      <c r="A1265" s="14"/>
      <c r="B1265" s="14"/>
      <c r="C1265" s="14" t="s">
        <v>768</v>
      </c>
      <c r="D1265" s="133" t="s">
        <v>3012</v>
      </c>
      <c r="E1265" s="134"/>
      <c r="F1265" s="14"/>
      <c r="G1265" s="27"/>
      <c r="H1265" s="27"/>
    </row>
    <row r="1266" spans="1:8" x14ac:dyDescent="0.2">
      <c r="A1266" s="5" t="s">
        <v>854</v>
      </c>
      <c r="B1266" s="5" t="s">
        <v>3645</v>
      </c>
      <c r="C1266" s="5" t="s">
        <v>1813</v>
      </c>
      <c r="D1266" s="135" t="s">
        <v>3013</v>
      </c>
      <c r="E1266" s="136"/>
      <c r="F1266" s="5" t="s">
        <v>3612</v>
      </c>
      <c r="G1266" s="18">
        <v>3</v>
      </c>
      <c r="H1266" s="18">
        <v>0</v>
      </c>
    </row>
    <row r="1267" spans="1:8" ht="12.2" customHeight="1" x14ac:dyDescent="0.2">
      <c r="D1267" s="153" t="s">
        <v>4050</v>
      </c>
      <c r="E1267" s="154"/>
      <c r="F1267" s="154"/>
      <c r="G1267" s="51">
        <v>3</v>
      </c>
    </row>
    <row r="1268" spans="1:8" x14ac:dyDescent="0.2">
      <c r="A1268" s="5" t="s">
        <v>855</v>
      </c>
      <c r="B1268" s="5" t="s">
        <v>3645</v>
      </c>
      <c r="C1268" s="5" t="s">
        <v>1814</v>
      </c>
      <c r="D1268" s="135" t="s">
        <v>3014</v>
      </c>
      <c r="E1268" s="136"/>
      <c r="F1268" s="5" t="s">
        <v>3615</v>
      </c>
      <c r="G1268" s="18">
        <v>323.23099999999999</v>
      </c>
      <c r="H1268" s="18">
        <v>0</v>
      </c>
    </row>
    <row r="1269" spans="1:8" ht="12.2" customHeight="1" x14ac:dyDescent="0.2">
      <c r="D1269" s="153" t="s">
        <v>4030</v>
      </c>
      <c r="E1269" s="154"/>
      <c r="F1269" s="154"/>
      <c r="G1269" s="51">
        <v>323.23099999999999</v>
      </c>
    </row>
    <row r="1270" spans="1:8" x14ac:dyDescent="0.2">
      <c r="A1270" s="5" t="s">
        <v>856</v>
      </c>
      <c r="B1270" s="5" t="s">
        <v>3645</v>
      </c>
      <c r="C1270" s="5" t="s">
        <v>1815</v>
      </c>
      <c r="D1270" s="135" t="s">
        <v>3015</v>
      </c>
      <c r="E1270" s="136"/>
      <c r="F1270" s="5" t="s">
        <v>3614</v>
      </c>
      <c r="G1270" s="18">
        <v>140</v>
      </c>
      <c r="H1270" s="18">
        <v>0</v>
      </c>
    </row>
    <row r="1271" spans="1:8" ht="12.2" customHeight="1" x14ac:dyDescent="0.2">
      <c r="D1271" s="153" t="s">
        <v>4051</v>
      </c>
      <c r="E1271" s="154"/>
      <c r="F1271" s="154"/>
      <c r="G1271" s="51">
        <v>140</v>
      </c>
    </row>
    <row r="1272" spans="1:8" x14ac:dyDescent="0.2">
      <c r="A1272" s="5" t="s">
        <v>857</v>
      </c>
      <c r="B1272" s="5" t="s">
        <v>3645</v>
      </c>
      <c r="C1272" s="5" t="s">
        <v>1816</v>
      </c>
      <c r="D1272" s="135" t="s">
        <v>3016</v>
      </c>
      <c r="E1272" s="136"/>
      <c r="F1272" s="5" t="s">
        <v>3614</v>
      </c>
      <c r="G1272" s="18">
        <v>147.72</v>
      </c>
      <c r="H1272" s="18">
        <v>0</v>
      </c>
    </row>
    <row r="1273" spans="1:8" ht="12.2" customHeight="1" x14ac:dyDescent="0.2">
      <c r="D1273" s="153" t="s">
        <v>4052</v>
      </c>
      <c r="E1273" s="154"/>
      <c r="F1273" s="154"/>
      <c r="G1273" s="51">
        <v>147.72</v>
      </c>
    </row>
    <row r="1274" spans="1:8" x14ac:dyDescent="0.2">
      <c r="A1274" s="5" t="s">
        <v>858</v>
      </c>
      <c r="B1274" s="5" t="s">
        <v>3645</v>
      </c>
      <c r="C1274" s="5" t="s">
        <v>1817</v>
      </c>
      <c r="D1274" s="135" t="s">
        <v>3017</v>
      </c>
      <c r="E1274" s="136"/>
      <c r="F1274" s="5" t="s">
        <v>3615</v>
      </c>
      <c r="G1274" s="18">
        <v>136.3895</v>
      </c>
      <c r="H1274" s="18">
        <v>0</v>
      </c>
    </row>
    <row r="1275" spans="1:8" ht="12.2" customHeight="1" x14ac:dyDescent="0.2">
      <c r="D1275" s="153" t="s">
        <v>4053</v>
      </c>
      <c r="E1275" s="154"/>
      <c r="F1275" s="154"/>
      <c r="G1275" s="51">
        <v>136.3895</v>
      </c>
    </row>
    <row r="1276" spans="1:8" x14ac:dyDescent="0.2">
      <c r="A1276" s="5" t="s">
        <v>859</v>
      </c>
      <c r="B1276" s="5" t="s">
        <v>3645</v>
      </c>
      <c r="C1276" s="5" t="s">
        <v>1818</v>
      </c>
      <c r="D1276" s="135" t="s">
        <v>3018</v>
      </c>
      <c r="E1276" s="136"/>
      <c r="F1276" s="5" t="s">
        <v>3615</v>
      </c>
      <c r="G1276" s="18">
        <v>17.149999999999999</v>
      </c>
      <c r="H1276" s="18">
        <v>0</v>
      </c>
    </row>
    <row r="1277" spans="1:8" ht="12.2" customHeight="1" x14ac:dyDescent="0.2">
      <c r="D1277" s="153" t="s">
        <v>4054</v>
      </c>
      <c r="E1277" s="154"/>
      <c r="F1277" s="154"/>
      <c r="G1277" s="51">
        <v>17.149999999999999</v>
      </c>
    </row>
    <row r="1278" spans="1:8" x14ac:dyDescent="0.2">
      <c r="A1278" s="5" t="s">
        <v>860</v>
      </c>
      <c r="B1278" s="5" t="s">
        <v>3645</v>
      </c>
      <c r="C1278" s="5" t="s">
        <v>1819</v>
      </c>
      <c r="D1278" s="135" t="s">
        <v>3019</v>
      </c>
      <c r="E1278" s="136"/>
      <c r="F1278" s="5" t="s">
        <v>3615</v>
      </c>
      <c r="G1278" s="18">
        <v>323.23099999999999</v>
      </c>
      <c r="H1278" s="18">
        <v>0</v>
      </c>
    </row>
    <row r="1279" spans="1:8" ht="12.2" customHeight="1" x14ac:dyDescent="0.2">
      <c r="D1279" s="153" t="s">
        <v>4030</v>
      </c>
      <c r="E1279" s="154"/>
      <c r="F1279" s="154"/>
      <c r="G1279" s="51">
        <v>323.23099999999999</v>
      </c>
    </row>
    <row r="1280" spans="1:8" x14ac:dyDescent="0.2">
      <c r="A1280" s="5" t="s">
        <v>861</v>
      </c>
      <c r="B1280" s="5" t="s">
        <v>3645</v>
      </c>
      <c r="C1280" s="5" t="s">
        <v>1820</v>
      </c>
      <c r="D1280" s="135" t="s">
        <v>3020</v>
      </c>
      <c r="E1280" s="136"/>
      <c r="F1280" s="5" t="s">
        <v>3616</v>
      </c>
      <c r="G1280" s="18">
        <v>20.3218</v>
      </c>
      <c r="H1280" s="18">
        <v>0</v>
      </c>
    </row>
    <row r="1281" spans="1:8" ht="12.2" customHeight="1" x14ac:dyDescent="0.2">
      <c r="D1281" s="153" t="s">
        <v>4055</v>
      </c>
      <c r="E1281" s="154"/>
      <c r="F1281" s="154"/>
      <c r="G1281" s="51">
        <v>20.3218</v>
      </c>
    </row>
    <row r="1282" spans="1:8" x14ac:dyDescent="0.2">
      <c r="A1282" s="5" t="s">
        <v>862</v>
      </c>
      <c r="B1282" s="5" t="s">
        <v>3645</v>
      </c>
      <c r="C1282" s="5" t="s">
        <v>1821</v>
      </c>
      <c r="D1282" s="135" t="s">
        <v>3021</v>
      </c>
      <c r="E1282" s="136"/>
      <c r="F1282" s="5" t="s">
        <v>3614</v>
      </c>
      <c r="G1282" s="18">
        <v>21.11</v>
      </c>
      <c r="H1282" s="18">
        <v>0</v>
      </c>
    </row>
    <row r="1283" spans="1:8" ht="12.2" customHeight="1" x14ac:dyDescent="0.2">
      <c r="D1283" s="153" t="s">
        <v>4056</v>
      </c>
      <c r="E1283" s="154"/>
      <c r="F1283" s="154"/>
      <c r="G1283" s="51">
        <v>21.11</v>
      </c>
    </row>
    <row r="1284" spans="1:8" x14ac:dyDescent="0.2">
      <c r="A1284" s="14"/>
      <c r="B1284" s="14"/>
      <c r="C1284" s="14" t="s">
        <v>770</v>
      </c>
      <c r="D1284" s="133" t="s">
        <v>3022</v>
      </c>
      <c r="E1284" s="134"/>
      <c r="F1284" s="14"/>
      <c r="G1284" s="27"/>
      <c r="H1284" s="27"/>
    </row>
    <row r="1285" spans="1:8" x14ac:dyDescent="0.2">
      <c r="A1285" s="5" t="s">
        <v>863</v>
      </c>
      <c r="B1285" s="5" t="s">
        <v>3645</v>
      </c>
      <c r="C1285" s="5" t="s">
        <v>1822</v>
      </c>
      <c r="D1285" s="135" t="s">
        <v>3023</v>
      </c>
      <c r="E1285" s="136"/>
      <c r="F1285" s="5" t="s">
        <v>3615</v>
      </c>
      <c r="G1285" s="18">
        <v>272.77890000000002</v>
      </c>
      <c r="H1285" s="18">
        <v>0</v>
      </c>
    </row>
    <row r="1286" spans="1:8" ht="12.2" customHeight="1" x14ac:dyDescent="0.2">
      <c r="D1286" s="153" t="s">
        <v>4057</v>
      </c>
      <c r="E1286" s="154"/>
      <c r="F1286" s="154"/>
      <c r="G1286" s="51">
        <v>137.6755</v>
      </c>
    </row>
    <row r="1287" spans="1:8" ht="12.2" customHeight="1" x14ac:dyDescent="0.2">
      <c r="A1287" s="5"/>
      <c r="B1287" s="5"/>
      <c r="C1287" s="5"/>
      <c r="D1287" s="153" t="s">
        <v>4058</v>
      </c>
      <c r="E1287" s="154"/>
      <c r="F1287" s="153"/>
      <c r="G1287" s="51">
        <v>135.10339999999999</v>
      </c>
      <c r="H1287" s="28"/>
    </row>
    <row r="1288" spans="1:8" x14ac:dyDescent="0.2">
      <c r="A1288" s="5" t="s">
        <v>864</v>
      </c>
      <c r="B1288" s="5" t="s">
        <v>3645</v>
      </c>
      <c r="C1288" s="5" t="s">
        <v>1823</v>
      </c>
      <c r="D1288" s="135" t="s">
        <v>3024</v>
      </c>
      <c r="E1288" s="136"/>
      <c r="F1288" s="5" t="s">
        <v>3614</v>
      </c>
      <c r="G1288" s="18">
        <v>19.100000000000001</v>
      </c>
      <c r="H1288" s="18">
        <v>0</v>
      </c>
    </row>
    <row r="1289" spans="1:8" ht="12.2" customHeight="1" x14ac:dyDescent="0.2">
      <c r="D1289" s="153" t="s">
        <v>4059</v>
      </c>
      <c r="E1289" s="154"/>
      <c r="F1289" s="154"/>
      <c r="G1289" s="51">
        <v>19.100000000000001</v>
      </c>
    </row>
    <row r="1290" spans="1:8" x14ac:dyDescent="0.2">
      <c r="A1290" s="5" t="s">
        <v>865</v>
      </c>
      <c r="B1290" s="5" t="s">
        <v>3645</v>
      </c>
      <c r="C1290" s="5" t="s">
        <v>1824</v>
      </c>
      <c r="D1290" s="135" t="s">
        <v>3025</v>
      </c>
      <c r="E1290" s="136"/>
      <c r="F1290" s="5" t="s">
        <v>3614</v>
      </c>
      <c r="G1290" s="18">
        <v>66</v>
      </c>
      <c r="H1290" s="18">
        <v>0</v>
      </c>
    </row>
    <row r="1291" spans="1:8" ht="12.2" customHeight="1" x14ac:dyDescent="0.2">
      <c r="D1291" s="153" t="s">
        <v>4060</v>
      </c>
      <c r="E1291" s="154"/>
      <c r="F1291" s="154"/>
      <c r="G1291" s="51">
        <v>66</v>
      </c>
    </row>
    <row r="1292" spans="1:8" x14ac:dyDescent="0.2">
      <c r="A1292" s="5" t="s">
        <v>866</v>
      </c>
      <c r="B1292" s="5" t="s">
        <v>3645</v>
      </c>
      <c r="C1292" s="5" t="s">
        <v>1825</v>
      </c>
      <c r="D1292" s="135" t="s">
        <v>3026</v>
      </c>
      <c r="E1292" s="136"/>
      <c r="F1292" s="5" t="s">
        <v>3614</v>
      </c>
      <c r="G1292" s="18">
        <v>41.5</v>
      </c>
      <c r="H1292" s="18">
        <v>0</v>
      </c>
    </row>
    <row r="1293" spans="1:8" ht="12.2" customHeight="1" x14ac:dyDescent="0.2">
      <c r="D1293" s="153" t="s">
        <v>4061</v>
      </c>
      <c r="E1293" s="154"/>
      <c r="F1293" s="154"/>
      <c r="G1293" s="51">
        <v>41.5</v>
      </c>
    </row>
    <row r="1294" spans="1:8" x14ac:dyDescent="0.2">
      <c r="A1294" s="5" t="s">
        <v>867</v>
      </c>
      <c r="B1294" s="5" t="s">
        <v>3645</v>
      </c>
      <c r="C1294" s="5" t="s">
        <v>1826</v>
      </c>
      <c r="D1294" s="135" t="s">
        <v>3027</v>
      </c>
      <c r="E1294" s="136"/>
      <c r="F1294" s="5" t="s">
        <v>3614</v>
      </c>
      <c r="G1294" s="18">
        <v>4.7</v>
      </c>
      <c r="H1294" s="18">
        <v>0</v>
      </c>
    </row>
    <row r="1295" spans="1:8" ht="12.2" customHeight="1" x14ac:dyDescent="0.2">
      <c r="D1295" s="153" t="s">
        <v>4062</v>
      </c>
      <c r="E1295" s="154"/>
      <c r="F1295" s="154"/>
      <c r="G1295" s="51">
        <v>4.7</v>
      </c>
    </row>
    <row r="1296" spans="1:8" x14ac:dyDescent="0.2">
      <c r="A1296" s="5" t="s">
        <v>868</v>
      </c>
      <c r="B1296" s="5" t="s">
        <v>3645</v>
      </c>
      <c r="C1296" s="5" t="s">
        <v>1827</v>
      </c>
      <c r="D1296" s="135" t="s">
        <v>3028</v>
      </c>
      <c r="E1296" s="136"/>
      <c r="F1296" s="5" t="s">
        <v>3614</v>
      </c>
      <c r="G1296" s="18">
        <v>60</v>
      </c>
      <c r="H1296" s="18">
        <v>0</v>
      </c>
    </row>
    <row r="1297" spans="1:8" ht="12.2" customHeight="1" x14ac:dyDescent="0.2">
      <c r="D1297" s="153" t="s">
        <v>4063</v>
      </c>
      <c r="E1297" s="154"/>
      <c r="F1297" s="154"/>
      <c r="G1297" s="51">
        <v>60</v>
      </c>
    </row>
    <row r="1298" spans="1:8" x14ac:dyDescent="0.2">
      <c r="A1298" s="5" t="s">
        <v>869</v>
      </c>
      <c r="B1298" s="5" t="s">
        <v>3645</v>
      </c>
      <c r="C1298" s="5" t="s">
        <v>1828</v>
      </c>
      <c r="D1298" s="135" t="s">
        <v>3029</v>
      </c>
      <c r="E1298" s="136"/>
      <c r="F1298" s="5" t="s">
        <v>3614</v>
      </c>
      <c r="G1298" s="18">
        <v>31</v>
      </c>
      <c r="H1298" s="18">
        <v>0</v>
      </c>
    </row>
    <row r="1299" spans="1:8" ht="12.2" customHeight="1" x14ac:dyDescent="0.2">
      <c r="D1299" s="153" t="s">
        <v>4064</v>
      </c>
      <c r="E1299" s="154"/>
      <c r="F1299" s="154"/>
      <c r="G1299" s="51">
        <v>31</v>
      </c>
    </row>
    <row r="1300" spans="1:8" x14ac:dyDescent="0.2">
      <c r="A1300" s="5" t="s">
        <v>870</v>
      </c>
      <c r="B1300" s="5" t="s">
        <v>3645</v>
      </c>
      <c r="C1300" s="5" t="s">
        <v>1829</v>
      </c>
      <c r="D1300" s="135" t="s">
        <v>3030</v>
      </c>
      <c r="E1300" s="136"/>
      <c r="F1300" s="5" t="s">
        <v>3614</v>
      </c>
      <c r="G1300" s="18">
        <v>8.8000000000000007</v>
      </c>
      <c r="H1300" s="18">
        <v>0</v>
      </c>
    </row>
    <row r="1301" spans="1:8" ht="12.2" customHeight="1" x14ac:dyDescent="0.2">
      <c r="D1301" s="153" t="s">
        <v>4065</v>
      </c>
      <c r="E1301" s="154"/>
      <c r="F1301" s="154"/>
      <c r="G1301" s="51">
        <v>8.8000000000000007</v>
      </c>
    </row>
    <row r="1302" spans="1:8" x14ac:dyDescent="0.2">
      <c r="A1302" s="5" t="s">
        <v>871</v>
      </c>
      <c r="B1302" s="5" t="s">
        <v>3645</v>
      </c>
      <c r="C1302" s="5" t="s">
        <v>1830</v>
      </c>
      <c r="D1302" s="135" t="s">
        <v>3031</v>
      </c>
      <c r="E1302" s="136"/>
      <c r="F1302" s="5" t="s">
        <v>3614</v>
      </c>
      <c r="G1302" s="18">
        <v>18.2</v>
      </c>
      <c r="H1302" s="18">
        <v>0</v>
      </c>
    </row>
    <row r="1303" spans="1:8" ht="12.2" customHeight="1" x14ac:dyDescent="0.2">
      <c r="D1303" s="153" t="s">
        <v>4066</v>
      </c>
      <c r="E1303" s="154"/>
      <c r="F1303" s="154"/>
      <c r="G1303" s="51">
        <v>18.2</v>
      </c>
    </row>
    <row r="1304" spans="1:8" x14ac:dyDescent="0.2">
      <c r="A1304" s="5" t="s">
        <v>872</v>
      </c>
      <c r="B1304" s="5" t="s">
        <v>3645</v>
      </c>
      <c r="C1304" s="5" t="s">
        <v>1831</v>
      </c>
      <c r="D1304" s="135" t="s">
        <v>3032</v>
      </c>
      <c r="E1304" s="136"/>
      <c r="F1304" s="5" t="s">
        <v>3614</v>
      </c>
      <c r="G1304" s="18">
        <v>21.3</v>
      </c>
      <c r="H1304" s="18">
        <v>0</v>
      </c>
    </row>
    <row r="1305" spans="1:8" ht="12.2" customHeight="1" x14ac:dyDescent="0.2">
      <c r="D1305" s="153" t="s">
        <v>4067</v>
      </c>
      <c r="E1305" s="154"/>
      <c r="F1305" s="154"/>
      <c r="G1305" s="51">
        <v>21.3</v>
      </c>
    </row>
    <row r="1306" spans="1:8" x14ac:dyDescent="0.2">
      <c r="A1306" s="5" t="s">
        <v>873</v>
      </c>
      <c r="B1306" s="5" t="s">
        <v>3645</v>
      </c>
      <c r="C1306" s="5" t="s">
        <v>1832</v>
      </c>
      <c r="D1306" s="135" t="s">
        <v>3025</v>
      </c>
      <c r="E1306" s="136"/>
      <c r="F1306" s="5" t="s">
        <v>3614</v>
      </c>
      <c r="G1306" s="18">
        <v>21.3</v>
      </c>
      <c r="H1306" s="18">
        <v>0</v>
      </c>
    </row>
    <row r="1307" spans="1:8" ht="12.2" customHeight="1" x14ac:dyDescent="0.2">
      <c r="D1307" s="153" t="s">
        <v>4067</v>
      </c>
      <c r="E1307" s="154"/>
      <c r="F1307" s="154"/>
      <c r="G1307" s="51">
        <v>21.3</v>
      </c>
    </row>
    <row r="1308" spans="1:8" x14ac:dyDescent="0.2">
      <c r="A1308" s="5" t="s">
        <v>874</v>
      </c>
      <c r="B1308" s="5" t="s">
        <v>3645</v>
      </c>
      <c r="C1308" s="5" t="s">
        <v>1833</v>
      </c>
      <c r="D1308" s="135" t="s">
        <v>3033</v>
      </c>
      <c r="E1308" s="136"/>
      <c r="F1308" s="5" t="s">
        <v>3614</v>
      </c>
      <c r="G1308" s="18">
        <v>66</v>
      </c>
      <c r="H1308" s="18">
        <v>0</v>
      </c>
    </row>
    <row r="1309" spans="1:8" ht="12.2" customHeight="1" x14ac:dyDescent="0.2">
      <c r="D1309" s="153" t="s">
        <v>4060</v>
      </c>
      <c r="E1309" s="154"/>
      <c r="F1309" s="154"/>
      <c r="G1309" s="51">
        <v>66</v>
      </c>
    </row>
    <row r="1310" spans="1:8" x14ac:dyDescent="0.2">
      <c r="A1310" s="5" t="s">
        <v>875</v>
      </c>
      <c r="B1310" s="5" t="s">
        <v>3645</v>
      </c>
      <c r="C1310" s="5" t="s">
        <v>1834</v>
      </c>
      <c r="D1310" s="135" t="s">
        <v>3034</v>
      </c>
      <c r="E1310" s="136"/>
      <c r="F1310" s="5" t="s">
        <v>3614</v>
      </c>
      <c r="G1310" s="18">
        <v>200</v>
      </c>
      <c r="H1310" s="18">
        <v>0</v>
      </c>
    </row>
    <row r="1311" spans="1:8" ht="12.2" customHeight="1" x14ac:dyDescent="0.2">
      <c r="D1311" s="153" t="s">
        <v>4068</v>
      </c>
      <c r="E1311" s="154"/>
      <c r="F1311" s="154"/>
      <c r="G1311" s="51">
        <v>200</v>
      </c>
    </row>
    <row r="1312" spans="1:8" x14ac:dyDescent="0.2">
      <c r="A1312" s="5" t="s">
        <v>876</v>
      </c>
      <c r="B1312" s="5" t="s">
        <v>3645</v>
      </c>
      <c r="C1312" s="5" t="s">
        <v>1835</v>
      </c>
      <c r="D1312" s="135" t="s">
        <v>3035</v>
      </c>
      <c r="E1312" s="136"/>
      <c r="F1312" s="5" t="s">
        <v>3614</v>
      </c>
      <c r="G1312" s="18">
        <v>100</v>
      </c>
      <c r="H1312" s="18">
        <v>0</v>
      </c>
    </row>
    <row r="1313" spans="1:8" ht="12.2" customHeight="1" x14ac:dyDescent="0.2">
      <c r="D1313" s="153" t="s">
        <v>4069</v>
      </c>
      <c r="E1313" s="154"/>
      <c r="F1313" s="154"/>
      <c r="G1313" s="51">
        <v>100</v>
      </c>
    </row>
    <row r="1314" spans="1:8" x14ac:dyDescent="0.2">
      <c r="A1314" s="5" t="s">
        <v>877</v>
      </c>
      <c r="B1314" s="5" t="s">
        <v>3645</v>
      </c>
      <c r="C1314" s="5" t="s">
        <v>1836</v>
      </c>
      <c r="D1314" s="135" t="s">
        <v>3036</v>
      </c>
      <c r="E1314" s="136"/>
      <c r="F1314" s="5" t="s">
        <v>3614</v>
      </c>
      <c r="G1314" s="18">
        <v>36.814999999999998</v>
      </c>
      <c r="H1314" s="18">
        <v>0</v>
      </c>
    </row>
    <row r="1315" spans="1:8" ht="12.2" customHeight="1" x14ac:dyDescent="0.2">
      <c r="D1315" s="153" t="s">
        <v>4070</v>
      </c>
      <c r="E1315" s="154"/>
      <c r="F1315" s="154"/>
      <c r="G1315" s="51">
        <v>36.814999999999998</v>
      </c>
    </row>
    <row r="1316" spans="1:8" x14ac:dyDescent="0.2">
      <c r="A1316" s="5" t="s">
        <v>878</v>
      </c>
      <c r="B1316" s="5" t="s">
        <v>3645</v>
      </c>
      <c r="C1316" s="5" t="s">
        <v>1837</v>
      </c>
      <c r="D1316" s="135" t="s">
        <v>3037</v>
      </c>
      <c r="E1316" s="136"/>
      <c r="F1316" s="5" t="s">
        <v>3616</v>
      </c>
      <c r="G1316" s="18">
        <v>2.9319999999999999</v>
      </c>
      <c r="H1316" s="18">
        <v>0</v>
      </c>
    </row>
    <row r="1317" spans="1:8" ht="12.2" customHeight="1" x14ac:dyDescent="0.2">
      <c r="D1317" s="153" t="s">
        <v>4071</v>
      </c>
      <c r="E1317" s="154"/>
      <c r="F1317" s="154"/>
      <c r="G1317" s="51">
        <v>2.9319999999999999</v>
      </c>
    </row>
    <row r="1318" spans="1:8" x14ac:dyDescent="0.2">
      <c r="A1318" s="14"/>
      <c r="B1318" s="14"/>
      <c r="C1318" s="14" t="s">
        <v>772</v>
      </c>
      <c r="D1318" s="133" t="s">
        <v>3038</v>
      </c>
      <c r="E1318" s="134"/>
      <c r="F1318" s="14"/>
      <c r="G1318" s="27"/>
      <c r="H1318" s="27"/>
    </row>
    <row r="1319" spans="1:8" x14ac:dyDescent="0.2">
      <c r="A1319" s="5" t="s">
        <v>879</v>
      </c>
      <c r="B1319" s="5" t="s">
        <v>3645</v>
      </c>
      <c r="C1319" s="5" t="s">
        <v>1838</v>
      </c>
      <c r="D1319" s="135" t="s">
        <v>3039</v>
      </c>
      <c r="E1319" s="136"/>
      <c r="F1319" s="5" t="s">
        <v>3614</v>
      </c>
      <c r="G1319" s="18">
        <v>168.16</v>
      </c>
      <c r="H1319" s="18">
        <v>0</v>
      </c>
    </row>
    <row r="1320" spans="1:8" ht="12.2" customHeight="1" x14ac:dyDescent="0.2">
      <c r="D1320" s="153" t="s">
        <v>4072</v>
      </c>
      <c r="E1320" s="154"/>
      <c r="F1320" s="154"/>
      <c r="G1320" s="51">
        <v>168.16</v>
      </c>
    </row>
    <row r="1321" spans="1:8" x14ac:dyDescent="0.2">
      <c r="A1321" s="5" t="s">
        <v>880</v>
      </c>
      <c r="B1321" s="5" t="s">
        <v>3645</v>
      </c>
      <c r="C1321" s="5" t="s">
        <v>1839</v>
      </c>
      <c r="D1321" s="135" t="s">
        <v>3040</v>
      </c>
      <c r="E1321" s="136"/>
      <c r="F1321" s="5" t="s">
        <v>3614</v>
      </c>
      <c r="G1321" s="18">
        <v>36.814999999999998</v>
      </c>
      <c r="H1321" s="18">
        <v>0</v>
      </c>
    </row>
    <row r="1322" spans="1:8" ht="12.2" customHeight="1" x14ac:dyDescent="0.2">
      <c r="D1322" s="153" t="s">
        <v>4070</v>
      </c>
      <c r="E1322" s="154"/>
      <c r="F1322" s="154"/>
      <c r="G1322" s="51">
        <v>36.814999999999998</v>
      </c>
    </row>
    <row r="1323" spans="1:8" x14ac:dyDescent="0.2">
      <c r="A1323" s="5" t="s">
        <v>881</v>
      </c>
      <c r="B1323" s="5" t="s">
        <v>3645</v>
      </c>
      <c r="C1323" s="5" t="s">
        <v>1840</v>
      </c>
      <c r="D1323" s="135" t="s">
        <v>3041</v>
      </c>
      <c r="E1323" s="136"/>
      <c r="F1323" s="5" t="s">
        <v>3612</v>
      </c>
      <c r="G1323" s="18">
        <v>15</v>
      </c>
      <c r="H1323" s="18">
        <v>0</v>
      </c>
    </row>
    <row r="1324" spans="1:8" ht="12.2" customHeight="1" x14ac:dyDescent="0.2">
      <c r="D1324" s="153" t="s">
        <v>3891</v>
      </c>
      <c r="E1324" s="154"/>
      <c r="F1324" s="154"/>
      <c r="G1324" s="51">
        <v>15</v>
      </c>
    </row>
    <row r="1325" spans="1:8" x14ac:dyDescent="0.2">
      <c r="A1325" s="5" t="s">
        <v>882</v>
      </c>
      <c r="B1325" s="5" t="s">
        <v>3645</v>
      </c>
      <c r="C1325" s="5" t="s">
        <v>1841</v>
      </c>
      <c r="D1325" s="135" t="s">
        <v>3042</v>
      </c>
      <c r="E1325" s="136"/>
      <c r="F1325" s="5" t="s">
        <v>3612</v>
      </c>
      <c r="G1325" s="18">
        <v>1</v>
      </c>
      <c r="H1325" s="18">
        <v>0</v>
      </c>
    </row>
    <row r="1326" spans="1:8" ht="12.2" customHeight="1" x14ac:dyDescent="0.2">
      <c r="D1326" s="153" t="s">
        <v>3747</v>
      </c>
      <c r="E1326" s="154"/>
      <c r="F1326" s="154"/>
      <c r="G1326" s="51">
        <v>1</v>
      </c>
    </row>
    <row r="1327" spans="1:8" x14ac:dyDescent="0.2">
      <c r="A1327" s="5" t="s">
        <v>883</v>
      </c>
      <c r="B1327" s="5" t="s">
        <v>3645</v>
      </c>
      <c r="C1327" s="5" t="s">
        <v>1842</v>
      </c>
      <c r="D1327" s="135" t="s">
        <v>3043</v>
      </c>
      <c r="E1327" s="136"/>
      <c r="F1327" s="5" t="s">
        <v>3612</v>
      </c>
      <c r="G1327" s="18">
        <v>12</v>
      </c>
      <c r="H1327" s="18">
        <v>0</v>
      </c>
    </row>
    <row r="1328" spans="1:8" ht="12.2" customHeight="1" x14ac:dyDescent="0.2">
      <c r="D1328" s="153" t="s">
        <v>4073</v>
      </c>
      <c r="E1328" s="154"/>
      <c r="F1328" s="154"/>
      <c r="G1328" s="51">
        <v>12</v>
      </c>
    </row>
    <row r="1329" spans="1:8" x14ac:dyDescent="0.2">
      <c r="A1329" s="5" t="s">
        <v>884</v>
      </c>
      <c r="B1329" s="5" t="s">
        <v>3645</v>
      </c>
      <c r="C1329" s="5" t="s">
        <v>1843</v>
      </c>
      <c r="D1329" s="135" t="s">
        <v>3044</v>
      </c>
      <c r="E1329" s="136"/>
      <c r="F1329" s="5" t="s">
        <v>3612</v>
      </c>
      <c r="G1329" s="18">
        <v>1</v>
      </c>
      <c r="H1329" s="18">
        <v>0</v>
      </c>
    </row>
    <row r="1330" spans="1:8" ht="12.2" customHeight="1" x14ac:dyDescent="0.2">
      <c r="D1330" s="153" t="s">
        <v>3747</v>
      </c>
      <c r="E1330" s="154"/>
      <c r="F1330" s="154"/>
      <c r="G1330" s="51">
        <v>1</v>
      </c>
    </row>
    <row r="1331" spans="1:8" x14ac:dyDescent="0.2">
      <c r="A1331" s="5" t="s">
        <v>885</v>
      </c>
      <c r="B1331" s="5" t="s">
        <v>3645</v>
      </c>
      <c r="C1331" s="5" t="s">
        <v>1844</v>
      </c>
      <c r="D1331" s="135" t="s">
        <v>3045</v>
      </c>
      <c r="E1331" s="136"/>
      <c r="F1331" s="5" t="s">
        <v>3612</v>
      </c>
      <c r="G1331" s="18">
        <v>1</v>
      </c>
      <c r="H1331" s="18">
        <v>0</v>
      </c>
    </row>
    <row r="1332" spans="1:8" ht="12.2" customHeight="1" x14ac:dyDescent="0.2">
      <c r="D1332" s="153" t="s">
        <v>3747</v>
      </c>
      <c r="E1332" s="154"/>
      <c r="F1332" s="154"/>
      <c r="G1332" s="51">
        <v>1</v>
      </c>
    </row>
    <row r="1333" spans="1:8" x14ac:dyDescent="0.2">
      <c r="A1333" s="5" t="s">
        <v>886</v>
      </c>
      <c r="B1333" s="5" t="s">
        <v>3645</v>
      </c>
      <c r="C1333" s="5" t="s">
        <v>1845</v>
      </c>
      <c r="D1333" s="135" t="s">
        <v>3046</v>
      </c>
      <c r="E1333" s="136"/>
      <c r="F1333" s="5" t="s">
        <v>3612</v>
      </c>
      <c r="G1333" s="18">
        <v>1</v>
      </c>
      <c r="H1333" s="18">
        <v>0</v>
      </c>
    </row>
    <row r="1334" spans="1:8" ht="12.2" customHeight="1" x14ac:dyDescent="0.2">
      <c r="D1334" s="153" t="s">
        <v>3747</v>
      </c>
      <c r="E1334" s="154"/>
      <c r="F1334" s="154"/>
      <c r="G1334" s="51">
        <v>1</v>
      </c>
    </row>
    <row r="1335" spans="1:8" x14ac:dyDescent="0.2">
      <c r="A1335" s="5" t="s">
        <v>887</v>
      </c>
      <c r="B1335" s="5" t="s">
        <v>3645</v>
      </c>
      <c r="C1335" s="5" t="s">
        <v>1846</v>
      </c>
      <c r="D1335" s="135" t="s">
        <v>3047</v>
      </c>
      <c r="E1335" s="136"/>
      <c r="F1335" s="5" t="s">
        <v>3612</v>
      </c>
      <c r="G1335" s="18">
        <v>1</v>
      </c>
      <c r="H1335" s="18">
        <v>0</v>
      </c>
    </row>
    <row r="1336" spans="1:8" ht="12.2" customHeight="1" x14ac:dyDescent="0.2">
      <c r="D1336" s="153" t="s">
        <v>3747</v>
      </c>
      <c r="E1336" s="154"/>
      <c r="F1336" s="154"/>
      <c r="G1336" s="51">
        <v>1</v>
      </c>
    </row>
    <row r="1337" spans="1:8" x14ac:dyDescent="0.2">
      <c r="A1337" s="5" t="s">
        <v>888</v>
      </c>
      <c r="B1337" s="5" t="s">
        <v>3645</v>
      </c>
      <c r="C1337" s="5" t="s">
        <v>1847</v>
      </c>
      <c r="D1337" s="135" t="s">
        <v>3048</v>
      </c>
      <c r="E1337" s="136"/>
      <c r="F1337" s="5" t="s">
        <v>3612</v>
      </c>
      <c r="G1337" s="18">
        <v>1</v>
      </c>
      <c r="H1337" s="18">
        <v>0</v>
      </c>
    </row>
    <row r="1338" spans="1:8" ht="12.2" customHeight="1" x14ac:dyDescent="0.2">
      <c r="D1338" s="153" t="s">
        <v>3747</v>
      </c>
      <c r="E1338" s="154"/>
      <c r="F1338" s="154"/>
      <c r="G1338" s="51">
        <v>1</v>
      </c>
    </row>
    <row r="1339" spans="1:8" x14ac:dyDescent="0.2">
      <c r="A1339" s="5" t="s">
        <v>889</v>
      </c>
      <c r="B1339" s="5" t="s">
        <v>3645</v>
      </c>
      <c r="C1339" s="5" t="s">
        <v>1848</v>
      </c>
      <c r="D1339" s="135" t="s">
        <v>3049</v>
      </c>
      <c r="E1339" s="136"/>
      <c r="F1339" s="5" t="s">
        <v>3612</v>
      </c>
      <c r="G1339" s="18">
        <v>5</v>
      </c>
      <c r="H1339" s="18">
        <v>0</v>
      </c>
    </row>
    <row r="1340" spans="1:8" ht="12.2" customHeight="1" x14ac:dyDescent="0.2">
      <c r="D1340" s="153" t="s">
        <v>4074</v>
      </c>
      <c r="E1340" s="154"/>
      <c r="F1340" s="154"/>
      <c r="G1340" s="51">
        <v>5</v>
      </c>
    </row>
    <row r="1341" spans="1:8" x14ac:dyDescent="0.2">
      <c r="A1341" s="5" t="s">
        <v>890</v>
      </c>
      <c r="B1341" s="5" t="s">
        <v>3645</v>
      </c>
      <c r="C1341" s="5" t="s">
        <v>1849</v>
      </c>
      <c r="D1341" s="135" t="s">
        <v>3050</v>
      </c>
      <c r="E1341" s="136"/>
      <c r="F1341" s="5" t="s">
        <v>3612</v>
      </c>
      <c r="G1341" s="18">
        <v>3</v>
      </c>
      <c r="H1341" s="18">
        <v>0</v>
      </c>
    </row>
    <row r="1342" spans="1:8" ht="12.2" customHeight="1" x14ac:dyDescent="0.2">
      <c r="D1342" s="153" t="s">
        <v>4075</v>
      </c>
      <c r="E1342" s="154"/>
      <c r="F1342" s="154"/>
      <c r="G1342" s="51">
        <v>3</v>
      </c>
    </row>
    <row r="1343" spans="1:8" x14ac:dyDescent="0.2">
      <c r="A1343" s="5" t="s">
        <v>891</v>
      </c>
      <c r="B1343" s="5" t="s">
        <v>3645</v>
      </c>
      <c r="C1343" s="5" t="s">
        <v>1850</v>
      </c>
      <c r="D1343" s="135" t="s">
        <v>3051</v>
      </c>
      <c r="E1343" s="136"/>
      <c r="F1343" s="5" t="s">
        <v>3612</v>
      </c>
      <c r="G1343" s="18">
        <v>5</v>
      </c>
      <c r="H1343" s="18">
        <v>0</v>
      </c>
    </row>
    <row r="1344" spans="1:8" ht="12.2" customHeight="1" x14ac:dyDescent="0.2">
      <c r="D1344" s="153" t="s">
        <v>4076</v>
      </c>
      <c r="E1344" s="154"/>
      <c r="F1344" s="154"/>
      <c r="G1344" s="51">
        <v>5</v>
      </c>
    </row>
    <row r="1345" spans="1:8" x14ac:dyDescent="0.2">
      <c r="A1345" s="5" t="s">
        <v>892</v>
      </c>
      <c r="B1345" s="5" t="s">
        <v>3645</v>
      </c>
      <c r="C1345" s="5" t="s">
        <v>1851</v>
      </c>
      <c r="D1345" s="135" t="s">
        <v>3052</v>
      </c>
      <c r="E1345" s="136"/>
      <c r="F1345" s="5" t="s">
        <v>3612</v>
      </c>
      <c r="G1345" s="18">
        <v>5</v>
      </c>
      <c r="H1345" s="18">
        <v>0</v>
      </c>
    </row>
    <row r="1346" spans="1:8" ht="12.2" customHeight="1" x14ac:dyDescent="0.2">
      <c r="D1346" s="153" t="s">
        <v>3955</v>
      </c>
      <c r="E1346" s="154"/>
      <c r="F1346" s="154"/>
      <c r="G1346" s="51">
        <v>5</v>
      </c>
    </row>
    <row r="1347" spans="1:8" x14ac:dyDescent="0.2">
      <c r="A1347" s="5" t="s">
        <v>893</v>
      </c>
      <c r="B1347" s="5" t="s">
        <v>3645</v>
      </c>
      <c r="C1347" s="5" t="s">
        <v>1852</v>
      </c>
      <c r="D1347" s="135" t="s">
        <v>3053</v>
      </c>
      <c r="E1347" s="136"/>
      <c r="F1347" s="5" t="s">
        <v>3612</v>
      </c>
      <c r="G1347" s="18">
        <v>2</v>
      </c>
      <c r="H1347" s="18">
        <v>0</v>
      </c>
    </row>
    <row r="1348" spans="1:8" ht="12.2" customHeight="1" x14ac:dyDescent="0.2">
      <c r="D1348" s="153" t="s">
        <v>3787</v>
      </c>
      <c r="E1348" s="154"/>
      <c r="F1348" s="154"/>
      <c r="G1348" s="51">
        <v>2</v>
      </c>
    </row>
    <row r="1349" spans="1:8" x14ac:dyDescent="0.2">
      <c r="A1349" s="5" t="s">
        <v>894</v>
      </c>
      <c r="B1349" s="5" t="s">
        <v>3645</v>
      </c>
      <c r="C1349" s="5" t="s">
        <v>1853</v>
      </c>
      <c r="D1349" s="135" t="s">
        <v>3054</v>
      </c>
      <c r="E1349" s="136"/>
      <c r="F1349" s="5" t="s">
        <v>3612</v>
      </c>
      <c r="G1349" s="18">
        <v>3</v>
      </c>
      <c r="H1349" s="18">
        <v>0</v>
      </c>
    </row>
    <row r="1350" spans="1:8" ht="12.2" customHeight="1" x14ac:dyDescent="0.2">
      <c r="D1350" s="153" t="s">
        <v>4077</v>
      </c>
      <c r="E1350" s="154"/>
      <c r="F1350" s="154"/>
      <c r="G1350" s="51">
        <v>3</v>
      </c>
    </row>
    <row r="1351" spans="1:8" x14ac:dyDescent="0.2">
      <c r="A1351" s="5" t="s">
        <v>895</v>
      </c>
      <c r="B1351" s="5" t="s">
        <v>3645</v>
      </c>
      <c r="C1351" s="5" t="s">
        <v>1854</v>
      </c>
      <c r="D1351" s="135" t="s">
        <v>3055</v>
      </c>
      <c r="E1351" s="136"/>
      <c r="F1351" s="5" t="s">
        <v>3612</v>
      </c>
      <c r="G1351" s="18">
        <v>5</v>
      </c>
      <c r="H1351" s="18">
        <v>0</v>
      </c>
    </row>
    <row r="1352" spans="1:8" ht="12.2" customHeight="1" x14ac:dyDescent="0.2">
      <c r="D1352" s="153" t="s">
        <v>4074</v>
      </c>
      <c r="E1352" s="154"/>
      <c r="F1352" s="154"/>
      <c r="G1352" s="51">
        <v>5</v>
      </c>
    </row>
    <row r="1353" spans="1:8" x14ac:dyDescent="0.2">
      <c r="A1353" s="5" t="s">
        <v>896</v>
      </c>
      <c r="B1353" s="5" t="s">
        <v>3645</v>
      </c>
      <c r="C1353" s="5" t="s">
        <v>1855</v>
      </c>
      <c r="D1353" s="135" t="s">
        <v>3056</v>
      </c>
      <c r="E1353" s="136"/>
      <c r="F1353" s="5" t="s">
        <v>3612</v>
      </c>
      <c r="G1353" s="18">
        <v>1</v>
      </c>
      <c r="H1353" s="18">
        <v>0</v>
      </c>
    </row>
    <row r="1354" spans="1:8" ht="12.2" customHeight="1" x14ac:dyDescent="0.2">
      <c r="D1354" s="153" t="s">
        <v>3747</v>
      </c>
      <c r="E1354" s="154"/>
      <c r="F1354" s="154"/>
      <c r="G1354" s="51">
        <v>1</v>
      </c>
    </row>
    <row r="1355" spans="1:8" x14ac:dyDescent="0.2">
      <c r="A1355" s="5" t="s">
        <v>897</v>
      </c>
      <c r="B1355" s="5" t="s">
        <v>3645</v>
      </c>
      <c r="C1355" s="5" t="s">
        <v>1856</v>
      </c>
      <c r="D1355" s="135" t="s">
        <v>3057</v>
      </c>
      <c r="E1355" s="136"/>
      <c r="F1355" s="5" t="s">
        <v>3612</v>
      </c>
      <c r="G1355" s="18">
        <v>4</v>
      </c>
      <c r="H1355" s="18">
        <v>0</v>
      </c>
    </row>
    <row r="1356" spans="1:8" ht="12.2" customHeight="1" x14ac:dyDescent="0.2">
      <c r="D1356" s="153" t="s">
        <v>4078</v>
      </c>
      <c r="E1356" s="154"/>
      <c r="F1356" s="154"/>
      <c r="G1356" s="51">
        <v>4</v>
      </c>
    </row>
    <row r="1357" spans="1:8" x14ac:dyDescent="0.2">
      <c r="A1357" s="5" t="s">
        <v>898</v>
      </c>
      <c r="B1357" s="5" t="s">
        <v>3645</v>
      </c>
      <c r="C1357" s="5" t="s">
        <v>1857</v>
      </c>
      <c r="D1357" s="135" t="s">
        <v>3058</v>
      </c>
      <c r="E1357" s="136"/>
      <c r="F1357" s="5" t="s">
        <v>3612</v>
      </c>
      <c r="G1357" s="18">
        <v>9</v>
      </c>
      <c r="H1357" s="18">
        <v>0</v>
      </c>
    </row>
    <row r="1358" spans="1:8" ht="12.2" customHeight="1" x14ac:dyDescent="0.2">
      <c r="D1358" s="153" t="s">
        <v>4079</v>
      </c>
      <c r="E1358" s="154"/>
      <c r="F1358" s="154"/>
      <c r="G1358" s="51">
        <v>9</v>
      </c>
    </row>
    <row r="1359" spans="1:8" x14ac:dyDescent="0.2">
      <c r="A1359" s="5" t="s">
        <v>899</v>
      </c>
      <c r="B1359" s="5" t="s">
        <v>3645</v>
      </c>
      <c r="C1359" s="5" t="s">
        <v>1858</v>
      </c>
      <c r="D1359" s="135" t="s">
        <v>3059</v>
      </c>
      <c r="E1359" s="136"/>
      <c r="F1359" s="5" t="s">
        <v>3612</v>
      </c>
      <c r="G1359" s="18">
        <v>1</v>
      </c>
      <c r="H1359" s="18">
        <v>0</v>
      </c>
    </row>
    <row r="1360" spans="1:8" ht="12.2" customHeight="1" x14ac:dyDescent="0.2">
      <c r="D1360" s="153" t="s">
        <v>3747</v>
      </c>
      <c r="E1360" s="154"/>
      <c r="F1360" s="154"/>
      <c r="G1360" s="51">
        <v>1</v>
      </c>
    </row>
    <row r="1361" spans="1:8" x14ac:dyDescent="0.2">
      <c r="A1361" s="5" t="s">
        <v>900</v>
      </c>
      <c r="B1361" s="5" t="s">
        <v>3645</v>
      </c>
      <c r="C1361" s="5" t="s">
        <v>1859</v>
      </c>
      <c r="D1361" s="135" t="s">
        <v>3060</v>
      </c>
      <c r="E1361" s="136"/>
      <c r="F1361" s="5" t="s">
        <v>3612</v>
      </c>
      <c r="G1361" s="18">
        <v>1</v>
      </c>
      <c r="H1361" s="18">
        <v>0</v>
      </c>
    </row>
    <row r="1362" spans="1:8" ht="12.2" customHeight="1" x14ac:dyDescent="0.2">
      <c r="D1362" s="153" t="s">
        <v>3747</v>
      </c>
      <c r="E1362" s="154"/>
      <c r="F1362" s="154"/>
      <c r="G1362" s="51">
        <v>1</v>
      </c>
    </row>
    <row r="1363" spans="1:8" x14ac:dyDescent="0.2">
      <c r="A1363" s="5" t="s">
        <v>901</v>
      </c>
      <c r="B1363" s="5" t="s">
        <v>3645</v>
      </c>
      <c r="C1363" s="5" t="s">
        <v>1860</v>
      </c>
      <c r="D1363" s="135" t="s">
        <v>3061</v>
      </c>
      <c r="E1363" s="136"/>
      <c r="F1363" s="5" t="s">
        <v>3614</v>
      </c>
      <c r="G1363" s="18">
        <v>21.065000000000001</v>
      </c>
      <c r="H1363" s="18">
        <v>0</v>
      </c>
    </row>
    <row r="1364" spans="1:8" ht="12.2" customHeight="1" x14ac:dyDescent="0.2">
      <c r="D1364" s="153" t="s">
        <v>4080</v>
      </c>
      <c r="E1364" s="154"/>
      <c r="F1364" s="154"/>
      <c r="G1364" s="51">
        <v>21.065000000000001</v>
      </c>
    </row>
    <row r="1365" spans="1:8" x14ac:dyDescent="0.2">
      <c r="A1365" s="5" t="s">
        <v>902</v>
      </c>
      <c r="B1365" s="5" t="s">
        <v>3645</v>
      </c>
      <c r="C1365" s="5" t="s">
        <v>1861</v>
      </c>
      <c r="D1365" s="135" t="s">
        <v>3062</v>
      </c>
      <c r="E1365" s="136"/>
      <c r="F1365" s="5" t="s">
        <v>3614</v>
      </c>
      <c r="G1365" s="18">
        <v>15.75</v>
      </c>
      <c r="H1365" s="18">
        <v>0</v>
      </c>
    </row>
    <row r="1366" spans="1:8" ht="12.2" customHeight="1" x14ac:dyDescent="0.2">
      <c r="D1366" s="153" t="s">
        <v>4081</v>
      </c>
      <c r="E1366" s="154"/>
      <c r="F1366" s="154"/>
      <c r="G1366" s="51">
        <v>15.75</v>
      </c>
    </row>
    <row r="1367" spans="1:8" x14ac:dyDescent="0.2">
      <c r="A1367" s="5" t="s">
        <v>903</v>
      </c>
      <c r="B1367" s="5" t="s">
        <v>3645</v>
      </c>
      <c r="C1367" s="5" t="s">
        <v>1862</v>
      </c>
      <c r="D1367" s="135" t="s">
        <v>3063</v>
      </c>
      <c r="E1367" s="136"/>
      <c r="F1367" s="5" t="s">
        <v>3616</v>
      </c>
      <c r="G1367" s="18">
        <v>7.1166999999999998</v>
      </c>
      <c r="H1367" s="18">
        <v>0</v>
      </c>
    </row>
    <row r="1368" spans="1:8" ht="12.2" customHeight="1" x14ac:dyDescent="0.2">
      <c r="D1368" s="153" t="s">
        <v>4082</v>
      </c>
      <c r="E1368" s="154"/>
      <c r="F1368" s="154"/>
      <c r="G1368" s="51">
        <v>7.1166999999999998</v>
      </c>
    </row>
    <row r="1369" spans="1:8" x14ac:dyDescent="0.2">
      <c r="A1369" s="14"/>
      <c r="B1369" s="14"/>
      <c r="C1369" s="14" t="s">
        <v>773</v>
      </c>
      <c r="D1369" s="133" t="s">
        <v>3064</v>
      </c>
      <c r="E1369" s="134"/>
      <c r="F1369" s="14"/>
      <c r="G1369" s="27"/>
      <c r="H1369" s="27"/>
    </row>
    <row r="1370" spans="1:8" x14ac:dyDescent="0.2">
      <c r="A1370" s="5" t="s">
        <v>904</v>
      </c>
      <c r="B1370" s="5" t="s">
        <v>3645</v>
      </c>
      <c r="C1370" s="5" t="s">
        <v>1863</v>
      </c>
      <c r="D1370" s="135" t="s">
        <v>3065</v>
      </c>
      <c r="E1370" s="136"/>
      <c r="F1370" s="5" t="s">
        <v>3614</v>
      </c>
      <c r="G1370" s="18">
        <v>5.3</v>
      </c>
      <c r="H1370" s="18">
        <v>0</v>
      </c>
    </row>
    <row r="1371" spans="1:8" ht="12.2" customHeight="1" x14ac:dyDescent="0.2">
      <c r="D1371" s="153" t="s">
        <v>4083</v>
      </c>
      <c r="E1371" s="154"/>
      <c r="F1371" s="154"/>
      <c r="G1371" s="51">
        <v>5.3</v>
      </c>
    </row>
    <row r="1372" spans="1:8" x14ac:dyDescent="0.2">
      <c r="A1372" s="5" t="s">
        <v>905</v>
      </c>
      <c r="B1372" s="5" t="s">
        <v>3645</v>
      </c>
      <c r="C1372" s="5" t="s">
        <v>1864</v>
      </c>
      <c r="D1372" s="135" t="s">
        <v>3065</v>
      </c>
      <c r="E1372" s="136"/>
      <c r="F1372" s="5" t="s">
        <v>3614</v>
      </c>
      <c r="G1372" s="18">
        <v>23</v>
      </c>
      <c r="H1372" s="18">
        <v>0</v>
      </c>
    </row>
    <row r="1373" spans="1:8" ht="12.2" customHeight="1" x14ac:dyDescent="0.2">
      <c r="D1373" s="153" t="s">
        <v>4084</v>
      </c>
      <c r="E1373" s="154"/>
      <c r="F1373" s="154"/>
      <c r="G1373" s="51">
        <v>23</v>
      </c>
    </row>
    <row r="1374" spans="1:8" x14ac:dyDescent="0.2">
      <c r="A1374" s="5" t="s">
        <v>906</v>
      </c>
      <c r="B1374" s="5" t="s">
        <v>3645</v>
      </c>
      <c r="C1374" s="5" t="s">
        <v>1865</v>
      </c>
      <c r="D1374" s="135" t="s">
        <v>3066</v>
      </c>
      <c r="E1374" s="136"/>
      <c r="F1374" s="5" t="s">
        <v>3612</v>
      </c>
      <c r="G1374" s="18">
        <v>1</v>
      </c>
      <c r="H1374" s="18">
        <v>0</v>
      </c>
    </row>
    <row r="1375" spans="1:8" ht="12.2" customHeight="1" x14ac:dyDescent="0.2">
      <c r="D1375" s="153" t="s">
        <v>3747</v>
      </c>
      <c r="E1375" s="154"/>
      <c r="F1375" s="154"/>
      <c r="G1375" s="51">
        <v>1</v>
      </c>
    </row>
    <row r="1376" spans="1:8" x14ac:dyDescent="0.2">
      <c r="A1376" s="5" t="s">
        <v>907</v>
      </c>
      <c r="B1376" s="5" t="s">
        <v>3645</v>
      </c>
      <c r="C1376" s="5" t="s">
        <v>1866</v>
      </c>
      <c r="D1376" s="135" t="s">
        <v>3067</v>
      </c>
      <c r="E1376" s="136"/>
      <c r="F1376" s="5" t="s">
        <v>3612</v>
      </c>
      <c r="G1376" s="18">
        <v>1</v>
      </c>
      <c r="H1376" s="18">
        <v>0</v>
      </c>
    </row>
    <row r="1377" spans="1:8" ht="12.2" customHeight="1" x14ac:dyDescent="0.2">
      <c r="D1377" s="153" t="s">
        <v>3747</v>
      </c>
      <c r="E1377" s="154"/>
      <c r="F1377" s="154"/>
      <c r="G1377" s="51">
        <v>1</v>
      </c>
    </row>
    <row r="1378" spans="1:8" x14ac:dyDescent="0.2">
      <c r="A1378" s="5" t="s">
        <v>908</v>
      </c>
      <c r="B1378" s="5" t="s">
        <v>3645</v>
      </c>
      <c r="C1378" s="5" t="s">
        <v>1867</v>
      </c>
      <c r="D1378" s="135" t="s">
        <v>3068</v>
      </c>
      <c r="E1378" s="136"/>
      <c r="F1378" s="5" t="s">
        <v>3612</v>
      </c>
      <c r="G1378" s="18">
        <v>1</v>
      </c>
      <c r="H1378" s="18">
        <v>0</v>
      </c>
    </row>
    <row r="1379" spans="1:8" ht="12.2" customHeight="1" x14ac:dyDescent="0.2">
      <c r="D1379" s="153" t="s">
        <v>3747</v>
      </c>
      <c r="E1379" s="154"/>
      <c r="F1379" s="154"/>
      <c r="G1379" s="51">
        <v>1</v>
      </c>
    </row>
    <row r="1380" spans="1:8" x14ac:dyDescent="0.2">
      <c r="A1380" s="5" t="s">
        <v>909</v>
      </c>
      <c r="B1380" s="5" t="s">
        <v>3645</v>
      </c>
      <c r="C1380" s="5" t="s">
        <v>1868</v>
      </c>
      <c r="D1380" s="135" t="s">
        <v>3069</v>
      </c>
      <c r="E1380" s="136"/>
      <c r="F1380" s="5" t="s">
        <v>3612</v>
      </c>
      <c r="G1380" s="18">
        <v>1</v>
      </c>
      <c r="H1380" s="18">
        <v>0</v>
      </c>
    </row>
    <row r="1381" spans="1:8" ht="12.2" customHeight="1" x14ac:dyDescent="0.2">
      <c r="D1381" s="153" t="s">
        <v>3747</v>
      </c>
      <c r="E1381" s="154"/>
      <c r="F1381" s="154"/>
      <c r="G1381" s="51">
        <v>1</v>
      </c>
    </row>
    <row r="1382" spans="1:8" x14ac:dyDescent="0.2">
      <c r="A1382" s="5" t="s">
        <v>910</v>
      </c>
      <c r="B1382" s="5" t="s">
        <v>3645</v>
      </c>
      <c r="C1382" s="5" t="s">
        <v>1869</v>
      </c>
      <c r="D1382" s="135" t="s">
        <v>3070</v>
      </c>
      <c r="E1382" s="136"/>
      <c r="F1382" s="5" t="s">
        <v>3612</v>
      </c>
      <c r="G1382" s="18">
        <v>21</v>
      </c>
      <c r="H1382" s="18">
        <v>0</v>
      </c>
    </row>
    <row r="1383" spans="1:8" ht="12.2" customHeight="1" x14ac:dyDescent="0.2">
      <c r="D1383" s="153" t="s">
        <v>4085</v>
      </c>
      <c r="E1383" s="154"/>
      <c r="F1383" s="154"/>
      <c r="G1383" s="51">
        <v>21</v>
      </c>
    </row>
    <row r="1384" spans="1:8" x14ac:dyDescent="0.2">
      <c r="A1384" s="5" t="s">
        <v>911</v>
      </c>
      <c r="B1384" s="5" t="s">
        <v>3645</v>
      </c>
      <c r="C1384" s="5" t="s">
        <v>1870</v>
      </c>
      <c r="D1384" s="135" t="s">
        <v>3071</v>
      </c>
      <c r="E1384" s="136"/>
      <c r="F1384" s="5" t="s">
        <v>3612</v>
      </c>
      <c r="G1384" s="18">
        <v>5</v>
      </c>
      <c r="H1384" s="18">
        <v>0</v>
      </c>
    </row>
    <row r="1385" spans="1:8" ht="12.2" customHeight="1" x14ac:dyDescent="0.2">
      <c r="D1385" s="153" t="s">
        <v>3828</v>
      </c>
      <c r="E1385" s="154"/>
      <c r="F1385" s="154"/>
      <c r="G1385" s="51">
        <v>5</v>
      </c>
    </row>
    <row r="1386" spans="1:8" x14ac:dyDescent="0.2">
      <c r="A1386" s="5" t="s">
        <v>912</v>
      </c>
      <c r="B1386" s="5" t="s">
        <v>3645</v>
      </c>
      <c r="C1386" s="5" t="s">
        <v>1871</v>
      </c>
      <c r="D1386" s="135" t="s">
        <v>3072</v>
      </c>
      <c r="E1386" s="136"/>
      <c r="F1386" s="5" t="s">
        <v>3612</v>
      </c>
      <c r="G1386" s="18">
        <v>4</v>
      </c>
      <c r="H1386" s="18">
        <v>0</v>
      </c>
    </row>
    <row r="1387" spans="1:8" ht="12.2" customHeight="1" x14ac:dyDescent="0.2">
      <c r="D1387" s="153" t="s">
        <v>3827</v>
      </c>
      <c r="E1387" s="154"/>
      <c r="F1387" s="154"/>
      <c r="G1387" s="51">
        <v>4</v>
      </c>
    </row>
    <row r="1388" spans="1:8" x14ac:dyDescent="0.2">
      <c r="A1388" s="5" t="s">
        <v>913</v>
      </c>
      <c r="B1388" s="5" t="s">
        <v>3645</v>
      </c>
      <c r="C1388" s="5" t="s">
        <v>1872</v>
      </c>
      <c r="D1388" s="135" t="s">
        <v>3073</v>
      </c>
      <c r="E1388" s="136"/>
      <c r="F1388" s="5" t="s">
        <v>3612</v>
      </c>
      <c r="G1388" s="18">
        <v>2</v>
      </c>
      <c r="H1388" s="18">
        <v>0</v>
      </c>
    </row>
    <row r="1389" spans="1:8" ht="12.2" customHeight="1" x14ac:dyDescent="0.2">
      <c r="D1389" s="153" t="s">
        <v>3748</v>
      </c>
      <c r="E1389" s="154"/>
      <c r="F1389" s="154"/>
      <c r="G1389" s="51">
        <v>2</v>
      </c>
    </row>
    <row r="1390" spans="1:8" x14ac:dyDescent="0.2">
      <c r="A1390" s="5" t="s">
        <v>914</v>
      </c>
      <c r="B1390" s="5" t="s">
        <v>3645</v>
      </c>
      <c r="C1390" s="5" t="s">
        <v>1873</v>
      </c>
      <c r="D1390" s="135" t="s">
        <v>3074</v>
      </c>
      <c r="E1390" s="136"/>
      <c r="F1390" s="5" t="s">
        <v>3612</v>
      </c>
      <c r="G1390" s="18">
        <v>4</v>
      </c>
      <c r="H1390" s="18">
        <v>0</v>
      </c>
    </row>
    <row r="1391" spans="1:8" ht="12.2" customHeight="1" x14ac:dyDescent="0.2">
      <c r="D1391" s="153" t="s">
        <v>3827</v>
      </c>
      <c r="E1391" s="154"/>
      <c r="F1391" s="154"/>
      <c r="G1391" s="51">
        <v>4</v>
      </c>
    </row>
    <row r="1392" spans="1:8" x14ac:dyDescent="0.2">
      <c r="A1392" s="5" t="s">
        <v>915</v>
      </c>
      <c r="B1392" s="5" t="s">
        <v>3645</v>
      </c>
      <c r="C1392" s="5" t="s">
        <v>1874</v>
      </c>
      <c r="D1392" s="135" t="s">
        <v>3075</v>
      </c>
      <c r="E1392" s="136"/>
      <c r="F1392" s="5" t="s">
        <v>3618</v>
      </c>
      <c r="G1392" s="18">
        <v>1</v>
      </c>
      <c r="H1392" s="18">
        <v>0</v>
      </c>
    </row>
    <row r="1393" spans="1:8" ht="12.2" customHeight="1" x14ac:dyDescent="0.2">
      <c r="D1393" s="153" t="s">
        <v>3747</v>
      </c>
      <c r="E1393" s="154"/>
      <c r="F1393" s="154"/>
      <c r="G1393" s="51">
        <v>1</v>
      </c>
    </row>
    <row r="1394" spans="1:8" x14ac:dyDescent="0.2">
      <c r="A1394" s="5" t="s">
        <v>916</v>
      </c>
      <c r="B1394" s="5" t="s">
        <v>3645</v>
      </c>
      <c r="C1394" s="5" t="s">
        <v>1875</v>
      </c>
      <c r="D1394" s="135" t="s">
        <v>3076</v>
      </c>
      <c r="E1394" s="136"/>
      <c r="F1394" s="5" t="s">
        <v>3618</v>
      </c>
      <c r="G1394" s="18">
        <v>1</v>
      </c>
      <c r="H1394" s="18">
        <v>0</v>
      </c>
    </row>
    <row r="1395" spans="1:8" ht="12.2" customHeight="1" x14ac:dyDescent="0.2">
      <c r="D1395" s="153" t="s">
        <v>3747</v>
      </c>
      <c r="E1395" s="154"/>
      <c r="F1395" s="154"/>
      <c r="G1395" s="51">
        <v>1</v>
      </c>
    </row>
    <row r="1396" spans="1:8" x14ac:dyDescent="0.2">
      <c r="A1396" s="5" t="s">
        <v>917</v>
      </c>
      <c r="B1396" s="5" t="s">
        <v>3645</v>
      </c>
      <c r="C1396" s="5" t="s">
        <v>1876</v>
      </c>
      <c r="D1396" s="135" t="s">
        <v>3077</v>
      </c>
      <c r="E1396" s="136"/>
      <c r="F1396" s="5" t="s">
        <v>3614</v>
      </c>
      <c r="G1396" s="18">
        <v>1</v>
      </c>
      <c r="H1396" s="18">
        <v>0</v>
      </c>
    </row>
    <row r="1397" spans="1:8" ht="12.2" customHeight="1" x14ac:dyDescent="0.2">
      <c r="D1397" s="153" t="s">
        <v>3747</v>
      </c>
      <c r="E1397" s="154"/>
      <c r="F1397" s="154"/>
      <c r="G1397" s="51">
        <v>1</v>
      </c>
    </row>
    <row r="1398" spans="1:8" x14ac:dyDescent="0.2">
      <c r="A1398" s="5" t="s">
        <v>918</v>
      </c>
      <c r="B1398" s="5" t="s">
        <v>3645</v>
      </c>
      <c r="C1398" s="5" t="s">
        <v>1877</v>
      </c>
      <c r="D1398" s="135" t="s">
        <v>3078</v>
      </c>
      <c r="E1398" s="136"/>
      <c r="F1398" s="5" t="s">
        <v>3614</v>
      </c>
      <c r="G1398" s="18">
        <v>2</v>
      </c>
      <c r="H1398" s="18">
        <v>0</v>
      </c>
    </row>
    <row r="1399" spans="1:8" ht="12.2" customHeight="1" x14ac:dyDescent="0.2">
      <c r="D1399" s="153" t="s">
        <v>3748</v>
      </c>
      <c r="E1399" s="154"/>
      <c r="F1399" s="154"/>
      <c r="G1399" s="51">
        <v>2</v>
      </c>
    </row>
    <row r="1400" spans="1:8" x14ac:dyDescent="0.2">
      <c r="A1400" s="5" t="s">
        <v>919</v>
      </c>
      <c r="B1400" s="5" t="s">
        <v>3645</v>
      </c>
      <c r="C1400" s="5" t="s">
        <v>1878</v>
      </c>
      <c r="D1400" s="135" t="s">
        <v>3079</v>
      </c>
      <c r="E1400" s="136"/>
      <c r="F1400" s="5" t="s">
        <v>3614</v>
      </c>
      <c r="G1400" s="18">
        <v>150</v>
      </c>
      <c r="H1400" s="18">
        <v>0</v>
      </c>
    </row>
    <row r="1401" spans="1:8" ht="12.2" customHeight="1" x14ac:dyDescent="0.2">
      <c r="D1401" s="153" t="s">
        <v>4086</v>
      </c>
      <c r="E1401" s="154"/>
      <c r="F1401" s="154"/>
      <c r="G1401" s="51">
        <v>150</v>
      </c>
    </row>
    <row r="1402" spans="1:8" x14ac:dyDescent="0.2">
      <c r="A1402" s="5" t="s">
        <v>920</v>
      </c>
      <c r="B1402" s="5" t="s">
        <v>3645</v>
      </c>
      <c r="C1402" s="5" t="s">
        <v>1879</v>
      </c>
      <c r="D1402" s="135" t="s">
        <v>3080</v>
      </c>
      <c r="E1402" s="136"/>
      <c r="F1402" s="5" t="s">
        <v>3614</v>
      </c>
      <c r="G1402" s="18">
        <v>150</v>
      </c>
      <c r="H1402" s="18">
        <v>0</v>
      </c>
    </row>
    <row r="1403" spans="1:8" ht="12.2" customHeight="1" x14ac:dyDescent="0.2">
      <c r="D1403" s="153" t="s">
        <v>4086</v>
      </c>
      <c r="E1403" s="154"/>
      <c r="F1403" s="154"/>
      <c r="G1403" s="51">
        <v>150</v>
      </c>
    </row>
    <row r="1404" spans="1:8" x14ac:dyDescent="0.2">
      <c r="A1404" s="5" t="s">
        <v>921</v>
      </c>
      <c r="B1404" s="5" t="s">
        <v>3645</v>
      </c>
      <c r="C1404" s="5" t="s">
        <v>1880</v>
      </c>
      <c r="D1404" s="135" t="s">
        <v>3081</v>
      </c>
      <c r="E1404" s="136"/>
      <c r="F1404" s="5" t="s">
        <v>3612</v>
      </c>
      <c r="G1404" s="18">
        <v>30</v>
      </c>
      <c r="H1404" s="18">
        <v>0</v>
      </c>
    </row>
    <row r="1405" spans="1:8" ht="12.2" customHeight="1" x14ac:dyDescent="0.2">
      <c r="D1405" s="153" t="s">
        <v>3964</v>
      </c>
      <c r="E1405" s="154"/>
      <c r="F1405" s="154"/>
      <c r="G1405" s="51">
        <v>30</v>
      </c>
    </row>
    <row r="1406" spans="1:8" x14ac:dyDescent="0.2">
      <c r="A1406" s="5" t="s">
        <v>922</v>
      </c>
      <c r="B1406" s="5" t="s">
        <v>3645</v>
      </c>
      <c r="C1406" s="5" t="s">
        <v>1881</v>
      </c>
      <c r="D1406" s="135" t="s">
        <v>3082</v>
      </c>
      <c r="E1406" s="136"/>
      <c r="F1406" s="5" t="s">
        <v>3612</v>
      </c>
      <c r="G1406" s="18">
        <v>30</v>
      </c>
      <c r="H1406" s="18">
        <v>0</v>
      </c>
    </row>
    <row r="1407" spans="1:8" ht="12.2" customHeight="1" x14ac:dyDescent="0.2">
      <c r="D1407" s="153" t="s">
        <v>3964</v>
      </c>
      <c r="E1407" s="154"/>
      <c r="F1407" s="154"/>
      <c r="G1407" s="51">
        <v>30</v>
      </c>
    </row>
    <row r="1408" spans="1:8" x14ac:dyDescent="0.2">
      <c r="A1408" s="5" t="s">
        <v>923</v>
      </c>
      <c r="B1408" s="5" t="s">
        <v>3645</v>
      </c>
      <c r="C1408" s="5" t="s">
        <v>1882</v>
      </c>
      <c r="D1408" s="135" t="s">
        <v>3083</v>
      </c>
      <c r="E1408" s="136"/>
      <c r="F1408" s="5" t="s">
        <v>3612</v>
      </c>
      <c r="G1408" s="18">
        <v>5</v>
      </c>
      <c r="H1408" s="18">
        <v>0</v>
      </c>
    </row>
    <row r="1409" spans="1:8" ht="12.2" customHeight="1" x14ac:dyDescent="0.2">
      <c r="D1409" s="153" t="s">
        <v>3828</v>
      </c>
      <c r="E1409" s="154"/>
      <c r="F1409" s="154"/>
      <c r="G1409" s="51">
        <v>5</v>
      </c>
    </row>
    <row r="1410" spans="1:8" x14ac:dyDescent="0.2">
      <c r="A1410" s="5" t="s">
        <v>924</v>
      </c>
      <c r="B1410" s="5" t="s">
        <v>3645</v>
      </c>
      <c r="C1410" s="5" t="s">
        <v>1883</v>
      </c>
      <c r="D1410" s="135" t="s">
        <v>3084</v>
      </c>
      <c r="E1410" s="136"/>
      <c r="F1410" s="5" t="s">
        <v>3612</v>
      </c>
      <c r="G1410" s="18">
        <v>6</v>
      </c>
      <c r="H1410" s="18">
        <v>0</v>
      </c>
    </row>
    <row r="1411" spans="1:8" ht="12.2" customHeight="1" x14ac:dyDescent="0.2">
      <c r="D1411" s="153" t="s">
        <v>4087</v>
      </c>
      <c r="E1411" s="154"/>
      <c r="F1411" s="154"/>
      <c r="G1411" s="51">
        <v>6</v>
      </c>
    </row>
    <row r="1412" spans="1:8" x14ac:dyDescent="0.2">
      <c r="A1412" s="5" t="s">
        <v>925</v>
      </c>
      <c r="B1412" s="5" t="s">
        <v>3645</v>
      </c>
      <c r="C1412" s="5" t="s">
        <v>1884</v>
      </c>
      <c r="D1412" s="135" t="s">
        <v>3085</v>
      </c>
      <c r="E1412" s="136"/>
      <c r="F1412" s="5" t="s">
        <v>3612</v>
      </c>
      <c r="G1412" s="18">
        <v>5</v>
      </c>
      <c r="H1412" s="18">
        <v>0</v>
      </c>
    </row>
    <row r="1413" spans="1:8" ht="12.2" customHeight="1" x14ac:dyDescent="0.2">
      <c r="D1413" s="153" t="s">
        <v>3828</v>
      </c>
      <c r="E1413" s="154"/>
      <c r="F1413" s="154"/>
      <c r="G1413" s="51">
        <v>5</v>
      </c>
    </row>
    <row r="1414" spans="1:8" x14ac:dyDescent="0.2">
      <c r="A1414" s="5" t="s">
        <v>926</v>
      </c>
      <c r="B1414" s="5" t="s">
        <v>3645</v>
      </c>
      <c r="C1414" s="5" t="s">
        <v>1885</v>
      </c>
      <c r="D1414" s="135" t="s">
        <v>3086</v>
      </c>
      <c r="E1414" s="136"/>
      <c r="F1414" s="5" t="s">
        <v>3612</v>
      </c>
      <c r="G1414" s="18">
        <v>7</v>
      </c>
      <c r="H1414" s="18">
        <v>0</v>
      </c>
    </row>
    <row r="1415" spans="1:8" ht="12.2" customHeight="1" x14ac:dyDescent="0.2">
      <c r="D1415" s="153" t="s">
        <v>3892</v>
      </c>
      <c r="E1415" s="154"/>
      <c r="F1415" s="154"/>
      <c r="G1415" s="51">
        <v>7</v>
      </c>
    </row>
    <row r="1416" spans="1:8" x14ac:dyDescent="0.2">
      <c r="A1416" s="5" t="s">
        <v>927</v>
      </c>
      <c r="B1416" s="5" t="s">
        <v>3645</v>
      </c>
      <c r="C1416" s="5" t="s">
        <v>1886</v>
      </c>
      <c r="D1416" s="135" t="s">
        <v>3087</v>
      </c>
      <c r="E1416" s="136"/>
      <c r="F1416" s="5" t="s">
        <v>3612</v>
      </c>
      <c r="G1416" s="18">
        <v>10</v>
      </c>
      <c r="H1416" s="18">
        <v>0</v>
      </c>
    </row>
    <row r="1417" spans="1:8" ht="12.2" customHeight="1" x14ac:dyDescent="0.2">
      <c r="D1417" s="153" t="s">
        <v>4088</v>
      </c>
      <c r="E1417" s="154"/>
      <c r="F1417" s="154"/>
      <c r="G1417" s="51">
        <v>10</v>
      </c>
    </row>
    <row r="1418" spans="1:8" x14ac:dyDescent="0.2">
      <c r="A1418" s="5" t="s">
        <v>928</v>
      </c>
      <c r="B1418" s="5" t="s">
        <v>3645</v>
      </c>
      <c r="C1418" s="5" t="s">
        <v>1887</v>
      </c>
      <c r="D1418" s="135" t="s">
        <v>3088</v>
      </c>
      <c r="E1418" s="136"/>
      <c r="F1418" s="5" t="s">
        <v>3612</v>
      </c>
      <c r="G1418" s="18">
        <v>50</v>
      </c>
      <c r="H1418" s="18">
        <v>0</v>
      </c>
    </row>
    <row r="1419" spans="1:8" ht="12.2" customHeight="1" x14ac:dyDescent="0.2">
      <c r="D1419" s="153" t="s">
        <v>3749</v>
      </c>
      <c r="E1419" s="154"/>
      <c r="F1419" s="154"/>
      <c r="G1419" s="51">
        <v>50</v>
      </c>
    </row>
    <row r="1420" spans="1:8" x14ac:dyDescent="0.2">
      <c r="A1420" s="5" t="s">
        <v>929</v>
      </c>
      <c r="B1420" s="5" t="s">
        <v>3645</v>
      </c>
      <c r="C1420" s="5" t="s">
        <v>1888</v>
      </c>
      <c r="D1420" s="135" t="s">
        <v>3089</v>
      </c>
      <c r="E1420" s="136"/>
      <c r="F1420" s="5" t="s">
        <v>3612</v>
      </c>
      <c r="G1420" s="18">
        <v>2</v>
      </c>
      <c r="H1420" s="18">
        <v>0</v>
      </c>
    </row>
    <row r="1421" spans="1:8" ht="12.2" customHeight="1" x14ac:dyDescent="0.2">
      <c r="D1421" s="153" t="s">
        <v>3748</v>
      </c>
      <c r="E1421" s="154"/>
      <c r="F1421" s="154"/>
      <c r="G1421" s="51">
        <v>2</v>
      </c>
    </row>
    <row r="1422" spans="1:8" x14ac:dyDescent="0.2">
      <c r="A1422" s="5" t="s">
        <v>930</v>
      </c>
      <c r="B1422" s="5" t="s">
        <v>3645</v>
      </c>
      <c r="C1422" s="5" t="s">
        <v>1889</v>
      </c>
      <c r="D1422" s="135" t="s">
        <v>3090</v>
      </c>
      <c r="E1422" s="136"/>
      <c r="F1422" s="5" t="s">
        <v>3612</v>
      </c>
      <c r="G1422" s="18">
        <v>1</v>
      </c>
      <c r="H1422" s="18">
        <v>0</v>
      </c>
    </row>
    <row r="1423" spans="1:8" ht="12.2" customHeight="1" x14ac:dyDescent="0.2">
      <c r="D1423" s="153" t="s">
        <v>3747</v>
      </c>
      <c r="E1423" s="154"/>
      <c r="F1423" s="154"/>
      <c r="G1423" s="51">
        <v>1</v>
      </c>
    </row>
    <row r="1424" spans="1:8" x14ac:dyDescent="0.2">
      <c r="A1424" s="5" t="s">
        <v>931</v>
      </c>
      <c r="B1424" s="5" t="s">
        <v>3645</v>
      </c>
      <c r="C1424" s="5" t="s">
        <v>1890</v>
      </c>
      <c r="D1424" s="135" t="s">
        <v>3091</v>
      </c>
      <c r="E1424" s="136"/>
      <c r="F1424" s="5" t="s">
        <v>3612</v>
      </c>
      <c r="G1424" s="18">
        <v>1</v>
      </c>
      <c r="H1424" s="18">
        <v>0</v>
      </c>
    </row>
    <row r="1425" spans="1:8" ht="12.2" customHeight="1" x14ac:dyDescent="0.2">
      <c r="D1425" s="153" t="s">
        <v>3747</v>
      </c>
      <c r="E1425" s="154"/>
      <c r="F1425" s="154"/>
      <c r="G1425" s="51">
        <v>1</v>
      </c>
    </row>
    <row r="1426" spans="1:8" x14ac:dyDescent="0.2">
      <c r="A1426" s="5" t="s">
        <v>932</v>
      </c>
      <c r="B1426" s="5" t="s">
        <v>3645</v>
      </c>
      <c r="C1426" s="5" t="s">
        <v>1891</v>
      </c>
      <c r="D1426" s="135" t="s">
        <v>3092</v>
      </c>
      <c r="E1426" s="136"/>
      <c r="F1426" s="5" t="s">
        <v>3612</v>
      </c>
      <c r="G1426" s="18">
        <v>1</v>
      </c>
      <c r="H1426" s="18">
        <v>0</v>
      </c>
    </row>
    <row r="1427" spans="1:8" ht="12.2" customHeight="1" x14ac:dyDescent="0.2">
      <c r="D1427" s="153" t="s">
        <v>3747</v>
      </c>
      <c r="E1427" s="154"/>
      <c r="F1427" s="154"/>
      <c r="G1427" s="51">
        <v>1</v>
      </c>
    </row>
    <row r="1428" spans="1:8" x14ac:dyDescent="0.2">
      <c r="A1428" s="5" t="s">
        <v>933</v>
      </c>
      <c r="B1428" s="5" t="s">
        <v>3645</v>
      </c>
      <c r="C1428" s="5" t="s">
        <v>1892</v>
      </c>
      <c r="D1428" s="135" t="s">
        <v>3093</v>
      </c>
      <c r="E1428" s="136"/>
      <c r="F1428" s="5" t="s">
        <v>3612</v>
      </c>
      <c r="G1428" s="18">
        <v>1</v>
      </c>
      <c r="H1428" s="18">
        <v>0</v>
      </c>
    </row>
    <row r="1429" spans="1:8" ht="12.2" customHeight="1" x14ac:dyDescent="0.2">
      <c r="D1429" s="153" t="s">
        <v>3747</v>
      </c>
      <c r="E1429" s="154"/>
      <c r="F1429" s="154"/>
      <c r="G1429" s="51">
        <v>1</v>
      </c>
    </row>
    <row r="1430" spans="1:8" x14ac:dyDescent="0.2">
      <c r="A1430" s="5" t="s">
        <v>934</v>
      </c>
      <c r="B1430" s="5" t="s">
        <v>3645</v>
      </c>
      <c r="C1430" s="5" t="s">
        <v>1893</v>
      </c>
      <c r="D1430" s="135" t="s">
        <v>3094</v>
      </c>
      <c r="E1430" s="136"/>
      <c r="F1430" s="5" t="s">
        <v>3612</v>
      </c>
      <c r="G1430" s="18">
        <v>1</v>
      </c>
      <c r="H1430" s="18">
        <v>0</v>
      </c>
    </row>
    <row r="1431" spans="1:8" ht="12.2" customHeight="1" x14ac:dyDescent="0.2">
      <c r="D1431" s="153" t="s">
        <v>3747</v>
      </c>
      <c r="E1431" s="154"/>
      <c r="F1431" s="154"/>
      <c r="G1431" s="51">
        <v>1</v>
      </c>
    </row>
    <row r="1432" spans="1:8" x14ac:dyDescent="0.2">
      <c r="A1432" s="5" t="s">
        <v>935</v>
      </c>
      <c r="B1432" s="5" t="s">
        <v>3645</v>
      </c>
      <c r="C1432" s="5" t="s">
        <v>1894</v>
      </c>
      <c r="D1432" s="135" t="s">
        <v>3095</v>
      </c>
      <c r="E1432" s="136"/>
      <c r="F1432" s="5" t="s">
        <v>3612</v>
      </c>
      <c r="G1432" s="18">
        <v>1</v>
      </c>
      <c r="H1432" s="18">
        <v>0</v>
      </c>
    </row>
    <row r="1433" spans="1:8" ht="12.2" customHeight="1" x14ac:dyDescent="0.2">
      <c r="D1433" s="153" t="s">
        <v>3747</v>
      </c>
      <c r="E1433" s="154"/>
      <c r="F1433" s="154"/>
      <c r="G1433" s="51">
        <v>1</v>
      </c>
    </row>
    <row r="1434" spans="1:8" x14ac:dyDescent="0.2">
      <c r="A1434" s="5" t="s">
        <v>936</v>
      </c>
      <c r="B1434" s="5" t="s">
        <v>3645</v>
      </c>
      <c r="C1434" s="5" t="s">
        <v>1895</v>
      </c>
      <c r="D1434" s="135" t="s">
        <v>3096</v>
      </c>
      <c r="E1434" s="136"/>
      <c r="F1434" s="5" t="s">
        <v>3612</v>
      </c>
      <c r="G1434" s="18">
        <v>16</v>
      </c>
      <c r="H1434" s="18">
        <v>0</v>
      </c>
    </row>
    <row r="1435" spans="1:8" ht="12.2" customHeight="1" x14ac:dyDescent="0.2">
      <c r="D1435" s="153" t="s">
        <v>4089</v>
      </c>
      <c r="E1435" s="154"/>
      <c r="F1435" s="154"/>
      <c r="G1435" s="51">
        <v>16</v>
      </c>
    </row>
    <row r="1436" spans="1:8" x14ac:dyDescent="0.2">
      <c r="A1436" s="5" t="s">
        <v>937</v>
      </c>
      <c r="B1436" s="5" t="s">
        <v>3645</v>
      </c>
      <c r="C1436" s="5" t="s">
        <v>1896</v>
      </c>
      <c r="D1436" s="135" t="s">
        <v>3097</v>
      </c>
      <c r="E1436" s="136"/>
      <c r="F1436" s="5" t="s">
        <v>3612</v>
      </c>
      <c r="G1436" s="18">
        <v>1</v>
      </c>
      <c r="H1436" s="18">
        <v>0</v>
      </c>
    </row>
    <row r="1437" spans="1:8" ht="12.2" customHeight="1" x14ac:dyDescent="0.2">
      <c r="D1437" s="153" t="s">
        <v>3747</v>
      </c>
      <c r="E1437" s="154"/>
      <c r="F1437" s="154"/>
      <c r="G1437" s="51">
        <v>1</v>
      </c>
    </row>
    <row r="1438" spans="1:8" x14ac:dyDescent="0.2">
      <c r="A1438" s="5" t="s">
        <v>938</v>
      </c>
      <c r="B1438" s="5" t="s">
        <v>3645</v>
      </c>
      <c r="C1438" s="5" t="s">
        <v>1897</v>
      </c>
      <c r="D1438" s="135" t="s">
        <v>3098</v>
      </c>
      <c r="E1438" s="136"/>
      <c r="F1438" s="5" t="s">
        <v>3612</v>
      </c>
      <c r="G1438" s="18">
        <v>1</v>
      </c>
      <c r="H1438" s="18">
        <v>0</v>
      </c>
    </row>
    <row r="1439" spans="1:8" ht="12.2" customHeight="1" x14ac:dyDescent="0.2">
      <c r="D1439" s="153" t="s">
        <v>3747</v>
      </c>
      <c r="E1439" s="154"/>
      <c r="F1439" s="154"/>
      <c r="G1439" s="51">
        <v>1</v>
      </c>
    </row>
    <row r="1440" spans="1:8" x14ac:dyDescent="0.2">
      <c r="A1440" s="5" t="s">
        <v>939</v>
      </c>
      <c r="B1440" s="5" t="s">
        <v>3645</v>
      </c>
      <c r="C1440" s="5" t="s">
        <v>1898</v>
      </c>
      <c r="D1440" s="135" t="s">
        <v>3099</v>
      </c>
      <c r="E1440" s="136"/>
      <c r="F1440" s="5" t="s">
        <v>3612</v>
      </c>
      <c r="G1440" s="18">
        <v>1</v>
      </c>
      <c r="H1440" s="18">
        <v>0</v>
      </c>
    </row>
    <row r="1441" spans="1:8" ht="12.2" customHeight="1" x14ac:dyDescent="0.2">
      <c r="D1441" s="153" t="s">
        <v>3747</v>
      </c>
      <c r="E1441" s="154"/>
      <c r="F1441" s="154"/>
      <c r="G1441" s="51">
        <v>1</v>
      </c>
    </row>
    <row r="1442" spans="1:8" x14ac:dyDescent="0.2">
      <c r="A1442" s="5" t="s">
        <v>940</v>
      </c>
      <c r="B1442" s="5" t="s">
        <v>3645</v>
      </c>
      <c r="C1442" s="5" t="s">
        <v>1899</v>
      </c>
      <c r="D1442" s="135" t="s">
        <v>3100</v>
      </c>
      <c r="E1442" s="136"/>
      <c r="F1442" s="5" t="s">
        <v>3612</v>
      </c>
      <c r="G1442" s="18">
        <v>1</v>
      </c>
      <c r="H1442" s="18">
        <v>0</v>
      </c>
    </row>
    <row r="1443" spans="1:8" ht="12.2" customHeight="1" x14ac:dyDescent="0.2">
      <c r="D1443" s="153" t="s">
        <v>3747</v>
      </c>
      <c r="E1443" s="154"/>
      <c r="F1443" s="154"/>
      <c r="G1443" s="51">
        <v>1</v>
      </c>
    </row>
    <row r="1444" spans="1:8" x14ac:dyDescent="0.2">
      <c r="A1444" s="5" t="s">
        <v>941</v>
      </c>
      <c r="B1444" s="5" t="s">
        <v>3645</v>
      </c>
      <c r="C1444" s="5" t="s">
        <v>1900</v>
      </c>
      <c r="D1444" s="135" t="s">
        <v>3101</v>
      </c>
      <c r="E1444" s="136"/>
      <c r="F1444" s="5" t="s">
        <v>3612</v>
      </c>
      <c r="G1444" s="18">
        <v>1</v>
      </c>
      <c r="H1444" s="18">
        <v>0</v>
      </c>
    </row>
    <row r="1445" spans="1:8" ht="12.2" customHeight="1" x14ac:dyDescent="0.2">
      <c r="D1445" s="153" t="s">
        <v>3747</v>
      </c>
      <c r="E1445" s="154"/>
      <c r="F1445" s="154"/>
      <c r="G1445" s="51">
        <v>1</v>
      </c>
    </row>
    <row r="1446" spans="1:8" x14ac:dyDescent="0.2">
      <c r="A1446" s="5" t="s">
        <v>942</v>
      </c>
      <c r="B1446" s="5" t="s">
        <v>3645</v>
      </c>
      <c r="C1446" s="5" t="s">
        <v>1901</v>
      </c>
      <c r="D1446" s="135" t="s">
        <v>3102</v>
      </c>
      <c r="E1446" s="136"/>
      <c r="F1446" s="5" t="s">
        <v>3612</v>
      </c>
      <c r="G1446" s="18">
        <v>1</v>
      </c>
      <c r="H1446" s="18">
        <v>0</v>
      </c>
    </row>
    <row r="1447" spans="1:8" ht="12.2" customHeight="1" x14ac:dyDescent="0.2">
      <c r="D1447" s="153" t="s">
        <v>3747</v>
      </c>
      <c r="E1447" s="154"/>
      <c r="F1447" s="154"/>
      <c r="G1447" s="51">
        <v>1</v>
      </c>
    </row>
    <row r="1448" spans="1:8" x14ac:dyDescent="0.2">
      <c r="A1448" s="5" t="s">
        <v>943</v>
      </c>
      <c r="B1448" s="5" t="s">
        <v>3645</v>
      </c>
      <c r="C1448" s="5" t="s">
        <v>1902</v>
      </c>
      <c r="D1448" s="135" t="s">
        <v>3103</v>
      </c>
      <c r="E1448" s="136"/>
      <c r="F1448" s="5" t="s">
        <v>3612</v>
      </c>
      <c r="G1448" s="18">
        <v>1</v>
      </c>
      <c r="H1448" s="18">
        <v>0</v>
      </c>
    </row>
    <row r="1449" spans="1:8" ht="12.2" customHeight="1" x14ac:dyDescent="0.2">
      <c r="D1449" s="153" t="s">
        <v>3747</v>
      </c>
      <c r="E1449" s="154"/>
      <c r="F1449" s="154"/>
      <c r="G1449" s="51">
        <v>1</v>
      </c>
    </row>
    <row r="1450" spans="1:8" x14ac:dyDescent="0.2">
      <c r="A1450" s="5" t="s">
        <v>944</v>
      </c>
      <c r="B1450" s="5" t="s">
        <v>3645</v>
      </c>
      <c r="C1450" s="5" t="s">
        <v>1903</v>
      </c>
      <c r="D1450" s="135" t="s">
        <v>3104</v>
      </c>
      <c r="E1450" s="136"/>
      <c r="F1450" s="5" t="s">
        <v>3612</v>
      </c>
      <c r="G1450" s="18">
        <v>1</v>
      </c>
      <c r="H1450" s="18">
        <v>0</v>
      </c>
    </row>
    <row r="1451" spans="1:8" ht="12.2" customHeight="1" x14ac:dyDescent="0.2">
      <c r="D1451" s="153" t="s">
        <v>3747</v>
      </c>
      <c r="E1451" s="154"/>
      <c r="F1451" s="154"/>
      <c r="G1451" s="51">
        <v>1</v>
      </c>
    </row>
    <row r="1452" spans="1:8" x14ac:dyDescent="0.2">
      <c r="A1452" s="5" t="s">
        <v>945</v>
      </c>
      <c r="B1452" s="5" t="s">
        <v>3645</v>
      </c>
      <c r="C1452" s="5" t="s">
        <v>1904</v>
      </c>
      <c r="D1452" s="135" t="s">
        <v>3105</v>
      </c>
      <c r="E1452" s="136"/>
      <c r="F1452" s="5" t="s">
        <v>3612</v>
      </c>
      <c r="G1452" s="18">
        <v>2</v>
      </c>
      <c r="H1452" s="18">
        <v>0</v>
      </c>
    </row>
    <row r="1453" spans="1:8" ht="12.2" customHeight="1" x14ac:dyDescent="0.2">
      <c r="D1453" s="153" t="s">
        <v>3748</v>
      </c>
      <c r="E1453" s="154"/>
      <c r="F1453" s="154"/>
      <c r="G1453" s="51">
        <v>2</v>
      </c>
    </row>
    <row r="1454" spans="1:8" x14ac:dyDescent="0.2">
      <c r="A1454" s="5" t="s">
        <v>946</v>
      </c>
      <c r="B1454" s="5" t="s">
        <v>3645</v>
      </c>
      <c r="C1454" s="5" t="s">
        <v>1905</v>
      </c>
      <c r="D1454" s="135" t="s">
        <v>3106</v>
      </c>
      <c r="E1454" s="136"/>
      <c r="F1454" s="5" t="s">
        <v>3612</v>
      </c>
      <c r="G1454" s="18">
        <v>1</v>
      </c>
      <c r="H1454" s="18">
        <v>0</v>
      </c>
    </row>
    <row r="1455" spans="1:8" ht="12.2" customHeight="1" x14ac:dyDescent="0.2">
      <c r="D1455" s="153" t="s">
        <v>3747</v>
      </c>
      <c r="E1455" s="154"/>
      <c r="F1455" s="154"/>
      <c r="G1455" s="51">
        <v>1</v>
      </c>
    </row>
    <row r="1456" spans="1:8" x14ac:dyDescent="0.2">
      <c r="A1456" s="5" t="s">
        <v>947</v>
      </c>
      <c r="B1456" s="5" t="s">
        <v>3645</v>
      </c>
      <c r="C1456" s="5" t="s">
        <v>1906</v>
      </c>
      <c r="D1456" s="135" t="s">
        <v>3107</v>
      </c>
      <c r="E1456" s="136"/>
      <c r="F1456" s="5" t="s">
        <v>3612</v>
      </c>
      <c r="G1456" s="18">
        <v>1</v>
      </c>
      <c r="H1456" s="18">
        <v>0</v>
      </c>
    </row>
    <row r="1457" spans="1:8" ht="12.2" customHeight="1" x14ac:dyDescent="0.2">
      <c r="D1457" s="153" t="s">
        <v>3747</v>
      </c>
      <c r="E1457" s="154"/>
      <c r="F1457" s="154"/>
      <c r="G1457" s="51">
        <v>1</v>
      </c>
    </row>
    <row r="1458" spans="1:8" x14ac:dyDescent="0.2">
      <c r="A1458" s="5" t="s">
        <v>948</v>
      </c>
      <c r="B1458" s="5" t="s">
        <v>3645</v>
      </c>
      <c r="C1458" s="5" t="s">
        <v>1907</v>
      </c>
      <c r="D1458" s="135" t="s">
        <v>3108</v>
      </c>
      <c r="E1458" s="136"/>
      <c r="F1458" s="5" t="s">
        <v>3612</v>
      </c>
      <c r="G1458" s="18">
        <v>1</v>
      </c>
      <c r="H1458" s="18">
        <v>0</v>
      </c>
    </row>
    <row r="1459" spans="1:8" ht="12.2" customHeight="1" x14ac:dyDescent="0.2">
      <c r="D1459" s="153" t="s">
        <v>3747</v>
      </c>
      <c r="E1459" s="154"/>
      <c r="F1459" s="154"/>
      <c r="G1459" s="51">
        <v>1</v>
      </c>
    </row>
    <row r="1460" spans="1:8" x14ac:dyDescent="0.2">
      <c r="A1460" s="5" t="s">
        <v>949</v>
      </c>
      <c r="B1460" s="5" t="s">
        <v>3645</v>
      </c>
      <c r="C1460" s="5" t="s">
        <v>1908</v>
      </c>
      <c r="D1460" s="135" t="s">
        <v>3109</v>
      </c>
      <c r="E1460" s="136"/>
      <c r="F1460" s="5" t="s">
        <v>3612</v>
      </c>
      <c r="G1460" s="18">
        <v>3</v>
      </c>
      <c r="H1460" s="18">
        <v>0</v>
      </c>
    </row>
    <row r="1461" spans="1:8" ht="12.2" customHeight="1" x14ac:dyDescent="0.2">
      <c r="D1461" s="153" t="s">
        <v>4050</v>
      </c>
      <c r="E1461" s="154"/>
      <c r="F1461" s="154"/>
      <c r="G1461" s="51">
        <v>3</v>
      </c>
    </row>
    <row r="1462" spans="1:8" x14ac:dyDescent="0.2">
      <c r="A1462" s="5" t="s">
        <v>950</v>
      </c>
      <c r="B1462" s="5" t="s">
        <v>3645</v>
      </c>
      <c r="C1462" s="5" t="s">
        <v>1909</v>
      </c>
      <c r="D1462" s="135" t="s">
        <v>3110</v>
      </c>
      <c r="E1462" s="136"/>
      <c r="F1462" s="5" t="s">
        <v>3612</v>
      </c>
      <c r="G1462" s="18">
        <v>1</v>
      </c>
      <c r="H1462" s="18">
        <v>0</v>
      </c>
    </row>
    <row r="1463" spans="1:8" ht="12.2" customHeight="1" x14ac:dyDescent="0.2">
      <c r="D1463" s="153" t="s">
        <v>3747</v>
      </c>
      <c r="E1463" s="154"/>
      <c r="F1463" s="154"/>
      <c r="G1463" s="51">
        <v>1</v>
      </c>
    </row>
    <row r="1464" spans="1:8" x14ac:dyDescent="0.2">
      <c r="A1464" s="5" t="s">
        <v>951</v>
      </c>
      <c r="B1464" s="5" t="s">
        <v>3645</v>
      </c>
      <c r="C1464" s="5" t="s">
        <v>1910</v>
      </c>
      <c r="D1464" s="135" t="s">
        <v>3111</v>
      </c>
      <c r="E1464" s="136"/>
      <c r="F1464" s="5" t="s">
        <v>3612</v>
      </c>
      <c r="G1464" s="18">
        <v>2</v>
      </c>
      <c r="H1464" s="18">
        <v>0</v>
      </c>
    </row>
    <row r="1465" spans="1:8" ht="12.2" customHeight="1" x14ac:dyDescent="0.2">
      <c r="D1465" s="153" t="s">
        <v>3748</v>
      </c>
      <c r="E1465" s="154"/>
      <c r="F1465" s="154"/>
      <c r="G1465" s="51">
        <v>2</v>
      </c>
    </row>
    <row r="1466" spans="1:8" x14ac:dyDescent="0.2">
      <c r="A1466" s="5" t="s">
        <v>952</v>
      </c>
      <c r="B1466" s="5" t="s">
        <v>3645</v>
      </c>
      <c r="C1466" s="5" t="s">
        <v>1911</v>
      </c>
      <c r="D1466" s="135" t="s">
        <v>3112</v>
      </c>
      <c r="E1466" s="136"/>
      <c r="F1466" s="5" t="s">
        <v>3612</v>
      </c>
      <c r="G1466" s="18">
        <v>4</v>
      </c>
      <c r="H1466" s="18">
        <v>0</v>
      </c>
    </row>
    <row r="1467" spans="1:8" ht="12.2" customHeight="1" x14ac:dyDescent="0.2">
      <c r="D1467" s="153" t="s">
        <v>4090</v>
      </c>
      <c r="E1467" s="154"/>
      <c r="F1467" s="154"/>
      <c r="G1467" s="51">
        <v>4</v>
      </c>
    </row>
    <row r="1468" spans="1:8" x14ac:dyDescent="0.2">
      <c r="A1468" s="5" t="s">
        <v>953</v>
      </c>
      <c r="B1468" s="5" t="s">
        <v>3645</v>
      </c>
      <c r="C1468" s="5" t="s">
        <v>1912</v>
      </c>
      <c r="D1468" s="135" t="s">
        <v>3113</v>
      </c>
      <c r="E1468" s="136"/>
      <c r="F1468" s="5" t="s">
        <v>3612</v>
      </c>
      <c r="G1468" s="18">
        <v>1</v>
      </c>
      <c r="H1468" s="18">
        <v>0</v>
      </c>
    </row>
    <row r="1469" spans="1:8" ht="12.2" customHeight="1" x14ac:dyDescent="0.2">
      <c r="D1469" s="153" t="s">
        <v>3747</v>
      </c>
      <c r="E1469" s="154"/>
      <c r="F1469" s="154"/>
      <c r="G1469" s="51">
        <v>1</v>
      </c>
    </row>
    <row r="1470" spans="1:8" x14ac:dyDescent="0.2">
      <c r="A1470" s="5" t="s">
        <v>954</v>
      </c>
      <c r="B1470" s="5" t="s">
        <v>3645</v>
      </c>
      <c r="C1470" s="5" t="s">
        <v>1913</v>
      </c>
      <c r="D1470" s="135" t="s">
        <v>3114</v>
      </c>
      <c r="E1470" s="136"/>
      <c r="F1470" s="5" t="s">
        <v>3612</v>
      </c>
      <c r="G1470" s="18">
        <v>1</v>
      </c>
      <c r="H1470" s="18">
        <v>0</v>
      </c>
    </row>
    <row r="1471" spans="1:8" ht="12.2" customHeight="1" x14ac:dyDescent="0.2">
      <c r="D1471" s="153" t="s">
        <v>3747</v>
      </c>
      <c r="E1471" s="154"/>
      <c r="F1471" s="154"/>
      <c r="G1471" s="51">
        <v>1</v>
      </c>
    </row>
    <row r="1472" spans="1:8" x14ac:dyDescent="0.2">
      <c r="A1472" s="5" t="s">
        <v>955</v>
      </c>
      <c r="B1472" s="5" t="s">
        <v>3645</v>
      </c>
      <c r="C1472" s="5" t="s">
        <v>1914</v>
      </c>
      <c r="D1472" s="135" t="s">
        <v>3115</v>
      </c>
      <c r="E1472" s="136"/>
      <c r="F1472" s="5" t="s">
        <v>3616</v>
      </c>
      <c r="G1472" s="18">
        <v>9.9619</v>
      </c>
      <c r="H1472" s="18">
        <v>0</v>
      </c>
    </row>
    <row r="1473" spans="1:8" ht="12.2" customHeight="1" x14ac:dyDescent="0.2">
      <c r="D1473" s="153" t="s">
        <v>4091</v>
      </c>
      <c r="E1473" s="154"/>
      <c r="F1473" s="154"/>
      <c r="G1473" s="51">
        <v>9.9619</v>
      </c>
    </row>
    <row r="1474" spans="1:8" x14ac:dyDescent="0.2">
      <c r="A1474" s="14"/>
      <c r="B1474" s="14"/>
      <c r="C1474" s="14" t="s">
        <v>777</v>
      </c>
      <c r="D1474" s="133" t="s">
        <v>3116</v>
      </c>
      <c r="E1474" s="134"/>
      <c r="F1474" s="14"/>
      <c r="G1474" s="27"/>
      <c r="H1474" s="27"/>
    </row>
    <row r="1475" spans="1:8" x14ac:dyDescent="0.2">
      <c r="A1475" s="5" t="s">
        <v>956</v>
      </c>
      <c r="B1475" s="5" t="s">
        <v>3645</v>
      </c>
      <c r="C1475" s="5" t="s">
        <v>1915</v>
      </c>
      <c r="D1475" s="135" t="s">
        <v>3117</v>
      </c>
      <c r="E1475" s="136"/>
      <c r="F1475" s="5" t="s">
        <v>3615</v>
      </c>
      <c r="G1475" s="18">
        <v>137.35</v>
      </c>
      <c r="H1475" s="18">
        <v>0</v>
      </c>
    </row>
    <row r="1476" spans="1:8" ht="12.2" customHeight="1" x14ac:dyDescent="0.2">
      <c r="D1476" s="153" t="s">
        <v>4092</v>
      </c>
      <c r="E1476" s="154"/>
      <c r="F1476" s="154"/>
      <c r="G1476" s="51">
        <v>137.35</v>
      </c>
    </row>
    <row r="1477" spans="1:8" x14ac:dyDescent="0.2">
      <c r="A1477" s="5" t="s">
        <v>957</v>
      </c>
      <c r="B1477" s="5" t="s">
        <v>3645</v>
      </c>
      <c r="C1477" s="5" t="s">
        <v>1916</v>
      </c>
      <c r="D1477" s="135" t="s">
        <v>3118</v>
      </c>
      <c r="E1477" s="136"/>
      <c r="F1477" s="5" t="s">
        <v>3615</v>
      </c>
      <c r="G1477" s="18">
        <v>137.35</v>
      </c>
      <c r="H1477" s="18">
        <v>0</v>
      </c>
    </row>
    <row r="1478" spans="1:8" ht="12.2" customHeight="1" x14ac:dyDescent="0.2">
      <c r="D1478" s="153" t="s">
        <v>4092</v>
      </c>
      <c r="E1478" s="154"/>
      <c r="F1478" s="154"/>
      <c r="G1478" s="51">
        <v>137.35</v>
      </c>
    </row>
    <row r="1479" spans="1:8" x14ac:dyDescent="0.2">
      <c r="A1479" s="5" t="s">
        <v>958</v>
      </c>
      <c r="B1479" s="5" t="s">
        <v>3645</v>
      </c>
      <c r="C1479" s="5" t="s">
        <v>1917</v>
      </c>
      <c r="D1479" s="135" t="s">
        <v>3119</v>
      </c>
      <c r="E1479" s="136"/>
      <c r="F1479" s="5" t="s">
        <v>3615</v>
      </c>
      <c r="G1479" s="18">
        <v>137.35</v>
      </c>
      <c r="H1479" s="18">
        <v>0</v>
      </c>
    </row>
    <row r="1480" spans="1:8" ht="12.2" customHeight="1" x14ac:dyDescent="0.2">
      <c r="D1480" s="153" t="s">
        <v>4093</v>
      </c>
      <c r="E1480" s="154"/>
      <c r="F1480" s="154"/>
      <c r="G1480" s="51">
        <v>89.78</v>
      </c>
    </row>
    <row r="1481" spans="1:8" ht="12.2" customHeight="1" x14ac:dyDescent="0.2">
      <c r="A1481" s="5"/>
      <c r="B1481" s="5"/>
      <c r="C1481" s="5"/>
      <c r="D1481" s="153" t="s">
        <v>4094</v>
      </c>
      <c r="E1481" s="154"/>
      <c r="F1481" s="153"/>
      <c r="G1481" s="51">
        <v>47.57</v>
      </c>
      <c r="H1481" s="28"/>
    </row>
    <row r="1482" spans="1:8" x14ac:dyDescent="0.2">
      <c r="A1482" s="6" t="s">
        <v>959</v>
      </c>
      <c r="B1482" s="6" t="s">
        <v>3645</v>
      </c>
      <c r="C1482" s="6" t="s">
        <v>1918</v>
      </c>
      <c r="D1482" s="137" t="s">
        <v>3120</v>
      </c>
      <c r="E1482" s="138"/>
      <c r="F1482" s="6" t="s">
        <v>3615</v>
      </c>
      <c r="G1482" s="19">
        <v>157.95249999999999</v>
      </c>
      <c r="H1482" s="19">
        <v>0</v>
      </c>
    </row>
    <row r="1483" spans="1:8" ht="12.2" customHeight="1" x14ac:dyDescent="0.2">
      <c r="D1483" s="155" t="s">
        <v>4092</v>
      </c>
      <c r="E1483" s="156"/>
      <c r="F1483" s="156"/>
      <c r="G1483" s="52">
        <v>137.35</v>
      </c>
    </row>
    <row r="1484" spans="1:8" ht="12.2" customHeight="1" x14ac:dyDescent="0.2">
      <c r="A1484" s="6"/>
      <c r="B1484" s="6"/>
      <c r="C1484" s="6"/>
      <c r="D1484" s="155" t="s">
        <v>4095</v>
      </c>
      <c r="E1484" s="156"/>
      <c r="F1484" s="155"/>
      <c r="G1484" s="52">
        <v>20.602499999999999</v>
      </c>
      <c r="H1484" s="29"/>
    </row>
    <row r="1485" spans="1:8" x14ac:dyDescent="0.2">
      <c r="A1485" s="5" t="s">
        <v>960</v>
      </c>
      <c r="B1485" s="5" t="s">
        <v>3645</v>
      </c>
      <c r="C1485" s="5" t="s">
        <v>1919</v>
      </c>
      <c r="D1485" s="135" t="s">
        <v>3121</v>
      </c>
      <c r="E1485" s="136"/>
      <c r="F1485" s="5" t="s">
        <v>3615</v>
      </c>
      <c r="G1485" s="18">
        <v>9.74</v>
      </c>
      <c r="H1485" s="18">
        <v>0</v>
      </c>
    </row>
    <row r="1486" spans="1:8" ht="12.2" customHeight="1" x14ac:dyDescent="0.2">
      <c r="D1486" s="153" t="s">
        <v>4096</v>
      </c>
      <c r="E1486" s="154"/>
      <c r="F1486" s="154"/>
      <c r="G1486" s="51">
        <v>9.74</v>
      </c>
    </row>
    <row r="1487" spans="1:8" x14ac:dyDescent="0.2">
      <c r="A1487" s="5" t="s">
        <v>961</v>
      </c>
      <c r="B1487" s="5" t="s">
        <v>3645</v>
      </c>
      <c r="C1487" s="5" t="s">
        <v>1920</v>
      </c>
      <c r="D1487" s="135" t="s">
        <v>3122</v>
      </c>
      <c r="E1487" s="136"/>
      <c r="F1487" s="5" t="s">
        <v>3614</v>
      </c>
      <c r="G1487" s="18">
        <v>40.75</v>
      </c>
      <c r="H1487" s="18">
        <v>0</v>
      </c>
    </row>
    <row r="1488" spans="1:8" ht="12.2" customHeight="1" x14ac:dyDescent="0.2">
      <c r="D1488" s="153" t="s">
        <v>4097</v>
      </c>
      <c r="E1488" s="154"/>
      <c r="F1488" s="154"/>
      <c r="G1488" s="51">
        <v>40.75</v>
      </c>
    </row>
    <row r="1489" spans="1:8" x14ac:dyDescent="0.2">
      <c r="A1489" s="6" t="s">
        <v>962</v>
      </c>
      <c r="B1489" s="6" t="s">
        <v>3645</v>
      </c>
      <c r="C1489" s="6" t="s">
        <v>1921</v>
      </c>
      <c r="D1489" s="137" t="s">
        <v>3123</v>
      </c>
      <c r="E1489" s="138"/>
      <c r="F1489" s="6" t="s">
        <v>3615</v>
      </c>
      <c r="G1489" s="19">
        <v>5.09375</v>
      </c>
      <c r="H1489" s="19">
        <v>0</v>
      </c>
    </row>
    <row r="1490" spans="1:8" ht="12.2" customHeight="1" x14ac:dyDescent="0.2">
      <c r="D1490" s="155" t="s">
        <v>4098</v>
      </c>
      <c r="E1490" s="156"/>
      <c r="F1490" s="156"/>
      <c r="G1490" s="52">
        <v>4.0750000000000002</v>
      </c>
    </row>
    <row r="1491" spans="1:8" ht="12.2" customHeight="1" x14ac:dyDescent="0.2">
      <c r="A1491" s="6"/>
      <c r="B1491" s="6"/>
      <c r="C1491" s="6"/>
      <c r="D1491" s="155" t="s">
        <v>4099</v>
      </c>
      <c r="E1491" s="156"/>
      <c r="F1491" s="155"/>
      <c r="G1491" s="52">
        <v>1.01875</v>
      </c>
      <c r="H1491" s="29"/>
    </row>
    <row r="1492" spans="1:8" x14ac:dyDescent="0.2">
      <c r="A1492" s="5" t="s">
        <v>963</v>
      </c>
      <c r="B1492" s="5" t="s">
        <v>3645</v>
      </c>
      <c r="C1492" s="5" t="s">
        <v>1922</v>
      </c>
      <c r="D1492" s="135" t="s">
        <v>3124</v>
      </c>
      <c r="E1492" s="136"/>
      <c r="F1492" s="5" t="s">
        <v>3614</v>
      </c>
      <c r="G1492" s="18">
        <v>11.4</v>
      </c>
      <c r="H1492" s="18">
        <v>0</v>
      </c>
    </row>
    <row r="1493" spans="1:8" ht="12.2" customHeight="1" x14ac:dyDescent="0.2">
      <c r="D1493" s="153" t="s">
        <v>4100</v>
      </c>
      <c r="E1493" s="154"/>
      <c r="F1493" s="154"/>
      <c r="G1493" s="51">
        <v>4</v>
      </c>
    </row>
    <row r="1494" spans="1:8" ht="12.2" customHeight="1" x14ac:dyDescent="0.2">
      <c r="A1494" s="5"/>
      <c r="B1494" s="5"/>
      <c r="C1494" s="5"/>
      <c r="D1494" s="153" t="s">
        <v>4101</v>
      </c>
      <c r="E1494" s="154"/>
      <c r="F1494" s="153"/>
      <c r="G1494" s="51">
        <v>7.4</v>
      </c>
      <c r="H1494" s="28"/>
    </row>
    <row r="1495" spans="1:8" x14ac:dyDescent="0.2">
      <c r="A1495" s="5" t="s">
        <v>964</v>
      </c>
      <c r="B1495" s="5" t="s">
        <v>3645</v>
      </c>
      <c r="C1495" s="5" t="s">
        <v>1923</v>
      </c>
      <c r="D1495" s="135" t="s">
        <v>3125</v>
      </c>
      <c r="E1495" s="136"/>
      <c r="F1495" s="5" t="s">
        <v>3614</v>
      </c>
      <c r="G1495" s="18">
        <v>164.77</v>
      </c>
      <c r="H1495" s="18">
        <v>0</v>
      </c>
    </row>
    <row r="1496" spans="1:8" ht="12.2" customHeight="1" x14ac:dyDescent="0.2">
      <c r="D1496" s="153" t="s">
        <v>4102</v>
      </c>
      <c r="E1496" s="154"/>
      <c r="F1496" s="154"/>
      <c r="G1496" s="51">
        <v>82.37</v>
      </c>
    </row>
    <row r="1497" spans="1:8" ht="12.2" customHeight="1" x14ac:dyDescent="0.2">
      <c r="A1497" s="5"/>
      <c r="B1497" s="5"/>
      <c r="C1497" s="5"/>
      <c r="D1497" s="153" t="s">
        <v>4103</v>
      </c>
      <c r="E1497" s="154"/>
      <c r="F1497" s="153"/>
      <c r="G1497" s="51">
        <v>82.4</v>
      </c>
      <c r="H1497" s="28"/>
    </row>
    <row r="1498" spans="1:8" x14ac:dyDescent="0.2">
      <c r="A1498" s="5" t="s">
        <v>965</v>
      </c>
      <c r="B1498" s="5" t="s">
        <v>3645</v>
      </c>
      <c r="C1498" s="5" t="s">
        <v>1924</v>
      </c>
      <c r="D1498" s="135" t="s">
        <v>3126</v>
      </c>
      <c r="E1498" s="136"/>
      <c r="F1498" s="5" t="s">
        <v>3615</v>
      </c>
      <c r="G1498" s="18">
        <v>137.35</v>
      </c>
      <c r="H1498" s="18">
        <v>0</v>
      </c>
    </row>
    <row r="1499" spans="1:8" ht="12.2" customHeight="1" x14ac:dyDescent="0.2">
      <c r="D1499" s="153" t="s">
        <v>4092</v>
      </c>
      <c r="E1499" s="154"/>
      <c r="F1499" s="154"/>
      <c r="G1499" s="51">
        <v>137.35</v>
      </c>
    </row>
    <row r="1500" spans="1:8" x14ac:dyDescent="0.2">
      <c r="A1500" s="5" t="s">
        <v>966</v>
      </c>
      <c r="B1500" s="5" t="s">
        <v>3645</v>
      </c>
      <c r="C1500" s="5" t="s">
        <v>1925</v>
      </c>
      <c r="D1500" s="135" t="s">
        <v>3127</v>
      </c>
      <c r="E1500" s="136"/>
      <c r="F1500" s="5" t="s">
        <v>3615</v>
      </c>
      <c r="G1500" s="18">
        <v>62.26</v>
      </c>
      <c r="H1500" s="18">
        <v>0</v>
      </c>
    </row>
    <row r="1501" spans="1:8" ht="12.2" customHeight="1" x14ac:dyDescent="0.2">
      <c r="D1501" s="153" t="s">
        <v>4104</v>
      </c>
      <c r="E1501" s="154"/>
      <c r="F1501" s="154"/>
      <c r="G1501" s="51">
        <v>33.53</v>
      </c>
    </row>
    <row r="1502" spans="1:8" ht="12.2" customHeight="1" x14ac:dyDescent="0.2">
      <c r="A1502" s="5"/>
      <c r="B1502" s="5"/>
      <c r="C1502" s="5"/>
      <c r="D1502" s="153" t="s">
        <v>4105</v>
      </c>
      <c r="E1502" s="154"/>
      <c r="F1502" s="153"/>
      <c r="G1502" s="51">
        <v>28.73</v>
      </c>
      <c r="H1502" s="28"/>
    </row>
    <row r="1503" spans="1:8" x14ac:dyDescent="0.2">
      <c r="A1503" s="5" t="s">
        <v>967</v>
      </c>
      <c r="B1503" s="5" t="s">
        <v>3645</v>
      </c>
      <c r="C1503" s="5" t="s">
        <v>1926</v>
      </c>
      <c r="D1503" s="135" t="s">
        <v>3128</v>
      </c>
      <c r="E1503" s="136"/>
      <c r="F1503" s="5" t="s">
        <v>3616</v>
      </c>
      <c r="G1503" s="18">
        <v>4.0427999999999997</v>
      </c>
      <c r="H1503" s="18">
        <v>0</v>
      </c>
    </row>
    <row r="1504" spans="1:8" ht="12.2" customHeight="1" x14ac:dyDescent="0.2">
      <c r="D1504" s="153" t="s">
        <v>4106</v>
      </c>
      <c r="E1504" s="154"/>
      <c r="F1504" s="154"/>
      <c r="G1504" s="51">
        <v>4.0427999999999997</v>
      </c>
    </row>
    <row r="1505" spans="1:8" x14ac:dyDescent="0.2">
      <c r="A1505" s="14"/>
      <c r="B1505" s="14"/>
      <c r="C1505" s="14" t="s">
        <v>782</v>
      </c>
      <c r="D1505" s="133" t="s">
        <v>3129</v>
      </c>
      <c r="E1505" s="134"/>
      <c r="F1505" s="14"/>
      <c r="G1505" s="27"/>
      <c r="H1505" s="27"/>
    </row>
    <row r="1506" spans="1:8" x14ac:dyDescent="0.2">
      <c r="A1506" s="5" t="s">
        <v>968</v>
      </c>
      <c r="B1506" s="5" t="s">
        <v>3645</v>
      </c>
      <c r="C1506" s="5" t="s">
        <v>1927</v>
      </c>
      <c r="D1506" s="135" t="s">
        <v>3130</v>
      </c>
      <c r="E1506" s="136"/>
      <c r="F1506" s="5" t="s">
        <v>3615</v>
      </c>
      <c r="G1506" s="18">
        <v>414.72</v>
      </c>
      <c r="H1506" s="18">
        <v>0</v>
      </c>
    </row>
    <row r="1507" spans="1:8" ht="12.2" customHeight="1" x14ac:dyDescent="0.2">
      <c r="D1507" s="153" t="s">
        <v>4107</v>
      </c>
      <c r="E1507" s="154"/>
      <c r="F1507" s="154"/>
      <c r="G1507" s="51">
        <v>414.72</v>
      </c>
    </row>
    <row r="1508" spans="1:8" x14ac:dyDescent="0.2">
      <c r="A1508" s="5" t="s">
        <v>969</v>
      </c>
      <c r="B1508" s="5" t="s">
        <v>3645</v>
      </c>
      <c r="C1508" s="5" t="s">
        <v>1928</v>
      </c>
      <c r="D1508" s="135" t="s">
        <v>3131</v>
      </c>
      <c r="E1508" s="136"/>
      <c r="F1508" s="5" t="s">
        <v>3615</v>
      </c>
      <c r="G1508" s="18">
        <v>414.72</v>
      </c>
      <c r="H1508" s="18">
        <v>0</v>
      </c>
    </row>
    <row r="1509" spans="1:8" ht="12.2" customHeight="1" x14ac:dyDescent="0.2">
      <c r="D1509" s="153" t="s">
        <v>4108</v>
      </c>
      <c r="E1509" s="154"/>
      <c r="F1509" s="154"/>
      <c r="G1509" s="51">
        <v>414.72</v>
      </c>
    </row>
    <row r="1510" spans="1:8" x14ac:dyDescent="0.2">
      <c r="A1510" s="5" t="s">
        <v>970</v>
      </c>
      <c r="B1510" s="5" t="s">
        <v>3645</v>
      </c>
      <c r="C1510" s="5" t="s">
        <v>1929</v>
      </c>
      <c r="D1510" s="135" t="s">
        <v>3132</v>
      </c>
      <c r="E1510" s="136"/>
      <c r="F1510" s="5" t="s">
        <v>3614</v>
      </c>
      <c r="G1510" s="18">
        <v>252.56</v>
      </c>
      <c r="H1510" s="18">
        <v>0</v>
      </c>
    </row>
    <row r="1511" spans="1:8" ht="12.2" customHeight="1" x14ac:dyDescent="0.2">
      <c r="D1511" s="153" t="s">
        <v>4109</v>
      </c>
      <c r="E1511" s="154"/>
      <c r="F1511" s="154"/>
      <c r="G1511" s="51">
        <v>252.56</v>
      </c>
    </row>
    <row r="1512" spans="1:8" x14ac:dyDescent="0.2">
      <c r="A1512" s="5" t="s">
        <v>971</v>
      </c>
      <c r="B1512" s="5" t="s">
        <v>3645</v>
      </c>
      <c r="C1512" s="5" t="s">
        <v>1930</v>
      </c>
      <c r="D1512" s="135" t="s">
        <v>3133</v>
      </c>
      <c r="E1512" s="136"/>
      <c r="F1512" s="5" t="s">
        <v>3615</v>
      </c>
      <c r="G1512" s="18">
        <v>105.51</v>
      </c>
      <c r="H1512" s="18">
        <v>0</v>
      </c>
    </row>
    <row r="1513" spans="1:8" ht="12.2" customHeight="1" x14ac:dyDescent="0.2">
      <c r="D1513" s="153" t="s">
        <v>4110</v>
      </c>
      <c r="E1513" s="154"/>
      <c r="F1513" s="154"/>
      <c r="G1513" s="51">
        <v>37.549999999999997</v>
      </c>
    </row>
    <row r="1514" spans="1:8" ht="12.2" customHeight="1" x14ac:dyDescent="0.2">
      <c r="A1514" s="5"/>
      <c r="B1514" s="5"/>
      <c r="C1514" s="5"/>
      <c r="D1514" s="153" t="s">
        <v>4111</v>
      </c>
      <c r="E1514" s="154"/>
      <c r="F1514" s="153"/>
      <c r="G1514" s="51">
        <v>67.959999999999994</v>
      </c>
      <c r="H1514" s="28"/>
    </row>
    <row r="1515" spans="1:8" x14ac:dyDescent="0.2">
      <c r="A1515" s="5" t="s">
        <v>972</v>
      </c>
      <c r="B1515" s="5" t="s">
        <v>3645</v>
      </c>
      <c r="C1515" s="5" t="s">
        <v>1931</v>
      </c>
      <c r="D1515" s="135" t="s">
        <v>3134</v>
      </c>
      <c r="E1515" s="136"/>
      <c r="F1515" s="5" t="s">
        <v>3615</v>
      </c>
      <c r="G1515" s="18">
        <v>369.58</v>
      </c>
      <c r="H1515" s="18">
        <v>0</v>
      </c>
    </row>
    <row r="1516" spans="1:8" ht="12.2" customHeight="1" x14ac:dyDescent="0.2">
      <c r="D1516" s="153" t="s">
        <v>4112</v>
      </c>
      <c r="E1516" s="154"/>
      <c r="F1516" s="154"/>
      <c r="G1516" s="51">
        <v>198.08</v>
      </c>
    </row>
    <row r="1517" spans="1:8" ht="12.2" customHeight="1" x14ac:dyDescent="0.2">
      <c r="A1517" s="5"/>
      <c r="B1517" s="5"/>
      <c r="C1517" s="5"/>
      <c r="D1517" s="153" t="s">
        <v>4113</v>
      </c>
      <c r="E1517" s="154"/>
      <c r="F1517" s="153"/>
      <c r="G1517" s="51">
        <v>41.56</v>
      </c>
      <c r="H1517" s="28"/>
    </row>
    <row r="1518" spans="1:8" ht="12.2" customHeight="1" x14ac:dyDescent="0.2">
      <c r="A1518" s="5"/>
      <c r="B1518" s="5"/>
      <c r="C1518" s="5"/>
      <c r="D1518" s="153" t="s">
        <v>4114</v>
      </c>
      <c r="E1518" s="154"/>
      <c r="F1518" s="153"/>
      <c r="G1518" s="51">
        <v>129.94</v>
      </c>
      <c r="H1518" s="28"/>
    </row>
    <row r="1519" spans="1:8" x14ac:dyDescent="0.2">
      <c r="A1519" s="6" t="s">
        <v>973</v>
      </c>
      <c r="B1519" s="6" t="s">
        <v>3645</v>
      </c>
      <c r="C1519" s="6" t="s">
        <v>1932</v>
      </c>
      <c r="D1519" s="137" t="s">
        <v>3135</v>
      </c>
      <c r="E1519" s="138"/>
      <c r="F1519" s="6" t="s">
        <v>3615</v>
      </c>
      <c r="G1519" s="19">
        <v>425.017</v>
      </c>
      <c r="H1519" s="19">
        <v>0</v>
      </c>
    </row>
    <row r="1520" spans="1:8" ht="12.2" customHeight="1" x14ac:dyDescent="0.2">
      <c r="D1520" s="155" t="s">
        <v>4115</v>
      </c>
      <c r="E1520" s="156"/>
      <c r="F1520" s="156"/>
      <c r="G1520" s="52">
        <v>369.58</v>
      </c>
    </row>
    <row r="1521" spans="1:8" ht="12.2" customHeight="1" x14ac:dyDescent="0.2">
      <c r="A1521" s="6"/>
      <c r="B1521" s="6"/>
      <c r="C1521" s="6"/>
      <c r="D1521" s="155" t="s">
        <v>4116</v>
      </c>
      <c r="E1521" s="156"/>
      <c r="F1521" s="155"/>
      <c r="G1521" s="52">
        <v>55.436999999999998</v>
      </c>
      <c r="H1521" s="29"/>
    </row>
    <row r="1522" spans="1:8" x14ac:dyDescent="0.2">
      <c r="A1522" s="5" t="s">
        <v>974</v>
      </c>
      <c r="B1522" s="5" t="s">
        <v>3645</v>
      </c>
      <c r="C1522" s="5" t="s">
        <v>1931</v>
      </c>
      <c r="D1522" s="135" t="s">
        <v>3136</v>
      </c>
      <c r="E1522" s="136"/>
      <c r="F1522" s="5" t="s">
        <v>3615</v>
      </c>
      <c r="G1522" s="18">
        <v>45.14</v>
      </c>
      <c r="H1522" s="18">
        <v>0</v>
      </c>
    </row>
    <row r="1523" spans="1:8" ht="12.2" customHeight="1" x14ac:dyDescent="0.2">
      <c r="D1523" s="153" t="s">
        <v>4117</v>
      </c>
      <c r="E1523" s="154"/>
      <c r="F1523" s="154"/>
      <c r="G1523" s="51">
        <v>45.14</v>
      </c>
    </row>
    <row r="1524" spans="1:8" x14ac:dyDescent="0.2">
      <c r="A1524" s="6" t="s">
        <v>975</v>
      </c>
      <c r="B1524" s="6" t="s">
        <v>3645</v>
      </c>
      <c r="C1524" s="6" t="s">
        <v>1933</v>
      </c>
      <c r="D1524" s="137" t="s">
        <v>3137</v>
      </c>
      <c r="E1524" s="138"/>
      <c r="F1524" s="6" t="s">
        <v>3615</v>
      </c>
      <c r="G1524" s="19">
        <v>51.911000000000001</v>
      </c>
      <c r="H1524" s="19">
        <v>0</v>
      </c>
    </row>
    <row r="1525" spans="1:8" ht="12.2" customHeight="1" x14ac:dyDescent="0.2">
      <c r="D1525" s="155" t="s">
        <v>4117</v>
      </c>
      <c r="E1525" s="156"/>
      <c r="F1525" s="156"/>
      <c r="G1525" s="52">
        <v>45.14</v>
      </c>
    </row>
    <row r="1526" spans="1:8" ht="12.2" customHeight="1" x14ac:dyDescent="0.2">
      <c r="A1526" s="6"/>
      <c r="B1526" s="6"/>
      <c r="C1526" s="6"/>
      <c r="D1526" s="155" t="s">
        <v>4118</v>
      </c>
      <c r="E1526" s="156"/>
      <c r="F1526" s="155"/>
      <c r="G1526" s="52">
        <v>6.7709999999999999</v>
      </c>
      <c r="H1526" s="29"/>
    </row>
    <row r="1527" spans="1:8" x14ac:dyDescent="0.2">
      <c r="A1527" s="5" t="s">
        <v>976</v>
      </c>
      <c r="B1527" s="5" t="s">
        <v>3645</v>
      </c>
      <c r="C1527" s="5" t="s">
        <v>1934</v>
      </c>
      <c r="D1527" s="135" t="s">
        <v>3138</v>
      </c>
      <c r="E1527" s="136"/>
      <c r="F1527" s="5" t="s">
        <v>3616</v>
      </c>
      <c r="G1527" s="18">
        <v>2.5777000000000001</v>
      </c>
      <c r="H1527" s="18">
        <v>0</v>
      </c>
    </row>
    <row r="1528" spans="1:8" ht="12.2" customHeight="1" x14ac:dyDescent="0.2">
      <c r="D1528" s="153" t="s">
        <v>4119</v>
      </c>
      <c r="E1528" s="154"/>
      <c r="F1528" s="154"/>
      <c r="G1528" s="51">
        <v>2.5777000000000001</v>
      </c>
    </row>
    <row r="1529" spans="1:8" x14ac:dyDescent="0.2">
      <c r="A1529" s="14"/>
      <c r="B1529" s="14"/>
      <c r="C1529" s="14" t="s">
        <v>783</v>
      </c>
      <c r="D1529" s="133" t="s">
        <v>3139</v>
      </c>
      <c r="E1529" s="134"/>
      <c r="F1529" s="14"/>
      <c r="G1529" s="27"/>
      <c r="H1529" s="27"/>
    </row>
    <row r="1530" spans="1:8" x14ac:dyDescent="0.2">
      <c r="A1530" s="5" t="s">
        <v>977</v>
      </c>
      <c r="B1530" s="5" t="s">
        <v>3645</v>
      </c>
      <c r="C1530" s="5" t="s">
        <v>1935</v>
      </c>
      <c r="D1530" s="135" t="s">
        <v>3140</v>
      </c>
      <c r="E1530" s="136"/>
      <c r="F1530" s="5" t="s">
        <v>3615</v>
      </c>
      <c r="G1530" s="18">
        <v>116.6</v>
      </c>
      <c r="H1530" s="18">
        <v>0</v>
      </c>
    </row>
    <row r="1531" spans="1:8" ht="12.2" customHeight="1" x14ac:dyDescent="0.2">
      <c r="D1531" s="153" t="s">
        <v>4120</v>
      </c>
      <c r="E1531" s="154"/>
      <c r="F1531" s="154"/>
      <c r="G1531" s="51">
        <v>116.6</v>
      </c>
    </row>
    <row r="1532" spans="1:8" x14ac:dyDescent="0.2">
      <c r="A1532" s="5" t="s">
        <v>978</v>
      </c>
      <c r="B1532" s="5" t="s">
        <v>3645</v>
      </c>
      <c r="C1532" s="5" t="s">
        <v>1936</v>
      </c>
      <c r="D1532" s="135" t="s">
        <v>3141</v>
      </c>
      <c r="E1532" s="136"/>
      <c r="F1532" s="5" t="s">
        <v>3614</v>
      </c>
      <c r="G1532" s="18">
        <v>69.31</v>
      </c>
      <c r="H1532" s="18">
        <v>0</v>
      </c>
    </row>
    <row r="1533" spans="1:8" ht="12.2" customHeight="1" x14ac:dyDescent="0.2">
      <c r="D1533" s="153" t="s">
        <v>4121</v>
      </c>
      <c r="E1533" s="154"/>
      <c r="F1533" s="154"/>
      <c r="G1533" s="51">
        <v>69.31</v>
      </c>
    </row>
    <row r="1534" spans="1:8" x14ac:dyDescent="0.2">
      <c r="A1534" s="5" t="s">
        <v>979</v>
      </c>
      <c r="B1534" s="5" t="s">
        <v>3645</v>
      </c>
      <c r="C1534" s="5" t="s">
        <v>1937</v>
      </c>
      <c r="D1534" s="135" t="s">
        <v>3142</v>
      </c>
      <c r="E1534" s="136"/>
      <c r="F1534" s="5" t="s">
        <v>3615</v>
      </c>
      <c r="G1534" s="18">
        <v>11.8</v>
      </c>
      <c r="H1534" s="18">
        <v>0</v>
      </c>
    </row>
    <row r="1535" spans="1:8" ht="12.2" customHeight="1" x14ac:dyDescent="0.2">
      <c r="D1535" s="153" t="s">
        <v>3882</v>
      </c>
      <c r="E1535" s="154"/>
      <c r="F1535" s="154"/>
      <c r="G1535" s="51">
        <v>11.8</v>
      </c>
    </row>
    <row r="1536" spans="1:8" x14ac:dyDescent="0.2">
      <c r="A1536" s="5" t="s">
        <v>980</v>
      </c>
      <c r="B1536" s="5" t="s">
        <v>3645</v>
      </c>
      <c r="C1536" s="5" t="s">
        <v>1938</v>
      </c>
      <c r="D1536" s="135" t="s">
        <v>3143</v>
      </c>
      <c r="E1536" s="136"/>
      <c r="F1536" s="5" t="s">
        <v>3615</v>
      </c>
      <c r="G1536" s="18">
        <v>11.064</v>
      </c>
      <c r="H1536" s="18">
        <v>0</v>
      </c>
    </row>
    <row r="1537" spans="1:8" ht="12.2" customHeight="1" x14ac:dyDescent="0.2">
      <c r="D1537" s="153" t="s">
        <v>4122</v>
      </c>
      <c r="E1537" s="154"/>
      <c r="F1537" s="154"/>
      <c r="G1537" s="51">
        <v>11.064</v>
      </c>
    </row>
    <row r="1538" spans="1:8" x14ac:dyDescent="0.2">
      <c r="A1538" s="5" t="s">
        <v>981</v>
      </c>
      <c r="B1538" s="5" t="s">
        <v>3645</v>
      </c>
      <c r="C1538" s="5" t="s">
        <v>1939</v>
      </c>
      <c r="D1538" s="135" t="s">
        <v>3144</v>
      </c>
      <c r="E1538" s="136"/>
      <c r="F1538" s="5" t="s">
        <v>3616</v>
      </c>
      <c r="G1538" s="18">
        <v>1.3569</v>
      </c>
      <c r="H1538" s="18">
        <v>0</v>
      </c>
    </row>
    <row r="1539" spans="1:8" ht="12.2" customHeight="1" x14ac:dyDescent="0.2">
      <c r="D1539" s="153" t="s">
        <v>4123</v>
      </c>
      <c r="E1539" s="154"/>
      <c r="F1539" s="154"/>
      <c r="G1539" s="51">
        <v>1.3569</v>
      </c>
    </row>
    <row r="1540" spans="1:8" x14ac:dyDescent="0.2">
      <c r="A1540" s="14"/>
      <c r="B1540" s="14"/>
      <c r="C1540" s="14" t="s">
        <v>787</v>
      </c>
      <c r="D1540" s="133" t="s">
        <v>3145</v>
      </c>
      <c r="E1540" s="134"/>
      <c r="F1540" s="14"/>
      <c r="G1540" s="27"/>
      <c r="H1540" s="27"/>
    </row>
    <row r="1541" spans="1:8" x14ac:dyDescent="0.2">
      <c r="A1541" s="5" t="s">
        <v>982</v>
      </c>
      <c r="B1541" s="5" t="s">
        <v>3645</v>
      </c>
      <c r="C1541" s="5" t="s">
        <v>1940</v>
      </c>
      <c r="D1541" s="135" t="s">
        <v>3146</v>
      </c>
      <c r="E1541" s="136"/>
      <c r="F1541" s="5" t="s">
        <v>3615</v>
      </c>
      <c r="G1541" s="18">
        <v>92.337000000000003</v>
      </c>
      <c r="H1541" s="18">
        <v>0</v>
      </c>
    </row>
    <row r="1542" spans="1:8" ht="12.2" customHeight="1" x14ac:dyDescent="0.2">
      <c r="D1542" s="153" t="s">
        <v>4124</v>
      </c>
      <c r="E1542" s="154"/>
      <c r="F1542" s="154"/>
      <c r="G1542" s="51">
        <v>24.353999999999999</v>
      </c>
    </row>
    <row r="1543" spans="1:8" ht="12.2" customHeight="1" x14ac:dyDescent="0.2">
      <c r="A1543" s="5"/>
      <c r="B1543" s="5"/>
      <c r="C1543" s="5"/>
      <c r="D1543" s="153" t="s">
        <v>4125</v>
      </c>
      <c r="E1543" s="154"/>
      <c r="F1543" s="153"/>
      <c r="G1543" s="51">
        <v>20.690999999999999</v>
      </c>
      <c r="H1543" s="28"/>
    </row>
    <row r="1544" spans="1:8" ht="12.2" customHeight="1" x14ac:dyDescent="0.2">
      <c r="A1544" s="5"/>
      <c r="B1544" s="5"/>
      <c r="C1544" s="5"/>
      <c r="D1544" s="153" t="s">
        <v>4126</v>
      </c>
      <c r="E1544" s="154"/>
      <c r="F1544" s="153"/>
      <c r="G1544" s="51">
        <v>47.292000000000002</v>
      </c>
      <c r="H1544" s="28"/>
    </row>
    <row r="1545" spans="1:8" x14ac:dyDescent="0.2">
      <c r="A1545" s="5" t="s">
        <v>983</v>
      </c>
      <c r="B1545" s="5" t="s">
        <v>3645</v>
      </c>
      <c r="C1545" s="5" t="s">
        <v>1941</v>
      </c>
      <c r="D1545" s="135" t="s">
        <v>3147</v>
      </c>
      <c r="E1545" s="136"/>
      <c r="F1545" s="5" t="s">
        <v>3615</v>
      </c>
      <c r="G1545" s="18">
        <v>368.55099999999999</v>
      </c>
      <c r="H1545" s="18">
        <v>0</v>
      </c>
    </row>
    <row r="1546" spans="1:8" ht="12.2" customHeight="1" x14ac:dyDescent="0.2">
      <c r="D1546" s="153" t="s">
        <v>3865</v>
      </c>
      <c r="E1546" s="154"/>
      <c r="F1546" s="154"/>
      <c r="G1546" s="51">
        <v>368.55099999999999</v>
      </c>
    </row>
    <row r="1547" spans="1:8" x14ac:dyDescent="0.2">
      <c r="A1547" s="5" t="s">
        <v>984</v>
      </c>
      <c r="B1547" s="5" t="s">
        <v>3645</v>
      </c>
      <c r="C1547" s="5" t="s">
        <v>1942</v>
      </c>
      <c r="D1547" s="135" t="s">
        <v>3148</v>
      </c>
      <c r="E1547" s="136"/>
      <c r="F1547" s="5" t="s">
        <v>3614</v>
      </c>
      <c r="G1547" s="18">
        <v>181.79</v>
      </c>
      <c r="H1547" s="18">
        <v>0</v>
      </c>
    </row>
    <row r="1548" spans="1:8" ht="12.2" customHeight="1" x14ac:dyDescent="0.2">
      <c r="D1548" s="153" t="s">
        <v>4127</v>
      </c>
      <c r="E1548" s="154"/>
      <c r="F1548" s="154"/>
      <c r="G1548" s="51">
        <v>181.79</v>
      </c>
    </row>
    <row r="1549" spans="1:8" x14ac:dyDescent="0.2">
      <c r="A1549" s="6" t="s">
        <v>985</v>
      </c>
      <c r="B1549" s="6" t="s">
        <v>3645</v>
      </c>
      <c r="C1549" s="6" t="s">
        <v>1943</v>
      </c>
      <c r="D1549" s="137" t="s">
        <v>3149</v>
      </c>
      <c r="E1549" s="138"/>
      <c r="F1549" s="6" t="s">
        <v>3612</v>
      </c>
      <c r="G1549" s="19">
        <v>190.87950000000001</v>
      </c>
      <c r="H1549" s="19">
        <v>0</v>
      </c>
    </row>
    <row r="1550" spans="1:8" ht="12.2" customHeight="1" x14ac:dyDescent="0.2">
      <c r="D1550" s="155" t="s">
        <v>4127</v>
      </c>
      <c r="E1550" s="156"/>
      <c r="F1550" s="156"/>
      <c r="G1550" s="52">
        <v>181.79</v>
      </c>
    </row>
    <row r="1551" spans="1:8" ht="12.2" customHeight="1" x14ac:dyDescent="0.2">
      <c r="A1551" s="6"/>
      <c r="B1551" s="6"/>
      <c r="C1551" s="6"/>
      <c r="D1551" s="155" t="s">
        <v>4128</v>
      </c>
      <c r="E1551" s="156"/>
      <c r="F1551" s="155"/>
      <c r="G1551" s="52">
        <v>9.0894999999999992</v>
      </c>
      <c r="H1551" s="29"/>
    </row>
    <row r="1552" spans="1:8" x14ac:dyDescent="0.2">
      <c r="A1552" s="5" t="s">
        <v>986</v>
      </c>
      <c r="B1552" s="5" t="s">
        <v>3645</v>
      </c>
      <c r="C1552" s="5" t="s">
        <v>1944</v>
      </c>
      <c r="D1552" s="135" t="s">
        <v>3150</v>
      </c>
      <c r="E1552" s="136"/>
      <c r="F1552" s="5" t="s">
        <v>3615</v>
      </c>
      <c r="G1552" s="18">
        <v>368.55099999999999</v>
      </c>
      <c r="H1552" s="18">
        <v>0</v>
      </c>
    </row>
    <row r="1553" spans="1:8" ht="12.2" customHeight="1" x14ac:dyDescent="0.2">
      <c r="D1553" s="153" t="s">
        <v>4129</v>
      </c>
      <c r="E1553" s="154"/>
      <c r="F1553" s="154"/>
      <c r="G1553" s="51">
        <v>168.88200000000001</v>
      </c>
    </row>
    <row r="1554" spans="1:8" ht="12.2" customHeight="1" x14ac:dyDescent="0.2">
      <c r="A1554" s="5"/>
      <c r="B1554" s="5"/>
      <c r="C1554" s="5"/>
      <c r="D1554" s="153" t="s">
        <v>4130</v>
      </c>
      <c r="E1554" s="154"/>
      <c r="F1554" s="153"/>
      <c r="G1554" s="51">
        <v>4</v>
      </c>
      <c r="H1554" s="28"/>
    </row>
    <row r="1555" spans="1:8" ht="12.2" customHeight="1" x14ac:dyDescent="0.2">
      <c r="A1555" s="5"/>
      <c r="B1555" s="5"/>
      <c r="C1555" s="5"/>
      <c r="D1555" s="153" t="s">
        <v>4131</v>
      </c>
      <c r="E1555" s="154"/>
      <c r="F1555" s="153"/>
      <c r="G1555" s="51">
        <v>195.66900000000001</v>
      </c>
      <c r="H1555" s="28"/>
    </row>
    <row r="1556" spans="1:8" x14ac:dyDescent="0.2">
      <c r="A1556" s="6" t="s">
        <v>987</v>
      </c>
      <c r="B1556" s="6" t="s">
        <v>3645</v>
      </c>
      <c r="C1556" s="6" t="s">
        <v>1945</v>
      </c>
      <c r="D1556" s="137" t="s">
        <v>3151</v>
      </c>
      <c r="E1556" s="138"/>
      <c r="F1556" s="6" t="s">
        <v>3615</v>
      </c>
      <c r="G1556" s="19">
        <v>386.97854999999998</v>
      </c>
      <c r="H1556" s="19">
        <v>0</v>
      </c>
    </row>
    <row r="1557" spans="1:8" ht="12.2" customHeight="1" x14ac:dyDescent="0.2">
      <c r="D1557" s="155" t="s">
        <v>3865</v>
      </c>
      <c r="E1557" s="156"/>
      <c r="F1557" s="156"/>
      <c r="G1557" s="52">
        <v>368.55099999999999</v>
      </c>
    </row>
    <row r="1558" spans="1:8" ht="12.2" customHeight="1" x14ac:dyDescent="0.2">
      <c r="A1558" s="6"/>
      <c r="B1558" s="6"/>
      <c r="C1558" s="6"/>
      <c r="D1558" s="155" t="s">
        <v>4132</v>
      </c>
      <c r="E1558" s="156"/>
      <c r="F1558" s="155"/>
      <c r="G1558" s="52">
        <v>18.42755</v>
      </c>
      <c r="H1558" s="29"/>
    </row>
    <row r="1559" spans="1:8" x14ac:dyDescent="0.2">
      <c r="A1559" s="5" t="s">
        <v>988</v>
      </c>
      <c r="B1559" s="5" t="s">
        <v>3645</v>
      </c>
      <c r="C1559" s="5" t="s">
        <v>1946</v>
      </c>
      <c r="D1559" s="135" t="s">
        <v>3152</v>
      </c>
      <c r="E1559" s="136"/>
      <c r="F1559" s="5" t="s">
        <v>3615</v>
      </c>
      <c r="G1559" s="18">
        <v>368.55099999999999</v>
      </c>
      <c r="H1559" s="18">
        <v>0</v>
      </c>
    </row>
    <row r="1560" spans="1:8" ht="12.2" customHeight="1" x14ac:dyDescent="0.2">
      <c r="D1560" s="153" t="s">
        <v>3865</v>
      </c>
      <c r="E1560" s="154"/>
      <c r="F1560" s="154"/>
      <c r="G1560" s="51">
        <v>368.55099999999999</v>
      </c>
    </row>
    <row r="1561" spans="1:8" x14ac:dyDescent="0.2">
      <c r="A1561" s="5" t="s">
        <v>989</v>
      </c>
      <c r="B1561" s="5" t="s">
        <v>3645</v>
      </c>
      <c r="C1561" s="5" t="s">
        <v>1947</v>
      </c>
      <c r="D1561" s="135" t="s">
        <v>3153</v>
      </c>
      <c r="E1561" s="136"/>
      <c r="F1561" s="5" t="s">
        <v>3614</v>
      </c>
      <c r="G1561" s="18">
        <v>181.79</v>
      </c>
      <c r="H1561" s="18">
        <v>0</v>
      </c>
    </row>
    <row r="1562" spans="1:8" ht="12.2" customHeight="1" x14ac:dyDescent="0.2">
      <c r="D1562" s="153" t="s">
        <v>4133</v>
      </c>
      <c r="E1562" s="154"/>
      <c r="F1562" s="154"/>
      <c r="G1562" s="51">
        <v>82.37</v>
      </c>
    </row>
    <row r="1563" spans="1:8" ht="12.2" customHeight="1" x14ac:dyDescent="0.2">
      <c r="A1563" s="5"/>
      <c r="B1563" s="5"/>
      <c r="C1563" s="5"/>
      <c r="D1563" s="153" t="s">
        <v>4134</v>
      </c>
      <c r="E1563" s="154"/>
      <c r="F1563" s="153"/>
      <c r="G1563" s="51">
        <v>99.42</v>
      </c>
      <c r="H1563" s="28"/>
    </row>
    <row r="1564" spans="1:8" x14ac:dyDescent="0.2">
      <c r="A1564" s="5" t="s">
        <v>990</v>
      </c>
      <c r="B1564" s="5" t="s">
        <v>3645</v>
      </c>
      <c r="C1564" s="5" t="s">
        <v>1948</v>
      </c>
      <c r="D1564" s="135" t="s">
        <v>3154</v>
      </c>
      <c r="E1564" s="136"/>
      <c r="F1564" s="5" t="s">
        <v>3614</v>
      </c>
      <c r="G1564" s="18">
        <v>34.64</v>
      </c>
      <c r="H1564" s="18">
        <v>0</v>
      </c>
    </row>
    <row r="1565" spans="1:8" ht="12.2" customHeight="1" x14ac:dyDescent="0.2">
      <c r="D1565" s="153" t="s">
        <v>4135</v>
      </c>
      <c r="E1565" s="154"/>
      <c r="F1565" s="154"/>
      <c r="G1565" s="51">
        <v>14.68</v>
      </c>
    </row>
    <row r="1566" spans="1:8" ht="12.2" customHeight="1" x14ac:dyDescent="0.2">
      <c r="A1566" s="5"/>
      <c r="B1566" s="5"/>
      <c r="C1566" s="5"/>
      <c r="D1566" s="153" t="s">
        <v>4136</v>
      </c>
      <c r="E1566" s="154"/>
      <c r="F1566" s="153"/>
      <c r="G1566" s="51">
        <v>19.96</v>
      </c>
      <c r="H1566" s="28"/>
    </row>
    <row r="1567" spans="1:8" x14ac:dyDescent="0.2">
      <c r="A1567" s="5" t="s">
        <v>991</v>
      </c>
      <c r="B1567" s="5" t="s">
        <v>3645</v>
      </c>
      <c r="C1567" s="5" t="s">
        <v>1949</v>
      </c>
      <c r="D1567" s="135" t="s">
        <v>3155</v>
      </c>
      <c r="E1567" s="136"/>
      <c r="F1567" s="5" t="s">
        <v>3616</v>
      </c>
      <c r="G1567" s="18">
        <v>7.8410000000000002</v>
      </c>
      <c r="H1567" s="18">
        <v>0</v>
      </c>
    </row>
    <row r="1568" spans="1:8" ht="12.2" customHeight="1" x14ac:dyDescent="0.2">
      <c r="D1568" s="153" t="s">
        <v>4137</v>
      </c>
      <c r="E1568" s="154"/>
      <c r="F1568" s="154"/>
      <c r="G1568" s="51">
        <v>7.8410000000000002</v>
      </c>
    </row>
    <row r="1569" spans="1:8" x14ac:dyDescent="0.2">
      <c r="A1569" s="14"/>
      <c r="B1569" s="14"/>
      <c r="C1569" s="14" t="s">
        <v>790</v>
      </c>
      <c r="D1569" s="133" t="s">
        <v>3156</v>
      </c>
      <c r="E1569" s="134"/>
      <c r="F1569" s="14"/>
      <c r="G1569" s="27"/>
      <c r="H1569" s="27"/>
    </row>
    <row r="1570" spans="1:8" x14ac:dyDescent="0.2">
      <c r="A1570" s="5" t="s">
        <v>992</v>
      </c>
      <c r="B1570" s="5" t="s">
        <v>3645</v>
      </c>
      <c r="C1570" s="5" t="s">
        <v>1950</v>
      </c>
      <c r="D1570" s="135" t="s">
        <v>3157</v>
      </c>
      <c r="E1570" s="136"/>
      <c r="F1570" s="5" t="s">
        <v>3615</v>
      </c>
      <c r="G1570" s="18">
        <v>1721.402</v>
      </c>
      <c r="H1570" s="18">
        <v>0</v>
      </c>
    </row>
    <row r="1571" spans="1:8" ht="12.2" customHeight="1" x14ac:dyDescent="0.2">
      <c r="D1571" s="153" t="s">
        <v>4138</v>
      </c>
      <c r="E1571" s="154"/>
      <c r="F1571" s="154"/>
      <c r="G1571" s="51">
        <v>1721.402</v>
      </c>
    </row>
    <row r="1572" spans="1:8" x14ac:dyDescent="0.2">
      <c r="A1572" s="5" t="s">
        <v>993</v>
      </c>
      <c r="B1572" s="5" t="s">
        <v>3645</v>
      </c>
      <c r="C1572" s="5" t="s">
        <v>1951</v>
      </c>
      <c r="D1572" s="135" t="s">
        <v>3158</v>
      </c>
      <c r="E1572" s="136"/>
      <c r="F1572" s="5" t="s">
        <v>3615</v>
      </c>
      <c r="G1572" s="18">
        <v>1721.402</v>
      </c>
      <c r="H1572" s="18">
        <v>0</v>
      </c>
    </row>
    <row r="1573" spans="1:8" ht="12.2" customHeight="1" x14ac:dyDescent="0.2">
      <c r="D1573" s="153" t="s">
        <v>4138</v>
      </c>
      <c r="E1573" s="154"/>
      <c r="F1573" s="154"/>
      <c r="G1573" s="51">
        <v>1721.402</v>
      </c>
    </row>
    <row r="1574" spans="1:8" x14ac:dyDescent="0.2">
      <c r="A1574" s="5" t="s">
        <v>994</v>
      </c>
      <c r="B1574" s="5" t="s">
        <v>3645</v>
      </c>
      <c r="C1574" s="5" t="s">
        <v>1952</v>
      </c>
      <c r="D1574" s="135" t="s">
        <v>3159</v>
      </c>
      <c r="E1574" s="136"/>
      <c r="F1574" s="5" t="s">
        <v>3615</v>
      </c>
      <c r="G1574" s="18">
        <v>117.77</v>
      </c>
      <c r="H1574" s="18">
        <v>0</v>
      </c>
    </row>
    <row r="1575" spans="1:8" ht="12.2" customHeight="1" x14ac:dyDescent="0.2">
      <c r="D1575" s="153" t="s">
        <v>4139</v>
      </c>
      <c r="E1575" s="154"/>
      <c r="F1575" s="154"/>
      <c r="G1575" s="51">
        <v>117.77</v>
      </c>
    </row>
    <row r="1576" spans="1:8" x14ac:dyDescent="0.2">
      <c r="A1576" s="5" t="s">
        <v>995</v>
      </c>
      <c r="B1576" s="5" t="s">
        <v>3645</v>
      </c>
      <c r="C1576" s="5" t="s">
        <v>1953</v>
      </c>
      <c r="D1576" s="135" t="s">
        <v>3160</v>
      </c>
      <c r="E1576" s="136"/>
      <c r="F1576" s="5" t="s">
        <v>3615</v>
      </c>
      <c r="G1576" s="18">
        <v>1721.402</v>
      </c>
      <c r="H1576" s="18">
        <v>0</v>
      </c>
    </row>
    <row r="1577" spans="1:8" ht="12.2" customHeight="1" x14ac:dyDescent="0.2">
      <c r="D1577" s="153" t="s">
        <v>4138</v>
      </c>
      <c r="E1577" s="154"/>
      <c r="F1577" s="154"/>
      <c r="G1577" s="51">
        <v>1721.402</v>
      </c>
    </row>
    <row r="1578" spans="1:8" x14ac:dyDescent="0.2">
      <c r="A1578" s="5" t="s">
        <v>996</v>
      </c>
      <c r="B1578" s="5" t="s">
        <v>3645</v>
      </c>
      <c r="C1578" s="5" t="s">
        <v>1954</v>
      </c>
      <c r="D1578" s="135" t="s">
        <v>3161</v>
      </c>
      <c r="E1578" s="136"/>
      <c r="F1578" s="5" t="s">
        <v>3615</v>
      </c>
      <c r="G1578" s="18">
        <v>117.77</v>
      </c>
      <c r="H1578" s="18">
        <v>0</v>
      </c>
    </row>
    <row r="1579" spans="1:8" ht="12.2" customHeight="1" x14ac:dyDescent="0.2">
      <c r="D1579" s="153" t="s">
        <v>4140</v>
      </c>
      <c r="E1579" s="154"/>
      <c r="F1579" s="154"/>
      <c r="G1579" s="51">
        <v>117.77</v>
      </c>
    </row>
    <row r="1580" spans="1:8" x14ac:dyDescent="0.2">
      <c r="A1580" s="14"/>
      <c r="B1580" s="14"/>
      <c r="C1580" s="14" t="s">
        <v>792</v>
      </c>
      <c r="D1580" s="133" t="s">
        <v>3162</v>
      </c>
      <c r="E1580" s="134"/>
      <c r="F1580" s="14"/>
      <c r="G1580" s="27"/>
      <c r="H1580" s="27"/>
    </row>
    <row r="1581" spans="1:8" x14ac:dyDescent="0.2">
      <c r="A1581" s="5" t="s">
        <v>997</v>
      </c>
      <c r="B1581" s="5" t="s">
        <v>3645</v>
      </c>
      <c r="C1581" s="5" t="s">
        <v>1955</v>
      </c>
      <c r="D1581" s="135" t="s">
        <v>3163</v>
      </c>
      <c r="E1581" s="136"/>
      <c r="F1581" s="5" t="s">
        <v>3615</v>
      </c>
      <c r="G1581" s="18">
        <v>32.854999999999997</v>
      </c>
      <c r="H1581" s="18">
        <v>0</v>
      </c>
    </row>
    <row r="1582" spans="1:8" ht="12.2" customHeight="1" x14ac:dyDescent="0.2">
      <c r="D1582" s="153" t="s">
        <v>4141</v>
      </c>
      <c r="E1582" s="154"/>
      <c r="F1582" s="154"/>
      <c r="G1582" s="51">
        <v>32.854999999999997</v>
      </c>
    </row>
    <row r="1583" spans="1:8" x14ac:dyDescent="0.2">
      <c r="A1583" s="5" t="s">
        <v>998</v>
      </c>
      <c r="B1583" s="5" t="s">
        <v>3645</v>
      </c>
      <c r="C1583" s="5" t="s">
        <v>1956</v>
      </c>
      <c r="D1583" s="135" t="s">
        <v>3164</v>
      </c>
      <c r="E1583" s="136"/>
      <c r="F1583" s="5" t="s">
        <v>3615</v>
      </c>
      <c r="G1583" s="18">
        <v>28.224599999999999</v>
      </c>
      <c r="H1583" s="18">
        <v>0</v>
      </c>
    </row>
    <row r="1584" spans="1:8" ht="12.2" customHeight="1" x14ac:dyDescent="0.2">
      <c r="D1584" s="153" t="s">
        <v>4142</v>
      </c>
      <c r="E1584" s="154"/>
      <c r="F1584" s="154"/>
      <c r="G1584" s="51">
        <v>20.93</v>
      </c>
    </row>
    <row r="1585" spans="1:8" ht="12.2" customHeight="1" x14ac:dyDescent="0.2">
      <c r="A1585" s="5"/>
      <c r="B1585" s="5"/>
      <c r="C1585" s="5"/>
      <c r="D1585" s="153" t="s">
        <v>4143</v>
      </c>
      <c r="E1585" s="154"/>
      <c r="F1585" s="153"/>
      <c r="G1585" s="51">
        <v>1.4910000000000001</v>
      </c>
      <c r="H1585" s="28"/>
    </row>
    <row r="1586" spans="1:8" ht="12.2" customHeight="1" x14ac:dyDescent="0.2">
      <c r="A1586" s="5"/>
      <c r="B1586" s="5"/>
      <c r="C1586" s="5"/>
      <c r="D1586" s="153" t="s">
        <v>4144</v>
      </c>
      <c r="E1586" s="154"/>
      <c r="F1586" s="153"/>
      <c r="G1586" s="51">
        <v>5.8036000000000003</v>
      </c>
      <c r="H1586" s="28"/>
    </row>
    <row r="1587" spans="1:8" x14ac:dyDescent="0.2">
      <c r="A1587" s="5" t="s">
        <v>999</v>
      </c>
      <c r="B1587" s="5" t="s">
        <v>3645</v>
      </c>
      <c r="C1587" s="5" t="s">
        <v>1957</v>
      </c>
      <c r="D1587" s="135" t="s">
        <v>3165</v>
      </c>
      <c r="E1587" s="136"/>
      <c r="F1587" s="5" t="s">
        <v>3616</v>
      </c>
      <c r="G1587" s="18">
        <v>0.17349999999999999</v>
      </c>
      <c r="H1587" s="18">
        <v>0</v>
      </c>
    </row>
    <row r="1588" spans="1:8" ht="12.2" customHeight="1" x14ac:dyDescent="0.2">
      <c r="D1588" s="153" t="s">
        <v>4145</v>
      </c>
      <c r="E1588" s="154"/>
      <c r="F1588" s="154"/>
      <c r="G1588" s="51">
        <v>0.17349999999999999</v>
      </c>
    </row>
    <row r="1589" spans="1:8" x14ac:dyDescent="0.2">
      <c r="A1589" s="14"/>
      <c r="B1589" s="14"/>
      <c r="C1589" s="14" t="s">
        <v>797</v>
      </c>
      <c r="D1589" s="133" t="s">
        <v>3166</v>
      </c>
      <c r="E1589" s="134"/>
      <c r="F1589" s="14"/>
      <c r="G1589" s="27"/>
      <c r="H1589" s="27"/>
    </row>
    <row r="1590" spans="1:8" x14ac:dyDescent="0.2">
      <c r="A1590" s="5" t="s">
        <v>1000</v>
      </c>
      <c r="B1590" s="5" t="s">
        <v>3645</v>
      </c>
      <c r="C1590" s="5" t="s">
        <v>1958</v>
      </c>
      <c r="D1590" s="135" t="s">
        <v>3167</v>
      </c>
      <c r="E1590" s="136"/>
      <c r="F1590" s="5" t="s">
        <v>3612</v>
      </c>
      <c r="G1590" s="18">
        <v>1</v>
      </c>
      <c r="H1590" s="18">
        <v>0</v>
      </c>
    </row>
    <row r="1591" spans="1:8" x14ac:dyDescent="0.2">
      <c r="A1591" s="5" t="s">
        <v>1001</v>
      </c>
      <c r="B1591" s="5" t="s">
        <v>3645</v>
      </c>
      <c r="C1591" s="5" t="s">
        <v>1959</v>
      </c>
      <c r="D1591" s="135" t="s">
        <v>3168</v>
      </c>
      <c r="E1591" s="136"/>
      <c r="F1591" s="5" t="s">
        <v>3612</v>
      </c>
      <c r="G1591" s="18">
        <v>1</v>
      </c>
      <c r="H1591" s="18">
        <v>0</v>
      </c>
    </row>
    <row r="1592" spans="1:8" x14ac:dyDescent="0.2">
      <c r="A1592" s="5" t="s">
        <v>1002</v>
      </c>
      <c r="B1592" s="5" t="s">
        <v>3645</v>
      </c>
      <c r="C1592" s="5" t="s">
        <v>1960</v>
      </c>
      <c r="D1592" s="135" t="s">
        <v>3169</v>
      </c>
      <c r="E1592" s="136"/>
      <c r="F1592" s="5" t="s">
        <v>3612</v>
      </c>
      <c r="G1592" s="18">
        <v>1</v>
      </c>
      <c r="H1592" s="18">
        <v>0</v>
      </c>
    </row>
    <row r="1593" spans="1:8" x14ac:dyDescent="0.2">
      <c r="A1593" s="5" t="s">
        <v>1003</v>
      </c>
      <c r="B1593" s="5" t="s">
        <v>3645</v>
      </c>
      <c r="C1593" s="5" t="s">
        <v>1961</v>
      </c>
      <c r="D1593" s="135" t="s">
        <v>3170</v>
      </c>
      <c r="E1593" s="136"/>
      <c r="F1593" s="5" t="s">
        <v>3612</v>
      </c>
      <c r="G1593" s="18">
        <v>1</v>
      </c>
      <c r="H1593" s="18">
        <v>0</v>
      </c>
    </row>
    <row r="1594" spans="1:8" x14ac:dyDescent="0.2">
      <c r="A1594" s="5" t="s">
        <v>1004</v>
      </c>
      <c r="B1594" s="5" t="s">
        <v>3645</v>
      </c>
      <c r="C1594" s="5" t="s">
        <v>1962</v>
      </c>
      <c r="D1594" s="135" t="s">
        <v>3171</v>
      </c>
      <c r="E1594" s="136"/>
      <c r="F1594" s="5" t="s">
        <v>3612</v>
      </c>
      <c r="G1594" s="18">
        <v>1</v>
      </c>
      <c r="H1594" s="18">
        <v>0</v>
      </c>
    </row>
    <row r="1595" spans="1:8" x14ac:dyDescent="0.2">
      <c r="A1595" s="5" t="s">
        <v>1005</v>
      </c>
      <c r="B1595" s="5" t="s">
        <v>3645</v>
      </c>
      <c r="C1595" s="5" t="s">
        <v>1963</v>
      </c>
      <c r="D1595" s="135" t="s">
        <v>3172</v>
      </c>
      <c r="E1595" s="136"/>
      <c r="F1595" s="5" t="s">
        <v>3612</v>
      </c>
      <c r="G1595" s="18">
        <v>1</v>
      </c>
      <c r="H1595" s="18">
        <v>0</v>
      </c>
    </row>
    <row r="1596" spans="1:8" x14ac:dyDescent="0.2">
      <c r="A1596" s="5" t="s">
        <v>1006</v>
      </c>
      <c r="B1596" s="5" t="s">
        <v>3645</v>
      </c>
      <c r="C1596" s="5" t="s">
        <v>1964</v>
      </c>
      <c r="D1596" s="135" t="s">
        <v>3173</v>
      </c>
      <c r="E1596" s="136"/>
      <c r="F1596" s="5" t="s">
        <v>3612</v>
      </c>
      <c r="G1596" s="18">
        <v>1</v>
      </c>
      <c r="H1596" s="18">
        <v>0</v>
      </c>
    </row>
    <row r="1597" spans="1:8" x14ac:dyDescent="0.2">
      <c r="A1597" s="5" t="s">
        <v>1007</v>
      </c>
      <c r="B1597" s="5" t="s">
        <v>3645</v>
      </c>
      <c r="C1597" s="5" t="s">
        <v>1965</v>
      </c>
      <c r="D1597" s="135" t="s">
        <v>3174</v>
      </c>
      <c r="E1597" s="136"/>
      <c r="F1597" s="5" t="s">
        <v>3612</v>
      </c>
      <c r="G1597" s="18">
        <v>1</v>
      </c>
      <c r="H1597" s="18">
        <v>0</v>
      </c>
    </row>
    <row r="1598" spans="1:8" x14ac:dyDescent="0.2">
      <c r="A1598" s="5" t="s">
        <v>1008</v>
      </c>
      <c r="B1598" s="5" t="s">
        <v>3645</v>
      </c>
      <c r="C1598" s="5" t="s">
        <v>1966</v>
      </c>
      <c r="D1598" s="135" t="s">
        <v>3175</v>
      </c>
      <c r="E1598" s="136"/>
      <c r="F1598" s="5" t="s">
        <v>3612</v>
      </c>
      <c r="G1598" s="18">
        <v>1</v>
      </c>
      <c r="H1598" s="18">
        <v>0</v>
      </c>
    </row>
    <row r="1599" spans="1:8" x14ac:dyDescent="0.2">
      <c r="A1599" s="5" t="s">
        <v>1009</v>
      </c>
      <c r="B1599" s="5" t="s">
        <v>3645</v>
      </c>
      <c r="C1599" s="5" t="s">
        <v>1967</v>
      </c>
      <c r="D1599" s="135" t="s">
        <v>3176</v>
      </c>
      <c r="E1599" s="136"/>
      <c r="F1599" s="5" t="s">
        <v>3612</v>
      </c>
      <c r="G1599" s="18">
        <v>1</v>
      </c>
      <c r="H1599" s="18">
        <v>0</v>
      </c>
    </row>
    <row r="1600" spans="1:8" x14ac:dyDescent="0.2">
      <c r="A1600" s="5" t="s">
        <v>1010</v>
      </c>
      <c r="B1600" s="5" t="s">
        <v>3645</v>
      </c>
      <c r="C1600" s="5" t="s">
        <v>1968</v>
      </c>
      <c r="D1600" s="135" t="s">
        <v>3177</v>
      </c>
      <c r="E1600" s="136"/>
      <c r="F1600" s="5" t="s">
        <v>3612</v>
      </c>
      <c r="G1600" s="18">
        <v>1</v>
      </c>
      <c r="H1600" s="18">
        <v>0</v>
      </c>
    </row>
    <row r="1601" spans="1:8" x14ac:dyDescent="0.2">
      <c r="A1601" s="5" t="s">
        <v>1011</v>
      </c>
      <c r="B1601" s="5" t="s">
        <v>3645</v>
      </c>
      <c r="C1601" s="5" t="s">
        <v>1969</v>
      </c>
      <c r="D1601" s="135" t="s">
        <v>3178</v>
      </c>
      <c r="E1601" s="136"/>
      <c r="F1601" s="5" t="s">
        <v>3612</v>
      </c>
      <c r="G1601" s="18">
        <v>1</v>
      </c>
      <c r="H1601" s="18">
        <v>0</v>
      </c>
    </row>
    <row r="1602" spans="1:8" x14ac:dyDescent="0.2">
      <c r="A1602" s="5" t="s">
        <v>1012</v>
      </c>
      <c r="B1602" s="5" t="s">
        <v>3645</v>
      </c>
      <c r="C1602" s="5" t="s">
        <v>1970</v>
      </c>
      <c r="D1602" s="135" t="s">
        <v>3179</v>
      </c>
      <c r="E1602" s="136"/>
      <c r="F1602" s="5" t="s">
        <v>3612</v>
      </c>
      <c r="G1602" s="18">
        <v>1</v>
      </c>
      <c r="H1602" s="18">
        <v>0</v>
      </c>
    </row>
    <row r="1603" spans="1:8" x14ac:dyDescent="0.2">
      <c r="A1603" s="5" t="s">
        <v>1013</v>
      </c>
      <c r="B1603" s="5" t="s">
        <v>3645</v>
      </c>
      <c r="C1603" s="5" t="s">
        <v>1971</v>
      </c>
      <c r="D1603" s="135" t="s">
        <v>3180</v>
      </c>
      <c r="E1603" s="136"/>
      <c r="F1603" s="5" t="s">
        <v>3612</v>
      </c>
      <c r="G1603" s="18">
        <v>1</v>
      </c>
      <c r="H1603" s="18">
        <v>0</v>
      </c>
    </row>
    <row r="1604" spans="1:8" x14ac:dyDescent="0.2">
      <c r="A1604" s="5" t="s">
        <v>1014</v>
      </c>
      <c r="B1604" s="5" t="s">
        <v>3645</v>
      </c>
      <c r="C1604" s="5" t="s">
        <v>1972</v>
      </c>
      <c r="D1604" s="135" t="s">
        <v>3181</v>
      </c>
      <c r="E1604" s="136"/>
      <c r="F1604" s="5" t="s">
        <v>3612</v>
      </c>
      <c r="G1604" s="18">
        <v>1</v>
      </c>
      <c r="H1604" s="18">
        <v>0</v>
      </c>
    </row>
    <row r="1605" spans="1:8" x14ac:dyDescent="0.2">
      <c r="A1605" s="5" t="s">
        <v>1015</v>
      </c>
      <c r="B1605" s="5" t="s">
        <v>3645</v>
      </c>
      <c r="C1605" s="5" t="s">
        <v>1973</v>
      </c>
      <c r="D1605" s="135" t="s">
        <v>3182</v>
      </c>
      <c r="E1605" s="136"/>
      <c r="F1605" s="5" t="s">
        <v>3612</v>
      </c>
      <c r="G1605" s="18">
        <v>1</v>
      </c>
      <c r="H1605" s="18">
        <v>0</v>
      </c>
    </row>
    <row r="1606" spans="1:8" x14ac:dyDescent="0.2">
      <c r="A1606" s="5" t="s">
        <v>1016</v>
      </c>
      <c r="B1606" s="5" t="s">
        <v>3645</v>
      </c>
      <c r="C1606" s="5" t="s">
        <v>1974</v>
      </c>
      <c r="D1606" s="135" t="s">
        <v>3183</v>
      </c>
      <c r="E1606" s="136"/>
      <c r="F1606" s="5" t="s">
        <v>3612</v>
      </c>
      <c r="G1606" s="18">
        <v>1</v>
      </c>
      <c r="H1606" s="18">
        <v>0</v>
      </c>
    </row>
    <row r="1607" spans="1:8" x14ac:dyDescent="0.2">
      <c r="A1607" s="5" t="s">
        <v>1017</v>
      </c>
      <c r="B1607" s="5" t="s">
        <v>3645</v>
      </c>
      <c r="C1607" s="5" t="s">
        <v>1975</v>
      </c>
      <c r="D1607" s="135" t="s">
        <v>3184</v>
      </c>
      <c r="E1607" s="136"/>
      <c r="F1607" s="5" t="s">
        <v>3612</v>
      </c>
      <c r="G1607" s="18">
        <v>1</v>
      </c>
      <c r="H1607" s="18">
        <v>0</v>
      </c>
    </row>
    <row r="1608" spans="1:8" x14ac:dyDescent="0.2">
      <c r="A1608" s="5" t="s">
        <v>1018</v>
      </c>
      <c r="B1608" s="5" t="s">
        <v>3645</v>
      </c>
      <c r="C1608" s="5" t="s">
        <v>1976</v>
      </c>
      <c r="D1608" s="135" t="s">
        <v>3185</v>
      </c>
      <c r="E1608" s="136"/>
      <c r="F1608" s="5" t="s">
        <v>3612</v>
      </c>
      <c r="G1608" s="18">
        <v>1</v>
      </c>
      <c r="H1608" s="18">
        <v>0</v>
      </c>
    </row>
    <row r="1609" spans="1:8" x14ac:dyDescent="0.2">
      <c r="A1609" s="5" t="s">
        <v>1019</v>
      </c>
      <c r="B1609" s="5" t="s">
        <v>3645</v>
      </c>
      <c r="C1609" s="5" t="s">
        <v>1977</v>
      </c>
      <c r="D1609" s="135" t="s">
        <v>3186</v>
      </c>
      <c r="E1609" s="136"/>
      <c r="F1609" s="5" t="s">
        <v>3612</v>
      </c>
      <c r="G1609" s="18">
        <v>1</v>
      </c>
      <c r="H1609" s="18">
        <v>0</v>
      </c>
    </row>
    <row r="1610" spans="1:8" x14ac:dyDescent="0.2">
      <c r="A1610" s="5" t="s">
        <v>1020</v>
      </c>
      <c r="B1610" s="5" t="s">
        <v>3645</v>
      </c>
      <c r="C1610" s="5" t="s">
        <v>1978</v>
      </c>
      <c r="D1610" s="135" t="s">
        <v>3187</v>
      </c>
      <c r="E1610" s="136"/>
      <c r="F1610" s="5" t="s">
        <v>3612</v>
      </c>
      <c r="G1610" s="18">
        <v>2</v>
      </c>
      <c r="H1610" s="18">
        <v>0</v>
      </c>
    </row>
    <row r="1611" spans="1:8" x14ac:dyDescent="0.2">
      <c r="A1611" s="5" t="s">
        <v>1021</v>
      </c>
      <c r="B1611" s="5" t="s">
        <v>3645</v>
      </c>
      <c r="C1611" s="5" t="s">
        <v>1979</v>
      </c>
      <c r="D1611" s="135" t="s">
        <v>3188</v>
      </c>
      <c r="E1611" s="136"/>
      <c r="F1611" s="5" t="s">
        <v>3612</v>
      </c>
      <c r="G1611" s="18">
        <v>1</v>
      </c>
      <c r="H1611" s="18">
        <v>0</v>
      </c>
    </row>
    <row r="1612" spans="1:8" x14ac:dyDescent="0.2">
      <c r="A1612" s="5" t="s">
        <v>1022</v>
      </c>
      <c r="B1612" s="5" t="s">
        <v>3645</v>
      </c>
      <c r="C1612" s="5" t="s">
        <v>1980</v>
      </c>
      <c r="D1612" s="135" t="s">
        <v>3189</v>
      </c>
      <c r="E1612" s="136"/>
      <c r="F1612" s="5" t="s">
        <v>3612</v>
      </c>
      <c r="G1612" s="18">
        <v>2</v>
      </c>
      <c r="H1612" s="18">
        <v>0</v>
      </c>
    </row>
    <row r="1613" spans="1:8" x14ac:dyDescent="0.2">
      <c r="A1613" s="5" t="s">
        <v>1023</v>
      </c>
      <c r="B1613" s="5" t="s">
        <v>3645</v>
      </c>
      <c r="C1613" s="5" t="s">
        <v>1981</v>
      </c>
      <c r="D1613" s="135" t="s">
        <v>3190</v>
      </c>
      <c r="E1613" s="136"/>
      <c r="F1613" s="5" t="s">
        <v>3612</v>
      </c>
      <c r="G1613" s="18">
        <v>1</v>
      </c>
      <c r="H1613" s="18">
        <v>0</v>
      </c>
    </row>
    <row r="1614" spans="1:8" x14ac:dyDescent="0.2">
      <c r="A1614" s="5" t="s">
        <v>1024</v>
      </c>
      <c r="B1614" s="5" t="s">
        <v>3645</v>
      </c>
      <c r="C1614" s="5" t="s">
        <v>1982</v>
      </c>
      <c r="D1614" s="135" t="s">
        <v>3191</v>
      </c>
      <c r="E1614" s="136"/>
      <c r="F1614" s="5" t="s">
        <v>3612</v>
      </c>
      <c r="G1614" s="18">
        <v>1</v>
      </c>
      <c r="H1614" s="18">
        <v>0</v>
      </c>
    </row>
    <row r="1615" spans="1:8" x14ac:dyDescent="0.2">
      <c r="A1615" s="14"/>
      <c r="B1615" s="14"/>
      <c r="C1615" s="14" t="s">
        <v>1983</v>
      </c>
      <c r="D1615" s="133" t="s">
        <v>3192</v>
      </c>
      <c r="E1615" s="134"/>
      <c r="F1615" s="14"/>
      <c r="G1615" s="27"/>
      <c r="H1615" s="27"/>
    </row>
    <row r="1616" spans="1:8" x14ac:dyDescent="0.2">
      <c r="A1616" s="5" t="s">
        <v>1025</v>
      </c>
      <c r="B1616" s="5" t="s">
        <v>3645</v>
      </c>
      <c r="C1616" s="5" t="s">
        <v>1984</v>
      </c>
      <c r="D1616" s="135" t="s">
        <v>3193</v>
      </c>
      <c r="E1616" s="136"/>
      <c r="F1616" s="5" t="s">
        <v>3612</v>
      </c>
      <c r="G1616" s="18">
        <v>1</v>
      </c>
      <c r="H1616" s="18">
        <v>0</v>
      </c>
    </row>
    <row r="1617" spans="1:8" x14ac:dyDescent="0.2">
      <c r="A1617" s="5" t="s">
        <v>1026</v>
      </c>
      <c r="B1617" s="5" t="s">
        <v>3645</v>
      </c>
      <c r="C1617" s="5" t="s">
        <v>1985</v>
      </c>
      <c r="D1617" s="135" t="s">
        <v>3194</v>
      </c>
      <c r="E1617" s="136"/>
      <c r="F1617" s="5" t="s">
        <v>3614</v>
      </c>
      <c r="G1617" s="18">
        <v>10</v>
      </c>
      <c r="H1617" s="18">
        <v>0</v>
      </c>
    </row>
    <row r="1618" spans="1:8" x14ac:dyDescent="0.2">
      <c r="A1618" s="5" t="s">
        <v>1027</v>
      </c>
      <c r="B1618" s="5" t="s">
        <v>3645</v>
      </c>
      <c r="C1618" s="5" t="s">
        <v>1986</v>
      </c>
      <c r="D1618" s="135" t="s">
        <v>3195</v>
      </c>
      <c r="E1618" s="136"/>
      <c r="F1618" s="5" t="s">
        <v>3612</v>
      </c>
      <c r="G1618" s="18">
        <v>1</v>
      </c>
      <c r="H1618" s="18">
        <v>0</v>
      </c>
    </row>
    <row r="1619" spans="1:8" x14ac:dyDescent="0.2">
      <c r="A1619" s="5" t="s">
        <v>1028</v>
      </c>
      <c r="B1619" s="5" t="s">
        <v>3645</v>
      </c>
      <c r="C1619" s="5" t="s">
        <v>1987</v>
      </c>
      <c r="D1619" s="135" t="s">
        <v>3196</v>
      </c>
      <c r="E1619" s="136"/>
      <c r="F1619" s="5" t="s">
        <v>3614</v>
      </c>
      <c r="G1619" s="18">
        <v>4</v>
      </c>
      <c r="H1619" s="18">
        <v>0</v>
      </c>
    </row>
    <row r="1620" spans="1:8" x14ac:dyDescent="0.2">
      <c r="A1620" s="71" t="s">
        <v>1029</v>
      </c>
      <c r="B1620" s="71" t="s">
        <v>3645</v>
      </c>
      <c r="C1620" s="71" t="s">
        <v>1988</v>
      </c>
      <c r="D1620" s="139" t="s">
        <v>3197</v>
      </c>
      <c r="E1620" s="136"/>
      <c r="F1620" s="71" t="s">
        <v>3614</v>
      </c>
      <c r="G1620" s="72">
        <v>4</v>
      </c>
      <c r="H1620" s="72">
        <v>0</v>
      </c>
    </row>
    <row r="1621" spans="1:8" x14ac:dyDescent="0.2">
      <c r="A1621" s="5" t="s">
        <v>1030</v>
      </c>
      <c r="B1621" s="5" t="s">
        <v>3645</v>
      </c>
      <c r="C1621" s="5" t="s">
        <v>1989</v>
      </c>
      <c r="D1621" s="135" t="s">
        <v>3198</v>
      </c>
      <c r="E1621" s="136"/>
      <c r="F1621" s="5" t="s">
        <v>3614</v>
      </c>
      <c r="G1621" s="18">
        <v>10</v>
      </c>
      <c r="H1621" s="18">
        <v>0</v>
      </c>
    </row>
    <row r="1622" spans="1:8" x14ac:dyDescent="0.2">
      <c r="A1622" s="71" t="s">
        <v>1031</v>
      </c>
      <c r="B1622" s="71" t="s">
        <v>3645</v>
      </c>
      <c r="C1622" s="71" t="s">
        <v>1990</v>
      </c>
      <c r="D1622" s="139" t="s">
        <v>3198</v>
      </c>
      <c r="E1622" s="136"/>
      <c r="F1622" s="71" t="s">
        <v>3614</v>
      </c>
      <c r="G1622" s="72">
        <v>10</v>
      </c>
      <c r="H1622" s="72">
        <v>0</v>
      </c>
    </row>
    <row r="1623" spans="1:8" x14ac:dyDescent="0.2">
      <c r="A1623" s="5" t="s">
        <v>1032</v>
      </c>
      <c r="B1623" s="5" t="s">
        <v>3645</v>
      </c>
      <c r="C1623" s="5" t="s">
        <v>1991</v>
      </c>
      <c r="D1623" s="135" t="s">
        <v>3199</v>
      </c>
      <c r="E1623" s="136"/>
      <c r="F1623" s="5" t="s">
        <v>3612</v>
      </c>
      <c r="G1623" s="18">
        <v>1</v>
      </c>
      <c r="H1623" s="18">
        <v>0</v>
      </c>
    </row>
    <row r="1624" spans="1:8" x14ac:dyDescent="0.2">
      <c r="A1624" s="71" t="s">
        <v>1033</v>
      </c>
      <c r="B1624" s="71" t="s">
        <v>3645</v>
      </c>
      <c r="C1624" s="71" t="s">
        <v>1992</v>
      </c>
      <c r="D1624" s="139" t="s">
        <v>3200</v>
      </c>
      <c r="E1624" s="136"/>
      <c r="F1624" s="71" t="s">
        <v>3612</v>
      </c>
      <c r="G1624" s="72">
        <v>1</v>
      </c>
      <c r="H1624" s="72">
        <v>0</v>
      </c>
    </row>
    <row r="1625" spans="1:8" x14ac:dyDescent="0.2">
      <c r="A1625" s="5" t="s">
        <v>1034</v>
      </c>
      <c r="B1625" s="5" t="s">
        <v>3645</v>
      </c>
      <c r="C1625" s="5" t="s">
        <v>1993</v>
      </c>
      <c r="D1625" s="135" t="s">
        <v>3201</v>
      </c>
      <c r="E1625" s="136"/>
      <c r="F1625" s="5" t="s">
        <v>3614</v>
      </c>
      <c r="G1625" s="18">
        <v>290</v>
      </c>
      <c r="H1625" s="18">
        <v>0</v>
      </c>
    </row>
    <row r="1626" spans="1:8" x14ac:dyDescent="0.2">
      <c r="A1626" s="71" t="s">
        <v>1035</v>
      </c>
      <c r="B1626" s="71" t="s">
        <v>3645</v>
      </c>
      <c r="C1626" s="71" t="s">
        <v>1994</v>
      </c>
      <c r="D1626" s="139" t="s">
        <v>3201</v>
      </c>
      <c r="E1626" s="136"/>
      <c r="F1626" s="71" t="s">
        <v>3614</v>
      </c>
      <c r="G1626" s="72">
        <v>290</v>
      </c>
      <c r="H1626" s="72">
        <v>0</v>
      </c>
    </row>
    <row r="1627" spans="1:8" x14ac:dyDescent="0.2">
      <c r="A1627" s="5" t="s">
        <v>1036</v>
      </c>
      <c r="B1627" s="5" t="s">
        <v>3645</v>
      </c>
      <c r="C1627" s="5" t="s">
        <v>1995</v>
      </c>
      <c r="D1627" s="135" t="s">
        <v>3202</v>
      </c>
      <c r="E1627" s="136"/>
      <c r="F1627" s="5" t="s">
        <v>3614</v>
      </c>
      <c r="G1627" s="18">
        <v>150</v>
      </c>
      <c r="H1627" s="18">
        <v>0</v>
      </c>
    </row>
    <row r="1628" spans="1:8" x14ac:dyDescent="0.2">
      <c r="A1628" s="71" t="s">
        <v>1037</v>
      </c>
      <c r="B1628" s="71" t="s">
        <v>3645</v>
      </c>
      <c r="C1628" s="71" t="s">
        <v>1996</v>
      </c>
      <c r="D1628" s="139" t="s">
        <v>3203</v>
      </c>
      <c r="E1628" s="136"/>
      <c r="F1628" s="71" t="s">
        <v>3614</v>
      </c>
      <c r="G1628" s="72">
        <v>150</v>
      </c>
      <c r="H1628" s="72">
        <v>0</v>
      </c>
    </row>
    <row r="1629" spans="1:8" x14ac:dyDescent="0.2">
      <c r="A1629" s="5" t="s">
        <v>1038</v>
      </c>
      <c r="B1629" s="5" t="s">
        <v>3645</v>
      </c>
      <c r="C1629" s="5" t="s">
        <v>1997</v>
      </c>
      <c r="D1629" s="135" t="s">
        <v>3204</v>
      </c>
      <c r="E1629" s="136"/>
      <c r="F1629" s="5" t="s">
        <v>3622</v>
      </c>
      <c r="G1629" s="18">
        <v>9</v>
      </c>
      <c r="H1629" s="18">
        <v>0</v>
      </c>
    </row>
    <row r="1630" spans="1:8" x14ac:dyDescent="0.2">
      <c r="A1630" s="71" t="s">
        <v>1039</v>
      </c>
      <c r="B1630" s="71" t="s">
        <v>3645</v>
      </c>
      <c r="C1630" s="71" t="s">
        <v>1998</v>
      </c>
      <c r="D1630" s="139" t="s">
        <v>3205</v>
      </c>
      <c r="E1630" s="136"/>
      <c r="F1630" s="71" t="s">
        <v>3622</v>
      </c>
      <c r="G1630" s="72">
        <v>9</v>
      </c>
      <c r="H1630" s="72">
        <v>0</v>
      </c>
    </row>
    <row r="1631" spans="1:8" x14ac:dyDescent="0.2">
      <c r="A1631" s="5" t="s">
        <v>1040</v>
      </c>
      <c r="B1631" s="5" t="s">
        <v>3645</v>
      </c>
      <c r="C1631" s="5" t="s">
        <v>1999</v>
      </c>
      <c r="D1631" s="135" t="s">
        <v>3206</v>
      </c>
      <c r="E1631" s="136"/>
      <c r="F1631" s="5" t="s">
        <v>3622</v>
      </c>
      <c r="G1631" s="18">
        <v>149</v>
      </c>
      <c r="H1631" s="18">
        <v>0</v>
      </c>
    </row>
    <row r="1632" spans="1:8" x14ac:dyDescent="0.2">
      <c r="A1632" s="71" t="s">
        <v>1041</v>
      </c>
      <c r="B1632" s="71" t="s">
        <v>3645</v>
      </c>
      <c r="C1632" s="71" t="s">
        <v>2000</v>
      </c>
      <c r="D1632" s="139" t="s">
        <v>3206</v>
      </c>
      <c r="E1632" s="136"/>
      <c r="F1632" s="71" t="s">
        <v>3622</v>
      </c>
      <c r="G1632" s="72">
        <v>149</v>
      </c>
      <c r="H1632" s="72">
        <v>0</v>
      </c>
    </row>
    <row r="1633" spans="1:8" x14ac:dyDescent="0.2">
      <c r="A1633" s="5" t="s">
        <v>1042</v>
      </c>
      <c r="B1633" s="5" t="s">
        <v>3645</v>
      </c>
      <c r="C1633" s="5" t="s">
        <v>2001</v>
      </c>
      <c r="D1633" s="135" t="s">
        <v>3207</v>
      </c>
      <c r="E1633" s="136"/>
      <c r="F1633" s="5" t="s">
        <v>3622</v>
      </c>
      <c r="G1633" s="18">
        <v>22</v>
      </c>
      <c r="H1633" s="18">
        <v>0</v>
      </c>
    </row>
    <row r="1634" spans="1:8" x14ac:dyDescent="0.2">
      <c r="A1634" s="71" t="s">
        <v>1043</v>
      </c>
      <c r="B1634" s="71" t="s">
        <v>3645</v>
      </c>
      <c r="C1634" s="71" t="s">
        <v>2002</v>
      </c>
      <c r="D1634" s="139" t="s">
        <v>3207</v>
      </c>
      <c r="E1634" s="136"/>
      <c r="F1634" s="71" t="s">
        <v>3622</v>
      </c>
      <c r="G1634" s="72">
        <v>22</v>
      </c>
      <c r="H1634" s="72">
        <v>0</v>
      </c>
    </row>
    <row r="1635" spans="1:8" x14ac:dyDescent="0.2">
      <c r="A1635" s="5" t="s">
        <v>1044</v>
      </c>
      <c r="B1635" s="5" t="s">
        <v>3645</v>
      </c>
      <c r="C1635" s="5" t="s">
        <v>2003</v>
      </c>
      <c r="D1635" s="135" t="s">
        <v>3208</v>
      </c>
      <c r="E1635" s="136"/>
      <c r="F1635" s="5" t="s">
        <v>3622</v>
      </c>
      <c r="G1635" s="18">
        <v>9</v>
      </c>
      <c r="H1635" s="18">
        <v>0</v>
      </c>
    </row>
    <row r="1636" spans="1:8" x14ac:dyDescent="0.2">
      <c r="A1636" s="71" t="s">
        <v>1045</v>
      </c>
      <c r="B1636" s="71" t="s">
        <v>3645</v>
      </c>
      <c r="C1636" s="71" t="s">
        <v>2004</v>
      </c>
      <c r="D1636" s="139" t="s">
        <v>3209</v>
      </c>
      <c r="E1636" s="136"/>
      <c r="F1636" s="71" t="s">
        <v>3622</v>
      </c>
      <c r="G1636" s="72">
        <v>9</v>
      </c>
      <c r="H1636" s="72">
        <v>0</v>
      </c>
    </row>
    <row r="1637" spans="1:8" x14ac:dyDescent="0.2">
      <c r="A1637" s="5" t="s">
        <v>1046</v>
      </c>
      <c r="B1637" s="5" t="s">
        <v>3645</v>
      </c>
      <c r="C1637" s="5" t="s">
        <v>2005</v>
      </c>
      <c r="D1637" s="135" t="s">
        <v>3210</v>
      </c>
      <c r="E1637" s="136"/>
      <c r="F1637" s="5" t="s">
        <v>3622</v>
      </c>
      <c r="G1637" s="18">
        <v>32</v>
      </c>
      <c r="H1637" s="18">
        <v>0</v>
      </c>
    </row>
    <row r="1638" spans="1:8" x14ac:dyDescent="0.2">
      <c r="A1638" s="71" t="s">
        <v>1047</v>
      </c>
      <c r="B1638" s="71" t="s">
        <v>3645</v>
      </c>
      <c r="C1638" s="71" t="s">
        <v>2006</v>
      </c>
      <c r="D1638" s="139" t="s">
        <v>3210</v>
      </c>
      <c r="E1638" s="136"/>
      <c r="F1638" s="71" t="s">
        <v>3622</v>
      </c>
      <c r="G1638" s="72">
        <v>32</v>
      </c>
      <c r="H1638" s="72">
        <v>0</v>
      </c>
    </row>
    <row r="1639" spans="1:8" x14ac:dyDescent="0.2">
      <c r="A1639" s="5" t="s">
        <v>1048</v>
      </c>
      <c r="B1639" s="5" t="s">
        <v>3645</v>
      </c>
      <c r="C1639" s="5" t="s">
        <v>2007</v>
      </c>
      <c r="D1639" s="135" t="s">
        <v>3211</v>
      </c>
      <c r="E1639" s="136"/>
      <c r="F1639" s="5" t="s">
        <v>3622</v>
      </c>
      <c r="G1639" s="18">
        <v>9</v>
      </c>
      <c r="H1639" s="18">
        <v>0</v>
      </c>
    </row>
    <row r="1640" spans="1:8" x14ac:dyDescent="0.2">
      <c r="A1640" s="71" t="s">
        <v>1049</v>
      </c>
      <c r="B1640" s="71" t="s">
        <v>3645</v>
      </c>
      <c r="C1640" s="71" t="s">
        <v>2008</v>
      </c>
      <c r="D1640" s="139" t="s">
        <v>3211</v>
      </c>
      <c r="E1640" s="136"/>
      <c r="F1640" s="71" t="s">
        <v>3622</v>
      </c>
      <c r="G1640" s="72">
        <v>9</v>
      </c>
      <c r="H1640" s="72">
        <v>0</v>
      </c>
    </row>
    <row r="1641" spans="1:8" x14ac:dyDescent="0.2">
      <c r="A1641" s="5" t="s">
        <v>1050</v>
      </c>
      <c r="B1641" s="5" t="s">
        <v>3645</v>
      </c>
      <c r="C1641" s="5" t="s">
        <v>2009</v>
      </c>
      <c r="D1641" s="135" t="s">
        <v>3212</v>
      </c>
      <c r="E1641" s="136"/>
      <c r="F1641" s="5" t="s">
        <v>3622</v>
      </c>
      <c r="G1641" s="18">
        <v>26</v>
      </c>
      <c r="H1641" s="18">
        <v>0</v>
      </c>
    </row>
    <row r="1642" spans="1:8" x14ac:dyDescent="0.2">
      <c r="A1642" s="71" t="s">
        <v>1051</v>
      </c>
      <c r="B1642" s="71" t="s">
        <v>3645</v>
      </c>
      <c r="C1642" s="71" t="s">
        <v>2006</v>
      </c>
      <c r="D1642" s="139" t="s">
        <v>3213</v>
      </c>
      <c r="E1642" s="136"/>
      <c r="F1642" s="71" t="s">
        <v>3622</v>
      </c>
      <c r="G1642" s="72">
        <v>26</v>
      </c>
      <c r="H1642" s="72">
        <v>0</v>
      </c>
    </row>
    <row r="1643" spans="1:8" x14ac:dyDescent="0.2">
      <c r="A1643" s="5" t="s">
        <v>1052</v>
      </c>
      <c r="B1643" s="5" t="s">
        <v>3645</v>
      </c>
      <c r="C1643" s="5" t="s">
        <v>2007</v>
      </c>
      <c r="D1643" s="135" t="s">
        <v>3214</v>
      </c>
      <c r="E1643" s="136"/>
      <c r="F1643" s="5" t="s">
        <v>3622</v>
      </c>
      <c r="G1643" s="18">
        <v>18</v>
      </c>
      <c r="H1643" s="18">
        <v>0</v>
      </c>
    </row>
    <row r="1644" spans="1:8" x14ac:dyDescent="0.2">
      <c r="A1644" s="71" t="s">
        <v>1053</v>
      </c>
      <c r="B1644" s="71" t="s">
        <v>3645</v>
      </c>
      <c r="C1644" s="71" t="s">
        <v>2008</v>
      </c>
      <c r="D1644" s="139" t="s">
        <v>3214</v>
      </c>
      <c r="E1644" s="136"/>
      <c r="F1644" s="71" t="s">
        <v>3622</v>
      </c>
      <c r="G1644" s="72">
        <v>18</v>
      </c>
      <c r="H1644" s="72">
        <v>0</v>
      </c>
    </row>
    <row r="1645" spans="1:8" x14ac:dyDescent="0.2">
      <c r="A1645" s="5" t="s">
        <v>1054</v>
      </c>
      <c r="B1645" s="5" t="s">
        <v>3645</v>
      </c>
      <c r="C1645" s="5" t="s">
        <v>2010</v>
      </c>
      <c r="D1645" s="135" t="s">
        <v>3215</v>
      </c>
      <c r="E1645" s="136"/>
      <c r="F1645" s="5" t="s">
        <v>3622</v>
      </c>
      <c r="G1645" s="18">
        <v>18</v>
      </c>
      <c r="H1645" s="18">
        <v>0</v>
      </c>
    </row>
    <row r="1646" spans="1:8" x14ac:dyDescent="0.2">
      <c r="A1646" s="71" t="s">
        <v>1055</v>
      </c>
      <c r="B1646" s="71" t="s">
        <v>3645</v>
      </c>
      <c r="C1646" s="71" t="s">
        <v>2011</v>
      </c>
      <c r="D1646" s="139" t="s">
        <v>3216</v>
      </c>
      <c r="E1646" s="136"/>
      <c r="F1646" s="71" t="s">
        <v>3622</v>
      </c>
      <c r="G1646" s="72">
        <v>18</v>
      </c>
      <c r="H1646" s="72">
        <v>0</v>
      </c>
    </row>
    <row r="1647" spans="1:8" x14ac:dyDescent="0.2">
      <c r="A1647" s="5" t="s">
        <v>1056</v>
      </c>
      <c r="B1647" s="5" t="s">
        <v>3645</v>
      </c>
      <c r="C1647" s="5" t="s">
        <v>2012</v>
      </c>
      <c r="D1647" s="135" t="s">
        <v>3217</v>
      </c>
      <c r="E1647" s="136"/>
      <c r="F1647" s="5" t="s">
        <v>3622</v>
      </c>
      <c r="G1647" s="18">
        <v>4</v>
      </c>
      <c r="H1647" s="18">
        <v>0</v>
      </c>
    </row>
    <row r="1648" spans="1:8" x14ac:dyDescent="0.2">
      <c r="A1648" s="71" t="s">
        <v>1057</v>
      </c>
      <c r="B1648" s="71" t="s">
        <v>3645</v>
      </c>
      <c r="C1648" s="71" t="s">
        <v>2013</v>
      </c>
      <c r="D1648" s="139" t="s">
        <v>3217</v>
      </c>
      <c r="E1648" s="136"/>
      <c r="F1648" s="71" t="s">
        <v>3622</v>
      </c>
      <c r="G1648" s="72">
        <v>4</v>
      </c>
      <c r="H1648" s="72">
        <v>0</v>
      </c>
    </row>
    <row r="1649" spans="1:8" x14ac:dyDescent="0.2">
      <c r="A1649" s="5" t="s">
        <v>1058</v>
      </c>
      <c r="B1649" s="5" t="s">
        <v>3645</v>
      </c>
      <c r="C1649" s="5" t="s">
        <v>2012</v>
      </c>
      <c r="D1649" s="135" t="s">
        <v>3218</v>
      </c>
      <c r="E1649" s="136"/>
      <c r="F1649" s="5" t="s">
        <v>3622</v>
      </c>
      <c r="G1649" s="18">
        <v>5</v>
      </c>
      <c r="H1649" s="18">
        <v>0</v>
      </c>
    </row>
    <row r="1650" spans="1:8" x14ac:dyDescent="0.2">
      <c r="A1650" s="71" t="s">
        <v>1059</v>
      </c>
      <c r="B1650" s="71" t="s">
        <v>3645</v>
      </c>
      <c r="C1650" s="71" t="s">
        <v>2013</v>
      </c>
      <c r="D1650" s="139" t="s">
        <v>3218</v>
      </c>
      <c r="E1650" s="136"/>
      <c r="F1650" s="71" t="s">
        <v>3622</v>
      </c>
      <c r="G1650" s="72">
        <v>5</v>
      </c>
      <c r="H1650" s="72">
        <v>0</v>
      </c>
    </row>
    <row r="1651" spans="1:8" x14ac:dyDescent="0.2">
      <c r="A1651" s="5" t="s">
        <v>1060</v>
      </c>
      <c r="B1651" s="5" t="s">
        <v>3645</v>
      </c>
      <c r="C1651" s="5" t="s">
        <v>2014</v>
      </c>
      <c r="D1651" s="135" t="s">
        <v>3219</v>
      </c>
      <c r="E1651" s="136"/>
      <c r="F1651" s="5" t="s">
        <v>3612</v>
      </c>
      <c r="G1651" s="18">
        <v>1</v>
      </c>
      <c r="H1651" s="18">
        <v>0</v>
      </c>
    </row>
    <row r="1652" spans="1:8" x14ac:dyDescent="0.2">
      <c r="A1652" s="71" t="s">
        <v>1061</v>
      </c>
      <c r="B1652" s="71" t="s">
        <v>3645</v>
      </c>
      <c r="C1652" s="71" t="s">
        <v>2015</v>
      </c>
      <c r="D1652" s="139" t="s">
        <v>3219</v>
      </c>
      <c r="E1652" s="136"/>
      <c r="F1652" s="71" t="s">
        <v>3622</v>
      </c>
      <c r="G1652" s="72">
        <v>1</v>
      </c>
      <c r="H1652" s="72">
        <v>0</v>
      </c>
    </row>
    <row r="1653" spans="1:8" x14ac:dyDescent="0.2">
      <c r="A1653" s="5" t="s">
        <v>1062</v>
      </c>
      <c r="B1653" s="5" t="s">
        <v>3645</v>
      </c>
      <c r="C1653" s="5" t="s">
        <v>2016</v>
      </c>
      <c r="D1653" s="135" t="s">
        <v>3220</v>
      </c>
      <c r="E1653" s="136"/>
      <c r="F1653" s="5" t="s">
        <v>3612</v>
      </c>
      <c r="G1653" s="18">
        <v>1</v>
      </c>
      <c r="H1653" s="18">
        <v>0</v>
      </c>
    </row>
    <row r="1654" spans="1:8" x14ac:dyDescent="0.2">
      <c r="A1654" s="5" t="s">
        <v>1063</v>
      </c>
      <c r="B1654" s="5" t="s">
        <v>3645</v>
      </c>
      <c r="C1654" s="5" t="s">
        <v>2016</v>
      </c>
      <c r="D1654" s="135" t="s">
        <v>3221</v>
      </c>
      <c r="E1654" s="136"/>
      <c r="F1654" s="5" t="s">
        <v>3619</v>
      </c>
      <c r="G1654" s="18">
        <v>2</v>
      </c>
      <c r="H1654" s="18">
        <v>0</v>
      </c>
    </row>
    <row r="1655" spans="1:8" x14ac:dyDescent="0.2">
      <c r="A1655" s="5" t="s">
        <v>1064</v>
      </c>
      <c r="B1655" s="5" t="s">
        <v>3645</v>
      </c>
      <c r="C1655" s="5" t="s">
        <v>2017</v>
      </c>
      <c r="D1655" s="135" t="s">
        <v>3222</v>
      </c>
      <c r="E1655" s="136"/>
      <c r="F1655" s="5" t="s">
        <v>3612</v>
      </c>
      <c r="G1655" s="18">
        <v>10</v>
      </c>
      <c r="H1655" s="18">
        <v>0</v>
      </c>
    </row>
    <row r="1656" spans="1:8" x14ac:dyDescent="0.2">
      <c r="A1656" s="5" t="s">
        <v>1065</v>
      </c>
      <c r="B1656" s="5" t="s">
        <v>3645</v>
      </c>
      <c r="C1656" s="5" t="s">
        <v>2018</v>
      </c>
      <c r="D1656" s="135" t="s">
        <v>3223</v>
      </c>
      <c r="E1656" s="136"/>
      <c r="F1656" s="5" t="s">
        <v>3619</v>
      </c>
      <c r="G1656" s="18">
        <v>4</v>
      </c>
      <c r="H1656" s="18">
        <v>0</v>
      </c>
    </row>
    <row r="1657" spans="1:8" x14ac:dyDescent="0.2">
      <c r="A1657" s="5" t="s">
        <v>1066</v>
      </c>
      <c r="B1657" s="5" t="s">
        <v>3645</v>
      </c>
      <c r="C1657" s="5" t="s">
        <v>2019</v>
      </c>
      <c r="D1657" s="135" t="s">
        <v>3224</v>
      </c>
      <c r="E1657" s="136"/>
      <c r="F1657" s="5" t="s">
        <v>3622</v>
      </c>
      <c r="G1657" s="18">
        <v>7</v>
      </c>
      <c r="H1657" s="18">
        <v>0</v>
      </c>
    </row>
    <row r="1658" spans="1:8" x14ac:dyDescent="0.2">
      <c r="A1658" s="14"/>
      <c r="B1658" s="14"/>
      <c r="C1658" s="14" t="s">
        <v>2020</v>
      </c>
      <c r="D1658" s="133" t="s">
        <v>3225</v>
      </c>
      <c r="E1658" s="134"/>
      <c r="F1658" s="14"/>
      <c r="G1658" s="27"/>
      <c r="H1658" s="27"/>
    </row>
    <row r="1659" spans="1:8" x14ac:dyDescent="0.2">
      <c r="A1659" s="5" t="s">
        <v>1067</v>
      </c>
      <c r="B1659" s="5" t="s">
        <v>3645</v>
      </c>
      <c r="C1659" s="5" t="s">
        <v>2021</v>
      </c>
      <c r="D1659" s="135" t="s">
        <v>3226</v>
      </c>
      <c r="E1659" s="136"/>
      <c r="F1659" s="5" t="s">
        <v>3612</v>
      </c>
      <c r="G1659" s="18">
        <v>136</v>
      </c>
      <c r="H1659" s="18">
        <v>0</v>
      </c>
    </row>
    <row r="1660" spans="1:8" x14ac:dyDescent="0.2">
      <c r="A1660" s="5" t="s">
        <v>1068</v>
      </c>
      <c r="B1660" s="5" t="s">
        <v>3645</v>
      </c>
      <c r="C1660" s="5" t="s">
        <v>2022</v>
      </c>
      <c r="D1660" s="135" t="s">
        <v>3227</v>
      </c>
      <c r="E1660" s="136"/>
      <c r="F1660" s="5" t="s">
        <v>3612</v>
      </c>
      <c r="G1660" s="18">
        <v>214</v>
      </c>
      <c r="H1660" s="18">
        <v>0</v>
      </c>
    </row>
    <row r="1661" spans="1:8" x14ac:dyDescent="0.2">
      <c r="A1661" s="5" t="s">
        <v>1069</v>
      </c>
      <c r="B1661" s="5" t="s">
        <v>3645</v>
      </c>
      <c r="C1661" s="5" t="s">
        <v>2023</v>
      </c>
      <c r="D1661" s="135" t="s">
        <v>3228</v>
      </c>
      <c r="E1661" s="136"/>
      <c r="F1661" s="5" t="s">
        <v>3614</v>
      </c>
      <c r="G1661" s="18">
        <v>890</v>
      </c>
      <c r="H1661" s="18">
        <v>0</v>
      </c>
    </row>
    <row r="1662" spans="1:8" x14ac:dyDescent="0.2">
      <c r="A1662" s="5" t="s">
        <v>1070</v>
      </c>
      <c r="B1662" s="5" t="s">
        <v>3645</v>
      </c>
      <c r="C1662" s="5" t="s">
        <v>2024</v>
      </c>
      <c r="D1662" s="135" t="s">
        <v>3229</v>
      </c>
      <c r="E1662" s="136"/>
      <c r="F1662" s="5" t="s">
        <v>3614</v>
      </c>
      <c r="G1662" s="18">
        <v>164</v>
      </c>
      <c r="H1662" s="18">
        <v>0</v>
      </c>
    </row>
    <row r="1663" spans="1:8" x14ac:dyDescent="0.2">
      <c r="A1663" s="5" t="s">
        <v>1071</v>
      </c>
      <c r="B1663" s="5" t="s">
        <v>3645</v>
      </c>
      <c r="C1663" s="5" t="s">
        <v>1986</v>
      </c>
      <c r="D1663" s="135" t="s">
        <v>3230</v>
      </c>
      <c r="E1663" s="136"/>
      <c r="F1663" s="5" t="s">
        <v>3612</v>
      </c>
      <c r="G1663" s="18">
        <v>1</v>
      </c>
      <c r="H1663" s="18">
        <v>0</v>
      </c>
    </row>
    <row r="1664" spans="1:8" x14ac:dyDescent="0.2">
      <c r="A1664" s="5" t="s">
        <v>1072</v>
      </c>
      <c r="B1664" s="5" t="s">
        <v>3645</v>
      </c>
      <c r="C1664" s="5" t="s">
        <v>2025</v>
      </c>
      <c r="D1664" s="135" t="s">
        <v>3231</v>
      </c>
      <c r="E1664" s="136"/>
      <c r="F1664" s="5" t="s">
        <v>3622</v>
      </c>
      <c r="G1664" s="18">
        <v>5</v>
      </c>
      <c r="H1664" s="18">
        <v>0</v>
      </c>
    </row>
    <row r="1665" spans="1:8" x14ac:dyDescent="0.2">
      <c r="A1665" s="5" t="s">
        <v>1073</v>
      </c>
      <c r="B1665" s="5" t="s">
        <v>3645</v>
      </c>
      <c r="C1665" s="5" t="s">
        <v>2026</v>
      </c>
      <c r="D1665" s="135" t="s">
        <v>3232</v>
      </c>
      <c r="E1665" s="136"/>
      <c r="F1665" s="5" t="s">
        <v>3622</v>
      </c>
      <c r="G1665" s="18">
        <v>1</v>
      </c>
      <c r="H1665" s="18">
        <v>0</v>
      </c>
    </row>
    <row r="1666" spans="1:8" x14ac:dyDescent="0.2">
      <c r="A1666" s="5" t="s">
        <v>1074</v>
      </c>
      <c r="B1666" s="5" t="s">
        <v>3645</v>
      </c>
      <c r="C1666" s="5" t="s">
        <v>2027</v>
      </c>
      <c r="D1666" s="135" t="s">
        <v>3233</v>
      </c>
      <c r="E1666" s="136"/>
      <c r="F1666" s="5" t="s">
        <v>3622</v>
      </c>
      <c r="G1666" s="18">
        <v>1</v>
      </c>
      <c r="H1666" s="18">
        <v>0</v>
      </c>
    </row>
    <row r="1667" spans="1:8" x14ac:dyDescent="0.2">
      <c r="A1667" s="5" t="s">
        <v>1075</v>
      </c>
      <c r="B1667" s="5" t="s">
        <v>3645</v>
      </c>
      <c r="C1667" s="5" t="s">
        <v>2027</v>
      </c>
      <c r="D1667" s="135" t="s">
        <v>3234</v>
      </c>
      <c r="E1667" s="136"/>
      <c r="F1667" s="5" t="s">
        <v>3622</v>
      </c>
      <c r="G1667" s="18">
        <v>1</v>
      </c>
      <c r="H1667" s="18">
        <v>0</v>
      </c>
    </row>
    <row r="1668" spans="1:8" x14ac:dyDescent="0.2">
      <c r="A1668" s="5" t="s">
        <v>1076</v>
      </c>
      <c r="B1668" s="5" t="s">
        <v>3645</v>
      </c>
      <c r="C1668" s="5" t="s">
        <v>2028</v>
      </c>
      <c r="D1668" s="135" t="s">
        <v>3235</v>
      </c>
      <c r="E1668" s="136"/>
      <c r="F1668" s="5" t="s">
        <v>3622</v>
      </c>
      <c r="G1668" s="18">
        <v>1</v>
      </c>
      <c r="H1668" s="18">
        <v>0</v>
      </c>
    </row>
    <row r="1669" spans="1:8" x14ac:dyDescent="0.2">
      <c r="A1669" s="5" t="s">
        <v>1077</v>
      </c>
      <c r="B1669" s="5" t="s">
        <v>3645</v>
      </c>
      <c r="C1669" s="5" t="s">
        <v>2029</v>
      </c>
      <c r="D1669" s="135" t="s">
        <v>3236</v>
      </c>
      <c r="E1669" s="136"/>
      <c r="F1669" s="5" t="s">
        <v>3622</v>
      </c>
      <c r="G1669" s="18">
        <v>1</v>
      </c>
      <c r="H1669" s="18">
        <v>0</v>
      </c>
    </row>
    <row r="1670" spans="1:8" x14ac:dyDescent="0.2">
      <c r="A1670" s="5" t="s">
        <v>1078</v>
      </c>
      <c r="B1670" s="5" t="s">
        <v>3645</v>
      </c>
      <c r="C1670" s="5" t="s">
        <v>2030</v>
      </c>
      <c r="D1670" s="135" t="s">
        <v>3237</v>
      </c>
      <c r="E1670" s="136"/>
      <c r="F1670" s="5" t="s">
        <v>3622</v>
      </c>
      <c r="G1670" s="18">
        <v>1</v>
      </c>
      <c r="H1670" s="18">
        <v>0</v>
      </c>
    </row>
    <row r="1671" spans="1:8" x14ac:dyDescent="0.2">
      <c r="A1671" s="5" t="s">
        <v>1079</v>
      </c>
      <c r="B1671" s="5" t="s">
        <v>3645</v>
      </c>
      <c r="C1671" s="5" t="s">
        <v>2031</v>
      </c>
      <c r="D1671" s="135" t="s">
        <v>3238</v>
      </c>
      <c r="E1671" s="136"/>
      <c r="F1671" s="5" t="s">
        <v>3619</v>
      </c>
      <c r="G1671" s="18">
        <v>8</v>
      </c>
      <c r="H1671" s="18">
        <v>0</v>
      </c>
    </row>
    <row r="1672" spans="1:8" x14ac:dyDescent="0.2">
      <c r="A1672" s="5" t="s">
        <v>1080</v>
      </c>
      <c r="B1672" s="5" t="s">
        <v>3645</v>
      </c>
      <c r="C1672" s="5" t="s">
        <v>2032</v>
      </c>
      <c r="D1672" s="135" t="s">
        <v>3239</v>
      </c>
      <c r="E1672" s="136"/>
      <c r="F1672" s="5" t="s">
        <v>3614</v>
      </c>
      <c r="G1672" s="18">
        <v>940</v>
      </c>
      <c r="H1672" s="18">
        <v>0</v>
      </c>
    </row>
    <row r="1673" spans="1:8" x14ac:dyDescent="0.2">
      <c r="A1673" s="5" t="s">
        <v>1081</v>
      </c>
      <c r="B1673" s="5" t="s">
        <v>3645</v>
      </c>
      <c r="C1673" s="5" t="s">
        <v>2033</v>
      </c>
      <c r="D1673" s="135" t="s">
        <v>3240</v>
      </c>
      <c r="E1673" s="136"/>
      <c r="F1673" s="5" t="s">
        <v>3614</v>
      </c>
      <c r="G1673" s="18">
        <v>940</v>
      </c>
      <c r="H1673" s="18">
        <v>0</v>
      </c>
    </row>
    <row r="1674" spans="1:8" x14ac:dyDescent="0.2">
      <c r="A1674" s="5" t="s">
        <v>1082</v>
      </c>
      <c r="B1674" s="5" t="s">
        <v>3645</v>
      </c>
      <c r="C1674" s="5" t="s">
        <v>2034</v>
      </c>
      <c r="D1674" s="135" t="s">
        <v>3241</v>
      </c>
      <c r="E1674" s="136"/>
      <c r="F1674" s="5" t="s">
        <v>3622</v>
      </c>
      <c r="G1674" s="18">
        <v>321</v>
      </c>
      <c r="H1674" s="18">
        <v>0</v>
      </c>
    </row>
    <row r="1675" spans="1:8" x14ac:dyDescent="0.2">
      <c r="A1675" s="5" t="s">
        <v>1083</v>
      </c>
      <c r="B1675" s="5" t="s">
        <v>3645</v>
      </c>
      <c r="C1675" s="5" t="s">
        <v>2035</v>
      </c>
      <c r="D1675" s="135" t="s">
        <v>3242</v>
      </c>
      <c r="E1675" s="136"/>
      <c r="F1675" s="5" t="s">
        <v>3612</v>
      </c>
      <c r="G1675" s="18">
        <v>49</v>
      </c>
      <c r="H1675" s="18">
        <v>0</v>
      </c>
    </row>
    <row r="1676" spans="1:8" x14ac:dyDescent="0.2">
      <c r="A1676" s="5" t="s">
        <v>1084</v>
      </c>
      <c r="B1676" s="5" t="s">
        <v>3645</v>
      </c>
      <c r="C1676" s="5" t="s">
        <v>2036</v>
      </c>
      <c r="D1676" s="135" t="s">
        <v>3243</v>
      </c>
      <c r="E1676" s="136"/>
      <c r="F1676" s="5" t="s">
        <v>3612</v>
      </c>
      <c r="G1676" s="18">
        <v>12</v>
      </c>
      <c r="H1676" s="18">
        <v>0</v>
      </c>
    </row>
    <row r="1677" spans="1:8" x14ac:dyDescent="0.2">
      <c r="A1677" s="5" t="s">
        <v>1085</v>
      </c>
      <c r="B1677" s="5" t="s">
        <v>3645</v>
      </c>
      <c r="C1677" s="5" t="s">
        <v>2037</v>
      </c>
      <c r="D1677" s="135" t="s">
        <v>3244</v>
      </c>
      <c r="E1677" s="136"/>
      <c r="F1677" s="5" t="s">
        <v>3623</v>
      </c>
      <c r="G1677" s="18">
        <v>12</v>
      </c>
      <c r="H1677" s="18">
        <v>0</v>
      </c>
    </row>
    <row r="1678" spans="1:8" x14ac:dyDescent="0.2">
      <c r="A1678" s="5" t="s">
        <v>1086</v>
      </c>
      <c r="B1678" s="5" t="s">
        <v>3645</v>
      </c>
      <c r="C1678" s="5" t="s">
        <v>2038</v>
      </c>
      <c r="D1678" s="135" t="s">
        <v>3245</v>
      </c>
      <c r="E1678" s="136"/>
      <c r="F1678" s="5" t="s">
        <v>3614</v>
      </c>
      <c r="G1678" s="18">
        <v>40</v>
      </c>
      <c r="H1678" s="18">
        <v>0</v>
      </c>
    </row>
    <row r="1679" spans="1:8" x14ac:dyDescent="0.2">
      <c r="A1679" s="5" t="s">
        <v>1087</v>
      </c>
      <c r="B1679" s="5" t="s">
        <v>3645</v>
      </c>
      <c r="C1679" s="5" t="s">
        <v>2039</v>
      </c>
      <c r="D1679" s="135" t="s">
        <v>3246</v>
      </c>
      <c r="E1679" s="136"/>
      <c r="F1679" s="5" t="s">
        <v>3614</v>
      </c>
      <c r="G1679" s="18">
        <v>40</v>
      </c>
      <c r="H1679" s="18">
        <v>0</v>
      </c>
    </row>
    <row r="1680" spans="1:8" x14ac:dyDescent="0.2">
      <c r="A1680" s="5" t="s">
        <v>1088</v>
      </c>
      <c r="B1680" s="5" t="s">
        <v>3645</v>
      </c>
      <c r="C1680" s="5" t="s">
        <v>2040</v>
      </c>
      <c r="D1680" s="135" t="s">
        <v>3247</v>
      </c>
      <c r="E1680" s="136"/>
      <c r="F1680" s="5" t="s">
        <v>3614</v>
      </c>
      <c r="G1680" s="18">
        <v>60</v>
      </c>
      <c r="H1680" s="18">
        <v>0</v>
      </c>
    </row>
    <row r="1681" spans="1:8" x14ac:dyDescent="0.2">
      <c r="A1681" s="5" t="s">
        <v>1089</v>
      </c>
      <c r="B1681" s="5" t="s">
        <v>3645</v>
      </c>
      <c r="C1681" s="5" t="s">
        <v>2041</v>
      </c>
      <c r="D1681" s="135" t="s">
        <v>3247</v>
      </c>
      <c r="E1681" s="136"/>
      <c r="F1681" s="5" t="s">
        <v>3614</v>
      </c>
      <c r="G1681" s="18">
        <v>60</v>
      </c>
      <c r="H1681" s="18">
        <v>0</v>
      </c>
    </row>
    <row r="1682" spans="1:8" x14ac:dyDescent="0.2">
      <c r="A1682" s="5" t="s">
        <v>1090</v>
      </c>
      <c r="B1682" s="5" t="s">
        <v>3645</v>
      </c>
      <c r="C1682" s="5" t="s">
        <v>1987</v>
      </c>
      <c r="D1682" s="135" t="s">
        <v>3196</v>
      </c>
      <c r="E1682" s="136"/>
      <c r="F1682" s="5" t="s">
        <v>3622</v>
      </c>
      <c r="G1682" s="18">
        <v>4</v>
      </c>
      <c r="H1682" s="18">
        <v>0</v>
      </c>
    </row>
    <row r="1683" spans="1:8" x14ac:dyDescent="0.2">
      <c r="A1683" s="5" t="s">
        <v>1091</v>
      </c>
      <c r="B1683" s="5" t="s">
        <v>3645</v>
      </c>
      <c r="C1683" s="5" t="s">
        <v>1988</v>
      </c>
      <c r="D1683" s="135" t="s">
        <v>3197</v>
      </c>
      <c r="E1683" s="136"/>
      <c r="F1683" s="5" t="s">
        <v>3622</v>
      </c>
      <c r="G1683" s="18">
        <v>4</v>
      </c>
      <c r="H1683" s="18">
        <v>0</v>
      </c>
    </row>
    <row r="1684" spans="1:8" x14ac:dyDescent="0.2">
      <c r="A1684" s="5" t="s">
        <v>1092</v>
      </c>
      <c r="B1684" s="5" t="s">
        <v>3645</v>
      </c>
      <c r="C1684" s="5" t="s">
        <v>2042</v>
      </c>
      <c r="D1684" s="135" t="s">
        <v>3248</v>
      </c>
      <c r="E1684" s="136"/>
      <c r="F1684" s="5" t="s">
        <v>3614</v>
      </c>
      <c r="G1684" s="18">
        <v>530</v>
      </c>
      <c r="H1684" s="18">
        <v>0</v>
      </c>
    </row>
    <row r="1685" spans="1:8" x14ac:dyDescent="0.2">
      <c r="A1685" s="5" t="s">
        <v>1093</v>
      </c>
      <c r="B1685" s="5" t="s">
        <v>3645</v>
      </c>
      <c r="C1685" s="5" t="s">
        <v>2043</v>
      </c>
      <c r="D1685" s="135" t="s">
        <v>3249</v>
      </c>
      <c r="E1685" s="136"/>
      <c r="F1685" s="5" t="s">
        <v>3614</v>
      </c>
      <c r="G1685" s="18">
        <v>420</v>
      </c>
      <c r="H1685" s="18">
        <v>0</v>
      </c>
    </row>
    <row r="1686" spans="1:8" x14ac:dyDescent="0.2">
      <c r="A1686" s="5" t="s">
        <v>1094</v>
      </c>
      <c r="B1686" s="5" t="s">
        <v>3645</v>
      </c>
      <c r="C1686" s="5" t="s">
        <v>2044</v>
      </c>
      <c r="D1686" s="135" t="s">
        <v>3250</v>
      </c>
      <c r="E1686" s="136"/>
      <c r="F1686" s="5" t="s">
        <v>3614</v>
      </c>
      <c r="G1686" s="18">
        <v>110</v>
      </c>
      <c r="H1686" s="18">
        <v>0</v>
      </c>
    </row>
    <row r="1687" spans="1:8" x14ac:dyDescent="0.2">
      <c r="A1687" s="5" t="s">
        <v>1095</v>
      </c>
      <c r="B1687" s="5" t="s">
        <v>3645</v>
      </c>
      <c r="C1687" s="5" t="s">
        <v>2045</v>
      </c>
      <c r="D1687" s="135" t="s">
        <v>3251</v>
      </c>
      <c r="E1687" s="136"/>
      <c r="F1687" s="5" t="s">
        <v>3614</v>
      </c>
      <c r="G1687" s="18">
        <v>210</v>
      </c>
      <c r="H1687" s="18">
        <v>0</v>
      </c>
    </row>
    <row r="1688" spans="1:8" x14ac:dyDescent="0.2">
      <c r="A1688" s="5" t="s">
        <v>1096</v>
      </c>
      <c r="B1688" s="5" t="s">
        <v>3645</v>
      </c>
      <c r="C1688" s="5" t="s">
        <v>2046</v>
      </c>
      <c r="D1688" s="135" t="s">
        <v>3252</v>
      </c>
      <c r="E1688" s="136"/>
      <c r="F1688" s="5" t="s">
        <v>3614</v>
      </c>
      <c r="G1688" s="18">
        <v>210</v>
      </c>
      <c r="H1688" s="18">
        <v>0</v>
      </c>
    </row>
    <row r="1689" spans="1:8" x14ac:dyDescent="0.2">
      <c r="A1689" s="5" t="s">
        <v>1097</v>
      </c>
      <c r="B1689" s="5" t="s">
        <v>3645</v>
      </c>
      <c r="C1689" s="5" t="s">
        <v>2047</v>
      </c>
      <c r="D1689" s="135" t="s">
        <v>3253</v>
      </c>
      <c r="E1689" s="136"/>
      <c r="F1689" s="5" t="s">
        <v>3614</v>
      </c>
      <c r="G1689" s="18">
        <v>3140</v>
      </c>
      <c r="H1689" s="18">
        <v>0</v>
      </c>
    </row>
    <row r="1690" spans="1:8" x14ac:dyDescent="0.2">
      <c r="A1690" s="5" t="s">
        <v>1098</v>
      </c>
      <c r="B1690" s="5" t="s">
        <v>3645</v>
      </c>
      <c r="C1690" s="5" t="s">
        <v>2048</v>
      </c>
      <c r="D1690" s="135" t="s">
        <v>3254</v>
      </c>
      <c r="E1690" s="136"/>
      <c r="F1690" s="5" t="s">
        <v>3614</v>
      </c>
      <c r="G1690" s="18">
        <v>1390</v>
      </c>
      <c r="H1690" s="18">
        <v>0</v>
      </c>
    </row>
    <row r="1691" spans="1:8" x14ac:dyDescent="0.2">
      <c r="A1691" s="5" t="s">
        <v>1099</v>
      </c>
      <c r="B1691" s="5" t="s">
        <v>3645</v>
      </c>
      <c r="C1691" s="5" t="s">
        <v>2049</v>
      </c>
      <c r="D1691" s="135" t="s">
        <v>3255</v>
      </c>
      <c r="E1691" s="136"/>
      <c r="F1691" s="5" t="s">
        <v>3614</v>
      </c>
      <c r="G1691" s="18">
        <v>110</v>
      </c>
      <c r="H1691" s="18">
        <v>0</v>
      </c>
    </row>
    <row r="1692" spans="1:8" x14ac:dyDescent="0.2">
      <c r="A1692" s="5" t="s">
        <v>1100</v>
      </c>
      <c r="B1692" s="5" t="s">
        <v>3645</v>
      </c>
      <c r="C1692" s="5" t="s">
        <v>2050</v>
      </c>
      <c r="D1692" s="135" t="s">
        <v>3256</v>
      </c>
      <c r="E1692" s="136"/>
      <c r="F1692" s="5" t="s">
        <v>3614</v>
      </c>
      <c r="G1692" s="18">
        <v>540</v>
      </c>
      <c r="H1692" s="18">
        <v>0</v>
      </c>
    </row>
    <row r="1693" spans="1:8" x14ac:dyDescent="0.2">
      <c r="A1693" s="5" t="s">
        <v>1101</v>
      </c>
      <c r="B1693" s="5" t="s">
        <v>3645</v>
      </c>
      <c r="C1693" s="5" t="s">
        <v>2051</v>
      </c>
      <c r="D1693" s="135" t="s">
        <v>3257</v>
      </c>
      <c r="E1693" s="136"/>
      <c r="F1693" s="5" t="s">
        <v>3614</v>
      </c>
      <c r="G1693" s="18">
        <v>180</v>
      </c>
      <c r="H1693" s="18">
        <v>0</v>
      </c>
    </row>
    <row r="1694" spans="1:8" x14ac:dyDescent="0.2">
      <c r="A1694" s="5" t="s">
        <v>1102</v>
      </c>
      <c r="B1694" s="5" t="s">
        <v>3645</v>
      </c>
      <c r="C1694" s="5" t="s">
        <v>2052</v>
      </c>
      <c r="D1694" s="135" t="s">
        <v>3258</v>
      </c>
      <c r="E1694" s="136"/>
      <c r="F1694" s="5" t="s">
        <v>3614</v>
      </c>
      <c r="G1694" s="18">
        <v>340</v>
      </c>
      <c r="H1694" s="18">
        <v>0</v>
      </c>
    </row>
    <row r="1695" spans="1:8" x14ac:dyDescent="0.2">
      <c r="A1695" s="5" t="s">
        <v>1103</v>
      </c>
      <c r="B1695" s="5" t="s">
        <v>3645</v>
      </c>
      <c r="C1695" s="5" t="s">
        <v>2053</v>
      </c>
      <c r="D1695" s="135" t="s">
        <v>3259</v>
      </c>
      <c r="E1695" s="136"/>
      <c r="F1695" s="5" t="s">
        <v>3614</v>
      </c>
      <c r="G1695" s="18">
        <v>320</v>
      </c>
      <c r="H1695" s="18">
        <v>0</v>
      </c>
    </row>
    <row r="1696" spans="1:8" x14ac:dyDescent="0.2">
      <c r="A1696" s="5" t="s">
        <v>1104</v>
      </c>
      <c r="B1696" s="5" t="s">
        <v>3645</v>
      </c>
      <c r="C1696" s="5" t="s">
        <v>2054</v>
      </c>
      <c r="D1696" s="135" t="s">
        <v>3260</v>
      </c>
      <c r="E1696" s="136"/>
      <c r="F1696" s="5" t="s">
        <v>3614</v>
      </c>
      <c r="G1696" s="18">
        <v>260</v>
      </c>
      <c r="H1696" s="18">
        <v>0</v>
      </c>
    </row>
    <row r="1697" spans="1:8" x14ac:dyDescent="0.2">
      <c r="A1697" s="5" t="s">
        <v>1105</v>
      </c>
      <c r="B1697" s="5" t="s">
        <v>3645</v>
      </c>
      <c r="C1697" s="5" t="s">
        <v>2055</v>
      </c>
      <c r="D1697" s="135" t="s">
        <v>3261</v>
      </c>
      <c r="E1697" s="136"/>
      <c r="F1697" s="5" t="s">
        <v>3614</v>
      </c>
      <c r="G1697" s="18">
        <v>1810</v>
      </c>
      <c r="H1697" s="18">
        <v>0</v>
      </c>
    </row>
    <row r="1698" spans="1:8" x14ac:dyDescent="0.2">
      <c r="A1698" s="5" t="s">
        <v>1106</v>
      </c>
      <c r="B1698" s="5" t="s">
        <v>3645</v>
      </c>
      <c r="C1698" s="5" t="s">
        <v>2056</v>
      </c>
      <c r="D1698" s="135" t="s">
        <v>3262</v>
      </c>
      <c r="E1698" s="136"/>
      <c r="F1698" s="5" t="s">
        <v>3614</v>
      </c>
      <c r="G1698" s="18">
        <v>380</v>
      </c>
      <c r="H1698" s="18">
        <v>0</v>
      </c>
    </row>
    <row r="1699" spans="1:8" x14ac:dyDescent="0.2">
      <c r="A1699" s="5" t="s">
        <v>1107</v>
      </c>
      <c r="B1699" s="5" t="s">
        <v>3645</v>
      </c>
      <c r="C1699" s="5" t="s">
        <v>2057</v>
      </c>
      <c r="D1699" s="135" t="s">
        <v>3263</v>
      </c>
      <c r="E1699" s="136"/>
      <c r="F1699" s="5" t="s">
        <v>3614</v>
      </c>
      <c r="G1699" s="18">
        <v>1430</v>
      </c>
      <c r="H1699" s="18">
        <v>0</v>
      </c>
    </row>
    <row r="1700" spans="1:8" x14ac:dyDescent="0.2">
      <c r="A1700" s="5" t="s">
        <v>1108</v>
      </c>
      <c r="B1700" s="5" t="s">
        <v>3645</v>
      </c>
      <c r="C1700" s="5" t="s">
        <v>2058</v>
      </c>
      <c r="D1700" s="135" t="s">
        <v>3264</v>
      </c>
      <c r="E1700" s="136"/>
      <c r="F1700" s="5" t="s">
        <v>3614</v>
      </c>
      <c r="G1700" s="18">
        <v>232</v>
      </c>
      <c r="H1700" s="18">
        <v>0</v>
      </c>
    </row>
    <row r="1701" spans="1:8" x14ac:dyDescent="0.2">
      <c r="A1701" s="5" t="s">
        <v>1109</v>
      </c>
      <c r="B1701" s="5" t="s">
        <v>3645</v>
      </c>
      <c r="C1701" s="5" t="s">
        <v>2059</v>
      </c>
      <c r="D1701" s="135" t="s">
        <v>3265</v>
      </c>
      <c r="E1701" s="136"/>
      <c r="F1701" s="5" t="s">
        <v>3614</v>
      </c>
      <c r="G1701" s="18">
        <v>120</v>
      </c>
      <c r="H1701" s="18">
        <v>0</v>
      </c>
    </row>
    <row r="1702" spans="1:8" x14ac:dyDescent="0.2">
      <c r="A1702" s="5" t="s">
        <v>1110</v>
      </c>
      <c r="B1702" s="5" t="s">
        <v>3645</v>
      </c>
      <c r="C1702" s="5" t="s">
        <v>2059</v>
      </c>
      <c r="D1702" s="135" t="s">
        <v>3266</v>
      </c>
      <c r="E1702" s="136"/>
      <c r="F1702" s="5" t="s">
        <v>3614</v>
      </c>
      <c r="G1702" s="18">
        <v>80</v>
      </c>
      <c r="H1702" s="18">
        <v>0</v>
      </c>
    </row>
    <row r="1703" spans="1:8" x14ac:dyDescent="0.2">
      <c r="A1703" s="5" t="s">
        <v>1111</v>
      </c>
      <c r="B1703" s="5" t="s">
        <v>3645</v>
      </c>
      <c r="C1703" s="5" t="s">
        <v>2060</v>
      </c>
      <c r="D1703" s="135" t="s">
        <v>3267</v>
      </c>
      <c r="E1703" s="136"/>
      <c r="F1703" s="5" t="s">
        <v>3614</v>
      </c>
      <c r="G1703" s="18">
        <v>20</v>
      </c>
      <c r="H1703" s="18">
        <v>0</v>
      </c>
    </row>
    <row r="1704" spans="1:8" x14ac:dyDescent="0.2">
      <c r="A1704" s="5" t="s">
        <v>1112</v>
      </c>
      <c r="B1704" s="5" t="s">
        <v>3645</v>
      </c>
      <c r="C1704" s="5" t="s">
        <v>2061</v>
      </c>
      <c r="D1704" s="135" t="s">
        <v>3268</v>
      </c>
      <c r="E1704" s="136"/>
      <c r="F1704" s="5" t="s">
        <v>3614</v>
      </c>
      <c r="G1704" s="18">
        <v>32</v>
      </c>
      <c r="H1704" s="18">
        <v>0</v>
      </c>
    </row>
    <row r="1705" spans="1:8" x14ac:dyDescent="0.2">
      <c r="A1705" s="5" t="s">
        <v>1113</v>
      </c>
      <c r="B1705" s="5" t="s">
        <v>3645</v>
      </c>
      <c r="C1705" s="5" t="s">
        <v>2062</v>
      </c>
      <c r="D1705" s="135" t="s">
        <v>3269</v>
      </c>
      <c r="E1705" s="136"/>
      <c r="F1705" s="5" t="s">
        <v>3612</v>
      </c>
      <c r="G1705" s="18">
        <v>596</v>
      </c>
      <c r="H1705" s="18">
        <v>0</v>
      </c>
    </row>
    <row r="1706" spans="1:8" x14ac:dyDescent="0.2">
      <c r="A1706" s="5" t="s">
        <v>1114</v>
      </c>
      <c r="B1706" s="5" t="s">
        <v>3645</v>
      </c>
      <c r="C1706" s="5" t="s">
        <v>2063</v>
      </c>
      <c r="D1706" s="135" t="s">
        <v>3270</v>
      </c>
      <c r="E1706" s="136"/>
      <c r="F1706" s="5" t="s">
        <v>3622</v>
      </c>
      <c r="G1706" s="18">
        <v>134</v>
      </c>
      <c r="H1706" s="18">
        <v>0</v>
      </c>
    </row>
    <row r="1707" spans="1:8" x14ac:dyDescent="0.2">
      <c r="A1707" s="5" t="s">
        <v>1115</v>
      </c>
      <c r="B1707" s="5" t="s">
        <v>3645</v>
      </c>
      <c r="C1707" s="5" t="s">
        <v>2064</v>
      </c>
      <c r="D1707" s="135" t="s">
        <v>3271</v>
      </c>
      <c r="E1707" s="136"/>
      <c r="F1707" s="5" t="s">
        <v>3622</v>
      </c>
      <c r="G1707" s="18">
        <v>6</v>
      </c>
      <c r="H1707" s="18">
        <v>0</v>
      </c>
    </row>
    <row r="1708" spans="1:8" x14ac:dyDescent="0.2">
      <c r="A1708" s="5" t="s">
        <v>1116</v>
      </c>
      <c r="B1708" s="5" t="s">
        <v>3645</v>
      </c>
      <c r="C1708" s="5" t="s">
        <v>2065</v>
      </c>
      <c r="D1708" s="135" t="s">
        <v>3272</v>
      </c>
      <c r="E1708" s="136"/>
      <c r="F1708" s="5" t="s">
        <v>3622</v>
      </c>
      <c r="G1708" s="18">
        <v>240</v>
      </c>
      <c r="H1708" s="18">
        <v>0</v>
      </c>
    </row>
    <row r="1709" spans="1:8" x14ac:dyDescent="0.2">
      <c r="A1709" s="5" t="s">
        <v>1117</v>
      </c>
      <c r="B1709" s="5" t="s">
        <v>3645</v>
      </c>
      <c r="C1709" s="5" t="s">
        <v>2066</v>
      </c>
      <c r="D1709" s="135" t="s">
        <v>3273</v>
      </c>
      <c r="E1709" s="136"/>
      <c r="F1709" s="5" t="s">
        <v>3624</v>
      </c>
      <c r="G1709" s="18">
        <v>20</v>
      </c>
      <c r="H1709" s="18">
        <v>0</v>
      </c>
    </row>
    <row r="1710" spans="1:8" x14ac:dyDescent="0.2">
      <c r="A1710" s="5" t="s">
        <v>1118</v>
      </c>
      <c r="B1710" s="5" t="s">
        <v>3645</v>
      </c>
      <c r="C1710" s="5" t="s">
        <v>2067</v>
      </c>
      <c r="D1710" s="135" t="s">
        <v>3274</v>
      </c>
      <c r="E1710" s="136"/>
      <c r="F1710" s="5" t="s">
        <v>3612</v>
      </c>
      <c r="G1710" s="18">
        <v>84</v>
      </c>
      <c r="H1710" s="18">
        <v>0</v>
      </c>
    </row>
    <row r="1711" spans="1:8" x14ac:dyDescent="0.2">
      <c r="A1711" s="5" t="s">
        <v>1119</v>
      </c>
      <c r="B1711" s="5" t="s">
        <v>3645</v>
      </c>
      <c r="C1711" s="5" t="s">
        <v>1991</v>
      </c>
      <c r="D1711" s="135" t="s">
        <v>3199</v>
      </c>
      <c r="E1711" s="136"/>
      <c r="F1711" s="5" t="s">
        <v>3612</v>
      </c>
      <c r="G1711" s="18">
        <v>1</v>
      </c>
      <c r="H1711" s="18">
        <v>0</v>
      </c>
    </row>
    <row r="1712" spans="1:8" x14ac:dyDescent="0.2">
      <c r="A1712" s="5" t="s">
        <v>1120</v>
      </c>
      <c r="B1712" s="5" t="s">
        <v>3645</v>
      </c>
      <c r="C1712" s="5" t="s">
        <v>2068</v>
      </c>
      <c r="D1712" s="135" t="s">
        <v>3275</v>
      </c>
      <c r="E1712" s="136"/>
      <c r="F1712" s="5" t="s">
        <v>3623</v>
      </c>
      <c r="G1712" s="18">
        <v>1</v>
      </c>
      <c r="H1712" s="18">
        <v>0</v>
      </c>
    </row>
    <row r="1713" spans="1:8" x14ac:dyDescent="0.2">
      <c r="A1713" s="5" t="s">
        <v>1121</v>
      </c>
      <c r="B1713" s="5" t="s">
        <v>3645</v>
      </c>
      <c r="C1713" s="5" t="s">
        <v>2069</v>
      </c>
      <c r="D1713" s="135" t="s">
        <v>3276</v>
      </c>
      <c r="E1713" s="136"/>
      <c r="F1713" s="5" t="s">
        <v>3612</v>
      </c>
      <c r="G1713" s="18">
        <v>40</v>
      </c>
      <c r="H1713" s="18">
        <v>0</v>
      </c>
    </row>
    <row r="1714" spans="1:8" x14ac:dyDescent="0.2">
      <c r="A1714" s="5" t="s">
        <v>1122</v>
      </c>
      <c r="B1714" s="5" t="s">
        <v>3645</v>
      </c>
      <c r="C1714" s="5" t="s">
        <v>2070</v>
      </c>
      <c r="D1714" s="135" t="s">
        <v>3277</v>
      </c>
      <c r="E1714" s="136"/>
      <c r="F1714" s="5" t="s">
        <v>3612</v>
      </c>
      <c r="G1714" s="18">
        <v>29</v>
      </c>
      <c r="H1714" s="18">
        <v>0</v>
      </c>
    </row>
    <row r="1715" spans="1:8" x14ac:dyDescent="0.2">
      <c r="A1715" s="5" t="s">
        <v>1123</v>
      </c>
      <c r="B1715" s="5" t="s">
        <v>3645</v>
      </c>
      <c r="C1715" s="5" t="s">
        <v>2071</v>
      </c>
      <c r="D1715" s="135" t="s">
        <v>3278</v>
      </c>
      <c r="E1715" s="136"/>
      <c r="F1715" s="5" t="s">
        <v>3612</v>
      </c>
      <c r="G1715" s="18">
        <v>11</v>
      </c>
      <c r="H1715" s="18">
        <v>0</v>
      </c>
    </row>
    <row r="1716" spans="1:8" x14ac:dyDescent="0.2">
      <c r="A1716" s="5" t="s">
        <v>1124</v>
      </c>
      <c r="B1716" s="5" t="s">
        <v>3645</v>
      </c>
      <c r="C1716" s="5" t="s">
        <v>2072</v>
      </c>
      <c r="D1716" s="135" t="s">
        <v>3279</v>
      </c>
      <c r="E1716" s="136"/>
      <c r="F1716" s="5" t="s">
        <v>3612</v>
      </c>
      <c r="G1716" s="18">
        <v>38</v>
      </c>
      <c r="H1716" s="18">
        <v>0</v>
      </c>
    </row>
    <row r="1717" spans="1:8" x14ac:dyDescent="0.2">
      <c r="A1717" s="5" t="s">
        <v>1125</v>
      </c>
      <c r="B1717" s="5" t="s">
        <v>3645</v>
      </c>
      <c r="C1717" s="5" t="s">
        <v>2073</v>
      </c>
      <c r="D1717" s="135" t="s">
        <v>3280</v>
      </c>
      <c r="E1717" s="136"/>
      <c r="F1717" s="5" t="s">
        <v>3612</v>
      </c>
      <c r="G1717" s="18">
        <v>38</v>
      </c>
      <c r="H1717" s="18">
        <v>0</v>
      </c>
    </row>
    <row r="1718" spans="1:8" x14ac:dyDescent="0.2">
      <c r="A1718" s="5" t="s">
        <v>1126</v>
      </c>
      <c r="B1718" s="5" t="s">
        <v>3645</v>
      </c>
      <c r="C1718" s="5" t="s">
        <v>2074</v>
      </c>
      <c r="D1718" s="135" t="s">
        <v>3281</v>
      </c>
      <c r="E1718" s="136"/>
      <c r="F1718" s="5" t="s">
        <v>3612</v>
      </c>
      <c r="G1718" s="18">
        <v>36</v>
      </c>
      <c r="H1718" s="18">
        <v>0</v>
      </c>
    </row>
    <row r="1719" spans="1:8" x14ac:dyDescent="0.2">
      <c r="A1719" s="5" t="s">
        <v>1127</v>
      </c>
      <c r="B1719" s="5" t="s">
        <v>3645</v>
      </c>
      <c r="C1719" s="5" t="s">
        <v>2075</v>
      </c>
      <c r="D1719" s="135" t="s">
        <v>3282</v>
      </c>
      <c r="E1719" s="136"/>
      <c r="F1719" s="5" t="s">
        <v>3612</v>
      </c>
      <c r="G1719" s="18">
        <v>20</v>
      </c>
      <c r="H1719" s="18">
        <v>0</v>
      </c>
    </row>
    <row r="1720" spans="1:8" x14ac:dyDescent="0.2">
      <c r="A1720" s="5" t="s">
        <v>1128</v>
      </c>
      <c r="B1720" s="5" t="s">
        <v>3645</v>
      </c>
      <c r="C1720" s="5" t="s">
        <v>2076</v>
      </c>
      <c r="D1720" s="135" t="s">
        <v>3283</v>
      </c>
      <c r="E1720" s="136"/>
      <c r="F1720" s="5" t="s">
        <v>3612</v>
      </c>
      <c r="G1720" s="18">
        <v>16</v>
      </c>
      <c r="H1720" s="18">
        <v>0</v>
      </c>
    </row>
    <row r="1721" spans="1:8" x14ac:dyDescent="0.2">
      <c r="A1721" s="5" t="s">
        <v>1129</v>
      </c>
      <c r="B1721" s="5" t="s">
        <v>3645</v>
      </c>
      <c r="C1721" s="5" t="s">
        <v>2077</v>
      </c>
      <c r="D1721" s="135" t="s">
        <v>3284</v>
      </c>
      <c r="E1721" s="136"/>
      <c r="F1721" s="5" t="s">
        <v>3612</v>
      </c>
      <c r="G1721" s="18">
        <v>4</v>
      </c>
      <c r="H1721" s="18">
        <v>0</v>
      </c>
    </row>
    <row r="1722" spans="1:8" x14ac:dyDescent="0.2">
      <c r="A1722" s="5" t="s">
        <v>1130</v>
      </c>
      <c r="B1722" s="5" t="s">
        <v>3645</v>
      </c>
      <c r="C1722" s="5" t="s">
        <v>2078</v>
      </c>
      <c r="D1722" s="135" t="s">
        <v>3285</v>
      </c>
      <c r="E1722" s="136"/>
      <c r="F1722" s="5" t="s">
        <v>3612</v>
      </c>
      <c r="G1722" s="18">
        <v>10</v>
      </c>
      <c r="H1722" s="18">
        <v>0</v>
      </c>
    </row>
    <row r="1723" spans="1:8" x14ac:dyDescent="0.2">
      <c r="A1723" s="5" t="s">
        <v>1131</v>
      </c>
      <c r="B1723" s="5" t="s">
        <v>3645</v>
      </c>
      <c r="C1723" s="5" t="s">
        <v>2079</v>
      </c>
      <c r="D1723" s="135" t="s">
        <v>3286</v>
      </c>
      <c r="E1723" s="136"/>
      <c r="F1723" s="5" t="s">
        <v>3612</v>
      </c>
      <c r="G1723" s="18">
        <v>8</v>
      </c>
      <c r="H1723" s="18">
        <v>0</v>
      </c>
    </row>
    <row r="1724" spans="1:8" x14ac:dyDescent="0.2">
      <c r="A1724" s="5" t="s">
        <v>1132</v>
      </c>
      <c r="B1724" s="5" t="s">
        <v>3645</v>
      </c>
      <c r="C1724" s="5" t="s">
        <v>2080</v>
      </c>
      <c r="D1724" s="135" t="s">
        <v>3287</v>
      </c>
      <c r="E1724" s="136"/>
      <c r="F1724" s="5" t="s">
        <v>3612</v>
      </c>
      <c r="G1724" s="18">
        <v>5</v>
      </c>
      <c r="H1724" s="18">
        <v>0</v>
      </c>
    </row>
    <row r="1725" spans="1:8" x14ac:dyDescent="0.2">
      <c r="A1725" s="5" t="s">
        <v>1133</v>
      </c>
      <c r="B1725" s="5" t="s">
        <v>3645</v>
      </c>
      <c r="C1725" s="5" t="s">
        <v>2081</v>
      </c>
      <c r="D1725" s="135" t="s">
        <v>3288</v>
      </c>
      <c r="E1725" s="136"/>
      <c r="F1725" s="5" t="s">
        <v>3612</v>
      </c>
      <c r="G1725" s="18">
        <v>4</v>
      </c>
      <c r="H1725" s="18">
        <v>0</v>
      </c>
    </row>
    <row r="1726" spans="1:8" x14ac:dyDescent="0.2">
      <c r="A1726" s="5" t="s">
        <v>1134</v>
      </c>
      <c r="B1726" s="5" t="s">
        <v>3645</v>
      </c>
      <c r="C1726" s="5" t="s">
        <v>2082</v>
      </c>
      <c r="D1726" s="135" t="s">
        <v>3289</v>
      </c>
      <c r="E1726" s="136"/>
      <c r="F1726" s="5" t="s">
        <v>3612</v>
      </c>
      <c r="G1726" s="18">
        <v>1</v>
      </c>
      <c r="H1726" s="18">
        <v>0</v>
      </c>
    </row>
    <row r="1727" spans="1:8" x14ac:dyDescent="0.2">
      <c r="A1727" s="5" t="s">
        <v>1135</v>
      </c>
      <c r="B1727" s="5" t="s">
        <v>3645</v>
      </c>
      <c r="C1727" s="5" t="s">
        <v>2083</v>
      </c>
      <c r="D1727" s="135" t="s">
        <v>3290</v>
      </c>
      <c r="E1727" s="136"/>
      <c r="F1727" s="5" t="s">
        <v>3612</v>
      </c>
      <c r="G1727" s="18">
        <v>18</v>
      </c>
      <c r="H1727" s="18">
        <v>0</v>
      </c>
    </row>
    <row r="1728" spans="1:8" x14ac:dyDescent="0.2">
      <c r="A1728" s="5" t="s">
        <v>1136</v>
      </c>
      <c r="B1728" s="5" t="s">
        <v>3645</v>
      </c>
      <c r="C1728" s="5" t="s">
        <v>2084</v>
      </c>
      <c r="D1728" s="135" t="s">
        <v>3291</v>
      </c>
      <c r="E1728" s="136"/>
      <c r="F1728" s="5" t="s">
        <v>3612</v>
      </c>
      <c r="G1728" s="18">
        <v>18</v>
      </c>
      <c r="H1728" s="18">
        <v>0</v>
      </c>
    </row>
    <row r="1729" spans="1:8" x14ac:dyDescent="0.2">
      <c r="A1729" s="5" t="s">
        <v>1137</v>
      </c>
      <c r="B1729" s="5" t="s">
        <v>3645</v>
      </c>
      <c r="C1729" s="5" t="s">
        <v>2085</v>
      </c>
      <c r="D1729" s="135" t="s">
        <v>3292</v>
      </c>
      <c r="E1729" s="136"/>
      <c r="F1729" s="5" t="s">
        <v>3612</v>
      </c>
      <c r="G1729" s="18">
        <v>90</v>
      </c>
      <c r="H1729" s="18">
        <v>0</v>
      </c>
    </row>
    <row r="1730" spans="1:8" x14ac:dyDescent="0.2">
      <c r="A1730" s="5" t="s">
        <v>1138</v>
      </c>
      <c r="B1730" s="5" t="s">
        <v>3645</v>
      </c>
      <c r="C1730" s="5" t="s">
        <v>2086</v>
      </c>
      <c r="D1730" s="135" t="s">
        <v>3293</v>
      </c>
      <c r="E1730" s="136"/>
      <c r="F1730" s="5" t="s">
        <v>3612</v>
      </c>
      <c r="G1730" s="18">
        <v>29</v>
      </c>
      <c r="H1730" s="18">
        <v>0</v>
      </c>
    </row>
    <row r="1731" spans="1:8" x14ac:dyDescent="0.2">
      <c r="A1731" s="5" t="s">
        <v>1139</v>
      </c>
      <c r="B1731" s="5" t="s">
        <v>3645</v>
      </c>
      <c r="C1731" s="5" t="s">
        <v>2087</v>
      </c>
      <c r="D1731" s="135" t="s">
        <v>3294</v>
      </c>
      <c r="E1731" s="136"/>
      <c r="F1731" s="5" t="s">
        <v>3612</v>
      </c>
      <c r="G1731" s="18">
        <v>34</v>
      </c>
      <c r="H1731" s="18">
        <v>0</v>
      </c>
    </row>
    <row r="1732" spans="1:8" x14ac:dyDescent="0.2">
      <c r="A1732" s="5" t="s">
        <v>1140</v>
      </c>
      <c r="B1732" s="5" t="s">
        <v>3645</v>
      </c>
      <c r="C1732" s="5" t="s">
        <v>2088</v>
      </c>
      <c r="D1732" s="135" t="s">
        <v>3295</v>
      </c>
      <c r="E1732" s="136"/>
      <c r="F1732" s="5" t="s">
        <v>3612</v>
      </c>
      <c r="G1732" s="18">
        <v>26</v>
      </c>
      <c r="H1732" s="18">
        <v>0</v>
      </c>
    </row>
    <row r="1733" spans="1:8" x14ac:dyDescent="0.2">
      <c r="A1733" s="5" t="s">
        <v>1141</v>
      </c>
      <c r="B1733" s="5" t="s">
        <v>3645</v>
      </c>
      <c r="C1733" s="5" t="s">
        <v>2089</v>
      </c>
      <c r="D1733" s="135" t="s">
        <v>3296</v>
      </c>
      <c r="E1733" s="136"/>
      <c r="F1733" s="5" t="s">
        <v>3612</v>
      </c>
      <c r="G1733" s="18">
        <v>1</v>
      </c>
      <c r="H1733" s="18">
        <v>0</v>
      </c>
    </row>
    <row r="1734" spans="1:8" x14ac:dyDescent="0.2">
      <c r="A1734" s="5" t="s">
        <v>1142</v>
      </c>
      <c r="B1734" s="5" t="s">
        <v>3645</v>
      </c>
      <c r="C1734" s="5" t="s">
        <v>2090</v>
      </c>
      <c r="D1734" s="135" t="s">
        <v>3297</v>
      </c>
      <c r="E1734" s="136"/>
      <c r="F1734" s="5" t="s">
        <v>3612</v>
      </c>
      <c r="G1734" s="18">
        <v>2</v>
      </c>
      <c r="H1734" s="18">
        <v>0</v>
      </c>
    </row>
    <row r="1735" spans="1:8" x14ac:dyDescent="0.2">
      <c r="A1735" s="5" t="s">
        <v>1143</v>
      </c>
      <c r="B1735" s="5" t="s">
        <v>3645</v>
      </c>
      <c r="C1735" s="5" t="s">
        <v>2091</v>
      </c>
      <c r="D1735" s="135" t="s">
        <v>3298</v>
      </c>
      <c r="E1735" s="136"/>
      <c r="F1735" s="5" t="s">
        <v>3612</v>
      </c>
      <c r="G1735" s="18">
        <v>2</v>
      </c>
      <c r="H1735" s="18">
        <v>0</v>
      </c>
    </row>
    <row r="1736" spans="1:8" x14ac:dyDescent="0.2">
      <c r="A1736" s="5" t="s">
        <v>1144</v>
      </c>
      <c r="B1736" s="5" t="s">
        <v>3645</v>
      </c>
      <c r="C1736" s="5" t="s">
        <v>2092</v>
      </c>
      <c r="D1736" s="135" t="s">
        <v>3299</v>
      </c>
      <c r="E1736" s="136"/>
      <c r="F1736" s="5" t="s">
        <v>3612</v>
      </c>
      <c r="G1736" s="18">
        <v>5</v>
      </c>
      <c r="H1736" s="18">
        <v>0</v>
      </c>
    </row>
    <row r="1737" spans="1:8" x14ac:dyDescent="0.2">
      <c r="A1737" s="5" t="s">
        <v>1145</v>
      </c>
      <c r="B1737" s="5" t="s">
        <v>3645</v>
      </c>
      <c r="C1737" s="5" t="s">
        <v>2093</v>
      </c>
      <c r="D1737" s="135" t="s">
        <v>3300</v>
      </c>
      <c r="E1737" s="136"/>
      <c r="F1737" s="5" t="s">
        <v>3612</v>
      </c>
      <c r="G1737" s="18">
        <v>5</v>
      </c>
      <c r="H1737" s="18">
        <v>0</v>
      </c>
    </row>
    <row r="1738" spans="1:8" x14ac:dyDescent="0.2">
      <c r="A1738" s="5" t="s">
        <v>1146</v>
      </c>
      <c r="B1738" s="5" t="s">
        <v>3645</v>
      </c>
      <c r="C1738" s="5" t="s">
        <v>2094</v>
      </c>
      <c r="D1738" s="135" t="s">
        <v>3301</v>
      </c>
      <c r="E1738" s="136"/>
      <c r="F1738" s="5" t="s">
        <v>3612</v>
      </c>
      <c r="G1738" s="18">
        <v>2</v>
      </c>
      <c r="H1738" s="18">
        <v>0</v>
      </c>
    </row>
    <row r="1739" spans="1:8" x14ac:dyDescent="0.2">
      <c r="A1739" s="5" t="s">
        <v>1147</v>
      </c>
      <c r="B1739" s="5" t="s">
        <v>3645</v>
      </c>
      <c r="C1739" s="5" t="s">
        <v>2095</v>
      </c>
      <c r="D1739" s="135" t="s">
        <v>3302</v>
      </c>
      <c r="E1739" s="136"/>
      <c r="F1739" s="5" t="s">
        <v>3612</v>
      </c>
      <c r="G1739" s="18">
        <v>2</v>
      </c>
      <c r="H1739" s="18">
        <v>0</v>
      </c>
    </row>
    <row r="1740" spans="1:8" x14ac:dyDescent="0.2">
      <c r="A1740" s="5" t="s">
        <v>1148</v>
      </c>
      <c r="B1740" s="5" t="s">
        <v>3645</v>
      </c>
      <c r="C1740" s="5" t="s">
        <v>2096</v>
      </c>
      <c r="D1740" s="135" t="s">
        <v>3303</v>
      </c>
      <c r="E1740" s="136"/>
      <c r="F1740" s="5" t="s">
        <v>3612</v>
      </c>
      <c r="G1740" s="18">
        <v>4</v>
      </c>
      <c r="H1740" s="18">
        <v>0</v>
      </c>
    </row>
    <row r="1741" spans="1:8" x14ac:dyDescent="0.2">
      <c r="A1741" s="5" t="s">
        <v>1149</v>
      </c>
      <c r="B1741" s="5" t="s">
        <v>3645</v>
      </c>
      <c r="C1741" s="5" t="s">
        <v>2097</v>
      </c>
      <c r="D1741" s="135" t="s">
        <v>3303</v>
      </c>
      <c r="E1741" s="136"/>
      <c r="F1741" s="5" t="s">
        <v>3612</v>
      </c>
      <c r="G1741" s="18">
        <v>4</v>
      </c>
      <c r="H1741" s="18">
        <v>0</v>
      </c>
    </row>
    <row r="1742" spans="1:8" x14ac:dyDescent="0.2">
      <c r="A1742" s="5" t="s">
        <v>1150</v>
      </c>
      <c r="B1742" s="5" t="s">
        <v>3645</v>
      </c>
      <c r="C1742" s="5" t="s">
        <v>2098</v>
      </c>
      <c r="D1742" s="135" t="s">
        <v>3304</v>
      </c>
      <c r="E1742" s="136"/>
      <c r="F1742" s="5" t="s">
        <v>3612</v>
      </c>
      <c r="G1742" s="18">
        <v>4</v>
      </c>
      <c r="H1742" s="18">
        <v>0</v>
      </c>
    </row>
    <row r="1743" spans="1:8" x14ac:dyDescent="0.2">
      <c r="A1743" s="5" t="s">
        <v>1151</v>
      </c>
      <c r="B1743" s="5" t="s">
        <v>3645</v>
      </c>
      <c r="C1743" s="5" t="s">
        <v>2099</v>
      </c>
      <c r="D1743" s="135" t="s">
        <v>3305</v>
      </c>
      <c r="E1743" s="136"/>
      <c r="F1743" s="5" t="s">
        <v>3612</v>
      </c>
      <c r="G1743" s="18">
        <v>4</v>
      </c>
      <c r="H1743" s="18">
        <v>0</v>
      </c>
    </row>
    <row r="1744" spans="1:8" x14ac:dyDescent="0.2">
      <c r="A1744" s="5" t="s">
        <v>1152</v>
      </c>
      <c r="B1744" s="5" t="s">
        <v>3645</v>
      </c>
      <c r="C1744" s="5" t="s">
        <v>2100</v>
      </c>
      <c r="D1744" s="135" t="s">
        <v>3306</v>
      </c>
      <c r="E1744" s="136"/>
      <c r="F1744" s="5" t="s">
        <v>3612</v>
      </c>
      <c r="G1744" s="18">
        <v>1</v>
      </c>
      <c r="H1744" s="18">
        <v>0</v>
      </c>
    </row>
    <row r="1745" spans="1:8" x14ac:dyDescent="0.2">
      <c r="A1745" s="5" t="s">
        <v>1153</v>
      </c>
      <c r="B1745" s="5" t="s">
        <v>3645</v>
      </c>
      <c r="C1745" s="5" t="s">
        <v>2101</v>
      </c>
      <c r="D1745" s="135" t="s">
        <v>3306</v>
      </c>
      <c r="E1745" s="136"/>
      <c r="F1745" s="5" t="s">
        <v>3612</v>
      </c>
      <c r="G1745" s="18">
        <v>1</v>
      </c>
      <c r="H1745" s="18">
        <v>0</v>
      </c>
    </row>
    <row r="1746" spans="1:8" x14ac:dyDescent="0.2">
      <c r="A1746" s="5" t="s">
        <v>1154</v>
      </c>
      <c r="B1746" s="5" t="s">
        <v>3645</v>
      </c>
      <c r="C1746" s="5" t="s">
        <v>2102</v>
      </c>
      <c r="D1746" s="135" t="s">
        <v>3307</v>
      </c>
      <c r="E1746" s="136"/>
      <c r="F1746" s="5" t="s">
        <v>3612</v>
      </c>
      <c r="G1746" s="18">
        <v>1</v>
      </c>
      <c r="H1746" s="18">
        <v>0</v>
      </c>
    </row>
    <row r="1747" spans="1:8" x14ac:dyDescent="0.2">
      <c r="A1747" s="5" t="s">
        <v>1155</v>
      </c>
      <c r="B1747" s="5" t="s">
        <v>3645</v>
      </c>
      <c r="C1747" s="5" t="s">
        <v>2103</v>
      </c>
      <c r="D1747" s="135" t="s">
        <v>3308</v>
      </c>
      <c r="E1747" s="136"/>
      <c r="F1747" s="5" t="s">
        <v>3612</v>
      </c>
      <c r="G1747" s="18">
        <v>1</v>
      </c>
      <c r="H1747" s="18">
        <v>0</v>
      </c>
    </row>
    <row r="1748" spans="1:8" x14ac:dyDescent="0.2">
      <c r="A1748" s="5" t="s">
        <v>1156</v>
      </c>
      <c r="B1748" s="5" t="s">
        <v>3645</v>
      </c>
      <c r="C1748" s="5" t="s">
        <v>2104</v>
      </c>
      <c r="D1748" s="135" t="s">
        <v>3309</v>
      </c>
      <c r="E1748" s="136"/>
      <c r="F1748" s="5" t="s">
        <v>3612</v>
      </c>
      <c r="G1748" s="18">
        <v>1</v>
      </c>
      <c r="H1748" s="18">
        <v>0</v>
      </c>
    </row>
    <row r="1749" spans="1:8" x14ac:dyDescent="0.2">
      <c r="A1749" s="5" t="s">
        <v>1157</v>
      </c>
      <c r="B1749" s="5" t="s">
        <v>3645</v>
      </c>
      <c r="C1749" s="5" t="s">
        <v>2105</v>
      </c>
      <c r="D1749" s="135" t="s">
        <v>3310</v>
      </c>
      <c r="E1749" s="136"/>
      <c r="F1749" s="5" t="s">
        <v>3612</v>
      </c>
      <c r="G1749" s="18">
        <v>1</v>
      </c>
      <c r="H1749" s="18">
        <v>0</v>
      </c>
    </row>
    <row r="1750" spans="1:8" x14ac:dyDescent="0.2">
      <c r="A1750" s="5" t="s">
        <v>1158</v>
      </c>
      <c r="B1750" s="5" t="s">
        <v>3645</v>
      </c>
      <c r="C1750" s="5" t="s">
        <v>2106</v>
      </c>
      <c r="D1750" s="135" t="s">
        <v>3311</v>
      </c>
      <c r="E1750" s="136"/>
      <c r="F1750" s="5" t="s">
        <v>3612</v>
      </c>
      <c r="G1750" s="18">
        <v>4</v>
      </c>
      <c r="H1750" s="18">
        <v>0</v>
      </c>
    </row>
    <row r="1751" spans="1:8" x14ac:dyDescent="0.2">
      <c r="A1751" s="5" t="s">
        <v>1159</v>
      </c>
      <c r="B1751" s="5" t="s">
        <v>3645</v>
      </c>
      <c r="C1751" s="5" t="s">
        <v>2107</v>
      </c>
      <c r="D1751" s="135" t="s">
        <v>3312</v>
      </c>
      <c r="E1751" s="136"/>
      <c r="F1751" s="5" t="s">
        <v>3612</v>
      </c>
      <c r="G1751" s="18">
        <v>4</v>
      </c>
      <c r="H1751" s="18">
        <v>0</v>
      </c>
    </row>
    <row r="1752" spans="1:8" x14ac:dyDescent="0.2">
      <c r="A1752" s="5" t="s">
        <v>1160</v>
      </c>
      <c r="B1752" s="5" t="s">
        <v>3645</v>
      </c>
      <c r="C1752" s="5" t="s">
        <v>2108</v>
      </c>
      <c r="D1752" s="135" t="s">
        <v>3313</v>
      </c>
      <c r="E1752" s="136"/>
      <c r="F1752" s="5" t="s">
        <v>3612</v>
      </c>
      <c r="G1752" s="18">
        <v>12</v>
      </c>
      <c r="H1752" s="18">
        <v>0</v>
      </c>
    </row>
    <row r="1753" spans="1:8" x14ac:dyDescent="0.2">
      <c r="A1753" s="5" t="s">
        <v>1161</v>
      </c>
      <c r="B1753" s="5" t="s">
        <v>3645</v>
      </c>
      <c r="C1753" s="5" t="s">
        <v>2109</v>
      </c>
      <c r="D1753" s="135" t="s">
        <v>3314</v>
      </c>
      <c r="E1753" s="136"/>
      <c r="F1753" s="5" t="s">
        <v>3612</v>
      </c>
      <c r="G1753" s="18">
        <v>8</v>
      </c>
      <c r="H1753" s="18">
        <v>0</v>
      </c>
    </row>
    <row r="1754" spans="1:8" x14ac:dyDescent="0.2">
      <c r="A1754" s="5" t="s">
        <v>1162</v>
      </c>
      <c r="B1754" s="5" t="s">
        <v>3645</v>
      </c>
      <c r="C1754" s="5" t="s">
        <v>2110</v>
      </c>
      <c r="D1754" s="135" t="s">
        <v>3315</v>
      </c>
      <c r="E1754" s="136"/>
      <c r="F1754" s="5" t="s">
        <v>3612</v>
      </c>
      <c r="G1754" s="18">
        <v>4</v>
      </c>
      <c r="H1754" s="18">
        <v>0</v>
      </c>
    </row>
    <row r="1755" spans="1:8" x14ac:dyDescent="0.2">
      <c r="A1755" s="5" t="s">
        <v>1163</v>
      </c>
      <c r="B1755" s="5" t="s">
        <v>3645</v>
      </c>
      <c r="C1755" s="5" t="s">
        <v>2111</v>
      </c>
      <c r="D1755" s="135" t="s">
        <v>3316</v>
      </c>
      <c r="E1755" s="136"/>
      <c r="F1755" s="5" t="s">
        <v>3612</v>
      </c>
      <c r="G1755" s="18">
        <v>4</v>
      </c>
      <c r="H1755" s="18">
        <v>0</v>
      </c>
    </row>
    <row r="1756" spans="1:8" x14ac:dyDescent="0.2">
      <c r="A1756" s="5" t="s">
        <v>1164</v>
      </c>
      <c r="B1756" s="5" t="s">
        <v>3645</v>
      </c>
      <c r="C1756" s="5" t="s">
        <v>2112</v>
      </c>
      <c r="D1756" s="135" t="s">
        <v>3316</v>
      </c>
      <c r="E1756" s="136"/>
      <c r="F1756" s="5" t="s">
        <v>3612</v>
      </c>
      <c r="G1756" s="18">
        <v>4</v>
      </c>
      <c r="H1756" s="18">
        <v>0</v>
      </c>
    </row>
    <row r="1757" spans="1:8" x14ac:dyDescent="0.2">
      <c r="A1757" s="5" t="s">
        <v>1165</v>
      </c>
      <c r="B1757" s="5" t="s">
        <v>3645</v>
      </c>
      <c r="C1757" s="5" t="s">
        <v>2113</v>
      </c>
      <c r="D1757" s="135" t="s">
        <v>3317</v>
      </c>
      <c r="E1757" s="136"/>
      <c r="F1757" s="5" t="s">
        <v>3612</v>
      </c>
      <c r="G1757" s="18">
        <v>4</v>
      </c>
      <c r="H1757" s="18">
        <v>0</v>
      </c>
    </row>
    <row r="1758" spans="1:8" x14ac:dyDescent="0.2">
      <c r="A1758" s="5" t="s">
        <v>1166</v>
      </c>
      <c r="B1758" s="5" t="s">
        <v>3645</v>
      </c>
      <c r="C1758" s="5" t="s">
        <v>2114</v>
      </c>
      <c r="D1758" s="135" t="s">
        <v>3318</v>
      </c>
      <c r="E1758" s="136"/>
      <c r="F1758" s="5" t="s">
        <v>3612</v>
      </c>
      <c r="G1758" s="18">
        <v>4</v>
      </c>
      <c r="H1758" s="18">
        <v>0</v>
      </c>
    </row>
    <row r="1759" spans="1:8" x14ac:dyDescent="0.2">
      <c r="A1759" s="5" t="s">
        <v>1167</v>
      </c>
      <c r="B1759" s="5" t="s">
        <v>3645</v>
      </c>
      <c r="C1759" s="5" t="s">
        <v>2115</v>
      </c>
      <c r="D1759" s="135" t="s">
        <v>3319</v>
      </c>
      <c r="E1759" s="136"/>
      <c r="F1759" s="5" t="s">
        <v>3612</v>
      </c>
      <c r="G1759" s="18">
        <v>2</v>
      </c>
      <c r="H1759" s="18">
        <v>0</v>
      </c>
    </row>
    <row r="1760" spans="1:8" x14ac:dyDescent="0.2">
      <c r="A1760" s="5" t="s">
        <v>1168</v>
      </c>
      <c r="B1760" s="5" t="s">
        <v>3645</v>
      </c>
      <c r="C1760" s="5" t="s">
        <v>2116</v>
      </c>
      <c r="D1760" s="135" t="s">
        <v>3320</v>
      </c>
      <c r="E1760" s="136"/>
      <c r="F1760" s="5" t="s">
        <v>3612</v>
      </c>
      <c r="G1760" s="18">
        <v>2</v>
      </c>
      <c r="H1760" s="18">
        <v>0</v>
      </c>
    </row>
    <row r="1761" spans="1:8" x14ac:dyDescent="0.2">
      <c r="A1761" s="5" t="s">
        <v>1169</v>
      </c>
      <c r="B1761" s="5" t="s">
        <v>3645</v>
      </c>
      <c r="C1761" s="5" t="s">
        <v>2113</v>
      </c>
      <c r="D1761" s="135" t="s">
        <v>3321</v>
      </c>
      <c r="E1761" s="136"/>
      <c r="F1761" s="5" t="s">
        <v>3612</v>
      </c>
      <c r="G1761" s="18">
        <v>7</v>
      </c>
      <c r="H1761" s="18">
        <v>0</v>
      </c>
    </row>
    <row r="1762" spans="1:8" x14ac:dyDescent="0.2">
      <c r="A1762" s="5" t="s">
        <v>1170</v>
      </c>
      <c r="B1762" s="5" t="s">
        <v>3645</v>
      </c>
      <c r="C1762" s="5" t="s">
        <v>2117</v>
      </c>
      <c r="D1762" s="135" t="s">
        <v>3322</v>
      </c>
      <c r="E1762" s="136"/>
      <c r="F1762" s="5" t="s">
        <v>3612</v>
      </c>
      <c r="G1762" s="18">
        <v>7</v>
      </c>
      <c r="H1762" s="18">
        <v>0</v>
      </c>
    </row>
    <row r="1763" spans="1:8" x14ac:dyDescent="0.2">
      <c r="A1763" s="5" t="s">
        <v>1171</v>
      </c>
      <c r="B1763" s="5" t="s">
        <v>3645</v>
      </c>
      <c r="C1763" s="5" t="s">
        <v>2118</v>
      </c>
      <c r="D1763" s="135" t="s">
        <v>3323</v>
      </c>
      <c r="E1763" s="136"/>
      <c r="F1763" s="5" t="s">
        <v>3612</v>
      </c>
      <c r="G1763" s="18">
        <v>3</v>
      </c>
      <c r="H1763" s="18">
        <v>0</v>
      </c>
    </row>
    <row r="1764" spans="1:8" x14ac:dyDescent="0.2">
      <c r="A1764" s="5" t="s">
        <v>1172</v>
      </c>
      <c r="B1764" s="5" t="s">
        <v>3645</v>
      </c>
      <c r="C1764" s="5" t="s">
        <v>2119</v>
      </c>
      <c r="D1764" s="135" t="s">
        <v>3324</v>
      </c>
      <c r="E1764" s="136"/>
      <c r="F1764" s="5" t="s">
        <v>3612</v>
      </c>
      <c r="G1764" s="18">
        <v>3</v>
      </c>
      <c r="H1764" s="18">
        <v>0</v>
      </c>
    </row>
    <row r="1765" spans="1:8" x14ac:dyDescent="0.2">
      <c r="A1765" s="5" t="s">
        <v>1173</v>
      </c>
      <c r="B1765" s="5" t="s">
        <v>3645</v>
      </c>
      <c r="C1765" s="5" t="s">
        <v>2120</v>
      </c>
      <c r="D1765" s="135" t="s">
        <v>3325</v>
      </c>
      <c r="E1765" s="136"/>
      <c r="F1765" s="5" t="s">
        <v>3612</v>
      </c>
      <c r="G1765" s="18">
        <v>2</v>
      </c>
      <c r="H1765" s="18">
        <v>0</v>
      </c>
    </row>
    <row r="1766" spans="1:8" x14ac:dyDescent="0.2">
      <c r="A1766" s="5" t="s">
        <v>1174</v>
      </c>
      <c r="B1766" s="5" t="s">
        <v>3645</v>
      </c>
      <c r="C1766" s="5" t="s">
        <v>2121</v>
      </c>
      <c r="D1766" s="135" t="s">
        <v>3326</v>
      </c>
      <c r="E1766" s="136"/>
      <c r="F1766" s="5" t="s">
        <v>3612</v>
      </c>
      <c r="G1766" s="18">
        <v>2</v>
      </c>
      <c r="H1766" s="18">
        <v>0</v>
      </c>
    </row>
    <row r="1767" spans="1:8" x14ac:dyDescent="0.2">
      <c r="A1767" s="5" t="s">
        <v>1175</v>
      </c>
      <c r="B1767" s="5" t="s">
        <v>3645</v>
      </c>
      <c r="C1767" s="5" t="s">
        <v>2122</v>
      </c>
      <c r="D1767" s="135" t="s">
        <v>3327</v>
      </c>
      <c r="E1767" s="136"/>
      <c r="F1767" s="5" t="s">
        <v>3612</v>
      </c>
      <c r="G1767" s="18">
        <v>5</v>
      </c>
      <c r="H1767" s="18">
        <v>0</v>
      </c>
    </row>
    <row r="1768" spans="1:8" x14ac:dyDescent="0.2">
      <c r="A1768" s="5" t="s">
        <v>1176</v>
      </c>
      <c r="B1768" s="5" t="s">
        <v>3645</v>
      </c>
      <c r="C1768" s="5" t="s">
        <v>2123</v>
      </c>
      <c r="D1768" s="135" t="s">
        <v>3328</v>
      </c>
      <c r="E1768" s="136"/>
      <c r="F1768" s="5" t="s">
        <v>3612</v>
      </c>
      <c r="G1768" s="18">
        <v>5</v>
      </c>
      <c r="H1768" s="18">
        <v>0</v>
      </c>
    </row>
    <row r="1769" spans="1:8" x14ac:dyDescent="0.2">
      <c r="A1769" s="5" t="s">
        <v>1177</v>
      </c>
      <c r="B1769" s="5" t="s">
        <v>3645</v>
      </c>
      <c r="C1769" s="5" t="s">
        <v>2124</v>
      </c>
      <c r="D1769" s="135" t="s">
        <v>3329</v>
      </c>
      <c r="E1769" s="136"/>
      <c r="F1769" s="5" t="s">
        <v>3612</v>
      </c>
      <c r="G1769" s="18">
        <v>7</v>
      </c>
      <c r="H1769" s="18">
        <v>0</v>
      </c>
    </row>
    <row r="1770" spans="1:8" x14ac:dyDescent="0.2">
      <c r="A1770" s="5" t="s">
        <v>1178</v>
      </c>
      <c r="B1770" s="5" t="s">
        <v>3645</v>
      </c>
      <c r="C1770" s="5" t="s">
        <v>2125</v>
      </c>
      <c r="D1770" s="135" t="s">
        <v>3329</v>
      </c>
      <c r="E1770" s="136"/>
      <c r="F1770" s="5" t="s">
        <v>3612</v>
      </c>
      <c r="G1770" s="18">
        <v>7</v>
      </c>
      <c r="H1770" s="18">
        <v>0</v>
      </c>
    </row>
    <row r="1771" spans="1:8" x14ac:dyDescent="0.2">
      <c r="A1771" s="5" t="s">
        <v>1179</v>
      </c>
      <c r="B1771" s="5" t="s">
        <v>3645</v>
      </c>
      <c r="C1771" s="5" t="s">
        <v>2126</v>
      </c>
      <c r="D1771" s="135" t="s">
        <v>3330</v>
      </c>
      <c r="E1771" s="136"/>
      <c r="F1771" s="5" t="s">
        <v>3612</v>
      </c>
      <c r="G1771" s="18">
        <v>21</v>
      </c>
      <c r="H1771" s="18">
        <v>0</v>
      </c>
    </row>
    <row r="1772" spans="1:8" x14ac:dyDescent="0.2">
      <c r="A1772" s="5" t="s">
        <v>1180</v>
      </c>
      <c r="B1772" s="5" t="s">
        <v>3645</v>
      </c>
      <c r="C1772" s="5" t="s">
        <v>2127</v>
      </c>
      <c r="D1772" s="135" t="s">
        <v>3331</v>
      </c>
      <c r="E1772" s="136"/>
      <c r="F1772" s="5" t="s">
        <v>3612</v>
      </c>
      <c r="G1772" s="18">
        <v>21</v>
      </c>
      <c r="H1772" s="18">
        <v>0</v>
      </c>
    </row>
    <row r="1773" spans="1:8" x14ac:dyDescent="0.2">
      <c r="A1773" s="5" t="s">
        <v>1181</v>
      </c>
      <c r="B1773" s="5" t="s">
        <v>3645</v>
      </c>
      <c r="C1773" s="5" t="s">
        <v>2128</v>
      </c>
      <c r="D1773" s="135" t="s">
        <v>3332</v>
      </c>
      <c r="E1773" s="136"/>
      <c r="F1773" s="5" t="s">
        <v>3612</v>
      </c>
      <c r="G1773" s="18">
        <v>13</v>
      </c>
      <c r="H1773" s="18">
        <v>0</v>
      </c>
    </row>
    <row r="1774" spans="1:8" x14ac:dyDescent="0.2">
      <c r="A1774" s="5" t="s">
        <v>1182</v>
      </c>
      <c r="B1774" s="5" t="s">
        <v>3645</v>
      </c>
      <c r="C1774" s="5" t="s">
        <v>2129</v>
      </c>
      <c r="D1774" s="135" t="s">
        <v>3332</v>
      </c>
      <c r="E1774" s="136"/>
      <c r="F1774" s="5" t="s">
        <v>3612</v>
      </c>
      <c r="G1774" s="18">
        <v>13</v>
      </c>
      <c r="H1774" s="18">
        <v>0</v>
      </c>
    </row>
    <row r="1775" spans="1:8" x14ac:dyDescent="0.2">
      <c r="A1775" s="5" t="s">
        <v>1183</v>
      </c>
      <c r="B1775" s="5" t="s">
        <v>3645</v>
      </c>
      <c r="C1775" s="5" t="s">
        <v>2130</v>
      </c>
      <c r="D1775" s="135" t="s">
        <v>3333</v>
      </c>
      <c r="E1775" s="136"/>
      <c r="F1775" s="5" t="s">
        <v>3612</v>
      </c>
      <c r="G1775" s="18">
        <v>11</v>
      </c>
      <c r="H1775" s="18">
        <v>0</v>
      </c>
    </row>
    <row r="1776" spans="1:8" x14ac:dyDescent="0.2">
      <c r="A1776" s="5" t="s">
        <v>1184</v>
      </c>
      <c r="B1776" s="5" t="s">
        <v>3645</v>
      </c>
      <c r="C1776" s="5" t="s">
        <v>2131</v>
      </c>
      <c r="D1776" s="135" t="s">
        <v>3333</v>
      </c>
      <c r="E1776" s="136"/>
      <c r="F1776" s="5" t="s">
        <v>3612</v>
      </c>
      <c r="G1776" s="18">
        <v>11</v>
      </c>
      <c r="H1776" s="18">
        <v>0</v>
      </c>
    </row>
    <row r="1777" spans="1:8" x14ac:dyDescent="0.2">
      <c r="A1777" s="5" t="s">
        <v>1185</v>
      </c>
      <c r="B1777" s="5" t="s">
        <v>3645</v>
      </c>
      <c r="C1777" s="5" t="s">
        <v>2132</v>
      </c>
      <c r="D1777" s="135" t="s">
        <v>3334</v>
      </c>
      <c r="E1777" s="136"/>
      <c r="F1777" s="5" t="s">
        <v>3612</v>
      </c>
      <c r="G1777" s="18">
        <v>1</v>
      </c>
      <c r="H1777" s="18">
        <v>0</v>
      </c>
    </row>
    <row r="1778" spans="1:8" x14ac:dyDescent="0.2">
      <c r="A1778" s="5" t="s">
        <v>1186</v>
      </c>
      <c r="B1778" s="5" t="s">
        <v>3645</v>
      </c>
      <c r="C1778" s="5" t="s">
        <v>2133</v>
      </c>
      <c r="D1778" s="135" t="s">
        <v>3335</v>
      </c>
      <c r="E1778" s="136"/>
      <c r="F1778" s="5" t="s">
        <v>3612</v>
      </c>
      <c r="G1778" s="18">
        <v>112</v>
      </c>
      <c r="H1778" s="18">
        <v>0</v>
      </c>
    </row>
    <row r="1779" spans="1:8" x14ac:dyDescent="0.2">
      <c r="A1779" s="5" t="s">
        <v>1187</v>
      </c>
      <c r="B1779" s="5" t="s">
        <v>3645</v>
      </c>
      <c r="C1779" s="5" t="s">
        <v>2134</v>
      </c>
      <c r="D1779" s="135" t="s">
        <v>3336</v>
      </c>
      <c r="E1779" s="136"/>
      <c r="F1779" s="5" t="s">
        <v>3612</v>
      </c>
      <c r="G1779" s="18">
        <v>23</v>
      </c>
      <c r="H1779" s="18">
        <v>0</v>
      </c>
    </row>
    <row r="1780" spans="1:8" x14ac:dyDescent="0.2">
      <c r="A1780" s="5" t="s">
        <v>1188</v>
      </c>
      <c r="B1780" s="5" t="s">
        <v>3645</v>
      </c>
      <c r="C1780" s="5" t="s">
        <v>2135</v>
      </c>
      <c r="D1780" s="135" t="s">
        <v>3337</v>
      </c>
      <c r="E1780" s="136"/>
      <c r="F1780" s="5" t="s">
        <v>3612</v>
      </c>
      <c r="G1780" s="18">
        <v>4</v>
      </c>
      <c r="H1780" s="18">
        <v>0</v>
      </c>
    </row>
    <row r="1781" spans="1:8" x14ac:dyDescent="0.2">
      <c r="A1781" s="5" t="s">
        <v>1189</v>
      </c>
      <c r="B1781" s="5" t="s">
        <v>3645</v>
      </c>
      <c r="C1781" s="5" t="s">
        <v>2136</v>
      </c>
      <c r="D1781" s="135" t="s">
        <v>3338</v>
      </c>
      <c r="E1781" s="136"/>
      <c r="F1781" s="5" t="s">
        <v>3612</v>
      </c>
      <c r="G1781" s="18">
        <v>20</v>
      </c>
      <c r="H1781" s="18">
        <v>0</v>
      </c>
    </row>
    <row r="1782" spans="1:8" x14ac:dyDescent="0.2">
      <c r="A1782" s="5" t="s">
        <v>1190</v>
      </c>
      <c r="B1782" s="5" t="s">
        <v>3645</v>
      </c>
      <c r="C1782" s="5" t="s">
        <v>2137</v>
      </c>
      <c r="D1782" s="135" t="s">
        <v>3339</v>
      </c>
      <c r="E1782" s="136"/>
      <c r="F1782" s="5" t="s">
        <v>3612</v>
      </c>
      <c r="G1782" s="18">
        <v>10</v>
      </c>
      <c r="H1782" s="18">
        <v>0</v>
      </c>
    </row>
    <row r="1783" spans="1:8" x14ac:dyDescent="0.2">
      <c r="A1783" s="5" t="s">
        <v>1191</v>
      </c>
      <c r="B1783" s="5" t="s">
        <v>3645</v>
      </c>
      <c r="C1783" s="5" t="s">
        <v>2138</v>
      </c>
      <c r="D1783" s="135" t="s">
        <v>3340</v>
      </c>
      <c r="E1783" s="136"/>
      <c r="F1783" s="5" t="s">
        <v>3612</v>
      </c>
      <c r="G1783" s="18">
        <v>1</v>
      </c>
      <c r="H1783" s="18">
        <v>0</v>
      </c>
    </row>
    <row r="1784" spans="1:8" x14ac:dyDescent="0.2">
      <c r="A1784" s="5" t="s">
        <v>1192</v>
      </c>
      <c r="B1784" s="5" t="s">
        <v>3645</v>
      </c>
      <c r="C1784" s="5" t="s">
        <v>2139</v>
      </c>
      <c r="D1784" s="135" t="s">
        <v>3341</v>
      </c>
      <c r="E1784" s="136"/>
      <c r="F1784" s="5" t="s">
        <v>3612</v>
      </c>
      <c r="G1784" s="18">
        <v>21</v>
      </c>
      <c r="H1784" s="18">
        <v>0</v>
      </c>
    </row>
    <row r="1785" spans="1:8" x14ac:dyDescent="0.2">
      <c r="A1785" s="5" t="s">
        <v>1193</v>
      </c>
      <c r="B1785" s="5" t="s">
        <v>3645</v>
      </c>
      <c r="C1785" s="5" t="s">
        <v>2140</v>
      </c>
      <c r="D1785" s="135" t="s">
        <v>3342</v>
      </c>
      <c r="E1785" s="136"/>
      <c r="F1785" s="5" t="s">
        <v>3612</v>
      </c>
      <c r="G1785" s="18">
        <v>3</v>
      </c>
      <c r="H1785" s="18">
        <v>0</v>
      </c>
    </row>
    <row r="1786" spans="1:8" x14ac:dyDescent="0.2">
      <c r="A1786" s="5" t="s">
        <v>1194</v>
      </c>
      <c r="B1786" s="5" t="s">
        <v>3645</v>
      </c>
      <c r="C1786" s="5" t="s">
        <v>2141</v>
      </c>
      <c r="D1786" s="135" t="s">
        <v>3343</v>
      </c>
      <c r="E1786" s="136"/>
      <c r="F1786" s="5" t="s">
        <v>3612</v>
      </c>
      <c r="G1786" s="18">
        <v>2</v>
      </c>
      <c r="H1786" s="18">
        <v>0</v>
      </c>
    </row>
    <row r="1787" spans="1:8" x14ac:dyDescent="0.2">
      <c r="A1787" s="5" t="s">
        <v>1195</v>
      </c>
      <c r="B1787" s="5" t="s">
        <v>3645</v>
      </c>
      <c r="C1787" s="5" t="s">
        <v>2142</v>
      </c>
      <c r="D1787" s="135" t="s">
        <v>3344</v>
      </c>
      <c r="E1787" s="136"/>
      <c r="F1787" s="5" t="s">
        <v>3612</v>
      </c>
      <c r="G1787" s="18">
        <v>4</v>
      </c>
      <c r="H1787" s="18">
        <v>0</v>
      </c>
    </row>
    <row r="1788" spans="1:8" x14ac:dyDescent="0.2">
      <c r="A1788" s="5" t="s">
        <v>1196</v>
      </c>
      <c r="B1788" s="5" t="s">
        <v>3645</v>
      </c>
      <c r="C1788" s="5" t="s">
        <v>2143</v>
      </c>
      <c r="D1788" s="135" t="s">
        <v>3345</v>
      </c>
      <c r="E1788" s="136"/>
      <c r="F1788" s="5" t="s">
        <v>3612</v>
      </c>
      <c r="G1788" s="18">
        <v>4</v>
      </c>
      <c r="H1788" s="18">
        <v>0</v>
      </c>
    </row>
    <row r="1789" spans="1:8" x14ac:dyDescent="0.2">
      <c r="A1789" s="5" t="s">
        <v>1197</v>
      </c>
      <c r="B1789" s="5" t="s">
        <v>3645</v>
      </c>
      <c r="C1789" s="5" t="s">
        <v>2144</v>
      </c>
      <c r="D1789" s="135" t="s">
        <v>3346</v>
      </c>
      <c r="E1789" s="136"/>
      <c r="F1789" s="5" t="s">
        <v>3612</v>
      </c>
      <c r="G1789" s="18">
        <v>4</v>
      </c>
      <c r="H1789" s="18">
        <v>0</v>
      </c>
    </row>
    <row r="1790" spans="1:8" x14ac:dyDescent="0.2">
      <c r="A1790" s="5" t="s">
        <v>1198</v>
      </c>
      <c r="B1790" s="5" t="s">
        <v>3645</v>
      </c>
      <c r="C1790" s="5" t="s">
        <v>2145</v>
      </c>
      <c r="D1790" s="135" t="s">
        <v>3347</v>
      </c>
      <c r="E1790" s="136"/>
      <c r="F1790" s="5" t="s">
        <v>3612</v>
      </c>
      <c r="G1790" s="18">
        <v>9</v>
      </c>
      <c r="H1790" s="18">
        <v>0</v>
      </c>
    </row>
    <row r="1791" spans="1:8" x14ac:dyDescent="0.2">
      <c r="A1791" s="5" t="s">
        <v>1199</v>
      </c>
      <c r="B1791" s="5" t="s">
        <v>3645</v>
      </c>
      <c r="C1791" s="5" t="s">
        <v>2146</v>
      </c>
      <c r="D1791" s="135" t="s">
        <v>3348</v>
      </c>
      <c r="E1791" s="136"/>
      <c r="F1791" s="5" t="s">
        <v>3612</v>
      </c>
      <c r="G1791" s="18">
        <v>2</v>
      </c>
      <c r="H1791" s="18">
        <v>0</v>
      </c>
    </row>
    <row r="1792" spans="1:8" x14ac:dyDescent="0.2">
      <c r="A1792" s="5" t="s">
        <v>1200</v>
      </c>
      <c r="B1792" s="5" t="s">
        <v>3645</v>
      </c>
      <c r="C1792" s="5" t="s">
        <v>2147</v>
      </c>
      <c r="D1792" s="135" t="s">
        <v>3349</v>
      </c>
      <c r="E1792" s="136"/>
      <c r="F1792" s="5" t="s">
        <v>3612</v>
      </c>
      <c r="G1792" s="18">
        <v>3</v>
      </c>
      <c r="H1792" s="18">
        <v>0</v>
      </c>
    </row>
    <row r="1793" spans="1:8" x14ac:dyDescent="0.2">
      <c r="A1793" s="5" t="s">
        <v>1201</v>
      </c>
      <c r="B1793" s="5" t="s">
        <v>3645</v>
      </c>
      <c r="C1793" s="5" t="s">
        <v>2148</v>
      </c>
      <c r="D1793" s="135" t="s">
        <v>3350</v>
      </c>
      <c r="E1793" s="136"/>
      <c r="F1793" s="5" t="s">
        <v>3612</v>
      </c>
      <c r="G1793" s="18">
        <v>2</v>
      </c>
      <c r="H1793" s="18">
        <v>0</v>
      </c>
    </row>
    <row r="1794" spans="1:8" x14ac:dyDescent="0.2">
      <c r="A1794" s="5" t="s">
        <v>1202</v>
      </c>
      <c r="B1794" s="5" t="s">
        <v>3645</v>
      </c>
      <c r="C1794" s="5" t="s">
        <v>2149</v>
      </c>
      <c r="D1794" s="135" t="s">
        <v>3351</v>
      </c>
      <c r="E1794" s="136"/>
      <c r="F1794" s="5" t="s">
        <v>3612</v>
      </c>
      <c r="G1794" s="18">
        <v>18</v>
      </c>
      <c r="H1794" s="18">
        <v>0</v>
      </c>
    </row>
    <row r="1795" spans="1:8" x14ac:dyDescent="0.2">
      <c r="A1795" s="5" t="s">
        <v>1203</v>
      </c>
      <c r="B1795" s="5" t="s">
        <v>3645</v>
      </c>
      <c r="C1795" s="5" t="s">
        <v>2150</v>
      </c>
      <c r="D1795" s="135" t="s">
        <v>3352</v>
      </c>
      <c r="E1795" s="136"/>
      <c r="F1795" s="5" t="s">
        <v>3612</v>
      </c>
      <c r="G1795" s="18">
        <v>18</v>
      </c>
      <c r="H1795" s="18">
        <v>0</v>
      </c>
    </row>
    <row r="1796" spans="1:8" x14ac:dyDescent="0.2">
      <c r="A1796" s="5" t="s">
        <v>1204</v>
      </c>
      <c r="B1796" s="5" t="s">
        <v>3645</v>
      </c>
      <c r="C1796" s="5" t="s">
        <v>2151</v>
      </c>
      <c r="D1796" s="135" t="s">
        <v>3353</v>
      </c>
      <c r="E1796" s="136"/>
      <c r="F1796" s="5" t="s">
        <v>3619</v>
      </c>
      <c r="G1796" s="18">
        <v>4</v>
      </c>
      <c r="H1796" s="18">
        <v>0</v>
      </c>
    </row>
    <row r="1797" spans="1:8" x14ac:dyDescent="0.2">
      <c r="A1797" s="5" t="s">
        <v>1205</v>
      </c>
      <c r="B1797" s="5" t="s">
        <v>3645</v>
      </c>
      <c r="C1797" s="5" t="s">
        <v>2152</v>
      </c>
      <c r="D1797" s="135" t="s">
        <v>3354</v>
      </c>
      <c r="E1797" s="136"/>
      <c r="F1797" s="5" t="s">
        <v>3619</v>
      </c>
      <c r="G1797" s="18">
        <v>5</v>
      </c>
      <c r="H1797" s="18">
        <v>0</v>
      </c>
    </row>
    <row r="1798" spans="1:8" x14ac:dyDescent="0.2">
      <c r="A1798" s="5" t="s">
        <v>1206</v>
      </c>
      <c r="B1798" s="5" t="s">
        <v>3645</v>
      </c>
      <c r="C1798" s="5" t="s">
        <v>2014</v>
      </c>
      <c r="D1798" s="135" t="s">
        <v>3355</v>
      </c>
      <c r="E1798" s="136"/>
      <c r="F1798" s="5" t="s">
        <v>3612</v>
      </c>
      <c r="G1798" s="18">
        <v>1</v>
      </c>
      <c r="H1798" s="18">
        <v>0</v>
      </c>
    </row>
    <row r="1799" spans="1:8" x14ac:dyDescent="0.2">
      <c r="A1799" s="5" t="s">
        <v>1207</v>
      </c>
      <c r="B1799" s="5" t="s">
        <v>3645</v>
      </c>
      <c r="C1799" s="5" t="s">
        <v>2153</v>
      </c>
      <c r="D1799" s="135" t="s">
        <v>3198</v>
      </c>
      <c r="E1799" s="136"/>
      <c r="F1799" s="5" t="s">
        <v>3614</v>
      </c>
      <c r="G1799" s="18">
        <v>40</v>
      </c>
      <c r="H1799" s="18">
        <v>0</v>
      </c>
    </row>
    <row r="1800" spans="1:8" x14ac:dyDescent="0.2">
      <c r="A1800" s="5" t="s">
        <v>1208</v>
      </c>
      <c r="B1800" s="5" t="s">
        <v>3645</v>
      </c>
      <c r="C1800" s="5" t="s">
        <v>2154</v>
      </c>
      <c r="D1800" s="135" t="s">
        <v>3198</v>
      </c>
      <c r="E1800" s="136"/>
      <c r="F1800" s="5" t="s">
        <v>3614</v>
      </c>
      <c r="G1800" s="18">
        <v>40</v>
      </c>
      <c r="H1800" s="18">
        <v>0</v>
      </c>
    </row>
    <row r="1801" spans="1:8" x14ac:dyDescent="0.2">
      <c r="A1801" s="5" t="s">
        <v>1209</v>
      </c>
      <c r="B1801" s="5" t="s">
        <v>3645</v>
      </c>
      <c r="C1801" s="5" t="s">
        <v>2016</v>
      </c>
      <c r="D1801" s="135" t="s">
        <v>3220</v>
      </c>
      <c r="E1801" s="136"/>
      <c r="F1801" s="5" t="s">
        <v>3622</v>
      </c>
      <c r="G1801" s="18">
        <v>1</v>
      </c>
      <c r="H1801" s="18">
        <v>0</v>
      </c>
    </row>
    <row r="1802" spans="1:8" x14ac:dyDescent="0.2">
      <c r="A1802" s="5" t="s">
        <v>1210</v>
      </c>
      <c r="B1802" s="5" t="s">
        <v>3645</v>
      </c>
      <c r="C1802" s="5" t="s">
        <v>2017</v>
      </c>
      <c r="D1802" s="135" t="s">
        <v>3356</v>
      </c>
      <c r="E1802" s="136"/>
      <c r="F1802" s="5" t="s">
        <v>3618</v>
      </c>
      <c r="G1802" s="18">
        <v>1</v>
      </c>
      <c r="H1802" s="18">
        <v>0</v>
      </c>
    </row>
    <row r="1803" spans="1:8" x14ac:dyDescent="0.2">
      <c r="A1803" s="5" t="s">
        <v>1211</v>
      </c>
      <c r="B1803" s="5" t="s">
        <v>3645</v>
      </c>
      <c r="C1803" s="5" t="s">
        <v>2155</v>
      </c>
      <c r="D1803" s="135" t="s">
        <v>3357</v>
      </c>
      <c r="E1803" s="136"/>
      <c r="F1803" s="5" t="s">
        <v>3619</v>
      </c>
      <c r="G1803" s="18">
        <v>72</v>
      </c>
      <c r="H1803" s="18">
        <v>0</v>
      </c>
    </row>
    <row r="1804" spans="1:8" x14ac:dyDescent="0.2">
      <c r="A1804" s="5" t="s">
        <v>1212</v>
      </c>
      <c r="B1804" s="5" t="s">
        <v>3645</v>
      </c>
      <c r="C1804" s="5" t="s">
        <v>2156</v>
      </c>
      <c r="D1804" s="135" t="s">
        <v>3358</v>
      </c>
      <c r="E1804" s="136"/>
      <c r="F1804" s="5" t="s">
        <v>3618</v>
      </c>
      <c r="G1804" s="18">
        <v>1</v>
      </c>
      <c r="H1804" s="18">
        <v>0</v>
      </c>
    </row>
    <row r="1805" spans="1:8" x14ac:dyDescent="0.2">
      <c r="A1805" s="5" t="s">
        <v>1213</v>
      </c>
      <c r="B1805" s="5" t="s">
        <v>3645</v>
      </c>
      <c r="C1805" s="5" t="s">
        <v>2157</v>
      </c>
      <c r="D1805" s="135" t="s">
        <v>3359</v>
      </c>
      <c r="E1805" s="136"/>
      <c r="F1805" s="5" t="s">
        <v>3625</v>
      </c>
      <c r="G1805" s="18">
        <v>25</v>
      </c>
      <c r="H1805" s="18">
        <v>0</v>
      </c>
    </row>
    <row r="1806" spans="1:8" x14ac:dyDescent="0.2">
      <c r="A1806" s="5" t="s">
        <v>1214</v>
      </c>
      <c r="B1806" s="5" t="s">
        <v>3645</v>
      </c>
      <c r="C1806" s="5" t="s">
        <v>2158</v>
      </c>
      <c r="D1806" s="135" t="s">
        <v>3360</v>
      </c>
      <c r="E1806" s="136"/>
      <c r="F1806" s="5" t="s">
        <v>3625</v>
      </c>
      <c r="G1806" s="18">
        <v>55</v>
      </c>
      <c r="H1806" s="18">
        <v>0</v>
      </c>
    </row>
    <row r="1807" spans="1:8" x14ac:dyDescent="0.2">
      <c r="A1807" s="5" t="s">
        <v>1215</v>
      </c>
      <c r="B1807" s="5" t="s">
        <v>3645</v>
      </c>
      <c r="C1807" s="5" t="s">
        <v>2159</v>
      </c>
      <c r="D1807" s="135" t="s">
        <v>3361</v>
      </c>
      <c r="E1807" s="136"/>
      <c r="F1807" s="5" t="s">
        <v>3618</v>
      </c>
      <c r="G1807" s="18">
        <v>1</v>
      </c>
      <c r="H1807" s="18">
        <v>0</v>
      </c>
    </row>
    <row r="1808" spans="1:8" x14ac:dyDescent="0.2">
      <c r="A1808" s="5" t="s">
        <v>1216</v>
      </c>
      <c r="B1808" s="5" t="s">
        <v>3645</v>
      </c>
      <c r="C1808" s="5" t="s">
        <v>2018</v>
      </c>
      <c r="D1808" s="135" t="s">
        <v>3223</v>
      </c>
      <c r="E1808" s="136"/>
      <c r="F1808" s="5" t="s">
        <v>3619</v>
      </c>
      <c r="G1808" s="18">
        <v>80</v>
      </c>
      <c r="H1808" s="18">
        <v>0</v>
      </c>
    </row>
    <row r="1809" spans="1:8" x14ac:dyDescent="0.2">
      <c r="A1809" s="6" t="s">
        <v>1217</v>
      </c>
      <c r="B1809" s="6" t="s">
        <v>3645</v>
      </c>
      <c r="C1809" s="6" t="s">
        <v>2160</v>
      </c>
      <c r="D1809" s="137" t="s">
        <v>3362</v>
      </c>
      <c r="E1809" s="138"/>
      <c r="F1809" s="6" t="s">
        <v>3612</v>
      </c>
      <c r="G1809" s="19">
        <v>204</v>
      </c>
      <c r="H1809" s="19">
        <v>0</v>
      </c>
    </row>
    <row r="1810" spans="1:8" x14ac:dyDescent="0.2">
      <c r="A1810" s="6" t="s">
        <v>1218</v>
      </c>
      <c r="B1810" s="6" t="s">
        <v>3645</v>
      </c>
      <c r="C1810" s="6" t="s">
        <v>2161</v>
      </c>
      <c r="D1810" s="137" t="s">
        <v>3363</v>
      </c>
      <c r="E1810" s="138"/>
      <c r="F1810" s="6" t="s">
        <v>3612</v>
      </c>
      <c r="G1810" s="19">
        <v>68</v>
      </c>
      <c r="H1810" s="19">
        <v>0</v>
      </c>
    </row>
    <row r="1811" spans="1:8" x14ac:dyDescent="0.2">
      <c r="A1811" s="14"/>
      <c r="B1811" s="14"/>
      <c r="C1811" s="14" t="s">
        <v>2162</v>
      </c>
      <c r="D1811" s="133" t="s">
        <v>3364</v>
      </c>
      <c r="E1811" s="134"/>
      <c r="F1811" s="14"/>
      <c r="G1811" s="27"/>
      <c r="H1811" s="27"/>
    </row>
    <row r="1812" spans="1:8" x14ac:dyDescent="0.2">
      <c r="A1812" s="5" t="s">
        <v>1219</v>
      </c>
      <c r="B1812" s="5" t="s">
        <v>3645</v>
      </c>
      <c r="C1812" s="5" t="s">
        <v>2163</v>
      </c>
      <c r="D1812" s="135" t="s">
        <v>3365</v>
      </c>
      <c r="E1812" s="136"/>
      <c r="F1812" s="5" t="s">
        <v>3612</v>
      </c>
      <c r="G1812" s="18">
        <v>1</v>
      </c>
      <c r="H1812" s="18">
        <v>0</v>
      </c>
    </row>
    <row r="1813" spans="1:8" ht="12.2" customHeight="1" x14ac:dyDescent="0.2">
      <c r="D1813" s="153" t="s">
        <v>3747</v>
      </c>
      <c r="E1813" s="154"/>
      <c r="F1813" s="154"/>
      <c r="G1813" s="51">
        <v>1</v>
      </c>
    </row>
    <row r="1814" spans="1:8" x14ac:dyDescent="0.2">
      <c r="A1814" s="14"/>
      <c r="B1814" s="14"/>
      <c r="C1814" s="14" t="s">
        <v>2164</v>
      </c>
      <c r="D1814" s="133" t="s">
        <v>3366</v>
      </c>
      <c r="E1814" s="134"/>
      <c r="F1814" s="14"/>
      <c r="G1814" s="27"/>
      <c r="H1814" s="27"/>
    </row>
    <row r="1815" spans="1:8" x14ac:dyDescent="0.2">
      <c r="A1815" s="5" t="s">
        <v>1220</v>
      </c>
      <c r="B1815" s="5" t="s">
        <v>3645</v>
      </c>
      <c r="C1815" s="5" t="s">
        <v>2165</v>
      </c>
      <c r="D1815" s="135" t="s">
        <v>3367</v>
      </c>
      <c r="E1815" s="136"/>
      <c r="F1815" s="5" t="s">
        <v>3620</v>
      </c>
      <c r="G1815" s="18">
        <v>6242.72</v>
      </c>
      <c r="H1815" s="18">
        <v>0</v>
      </c>
    </row>
    <row r="1816" spans="1:8" ht="12.2" customHeight="1" x14ac:dyDescent="0.2">
      <c r="D1816" s="153" t="s">
        <v>4146</v>
      </c>
      <c r="E1816" s="154"/>
      <c r="F1816" s="154"/>
      <c r="G1816" s="51">
        <v>6242.72</v>
      </c>
    </row>
    <row r="1817" spans="1:8" x14ac:dyDescent="0.2">
      <c r="A1817" s="5" t="s">
        <v>1221</v>
      </c>
      <c r="B1817" s="5" t="s">
        <v>3645</v>
      </c>
      <c r="C1817" s="5" t="s">
        <v>2166</v>
      </c>
      <c r="D1817" s="135" t="s">
        <v>3368</v>
      </c>
      <c r="E1817" s="136"/>
      <c r="F1817" s="5" t="s">
        <v>3620</v>
      </c>
      <c r="G1817" s="18">
        <v>624.27200000000005</v>
      </c>
      <c r="H1817" s="18">
        <v>0</v>
      </c>
    </row>
    <row r="1818" spans="1:8" ht="12.2" customHeight="1" x14ac:dyDescent="0.2">
      <c r="D1818" s="153" t="s">
        <v>4147</v>
      </c>
      <c r="E1818" s="154"/>
      <c r="F1818" s="154"/>
      <c r="G1818" s="51">
        <v>624.27200000000005</v>
      </c>
    </row>
    <row r="1819" spans="1:8" x14ac:dyDescent="0.2">
      <c r="A1819" s="5" t="s">
        <v>1222</v>
      </c>
      <c r="B1819" s="5" t="s">
        <v>3645</v>
      </c>
      <c r="C1819" s="5" t="s">
        <v>2167</v>
      </c>
      <c r="D1819" s="135" t="s">
        <v>3369</v>
      </c>
      <c r="E1819" s="136"/>
      <c r="F1819" s="5" t="s">
        <v>3620</v>
      </c>
      <c r="G1819" s="18">
        <v>624.27200000000005</v>
      </c>
      <c r="H1819" s="18">
        <v>0</v>
      </c>
    </row>
    <row r="1820" spans="1:8" ht="12.2" customHeight="1" x14ac:dyDescent="0.2">
      <c r="D1820" s="153" t="s">
        <v>4147</v>
      </c>
      <c r="E1820" s="154"/>
      <c r="F1820" s="154"/>
      <c r="G1820" s="51">
        <v>624.27200000000005</v>
      </c>
    </row>
    <row r="1822" spans="1:8" ht="11.25" customHeight="1" x14ac:dyDescent="0.2">
      <c r="A1822" s="10" t="s">
        <v>1223</v>
      </c>
    </row>
    <row r="1823" spans="1:8" x14ac:dyDescent="0.2">
      <c r="A1823" s="80"/>
      <c r="B1823" s="81"/>
      <c r="C1823" s="81"/>
      <c r="D1823" s="81"/>
      <c r="E1823" s="81"/>
      <c r="F1823" s="81"/>
      <c r="G1823" s="81"/>
    </row>
  </sheetData>
  <mergeCells count="1829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D16:E16"/>
    <mergeCell ref="D17:E17"/>
    <mergeCell ref="D18:E18"/>
    <mergeCell ref="D19:F19"/>
    <mergeCell ref="D20:E20"/>
    <mergeCell ref="D21:F21"/>
    <mergeCell ref="D10:E10"/>
    <mergeCell ref="D11:E11"/>
    <mergeCell ref="D12:E12"/>
    <mergeCell ref="D13:E13"/>
    <mergeCell ref="D14:E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D34:F34"/>
    <mergeCell ref="D35:E35"/>
    <mergeCell ref="D36:F36"/>
    <mergeCell ref="D37:E37"/>
    <mergeCell ref="D38:E38"/>
    <mergeCell ref="D39:F39"/>
    <mergeCell ref="D28:F28"/>
    <mergeCell ref="D29:E29"/>
    <mergeCell ref="D30:F30"/>
    <mergeCell ref="D31:E31"/>
    <mergeCell ref="D32:F32"/>
    <mergeCell ref="D33:E33"/>
    <mergeCell ref="D22:E22"/>
    <mergeCell ref="D23:F23"/>
    <mergeCell ref="D24:E24"/>
    <mergeCell ref="D25:E25"/>
    <mergeCell ref="D26:F26"/>
    <mergeCell ref="D27:E27"/>
    <mergeCell ref="D52:E52"/>
    <mergeCell ref="D53:F53"/>
    <mergeCell ref="D54:E54"/>
    <mergeCell ref="D55:F55"/>
    <mergeCell ref="D56:E56"/>
    <mergeCell ref="D57:F57"/>
    <mergeCell ref="D46:F46"/>
    <mergeCell ref="D47:E47"/>
    <mergeCell ref="D48:F48"/>
    <mergeCell ref="D49:F49"/>
    <mergeCell ref="D50:F50"/>
    <mergeCell ref="D51:F51"/>
    <mergeCell ref="D40:E40"/>
    <mergeCell ref="D41:F41"/>
    <mergeCell ref="D42:F42"/>
    <mergeCell ref="D43:F43"/>
    <mergeCell ref="D44:F44"/>
    <mergeCell ref="D45:E45"/>
    <mergeCell ref="D70:E70"/>
    <mergeCell ref="D71:E71"/>
    <mergeCell ref="D72:F72"/>
    <mergeCell ref="D73:E73"/>
    <mergeCell ref="D74:F74"/>
    <mergeCell ref="D75:E75"/>
    <mergeCell ref="D64:E64"/>
    <mergeCell ref="D65:F65"/>
    <mergeCell ref="D66:E66"/>
    <mergeCell ref="D67:F67"/>
    <mergeCell ref="D68:E68"/>
    <mergeCell ref="D69:F69"/>
    <mergeCell ref="D58:E58"/>
    <mergeCell ref="D59:F59"/>
    <mergeCell ref="D60:E60"/>
    <mergeCell ref="D61:F61"/>
    <mergeCell ref="D62:E62"/>
    <mergeCell ref="D63:F63"/>
    <mergeCell ref="D88:F88"/>
    <mergeCell ref="D89:E89"/>
    <mergeCell ref="D90:E90"/>
    <mergeCell ref="D91:F91"/>
    <mergeCell ref="D92:E92"/>
    <mergeCell ref="D93:F93"/>
    <mergeCell ref="D82:E82"/>
    <mergeCell ref="D83:F83"/>
    <mergeCell ref="D84:E84"/>
    <mergeCell ref="D85:F85"/>
    <mergeCell ref="D86:E86"/>
    <mergeCell ref="D87:E87"/>
    <mergeCell ref="D76:F76"/>
    <mergeCell ref="D77:E77"/>
    <mergeCell ref="D78:F78"/>
    <mergeCell ref="D79:E79"/>
    <mergeCell ref="D80:E80"/>
    <mergeCell ref="D81:F81"/>
    <mergeCell ref="D106:F106"/>
    <mergeCell ref="D107:E107"/>
    <mergeCell ref="D108:F108"/>
    <mergeCell ref="D109:E109"/>
    <mergeCell ref="D110:F110"/>
    <mergeCell ref="D111:E111"/>
    <mergeCell ref="D100:F100"/>
    <mergeCell ref="D101:E101"/>
    <mergeCell ref="D102:F102"/>
    <mergeCell ref="D103:E103"/>
    <mergeCell ref="D104:F104"/>
    <mergeCell ref="D105:E105"/>
    <mergeCell ref="D94:E94"/>
    <mergeCell ref="D95:E95"/>
    <mergeCell ref="D96:F96"/>
    <mergeCell ref="D97:E97"/>
    <mergeCell ref="D98:F98"/>
    <mergeCell ref="D99:E99"/>
    <mergeCell ref="D124:E124"/>
    <mergeCell ref="D125:F125"/>
    <mergeCell ref="D126:E126"/>
    <mergeCell ref="D127:F127"/>
    <mergeCell ref="D128:E128"/>
    <mergeCell ref="D129:F129"/>
    <mergeCell ref="D118:F118"/>
    <mergeCell ref="D119:F119"/>
    <mergeCell ref="D120:F120"/>
    <mergeCell ref="D121:F121"/>
    <mergeCell ref="D122:E122"/>
    <mergeCell ref="D123:F123"/>
    <mergeCell ref="D112:F112"/>
    <mergeCell ref="D113:E113"/>
    <mergeCell ref="D114:F114"/>
    <mergeCell ref="D115:F115"/>
    <mergeCell ref="D116:E116"/>
    <mergeCell ref="D117:F117"/>
    <mergeCell ref="D142:E142"/>
    <mergeCell ref="D143:F143"/>
    <mergeCell ref="D144:E144"/>
    <mergeCell ref="D145:F145"/>
    <mergeCell ref="D146:E146"/>
    <mergeCell ref="D147:F147"/>
    <mergeCell ref="D136:E136"/>
    <mergeCell ref="D137:F137"/>
    <mergeCell ref="D138:E138"/>
    <mergeCell ref="D139:F139"/>
    <mergeCell ref="D140:E140"/>
    <mergeCell ref="D141:F141"/>
    <mergeCell ref="D130:E130"/>
    <mergeCell ref="D131:F131"/>
    <mergeCell ref="D132:E132"/>
    <mergeCell ref="D133:F133"/>
    <mergeCell ref="D134:E134"/>
    <mergeCell ref="D135:F135"/>
    <mergeCell ref="D160:E160"/>
    <mergeCell ref="D161:F161"/>
    <mergeCell ref="D162:E162"/>
    <mergeCell ref="D163:F163"/>
    <mergeCell ref="D164:E164"/>
    <mergeCell ref="D165:E165"/>
    <mergeCell ref="D154:E154"/>
    <mergeCell ref="D155:F155"/>
    <mergeCell ref="D156:E156"/>
    <mergeCell ref="D157:F157"/>
    <mergeCell ref="D158:E158"/>
    <mergeCell ref="D159:F159"/>
    <mergeCell ref="D148:E148"/>
    <mergeCell ref="D149:F149"/>
    <mergeCell ref="D150:E150"/>
    <mergeCell ref="D151:F151"/>
    <mergeCell ref="D152:E152"/>
    <mergeCell ref="D153:F153"/>
    <mergeCell ref="D178:F178"/>
    <mergeCell ref="D179:E179"/>
    <mergeCell ref="D180:F180"/>
    <mergeCell ref="D181:E181"/>
    <mergeCell ref="D182:F182"/>
    <mergeCell ref="D183:E183"/>
    <mergeCell ref="D172:F172"/>
    <mergeCell ref="D173:E173"/>
    <mergeCell ref="D174:F174"/>
    <mergeCell ref="D175:E175"/>
    <mergeCell ref="D176:F176"/>
    <mergeCell ref="D177:E177"/>
    <mergeCell ref="D166:F166"/>
    <mergeCell ref="D167:E167"/>
    <mergeCell ref="D168:E168"/>
    <mergeCell ref="D169:F169"/>
    <mergeCell ref="D170:F170"/>
    <mergeCell ref="D171:F171"/>
    <mergeCell ref="D196:F196"/>
    <mergeCell ref="D197:F197"/>
    <mergeCell ref="D198:E198"/>
    <mergeCell ref="D199:F199"/>
    <mergeCell ref="D200:F200"/>
    <mergeCell ref="D201:E201"/>
    <mergeCell ref="D190:F190"/>
    <mergeCell ref="D191:E191"/>
    <mergeCell ref="D192:F192"/>
    <mergeCell ref="D193:E193"/>
    <mergeCell ref="D194:F194"/>
    <mergeCell ref="D195:E195"/>
    <mergeCell ref="D184:F184"/>
    <mergeCell ref="D185:E185"/>
    <mergeCell ref="D186:F186"/>
    <mergeCell ref="D187:E187"/>
    <mergeCell ref="D188:F188"/>
    <mergeCell ref="D189:E189"/>
    <mergeCell ref="D214:F214"/>
    <mergeCell ref="D215:F215"/>
    <mergeCell ref="D216:E216"/>
    <mergeCell ref="D217:F217"/>
    <mergeCell ref="D218:E218"/>
    <mergeCell ref="D219:F219"/>
    <mergeCell ref="D208:E208"/>
    <mergeCell ref="D209:F209"/>
    <mergeCell ref="D210:F210"/>
    <mergeCell ref="D211:E211"/>
    <mergeCell ref="D212:F212"/>
    <mergeCell ref="D213:F213"/>
    <mergeCell ref="D202:F202"/>
    <mergeCell ref="D203:E203"/>
    <mergeCell ref="D204:F204"/>
    <mergeCell ref="D205:E205"/>
    <mergeCell ref="D206:F206"/>
    <mergeCell ref="D207:E207"/>
    <mergeCell ref="D232:E232"/>
    <mergeCell ref="D233:F233"/>
    <mergeCell ref="D234:E234"/>
    <mergeCell ref="D235:F235"/>
    <mergeCell ref="D236:E236"/>
    <mergeCell ref="D237:F237"/>
    <mergeCell ref="D226:E226"/>
    <mergeCell ref="D227:F227"/>
    <mergeCell ref="D228:E228"/>
    <mergeCell ref="D229:F229"/>
    <mergeCell ref="D230:F230"/>
    <mergeCell ref="D231:F231"/>
    <mergeCell ref="D220:E220"/>
    <mergeCell ref="D221:F221"/>
    <mergeCell ref="D222:E222"/>
    <mergeCell ref="D223:F223"/>
    <mergeCell ref="D224:E224"/>
    <mergeCell ref="D225:F225"/>
    <mergeCell ref="D250:F250"/>
    <mergeCell ref="D251:F251"/>
    <mergeCell ref="D252:E252"/>
    <mergeCell ref="D253:F253"/>
    <mergeCell ref="D254:E254"/>
    <mergeCell ref="D255:F255"/>
    <mergeCell ref="D244:E244"/>
    <mergeCell ref="D245:F245"/>
    <mergeCell ref="D246:E246"/>
    <mergeCell ref="D247:F247"/>
    <mergeCell ref="D248:E248"/>
    <mergeCell ref="D249:E249"/>
    <mergeCell ref="D238:E238"/>
    <mergeCell ref="D239:F239"/>
    <mergeCell ref="D240:E240"/>
    <mergeCell ref="D241:F241"/>
    <mergeCell ref="D242:E242"/>
    <mergeCell ref="D243:F243"/>
    <mergeCell ref="D268:F268"/>
    <mergeCell ref="D269:E269"/>
    <mergeCell ref="D270:F270"/>
    <mergeCell ref="D271:E271"/>
    <mergeCell ref="D272:E272"/>
    <mergeCell ref="D273:F273"/>
    <mergeCell ref="D262:E262"/>
    <mergeCell ref="D263:F263"/>
    <mergeCell ref="D264:E264"/>
    <mergeCell ref="D265:E265"/>
    <mergeCell ref="D266:F266"/>
    <mergeCell ref="D267:E267"/>
    <mergeCell ref="D256:F256"/>
    <mergeCell ref="D257:E257"/>
    <mergeCell ref="D258:F258"/>
    <mergeCell ref="D259:E259"/>
    <mergeCell ref="D260:F260"/>
    <mergeCell ref="D261:E261"/>
    <mergeCell ref="D286:F286"/>
    <mergeCell ref="D287:F287"/>
    <mergeCell ref="D288:E288"/>
    <mergeCell ref="D289:F289"/>
    <mergeCell ref="D290:E290"/>
    <mergeCell ref="D291:F291"/>
    <mergeCell ref="D280:F280"/>
    <mergeCell ref="D281:E281"/>
    <mergeCell ref="D282:F282"/>
    <mergeCell ref="D283:F283"/>
    <mergeCell ref="D284:E284"/>
    <mergeCell ref="D285:F285"/>
    <mergeCell ref="D274:E274"/>
    <mergeCell ref="D275:F275"/>
    <mergeCell ref="D276:F276"/>
    <mergeCell ref="D277:E277"/>
    <mergeCell ref="D278:F278"/>
    <mergeCell ref="D279:E279"/>
    <mergeCell ref="D304:F304"/>
    <mergeCell ref="D305:E305"/>
    <mergeCell ref="D306:F306"/>
    <mergeCell ref="D307:E307"/>
    <mergeCell ref="D308:F308"/>
    <mergeCell ref="D309:E309"/>
    <mergeCell ref="D298:E298"/>
    <mergeCell ref="D299:F299"/>
    <mergeCell ref="D300:E300"/>
    <mergeCell ref="D301:F301"/>
    <mergeCell ref="D302:F302"/>
    <mergeCell ref="D303:E303"/>
    <mergeCell ref="D292:F292"/>
    <mergeCell ref="D293:E293"/>
    <mergeCell ref="D294:F294"/>
    <mergeCell ref="D295:F295"/>
    <mergeCell ref="D296:E296"/>
    <mergeCell ref="D297:F297"/>
    <mergeCell ref="D322:E322"/>
    <mergeCell ref="D323:E323"/>
    <mergeCell ref="D324:F324"/>
    <mergeCell ref="D325:E325"/>
    <mergeCell ref="D326:F326"/>
    <mergeCell ref="D327:E327"/>
    <mergeCell ref="D316:E316"/>
    <mergeCell ref="D317:F317"/>
    <mergeCell ref="D318:E318"/>
    <mergeCell ref="D319:F319"/>
    <mergeCell ref="D320:E320"/>
    <mergeCell ref="D321:F321"/>
    <mergeCell ref="D310:E310"/>
    <mergeCell ref="D311:F311"/>
    <mergeCell ref="D312:E312"/>
    <mergeCell ref="D313:F313"/>
    <mergeCell ref="D314:E314"/>
    <mergeCell ref="D315:F315"/>
    <mergeCell ref="D340:F340"/>
    <mergeCell ref="D341:E341"/>
    <mergeCell ref="D342:F342"/>
    <mergeCell ref="D343:E343"/>
    <mergeCell ref="D344:F344"/>
    <mergeCell ref="D345:E345"/>
    <mergeCell ref="D334:F334"/>
    <mergeCell ref="D335:E335"/>
    <mergeCell ref="D336:F336"/>
    <mergeCell ref="D337:E337"/>
    <mergeCell ref="D338:F338"/>
    <mergeCell ref="D339:E339"/>
    <mergeCell ref="D328:F328"/>
    <mergeCell ref="D329:E329"/>
    <mergeCell ref="D330:F330"/>
    <mergeCell ref="D331:E331"/>
    <mergeCell ref="D332:F332"/>
    <mergeCell ref="D333:E333"/>
    <mergeCell ref="D358:F358"/>
    <mergeCell ref="D359:E359"/>
    <mergeCell ref="D360:F360"/>
    <mergeCell ref="D361:E361"/>
    <mergeCell ref="D362:F362"/>
    <mergeCell ref="D363:E363"/>
    <mergeCell ref="D352:E352"/>
    <mergeCell ref="D353:E353"/>
    <mergeCell ref="D354:F354"/>
    <mergeCell ref="D355:E355"/>
    <mergeCell ref="D356:F356"/>
    <mergeCell ref="D357:E357"/>
    <mergeCell ref="D346:F346"/>
    <mergeCell ref="D347:E347"/>
    <mergeCell ref="D348:F348"/>
    <mergeCell ref="D349:E349"/>
    <mergeCell ref="D350:E350"/>
    <mergeCell ref="D351:F351"/>
    <mergeCell ref="D376:E376"/>
    <mergeCell ref="D377:F377"/>
    <mergeCell ref="D378:E378"/>
    <mergeCell ref="D379:F379"/>
    <mergeCell ref="D380:E380"/>
    <mergeCell ref="D381:F381"/>
    <mergeCell ref="D370:E370"/>
    <mergeCell ref="D371:F371"/>
    <mergeCell ref="D372:E372"/>
    <mergeCell ref="D373:F373"/>
    <mergeCell ref="D374:E374"/>
    <mergeCell ref="D375:F375"/>
    <mergeCell ref="D364:E364"/>
    <mergeCell ref="D365:F365"/>
    <mergeCell ref="D366:E366"/>
    <mergeCell ref="D367:F367"/>
    <mergeCell ref="D368:E368"/>
    <mergeCell ref="D369:F369"/>
    <mergeCell ref="D394:F394"/>
    <mergeCell ref="D395:E395"/>
    <mergeCell ref="D396:F396"/>
    <mergeCell ref="D397:E397"/>
    <mergeCell ref="D398:F398"/>
    <mergeCell ref="D399:E399"/>
    <mergeCell ref="D388:F388"/>
    <mergeCell ref="D389:E389"/>
    <mergeCell ref="D390:F390"/>
    <mergeCell ref="D391:E391"/>
    <mergeCell ref="D392:E392"/>
    <mergeCell ref="D393:F393"/>
    <mergeCell ref="D382:E382"/>
    <mergeCell ref="D383:E383"/>
    <mergeCell ref="D384:E384"/>
    <mergeCell ref="D385:F385"/>
    <mergeCell ref="D386:F386"/>
    <mergeCell ref="D387:E387"/>
    <mergeCell ref="D412:F412"/>
    <mergeCell ref="D413:E413"/>
    <mergeCell ref="D414:F414"/>
    <mergeCell ref="D415:F415"/>
    <mergeCell ref="D416:E416"/>
    <mergeCell ref="D417:F417"/>
    <mergeCell ref="D406:F406"/>
    <mergeCell ref="D407:E407"/>
    <mergeCell ref="D408:F408"/>
    <mergeCell ref="D409:E409"/>
    <mergeCell ref="D410:F410"/>
    <mergeCell ref="D411:E411"/>
    <mergeCell ref="D400:F400"/>
    <mergeCell ref="D401:E401"/>
    <mergeCell ref="D402:F402"/>
    <mergeCell ref="D403:E403"/>
    <mergeCell ref="D404:F404"/>
    <mergeCell ref="D405:E405"/>
    <mergeCell ref="D430:F430"/>
    <mergeCell ref="D431:E431"/>
    <mergeCell ref="D432:F432"/>
    <mergeCell ref="D433:E433"/>
    <mergeCell ref="D434:F434"/>
    <mergeCell ref="D435:E435"/>
    <mergeCell ref="D424:F424"/>
    <mergeCell ref="D425:E425"/>
    <mergeCell ref="D426:F426"/>
    <mergeCell ref="D427:F427"/>
    <mergeCell ref="D428:F428"/>
    <mergeCell ref="D429:F429"/>
    <mergeCell ref="D418:E418"/>
    <mergeCell ref="D419:F419"/>
    <mergeCell ref="D420:E420"/>
    <mergeCell ref="D421:F421"/>
    <mergeCell ref="D422:E422"/>
    <mergeCell ref="D423:F423"/>
    <mergeCell ref="D448:F448"/>
    <mergeCell ref="D449:E449"/>
    <mergeCell ref="D450:F450"/>
    <mergeCell ref="D451:E451"/>
    <mergeCell ref="D452:F452"/>
    <mergeCell ref="D453:E453"/>
    <mergeCell ref="D442:F442"/>
    <mergeCell ref="D443:E443"/>
    <mergeCell ref="D444:F444"/>
    <mergeCell ref="D445:E445"/>
    <mergeCell ref="D446:F446"/>
    <mergeCell ref="D447:E447"/>
    <mergeCell ref="D436:F436"/>
    <mergeCell ref="D437:E437"/>
    <mergeCell ref="D438:F438"/>
    <mergeCell ref="D439:E439"/>
    <mergeCell ref="D440:F440"/>
    <mergeCell ref="D441:E441"/>
    <mergeCell ref="D466:E466"/>
    <mergeCell ref="D467:F467"/>
    <mergeCell ref="D468:E468"/>
    <mergeCell ref="D469:F469"/>
    <mergeCell ref="D470:E470"/>
    <mergeCell ref="D471:F471"/>
    <mergeCell ref="D460:F460"/>
    <mergeCell ref="D461:E461"/>
    <mergeCell ref="D462:F462"/>
    <mergeCell ref="D463:E463"/>
    <mergeCell ref="D464:F464"/>
    <mergeCell ref="D465:F465"/>
    <mergeCell ref="D454:F454"/>
    <mergeCell ref="D455:E455"/>
    <mergeCell ref="D456:F456"/>
    <mergeCell ref="D457:E457"/>
    <mergeCell ref="D458:F458"/>
    <mergeCell ref="D459:E459"/>
    <mergeCell ref="D484:F484"/>
    <mergeCell ref="D485:E485"/>
    <mergeCell ref="D486:F486"/>
    <mergeCell ref="D487:E487"/>
    <mergeCell ref="D488:F488"/>
    <mergeCell ref="D489:E489"/>
    <mergeCell ref="D478:E478"/>
    <mergeCell ref="D479:E479"/>
    <mergeCell ref="D480:F480"/>
    <mergeCell ref="D481:E481"/>
    <mergeCell ref="D482:F482"/>
    <mergeCell ref="D483:E483"/>
    <mergeCell ref="D472:E472"/>
    <mergeCell ref="D473:F473"/>
    <mergeCell ref="D474:E474"/>
    <mergeCell ref="D475:F475"/>
    <mergeCell ref="D476:E476"/>
    <mergeCell ref="D477:F477"/>
    <mergeCell ref="D502:F502"/>
    <mergeCell ref="D503:F503"/>
    <mergeCell ref="D504:E504"/>
    <mergeCell ref="D505:F505"/>
    <mergeCell ref="D506:E506"/>
    <mergeCell ref="D507:F507"/>
    <mergeCell ref="D496:F496"/>
    <mergeCell ref="D497:E497"/>
    <mergeCell ref="D498:F498"/>
    <mergeCell ref="D499:E499"/>
    <mergeCell ref="D500:F500"/>
    <mergeCell ref="D501:E501"/>
    <mergeCell ref="D490:F490"/>
    <mergeCell ref="D491:E491"/>
    <mergeCell ref="D492:F492"/>
    <mergeCell ref="D493:E493"/>
    <mergeCell ref="D494:F494"/>
    <mergeCell ref="D495:E495"/>
    <mergeCell ref="D520:F520"/>
    <mergeCell ref="D521:E521"/>
    <mergeCell ref="D522:F522"/>
    <mergeCell ref="D523:E523"/>
    <mergeCell ref="D524:F524"/>
    <mergeCell ref="D525:E525"/>
    <mergeCell ref="D514:E514"/>
    <mergeCell ref="D515:E515"/>
    <mergeCell ref="D516:F516"/>
    <mergeCell ref="D517:E517"/>
    <mergeCell ref="D518:F518"/>
    <mergeCell ref="D519:E519"/>
    <mergeCell ref="D508:E508"/>
    <mergeCell ref="D509:F509"/>
    <mergeCell ref="D510:E510"/>
    <mergeCell ref="D511:F511"/>
    <mergeCell ref="D512:E512"/>
    <mergeCell ref="D513:F513"/>
    <mergeCell ref="D538:F538"/>
    <mergeCell ref="D539:E539"/>
    <mergeCell ref="D540:F540"/>
    <mergeCell ref="D541:E541"/>
    <mergeCell ref="D542:F542"/>
    <mergeCell ref="D543:E543"/>
    <mergeCell ref="D532:F532"/>
    <mergeCell ref="D533:E533"/>
    <mergeCell ref="D534:F534"/>
    <mergeCell ref="D535:E535"/>
    <mergeCell ref="D536:F536"/>
    <mergeCell ref="D537:E537"/>
    <mergeCell ref="D526:F526"/>
    <mergeCell ref="D527:E527"/>
    <mergeCell ref="D528:F528"/>
    <mergeCell ref="D529:E529"/>
    <mergeCell ref="D530:F530"/>
    <mergeCell ref="D531:E531"/>
    <mergeCell ref="D556:F556"/>
    <mergeCell ref="D557:F557"/>
    <mergeCell ref="D558:F558"/>
    <mergeCell ref="D559:F559"/>
    <mergeCell ref="D560:F560"/>
    <mergeCell ref="D561:F561"/>
    <mergeCell ref="D550:F550"/>
    <mergeCell ref="D551:E551"/>
    <mergeCell ref="D552:F552"/>
    <mergeCell ref="D553:E553"/>
    <mergeCell ref="D554:F554"/>
    <mergeCell ref="D555:E555"/>
    <mergeCell ref="D544:F544"/>
    <mergeCell ref="D545:F545"/>
    <mergeCell ref="D546:F546"/>
    <mergeCell ref="D547:E547"/>
    <mergeCell ref="D548:F548"/>
    <mergeCell ref="D549:F549"/>
    <mergeCell ref="D574:F574"/>
    <mergeCell ref="D575:E575"/>
    <mergeCell ref="D576:F576"/>
    <mergeCell ref="D577:E577"/>
    <mergeCell ref="D578:F578"/>
    <mergeCell ref="D579:E579"/>
    <mergeCell ref="D568:E568"/>
    <mergeCell ref="D569:E569"/>
    <mergeCell ref="D570:F570"/>
    <mergeCell ref="D571:E571"/>
    <mergeCell ref="D572:F572"/>
    <mergeCell ref="D573:E573"/>
    <mergeCell ref="D562:F562"/>
    <mergeCell ref="D563:F563"/>
    <mergeCell ref="D564:E564"/>
    <mergeCell ref="D565:F565"/>
    <mergeCell ref="D566:E566"/>
    <mergeCell ref="D567:F567"/>
    <mergeCell ref="D592:F592"/>
    <mergeCell ref="D593:E593"/>
    <mergeCell ref="D594:F594"/>
    <mergeCell ref="D595:E595"/>
    <mergeCell ref="D596:F596"/>
    <mergeCell ref="D597:E597"/>
    <mergeCell ref="D586:F586"/>
    <mergeCell ref="D587:E587"/>
    <mergeCell ref="D588:F588"/>
    <mergeCell ref="D589:E589"/>
    <mergeCell ref="D590:F590"/>
    <mergeCell ref="D591:E591"/>
    <mergeCell ref="D580:F580"/>
    <mergeCell ref="D581:E581"/>
    <mergeCell ref="D582:F582"/>
    <mergeCell ref="D583:E583"/>
    <mergeCell ref="D584:F584"/>
    <mergeCell ref="D585:E585"/>
    <mergeCell ref="D610:E610"/>
    <mergeCell ref="D611:E611"/>
    <mergeCell ref="D612:F612"/>
    <mergeCell ref="D613:E613"/>
    <mergeCell ref="D614:E614"/>
    <mergeCell ref="D615:F615"/>
    <mergeCell ref="D604:F604"/>
    <mergeCell ref="D605:E605"/>
    <mergeCell ref="D606:F606"/>
    <mergeCell ref="D607:E607"/>
    <mergeCell ref="D608:E608"/>
    <mergeCell ref="D609:F609"/>
    <mergeCell ref="D598:F598"/>
    <mergeCell ref="D599:E599"/>
    <mergeCell ref="D600:F600"/>
    <mergeCell ref="D601:E601"/>
    <mergeCell ref="D602:F602"/>
    <mergeCell ref="D603:E603"/>
    <mergeCell ref="D628:F628"/>
    <mergeCell ref="D629:E629"/>
    <mergeCell ref="D630:F630"/>
    <mergeCell ref="D631:E631"/>
    <mergeCell ref="D632:F632"/>
    <mergeCell ref="D633:E633"/>
    <mergeCell ref="D622:F622"/>
    <mergeCell ref="D623:E623"/>
    <mergeCell ref="D624:F624"/>
    <mergeCell ref="D625:E625"/>
    <mergeCell ref="D626:F626"/>
    <mergeCell ref="D627:E627"/>
    <mergeCell ref="D616:E616"/>
    <mergeCell ref="D617:E617"/>
    <mergeCell ref="D618:F618"/>
    <mergeCell ref="D619:E619"/>
    <mergeCell ref="D620:F620"/>
    <mergeCell ref="D621:E621"/>
    <mergeCell ref="D646:F646"/>
    <mergeCell ref="D647:E647"/>
    <mergeCell ref="D648:F648"/>
    <mergeCell ref="D649:E649"/>
    <mergeCell ref="D650:F650"/>
    <mergeCell ref="D651:E651"/>
    <mergeCell ref="D640:F640"/>
    <mergeCell ref="D641:E641"/>
    <mergeCell ref="D642:F642"/>
    <mergeCell ref="D643:E643"/>
    <mergeCell ref="D644:F644"/>
    <mergeCell ref="D645:E645"/>
    <mergeCell ref="D634:F634"/>
    <mergeCell ref="D635:E635"/>
    <mergeCell ref="D636:F636"/>
    <mergeCell ref="D637:E637"/>
    <mergeCell ref="D638:F638"/>
    <mergeCell ref="D639:E639"/>
    <mergeCell ref="D664:E664"/>
    <mergeCell ref="D665:F665"/>
    <mergeCell ref="D666:E666"/>
    <mergeCell ref="D667:F667"/>
    <mergeCell ref="D668:F668"/>
    <mergeCell ref="D669:F669"/>
    <mergeCell ref="D658:E658"/>
    <mergeCell ref="D659:F659"/>
    <mergeCell ref="D660:E660"/>
    <mergeCell ref="D661:F661"/>
    <mergeCell ref="D662:E662"/>
    <mergeCell ref="D663:F663"/>
    <mergeCell ref="D652:F652"/>
    <mergeCell ref="D653:E653"/>
    <mergeCell ref="D654:F654"/>
    <mergeCell ref="D655:E655"/>
    <mergeCell ref="D656:E656"/>
    <mergeCell ref="D657:F657"/>
    <mergeCell ref="D682:F682"/>
    <mergeCell ref="D683:E683"/>
    <mergeCell ref="D684:F684"/>
    <mergeCell ref="D685:E685"/>
    <mergeCell ref="D686:F686"/>
    <mergeCell ref="D687:E687"/>
    <mergeCell ref="D676:E676"/>
    <mergeCell ref="D677:F677"/>
    <mergeCell ref="D678:E678"/>
    <mergeCell ref="D679:E679"/>
    <mergeCell ref="D680:F680"/>
    <mergeCell ref="D681:E681"/>
    <mergeCell ref="D670:F670"/>
    <mergeCell ref="D671:F671"/>
    <mergeCell ref="D672:E672"/>
    <mergeCell ref="D673:F673"/>
    <mergeCell ref="D674:E674"/>
    <mergeCell ref="D675:F675"/>
    <mergeCell ref="D700:E700"/>
    <mergeCell ref="D701:F701"/>
    <mergeCell ref="D702:E702"/>
    <mergeCell ref="D703:F703"/>
    <mergeCell ref="D704:E704"/>
    <mergeCell ref="D705:F705"/>
    <mergeCell ref="D694:F694"/>
    <mergeCell ref="D695:E695"/>
    <mergeCell ref="D696:F696"/>
    <mergeCell ref="D697:E697"/>
    <mergeCell ref="D698:F698"/>
    <mergeCell ref="D699:F699"/>
    <mergeCell ref="D688:F688"/>
    <mergeCell ref="D689:F689"/>
    <mergeCell ref="D690:E690"/>
    <mergeCell ref="D691:F691"/>
    <mergeCell ref="D692:E692"/>
    <mergeCell ref="D693:F693"/>
    <mergeCell ref="D718:F718"/>
    <mergeCell ref="D719:E719"/>
    <mergeCell ref="D720:F720"/>
    <mergeCell ref="D721:E721"/>
    <mergeCell ref="D722:E722"/>
    <mergeCell ref="D723:E723"/>
    <mergeCell ref="D712:E712"/>
    <mergeCell ref="D713:F713"/>
    <mergeCell ref="D714:F714"/>
    <mergeCell ref="D715:E715"/>
    <mergeCell ref="D716:F716"/>
    <mergeCell ref="D717:E717"/>
    <mergeCell ref="D706:F706"/>
    <mergeCell ref="D707:E707"/>
    <mergeCell ref="D708:F708"/>
    <mergeCell ref="D709:F709"/>
    <mergeCell ref="D710:E710"/>
    <mergeCell ref="D711:F711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24:E724"/>
    <mergeCell ref="D725:E725"/>
    <mergeCell ref="D726:E726"/>
    <mergeCell ref="D727:E727"/>
    <mergeCell ref="D728:E728"/>
    <mergeCell ref="D729:E729"/>
    <mergeCell ref="D754:E754"/>
    <mergeCell ref="D755:E755"/>
    <mergeCell ref="D756:E756"/>
    <mergeCell ref="D757:E757"/>
    <mergeCell ref="D758:E758"/>
    <mergeCell ref="D759:E759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0:E760"/>
    <mergeCell ref="D761:E761"/>
    <mergeCell ref="D762:E762"/>
    <mergeCell ref="D763:E763"/>
    <mergeCell ref="D764:E764"/>
    <mergeCell ref="D765:E765"/>
    <mergeCell ref="D790:E790"/>
    <mergeCell ref="D791:E791"/>
    <mergeCell ref="D792:E792"/>
    <mergeCell ref="D793:E793"/>
    <mergeCell ref="D794:E794"/>
    <mergeCell ref="D795:E795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808:E808"/>
    <mergeCell ref="D809:E809"/>
    <mergeCell ref="D810:E810"/>
    <mergeCell ref="D811:E811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796:E796"/>
    <mergeCell ref="D797:E797"/>
    <mergeCell ref="D798:E798"/>
    <mergeCell ref="D799:E799"/>
    <mergeCell ref="D800:E800"/>
    <mergeCell ref="D801:E801"/>
    <mergeCell ref="D826:E826"/>
    <mergeCell ref="D827:E827"/>
    <mergeCell ref="D828:E828"/>
    <mergeCell ref="D829:E829"/>
    <mergeCell ref="D830:E830"/>
    <mergeCell ref="D831:E831"/>
    <mergeCell ref="D820:E820"/>
    <mergeCell ref="D821:E821"/>
    <mergeCell ref="D822:E822"/>
    <mergeCell ref="D823:E823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44:E844"/>
    <mergeCell ref="D845:E845"/>
    <mergeCell ref="D846:E846"/>
    <mergeCell ref="D847:E847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32:E832"/>
    <mergeCell ref="D833:E833"/>
    <mergeCell ref="D834:E834"/>
    <mergeCell ref="D835:E835"/>
    <mergeCell ref="D836:E836"/>
    <mergeCell ref="D837:E837"/>
    <mergeCell ref="D862:E862"/>
    <mergeCell ref="D863:E863"/>
    <mergeCell ref="D864:E864"/>
    <mergeCell ref="D865:E865"/>
    <mergeCell ref="D866:E866"/>
    <mergeCell ref="D867:E867"/>
    <mergeCell ref="D856:E856"/>
    <mergeCell ref="D857:E857"/>
    <mergeCell ref="D858:E858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80:E880"/>
    <mergeCell ref="D881:E881"/>
    <mergeCell ref="D882:E882"/>
    <mergeCell ref="D883:E883"/>
    <mergeCell ref="D884:E884"/>
    <mergeCell ref="D885:E885"/>
    <mergeCell ref="D874:E874"/>
    <mergeCell ref="D875:E875"/>
    <mergeCell ref="D876:E876"/>
    <mergeCell ref="D877:E877"/>
    <mergeCell ref="D878:E878"/>
    <mergeCell ref="D879:E879"/>
    <mergeCell ref="D868:E868"/>
    <mergeCell ref="D869:E869"/>
    <mergeCell ref="D870:E870"/>
    <mergeCell ref="D871:E871"/>
    <mergeCell ref="D872:E872"/>
    <mergeCell ref="D873:E873"/>
    <mergeCell ref="D898:E898"/>
    <mergeCell ref="D899:E899"/>
    <mergeCell ref="D900:E900"/>
    <mergeCell ref="D901:E901"/>
    <mergeCell ref="D902:E902"/>
    <mergeCell ref="D903:E903"/>
    <mergeCell ref="D892:E892"/>
    <mergeCell ref="D893:E893"/>
    <mergeCell ref="D894:E894"/>
    <mergeCell ref="D895:E895"/>
    <mergeCell ref="D896:E896"/>
    <mergeCell ref="D897:E897"/>
    <mergeCell ref="D886:E886"/>
    <mergeCell ref="D887:E887"/>
    <mergeCell ref="D888:E888"/>
    <mergeCell ref="D889:E889"/>
    <mergeCell ref="D890:E890"/>
    <mergeCell ref="D891:E891"/>
    <mergeCell ref="D916:E916"/>
    <mergeCell ref="D917:E917"/>
    <mergeCell ref="D918:E918"/>
    <mergeCell ref="D919:E919"/>
    <mergeCell ref="D920:E920"/>
    <mergeCell ref="D921:E921"/>
    <mergeCell ref="D910:E910"/>
    <mergeCell ref="D911:E911"/>
    <mergeCell ref="D912:E912"/>
    <mergeCell ref="D913:E913"/>
    <mergeCell ref="D914:E914"/>
    <mergeCell ref="D915:E915"/>
    <mergeCell ref="D904:E904"/>
    <mergeCell ref="D905:E905"/>
    <mergeCell ref="D906:E906"/>
    <mergeCell ref="D907:E907"/>
    <mergeCell ref="D908:E908"/>
    <mergeCell ref="D909:E909"/>
    <mergeCell ref="D934:E934"/>
    <mergeCell ref="D935:E935"/>
    <mergeCell ref="D936:E936"/>
    <mergeCell ref="D937:E937"/>
    <mergeCell ref="D938:E938"/>
    <mergeCell ref="D939:E939"/>
    <mergeCell ref="D928:E928"/>
    <mergeCell ref="D929:E929"/>
    <mergeCell ref="D930:E930"/>
    <mergeCell ref="D931:E931"/>
    <mergeCell ref="D932:E932"/>
    <mergeCell ref="D933:E933"/>
    <mergeCell ref="D922:E922"/>
    <mergeCell ref="D923:E923"/>
    <mergeCell ref="D924:E924"/>
    <mergeCell ref="D925:E925"/>
    <mergeCell ref="D926:E926"/>
    <mergeCell ref="D927:E927"/>
    <mergeCell ref="D952:E952"/>
    <mergeCell ref="D953:E953"/>
    <mergeCell ref="D954:E954"/>
    <mergeCell ref="D955:E955"/>
    <mergeCell ref="D956:E956"/>
    <mergeCell ref="D957:E957"/>
    <mergeCell ref="D946:E946"/>
    <mergeCell ref="D947:E947"/>
    <mergeCell ref="D948:E948"/>
    <mergeCell ref="D949:E949"/>
    <mergeCell ref="D950:E950"/>
    <mergeCell ref="D951:E951"/>
    <mergeCell ref="D940:E940"/>
    <mergeCell ref="D941:E941"/>
    <mergeCell ref="D942:E942"/>
    <mergeCell ref="D943:E943"/>
    <mergeCell ref="D944:E944"/>
    <mergeCell ref="D945:E945"/>
    <mergeCell ref="D970:E970"/>
    <mergeCell ref="D971:E971"/>
    <mergeCell ref="D972:E972"/>
    <mergeCell ref="D973:E973"/>
    <mergeCell ref="D974:E974"/>
    <mergeCell ref="D975:E975"/>
    <mergeCell ref="D964:E964"/>
    <mergeCell ref="D965:E965"/>
    <mergeCell ref="D966:E966"/>
    <mergeCell ref="D967:E967"/>
    <mergeCell ref="D968:E968"/>
    <mergeCell ref="D969:E969"/>
    <mergeCell ref="D958:E958"/>
    <mergeCell ref="D959:E959"/>
    <mergeCell ref="D960:E960"/>
    <mergeCell ref="D961:E961"/>
    <mergeCell ref="D962:E962"/>
    <mergeCell ref="D963:E963"/>
    <mergeCell ref="D988:E988"/>
    <mergeCell ref="D989:E989"/>
    <mergeCell ref="D990:E990"/>
    <mergeCell ref="D991:E991"/>
    <mergeCell ref="D992:E992"/>
    <mergeCell ref="D993:E993"/>
    <mergeCell ref="D982:E982"/>
    <mergeCell ref="D983:E983"/>
    <mergeCell ref="D984:E984"/>
    <mergeCell ref="D985:E985"/>
    <mergeCell ref="D986:E986"/>
    <mergeCell ref="D987:E987"/>
    <mergeCell ref="D976:E976"/>
    <mergeCell ref="D977:E977"/>
    <mergeCell ref="D978:E978"/>
    <mergeCell ref="D979:E979"/>
    <mergeCell ref="D980:E980"/>
    <mergeCell ref="D981:E981"/>
    <mergeCell ref="D1006:E1006"/>
    <mergeCell ref="D1007:E1007"/>
    <mergeCell ref="D1008:E1008"/>
    <mergeCell ref="D1009:E1009"/>
    <mergeCell ref="D1010:E1010"/>
    <mergeCell ref="D1011:E1011"/>
    <mergeCell ref="D1000:E1000"/>
    <mergeCell ref="D1001:E1001"/>
    <mergeCell ref="D1002:E1002"/>
    <mergeCell ref="D1003:E1003"/>
    <mergeCell ref="D1004:E1004"/>
    <mergeCell ref="D1005:E1005"/>
    <mergeCell ref="D994:E994"/>
    <mergeCell ref="D995:E995"/>
    <mergeCell ref="D996:E996"/>
    <mergeCell ref="D997:E997"/>
    <mergeCell ref="D998:E998"/>
    <mergeCell ref="D999:E999"/>
    <mergeCell ref="D1024:E1024"/>
    <mergeCell ref="D1025:E1025"/>
    <mergeCell ref="D1026:E1026"/>
    <mergeCell ref="D1027:E1027"/>
    <mergeCell ref="D1028:E1028"/>
    <mergeCell ref="D1029:E1029"/>
    <mergeCell ref="D1018:E1018"/>
    <mergeCell ref="D1019:E1019"/>
    <mergeCell ref="D1020:E1020"/>
    <mergeCell ref="D1021:E1021"/>
    <mergeCell ref="D1022:E1022"/>
    <mergeCell ref="D1023:E1023"/>
    <mergeCell ref="D1012:E1012"/>
    <mergeCell ref="D1013:E1013"/>
    <mergeCell ref="D1014:E1014"/>
    <mergeCell ref="D1015:E1015"/>
    <mergeCell ref="D1016:E1016"/>
    <mergeCell ref="D1017:E1017"/>
    <mergeCell ref="D1042:E1042"/>
    <mergeCell ref="D1043:E1043"/>
    <mergeCell ref="D1044:E1044"/>
    <mergeCell ref="D1045:E1045"/>
    <mergeCell ref="D1046:E1046"/>
    <mergeCell ref="D1047:E1047"/>
    <mergeCell ref="D1036:E1036"/>
    <mergeCell ref="D1037:E1037"/>
    <mergeCell ref="D1038:E1038"/>
    <mergeCell ref="D1039:E1039"/>
    <mergeCell ref="D1040:E1040"/>
    <mergeCell ref="D1041:E1041"/>
    <mergeCell ref="D1030:E1030"/>
    <mergeCell ref="D1031:E1031"/>
    <mergeCell ref="D1032:E1032"/>
    <mergeCell ref="D1033:E1033"/>
    <mergeCell ref="D1034:E1034"/>
    <mergeCell ref="D1035:E1035"/>
    <mergeCell ref="D1060:E1060"/>
    <mergeCell ref="D1061:E1061"/>
    <mergeCell ref="D1062:E1062"/>
    <mergeCell ref="D1063:E1063"/>
    <mergeCell ref="D1064:E1064"/>
    <mergeCell ref="D1065:E1065"/>
    <mergeCell ref="D1054:E1054"/>
    <mergeCell ref="D1055:E1055"/>
    <mergeCell ref="D1056:E1056"/>
    <mergeCell ref="D1057:E1057"/>
    <mergeCell ref="D1058:E1058"/>
    <mergeCell ref="D1059:E1059"/>
    <mergeCell ref="D1048:E1048"/>
    <mergeCell ref="D1049:E1049"/>
    <mergeCell ref="D1050:E1050"/>
    <mergeCell ref="D1051:E1051"/>
    <mergeCell ref="D1052:E1052"/>
    <mergeCell ref="D1053:E1053"/>
    <mergeCell ref="D1078:E1078"/>
    <mergeCell ref="D1079:E1079"/>
    <mergeCell ref="D1080:E1080"/>
    <mergeCell ref="D1081:E1081"/>
    <mergeCell ref="D1082:E1082"/>
    <mergeCell ref="D1083:E1083"/>
    <mergeCell ref="D1072:E1072"/>
    <mergeCell ref="D1073:E1073"/>
    <mergeCell ref="D1074:E1074"/>
    <mergeCell ref="D1075:E1075"/>
    <mergeCell ref="D1076:E1076"/>
    <mergeCell ref="D1077:E1077"/>
    <mergeCell ref="D1066:E1066"/>
    <mergeCell ref="D1067:E1067"/>
    <mergeCell ref="D1068:E1068"/>
    <mergeCell ref="D1069:E1069"/>
    <mergeCell ref="D1070:E1070"/>
    <mergeCell ref="D1071:E1071"/>
    <mergeCell ref="D1096:E1096"/>
    <mergeCell ref="D1097:E1097"/>
    <mergeCell ref="D1098:E1098"/>
    <mergeCell ref="D1099:E1099"/>
    <mergeCell ref="D1100:E1100"/>
    <mergeCell ref="D1101:E1101"/>
    <mergeCell ref="D1090:E1090"/>
    <mergeCell ref="D1091:E1091"/>
    <mergeCell ref="D1092:E1092"/>
    <mergeCell ref="D1093:E1093"/>
    <mergeCell ref="D1094:E1094"/>
    <mergeCell ref="D1095:E1095"/>
    <mergeCell ref="D1084:E1084"/>
    <mergeCell ref="D1085:E1085"/>
    <mergeCell ref="D1086:E1086"/>
    <mergeCell ref="D1087:E1087"/>
    <mergeCell ref="D1088:E1088"/>
    <mergeCell ref="D1089:E1089"/>
    <mergeCell ref="D1114:E1114"/>
    <mergeCell ref="D1115:E1115"/>
    <mergeCell ref="D1116:E1116"/>
    <mergeCell ref="D1117:E1117"/>
    <mergeCell ref="D1118:E1118"/>
    <mergeCell ref="D1119:E1119"/>
    <mergeCell ref="D1108:E1108"/>
    <mergeCell ref="D1109:E1109"/>
    <mergeCell ref="D1110:E1110"/>
    <mergeCell ref="D1111:E1111"/>
    <mergeCell ref="D1112:E1112"/>
    <mergeCell ref="D1113:E1113"/>
    <mergeCell ref="D1102:E1102"/>
    <mergeCell ref="D1103:E1103"/>
    <mergeCell ref="D1104:E1104"/>
    <mergeCell ref="D1105:E1105"/>
    <mergeCell ref="D1106:E1106"/>
    <mergeCell ref="D1107:E1107"/>
    <mergeCell ref="D1132:E1132"/>
    <mergeCell ref="D1133:E1133"/>
    <mergeCell ref="D1134:E1134"/>
    <mergeCell ref="D1135:E1135"/>
    <mergeCell ref="D1136:E1136"/>
    <mergeCell ref="D1137:E1137"/>
    <mergeCell ref="D1126:E1126"/>
    <mergeCell ref="D1127:E1127"/>
    <mergeCell ref="D1128:E1128"/>
    <mergeCell ref="D1129:E1129"/>
    <mergeCell ref="D1130:E1130"/>
    <mergeCell ref="D1131:E1131"/>
    <mergeCell ref="D1120:E1120"/>
    <mergeCell ref="D1121:E1121"/>
    <mergeCell ref="D1122:E1122"/>
    <mergeCell ref="D1123:E1123"/>
    <mergeCell ref="D1124:E1124"/>
    <mergeCell ref="D1125:E1125"/>
    <mergeCell ref="D1150:E1150"/>
    <mergeCell ref="D1151:E1151"/>
    <mergeCell ref="D1152:E1152"/>
    <mergeCell ref="D1153:E1153"/>
    <mergeCell ref="D1154:E1154"/>
    <mergeCell ref="D1155:E1155"/>
    <mergeCell ref="D1144:E1144"/>
    <mergeCell ref="D1145:E1145"/>
    <mergeCell ref="D1146:E1146"/>
    <mergeCell ref="D1147:E1147"/>
    <mergeCell ref="D1148:E1148"/>
    <mergeCell ref="D1149:E1149"/>
    <mergeCell ref="D1138:E1138"/>
    <mergeCell ref="D1139:E1139"/>
    <mergeCell ref="D1140:E1140"/>
    <mergeCell ref="D1141:E1141"/>
    <mergeCell ref="D1142:E1142"/>
    <mergeCell ref="D1143:E1143"/>
    <mergeCell ref="D1168:E1168"/>
    <mergeCell ref="D1169:E1169"/>
    <mergeCell ref="D1170:E1170"/>
    <mergeCell ref="D1171:E1171"/>
    <mergeCell ref="D1172:E1172"/>
    <mergeCell ref="D1173:E1173"/>
    <mergeCell ref="D1162:E1162"/>
    <mergeCell ref="D1163:E1163"/>
    <mergeCell ref="D1164:E1164"/>
    <mergeCell ref="D1165:E1165"/>
    <mergeCell ref="D1166:E1166"/>
    <mergeCell ref="D1167:E1167"/>
    <mergeCell ref="D1156:E1156"/>
    <mergeCell ref="D1157:E1157"/>
    <mergeCell ref="D1158:E1158"/>
    <mergeCell ref="D1159:E1159"/>
    <mergeCell ref="D1160:E1160"/>
    <mergeCell ref="D1161:E1161"/>
    <mergeCell ref="D1186:E1186"/>
    <mergeCell ref="D1187:E1187"/>
    <mergeCell ref="D1188:E1188"/>
    <mergeCell ref="D1189:E1189"/>
    <mergeCell ref="D1190:E1190"/>
    <mergeCell ref="D1191:E1191"/>
    <mergeCell ref="D1180:E1180"/>
    <mergeCell ref="D1181:E1181"/>
    <mergeCell ref="D1182:E1182"/>
    <mergeCell ref="D1183:E1183"/>
    <mergeCell ref="D1184:E1184"/>
    <mergeCell ref="D1185:E1185"/>
    <mergeCell ref="D1174:E1174"/>
    <mergeCell ref="D1175:E1175"/>
    <mergeCell ref="D1176:E1176"/>
    <mergeCell ref="D1177:E1177"/>
    <mergeCell ref="D1178:E1178"/>
    <mergeCell ref="D1179:E1179"/>
    <mergeCell ref="D1204:E1204"/>
    <mergeCell ref="D1205:E1205"/>
    <mergeCell ref="D1206:E1206"/>
    <mergeCell ref="D1207:E1207"/>
    <mergeCell ref="D1208:E1208"/>
    <mergeCell ref="D1209:E1209"/>
    <mergeCell ref="D1198:E1198"/>
    <mergeCell ref="D1199:E1199"/>
    <mergeCell ref="D1200:E1200"/>
    <mergeCell ref="D1201:E1201"/>
    <mergeCell ref="D1202:E1202"/>
    <mergeCell ref="D1203:E1203"/>
    <mergeCell ref="D1192:E1192"/>
    <mergeCell ref="D1193:E1193"/>
    <mergeCell ref="D1194:E1194"/>
    <mergeCell ref="D1195:E1195"/>
    <mergeCell ref="D1196:E1196"/>
    <mergeCell ref="D1197:E1197"/>
    <mergeCell ref="D1222:E1222"/>
    <mergeCell ref="D1223:E1223"/>
    <mergeCell ref="D1224:E1224"/>
    <mergeCell ref="D1225:E1225"/>
    <mergeCell ref="D1226:E1226"/>
    <mergeCell ref="D1227:E1227"/>
    <mergeCell ref="D1216:E1216"/>
    <mergeCell ref="D1217:E1217"/>
    <mergeCell ref="D1218:E1218"/>
    <mergeCell ref="D1219:E1219"/>
    <mergeCell ref="D1220:E1220"/>
    <mergeCell ref="D1221:E1221"/>
    <mergeCell ref="D1210:E1210"/>
    <mergeCell ref="D1211:E1211"/>
    <mergeCell ref="D1212:E1212"/>
    <mergeCell ref="D1213:E1213"/>
    <mergeCell ref="D1214:E1214"/>
    <mergeCell ref="D1215:E1215"/>
    <mergeCell ref="D1240:E1240"/>
    <mergeCell ref="D1241:E1241"/>
    <mergeCell ref="D1242:E1242"/>
    <mergeCell ref="D1243:E1243"/>
    <mergeCell ref="D1244:E1244"/>
    <mergeCell ref="D1245:E1245"/>
    <mergeCell ref="D1234:E1234"/>
    <mergeCell ref="D1235:E1235"/>
    <mergeCell ref="D1236:E1236"/>
    <mergeCell ref="D1237:E1237"/>
    <mergeCell ref="D1238:E1238"/>
    <mergeCell ref="D1239:E1239"/>
    <mergeCell ref="D1228:E1228"/>
    <mergeCell ref="D1229:E1229"/>
    <mergeCell ref="D1230:E1230"/>
    <mergeCell ref="D1231:E1231"/>
    <mergeCell ref="D1232:E1232"/>
    <mergeCell ref="D1233:E1233"/>
    <mergeCell ref="D1258:E1258"/>
    <mergeCell ref="D1259:E1259"/>
    <mergeCell ref="D1260:E1260"/>
    <mergeCell ref="D1261:E1261"/>
    <mergeCell ref="D1262:E1262"/>
    <mergeCell ref="D1263:E1263"/>
    <mergeCell ref="D1252:E1252"/>
    <mergeCell ref="D1253:E1253"/>
    <mergeCell ref="D1254:E1254"/>
    <mergeCell ref="D1255:E1255"/>
    <mergeCell ref="D1256:E1256"/>
    <mergeCell ref="D1257:E1257"/>
    <mergeCell ref="D1246:E1246"/>
    <mergeCell ref="D1247:E1247"/>
    <mergeCell ref="D1248:E1248"/>
    <mergeCell ref="D1249:E1249"/>
    <mergeCell ref="D1250:E1250"/>
    <mergeCell ref="D1251:E1251"/>
    <mergeCell ref="D1276:E1276"/>
    <mergeCell ref="D1277:F1277"/>
    <mergeCell ref="D1278:E1278"/>
    <mergeCell ref="D1279:F1279"/>
    <mergeCell ref="D1280:E1280"/>
    <mergeCell ref="D1281:F1281"/>
    <mergeCell ref="D1270:E1270"/>
    <mergeCell ref="D1271:F1271"/>
    <mergeCell ref="D1272:E1272"/>
    <mergeCell ref="D1273:F1273"/>
    <mergeCell ref="D1274:E1274"/>
    <mergeCell ref="D1275:F1275"/>
    <mergeCell ref="D1264:E1264"/>
    <mergeCell ref="D1265:E1265"/>
    <mergeCell ref="D1266:E1266"/>
    <mergeCell ref="D1267:F1267"/>
    <mergeCell ref="D1268:E1268"/>
    <mergeCell ref="D1269:F1269"/>
    <mergeCell ref="D1294:E1294"/>
    <mergeCell ref="D1295:F1295"/>
    <mergeCell ref="D1296:E1296"/>
    <mergeCell ref="D1297:F1297"/>
    <mergeCell ref="D1298:E1298"/>
    <mergeCell ref="D1299:F1299"/>
    <mergeCell ref="D1288:E1288"/>
    <mergeCell ref="D1289:F1289"/>
    <mergeCell ref="D1290:E1290"/>
    <mergeCell ref="D1291:F1291"/>
    <mergeCell ref="D1292:E1292"/>
    <mergeCell ref="D1293:F1293"/>
    <mergeCell ref="D1282:E1282"/>
    <mergeCell ref="D1283:F1283"/>
    <mergeCell ref="D1284:E1284"/>
    <mergeCell ref="D1285:E1285"/>
    <mergeCell ref="D1286:F1286"/>
    <mergeCell ref="D1287:F1287"/>
    <mergeCell ref="D1312:E1312"/>
    <mergeCell ref="D1313:F1313"/>
    <mergeCell ref="D1314:E1314"/>
    <mergeCell ref="D1315:F1315"/>
    <mergeCell ref="D1316:E1316"/>
    <mergeCell ref="D1317:F1317"/>
    <mergeCell ref="D1306:E1306"/>
    <mergeCell ref="D1307:F1307"/>
    <mergeCell ref="D1308:E1308"/>
    <mergeCell ref="D1309:F1309"/>
    <mergeCell ref="D1310:E1310"/>
    <mergeCell ref="D1311:F1311"/>
    <mergeCell ref="D1300:E1300"/>
    <mergeCell ref="D1301:F1301"/>
    <mergeCell ref="D1302:E1302"/>
    <mergeCell ref="D1303:F1303"/>
    <mergeCell ref="D1304:E1304"/>
    <mergeCell ref="D1305:F1305"/>
    <mergeCell ref="D1330:F1330"/>
    <mergeCell ref="D1331:E1331"/>
    <mergeCell ref="D1332:F1332"/>
    <mergeCell ref="D1333:E1333"/>
    <mergeCell ref="D1334:F1334"/>
    <mergeCell ref="D1335:E1335"/>
    <mergeCell ref="D1324:F1324"/>
    <mergeCell ref="D1325:E1325"/>
    <mergeCell ref="D1326:F1326"/>
    <mergeCell ref="D1327:E1327"/>
    <mergeCell ref="D1328:F1328"/>
    <mergeCell ref="D1329:E1329"/>
    <mergeCell ref="D1318:E1318"/>
    <mergeCell ref="D1319:E1319"/>
    <mergeCell ref="D1320:F1320"/>
    <mergeCell ref="D1321:E1321"/>
    <mergeCell ref="D1322:F1322"/>
    <mergeCell ref="D1323:E1323"/>
    <mergeCell ref="D1348:F1348"/>
    <mergeCell ref="D1349:E1349"/>
    <mergeCell ref="D1350:F1350"/>
    <mergeCell ref="D1351:E1351"/>
    <mergeCell ref="D1352:F1352"/>
    <mergeCell ref="D1353:E1353"/>
    <mergeCell ref="D1342:F1342"/>
    <mergeCell ref="D1343:E1343"/>
    <mergeCell ref="D1344:F1344"/>
    <mergeCell ref="D1345:E1345"/>
    <mergeCell ref="D1346:F1346"/>
    <mergeCell ref="D1347:E1347"/>
    <mergeCell ref="D1336:F1336"/>
    <mergeCell ref="D1337:E1337"/>
    <mergeCell ref="D1338:F1338"/>
    <mergeCell ref="D1339:E1339"/>
    <mergeCell ref="D1340:F1340"/>
    <mergeCell ref="D1341:E1341"/>
    <mergeCell ref="D1366:F1366"/>
    <mergeCell ref="D1367:E1367"/>
    <mergeCell ref="D1368:F1368"/>
    <mergeCell ref="D1369:E1369"/>
    <mergeCell ref="D1370:E1370"/>
    <mergeCell ref="D1371:F1371"/>
    <mergeCell ref="D1360:F1360"/>
    <mergeCell ref="D1361:E1361"/>
    <mergeCell ref="D1362:F1362"/>
    <mergeCell ref="D1363:E1363"/>
    <mergeCell ref="D1364:F1364"/>
    <mergeCell ref="D1365:E1365"/>
    <mergeCell ref="D1354:F1354"/>
    <mergeCell ref="D1355:E1355"/>
    <mergeCell ref="D1356:F1356"/>
    <mergeCell ref="D1357:E1357"/>
    <mergeCell ref="D1358:F1358"/>
    <mergeCell ref="D1359:E1359"/>
    <mergeCell ref="D1384:E1384"/>
    <mergeCell ref="D1385:F1385"/>
    <mergeCell ref="D1386:E1386"/>
    <mergeCell ref="D1387:F1387"/>
    <mergeCell ref="D1388:E1388"/>
    <mergeCell ref="D1389:F1389"/>
    <mergeCell ref="D1378:E1378"/>
    <mergeCell ref="D1379:F1379"/>
    <mergeCell ref="D1380:E1380"/>
    <mergeCell ref="D1381:F1381"/>
    <mergeCell ref="D1382:E1382"/>
    <mergeCell ref="D1383:F1383"/>
    <mergeCell ref="D1372:E1372"/>
    <mergeCell ref="D1373:F1373"/>
    <mergeCell ref="D1374:E1374"/>
    <mergeCell ref="D1375:F1375"/>
    <mergeCell ref="D1376:E1376"/>
    <mergeCell ref="D1377:F1377"/>
    <mergeCell ref="D1402:E1402"/>
    <mergeCell ref="D1403:F1403"/>
    <mergeCell ref="D1404:E1404"/>
    <mergeCell ref="D1405:F1405"/>
    <mergeCell ref="D1406:E1406"/>
    <mergeCell ref="D1407:F1407"/>
    <mergeCell ref="D1396:E1396"/>
    <mergeCell ref="D1397:F1397"/>
    <mergeCell ref="D1398:E1398"/>
    <mergeCell ref="D1399:F1399"/>
    <mergeCell ref="D1400:E1400"/>
    <mergeCell ref="D1401:F1401"/>
    <mergeCell ref="D1390:E1390"/>
    <mergeCell ref="D1391:F1391"/>
    <mergeCell ref="D1392:E1392"/>
    <mergeCell ref="D1393:F1393"/>
    <mergeCell ref="D1394:E1394"/>
    <mergeCell ref="D1395:F1395"/>
    <mergeCell ref="D1420:E1420"/>
    <mergeCell ref="D1421:F1421"/>
    <mergeCell ref="D1422:E1422"/>
    <mergeCell ref="D1423:F1423"/>
    <mergeCell ref="D1424:E1424"/>
    <mergeCell ref="D1425:F1425"/>
    <mergeCell ref="D1414:E1414"/>
    <mergeCell ref="D1415:F1415"/>
    <mergeCell ref="D1416:E1416"/>
    <mergeCell ref="D1417:F1417"/>
    <mergeCell ref="D1418:E1418"/>
    <mergeCell ref="D1419:F1419"/>
    <mergeCell ref="D1408:E1408"/>
    <mergeCell ref="D1409:F1409"/>
    <mergeCell ref="D1410:E1410"/>
    <mergeCell ref="D1411:F1411"/>
    <mergeCell ref="D1412:E1412"/>
    <mergeCell ref="D1413:F1413"/>
    <mergeCell ref="D1438:E1438"/>
    <mergeCell ref="D1439:F1439"/>
    <mergeCell ref="D1440:E1440"/>
    <mergeCell ref="D1441:F1441"/>
    <mergeCell ref="D1442:E1442"/>
    <mergeCell ref="D1443:F1443"/>
    <mergeCell ref="D1432:E1432"/>
    <mergeCell ref="D1433:F1433"/>
    <mergeCell ref="D1434:E1434"/>
    <mergeCell ref="D1435:F1435"/>
    <mergeCell ref="D1436:E1436"/>
    <mergeCell ref="D1437:F1437"/>
    <mergeCell ref="D1426:E1426"/>
    <mergeCell ref="D1427:F1427"/>
    <mergeCell ref="D1428:E1428"/>
    <mergeCell ref="D1429:F1429"/>
    <mergeCell ref="D1430:E1430"/>
    <mergeCell ref="D1431:F1431"/>
    <mergeCell ref="D1456:E1456"/>
    <mergeCell ref="D1457:F1457"/>
    <mergeCell ref="D1458:E1458"/>
    <mergeCell ref="D1459:F1459"/>
    <mergeCell ref="D1460:E1460"/>
    <mergeCell ref="D1461:F1461"/>
    <mergeCell ref="D1450:E1450"/>
    <mergeCell ref="D1451:F1451"/>
    <mergeCell ref="D1452:E1452"/>
    <mergeCell ref="D1453:F1453"/>
    <mergeCell ref="D1454:E1454"/>
    <mergeCell ref="D1455:F1455"/>
    <mergeCell ref="D1444:E1444"/>
    <mergeCell ref="D1445:F1445"/>
    <mergeCell ref="D1446:E1446"/>
    <mergeCell ref="D1447:F1447"/>
    <mergeCell ref="D1448:E1448"/>
    <mergeCell ref="D1449:F1449"/>
    <mergeCell ref="D1474:E1474"/>
    <mergeCell ref="D1475:E1475"/>
    <mergeCell ref="D1476:F1476"/>
    <mergeCell ref="D1477:E1477"/>
    <mergeCell ref="D1478:F1478"/>
    <mergeCell ref="D1479:E1479"/>
    <mergeCell ref="D1468:E1468"/>
    <mergeCell ref="D1469:F1469"/>
    <mergeCell ref="D1470:E1470"/>
    <mergeCell ref="D1471:F1471"/>
    <mergeCell ref="D1472:E1472"/>
    <mergeCell ref="D1473:F1473"/>
    <mergeCell ref="D1462:E1462"/>
    <mergeCell ref="D1463:F1463"/>
    <mergeCell ref="D1464:E1464"/>
    <mergeCell ref="D1465:F1465"/>
    <mergeCell ref="D1466:E1466"/>
    <mergeCell ref="D1467:F1467"/>
    <mergeCell ref="D1492:E1492"/>
    <mergeCell ref="D1493:F1493"/>
    <mergeCell ref="D1494:F1494"/>
    <mergeCell ref="D1495:E1495"/>
    <mergeCell ref="D1496:F1496"/>
    <mergeCell ref="D1497:F1497"/>
    <mergeCell ref="D1486:F1486"/>
    <mergeCell ref="D1487:E1487"/>
    <mergeCell ref="D1488:F1488"/>
    <mergeCell ref="D1489:E1489"/>
    <mergeCell ref="D1490:F1490"/>
    <mergeCell ref="D1491:F1491"/>
    <mergeCell ref="D1480:F1480"/>
    <mergeCell ref="D1481:F1481"/>
    <mergeCell ref="D1482:E1482"/>
    <mergeCell ref="D1483:F1483"/>
    <mergeCell ref="D1484:F1484"/>
    <mergeCell ref="D1485:E1485"/>
    <mergeCell ref="D1510:E1510"/>
    <mergeCell ref="D1511:F1511"/>
    <mergeCell ref="D1512:E1512"/>
    <mergeCell ref="D1513:F1513"/>
    <mergeCell ref="D1514:F1514"/>
    <mergeCell ref="D1515:E1515"/>
    <mergeCell ref="D1504:F1504"/>
    <mergeCell ref="D1505:E1505"/>
    <mergeCell ref="D1506:E1506"/>
    <mergeCell ref="D1507:F1507"/>
    <mergeCell ref="D1508:E1508"/>
    <mergeCell ref="D1509:F1509"/>
    <mergeCell ref="D1498:E1498"/>
    <mergeCell ref="D1499:F1499"/>
    <mergeCell ref="D1500:E1500"/>
    <mergeCell ref="D1501:F1501"/>
    <mergeCell ref="D1502:F1502"/>
    <mergeCell ref="D1503:E1503"/>
    <mergeCell ref="D1528:F1528"/>
    <mergeCell ref="D1529:E1529"/>
    <mergeCell ref="D1530:E1530"/>
    <mergeCell ref="D1531:F1531"/>
    <mergeCell ref="D1532:E1532"/>
    <mergeCell ref="D1533:F1533"/>
    <mergeCell ref="D1522:E1522"/>
    <mergeCell ref="D1523:F1523"/>
    <mergeCell ref="D1524:E1524"/>
    <mergeCell ref="D1525:F1525"/>
    <mergeCell ref="D1526:F1526"/>
    <mergeCell ref="D1527:E1527"/>
    <mergeCell ref="D1516:F1516"/>
    <mergeCell ref="D1517:F1517"/>
    <mergeCell ref="D1518:F1518"/>
    <mergeCell ref="D1519:E1519"/>
    <mergeCell ref="D1520:F1520"/>
    <mergeCell ref="D1521:F1521"/>
    <mergeCell ref="D1546:F1546"/>
    <mergeCell ref="D1547:E1547"/>
    <mergeCell ref="D1548:F1548"/>
    <mergeCell ref="D1549:E1549"/>
    <mergeCell ref="D1550:F1550"/>
    <mergeCell ref="D1551:F1551"/>
    <mergeCell ref="D1540:E1540"/>
    <mergeCell ref="D1541:E1541"/>
    <mergeCell ref="D1542:F1542"/>
    <mergeCell ref="D1543:F1543"/>
    <mergeCell ref="D1544:F1544"/>
    <mergeCell ref="D1545:E1545"/>
    <mergeCell ref="D1534:E1534"/>
    <mergeCell ref="D1535:F1535"/>
    <mergeCell ref="D1536:E1536"/>
    <mergeCell ref="D1537:F1537"/>
    <mergeCell ref="D1538:E1538"/>
    <mergeCell ref="D1539:F1539"/>
    <mergeCell ref="D1564:E1564"/>
    <mergeCell ref="D1565:F1565"/>
    <mergeCell ref="D1566:F1566"/>
    <mergeCell ref="D1567:E1567"/>
    <mergeCell ref="D1568:F1568"/>
    <mergeCell ref="D1569:E1569"/>
    <mergeCell ref="D1558:F1558"/>
    <mergeCell ref="D1559:E1559"/>
    <mergeCell ref="D1560:F1560"/>
    <mergeCell ref="D1561:E1561"/>
    <mergeCell ref="D1562:F1562"/>
    <mergeCell ref="D1563:F1563"/>
    <mergeCell ref="D1552:E1552"/>
    <mergeCell ref="D1553:F1553"/>
    <mergeCell ref="D1554:F1554"/>
    <mergeCell ref="D1555:F1555"/>
    <mergeCell ref="D1556:E1556"/>
    <mergeCell ref="D1557:F1557"/>
    <mergeCell ref="D1582:F1582"/>
    <mergeCell ref="D1583:E1583"/>
    <mergeCell ref="D1584:F1584"/>
    <mergeCell ref="D1585:F1585"/>
    <mergeCell ref="D1586:F1586"/>
    <mergeCell ref="D1587:E1587"/>
    <mergeCell ref="D1576:E1576"/>
    <mergeCell ref="D1577:F1577"/>
    <mergeCell ref="D1578:E1578"/>
    <mergeCell ref="D1579:F1579"/>
    <mergeCell ref="D1580:E1580"/>
    <mergeCell ref="D1581:E1581"/>
    <mergeCell ref="D1570:E1570"/>
    <mergeCell ref="D1571:F1571"/>
    <mergeCell ref="D1572:E1572"/>
    <mergeCell ref="D1573:F1573"/>
    <mergeCell ref="D1574:E1574"/>
    <mergeCell ref="D1575:F1575"/>
    <mergeCell ref="D1600:E1600"/>
    <mergeCell ref="D1601:E1601"/>
    <mergeCell ref="D1602:E1602"/>
    <mergeCell ref="D1603:E1603"/>
    <mergeCell ref="D1604:E1604"/>
    <mergeCell ref="D1605:E1605"/>
    <mergeCell ref="D1594:E1594"/>
    <mergeCell ref="D1595:E1595"/>
    <mergeCell ref="D1596:E1596"/>
    <mergeCell ref="D1597:E1597"/>
    <mergeCell ref="D1598:E1598"/>
    <mergeCell ref="D1599:E1599"/>
    <mergeCell ref="D1588:F1588"/>
    <mergeCell ref="D1589:E1589"/>
    <mergeCell ref="D1590:E1590"/>
    <mergeCell ref="D1591:E1591"/>
    <mergeCell ref="D1592:E1592"/>
    <mergeCell ref="D1593:E1593"/>
    <mergeCell ref="D1618:E1618"/>
    <mergeCell ref="D1619:E1619"/>
    <mergeCell ref="D1620:E1620"/>
    <mergeCell ref="D1621:E1621"/>
    <mergeCell ref="D1622:E1622"/>
    <mergeCell ref="D1623:E1623"/>
    <mergeCell ref="D1612:E1612"/>
    <mergeCell ref="D1613:E1613"/>
    <mergeCell ref="D1614:E1614"/>
    <mergeCell ref="D1615:E1615"/>
    <mergeCell ref="D1616:E1616"/>
    <mergeCell ref="D1617:E1617"/>
    <mergeCell ref="D1606:E1606"/>
    <mergeCell ref="D1607:E1607"/>
    <mergeCell ref="D1608:E1608"/>
    <mergeCell ref="D1609:E1609"/>
    <mergeCell ref="D1610:E1610"/>
    <mergeCell ref="D1611:E1611"/>
    <mergeCell ref="D1636:E1636"/>
    <mergeCell ref="D1637:E1637"/>
    <mergeCell ref="D1638:E1638"/>
    <mergeCell ref="D1639:E1639"/>
    <mergeCell ref="D1640:E1640"/>
    <mergeCell ref="D1641:E1641"/>
    <mergeCell ref="D1630:E1630"/>
    <mergeCell ref="D1631:E1631"/>
    <mergeCell ref="D1632:E1632"/>
    <mergeCell ref="D1633:E1633"/>
    <mergeCell ref="D1634:E1634"/>
    <mergeCell ref="D1635:E1635"/>
    <mergeCell ref="D1624:E1624"/>
    <mergeCell ref="D1625:E1625"/>
    <mergeCell ref="D1626:E1626"/>
    <mergeCell ref="D1627:E1627"/>
    <mergeCell ref="D1628:E1628"/>
    <mergeCell ref="D1629:E1629"/>
    <mergeCell ref="D1654:E1654"/>
    <mergeCell ref="D1655:E1655"/>
    <mergeCell ref="D1656:E1656"/>
    <mergeCell ref="D1657:E1657"/>
    <mergeCell ref="D1658:E1658"/>
    <mergeCell ref="D1659:E1659"/>
    <mergeCell ref="D1648:E1648"/>
    <mergeCell ref="D1649:E1649"/>
    <mergeCell ref="D1650:E1650"/>
    <mergeCell ref="D1651:E1651"/>
    <mergeCell ref="D1652:E1652"/>
    <mergeCell ref="D1653:E1653"/>
    <mergeCell ref="D1642:E1642"/>
    <mergeCell ref="D1643:E1643"/>
    <mergeCell ref="D1644:E1644"/>
    <mergeCell ref="D1645:E1645"/>
    <mergeCell ref="D1646:E1646"/>
    <mergeCell ref="D1647:E1647"/>
    <mergeCell ref="D1672:E1672"/>
    <mergeCell ref="D1673:E1673"/>
    <mergeCell ref="D1674:E1674"/>
    <mergeCell ref="D1675:E1675"/>
    <mergeCell ref="D1676:E1676"/>
    <mergeCell ref="D1677:E1677"/>
    <mergeCell ref="D1666:E1666"/>
    <mergeCell ref="D1667:E1667"/>
    <mergeCell ref="D1668:E1668"/>
    <mergeCell ref="D1669:E1669"/>
    <mergeCell ref="D1670:E1670"/>
    <mergeCell ref="D1671:E1671"/>
    <mergeCell ref="D1660:E1660"/>
    <mergeCell ref="D1661:E1661"/>
    <mergeCell ref="D1662:E1662"/>
    <mergeCell ref="D1663:E1663"/>
    <mergeCell ref="D1664:E1664"/>
    <mergeCell ref="D1665:E1665"/>
    <mergeCell ref="D1690:E1690"/>
    <mergeCell ref="D1691:E1691"/>
    <mergeCell ref="D1692:E1692"/>
    <mergeCell ref="D1693:E1693"/>
    <mergeCell ref="D1694:E1694"/>
    <mergeCell ref="D1695:E1695"/>
    <mergeCell ref="D1684:E1684"/>
    <mergeCell ref="D1685:E1685"/>
    <mergeCell ref="D1686:E1686"/>
    <mergeCell ref="D1687:E1687"/>
    <mergeCell ref="D1688:E1688"/>
    <mergeCell ref="D1689:E1689"/>
    <mergeCell ref="D1678:E1678"/>
    <mergeCell ref="D1679:E1679"/>
    <mergeCell ref="D1680:E1680"/>
    <mergeCell ref="D1681:E1681"/>
    <mergeCell ref="D1682:E1682"/>
    <mergeCell ref="D1683:E1683"/>
    <mergeCell ref="D1708:E1708"/>
    <mergeCell ref="D1709:E1709"/>
    <mergeCell ref="D1710:E1710"/>
    <mergeCell ref="D1711:E1711"/>
    <mergeCell ref="D1712:E1712"/>
    <mergeCell ref="D1713:E1713"/>
    <mergeCell ref="D1702:E1702"/>
    <mergeCell ref="D1703:E1703"/>
    <mergeCell ref="D1704:E1704"/>
    <mergeCell ref="D1705:E1705"/>
    <mergeCell ref="D1706:E1706"/>
    <mergeCell ref="D1707:E1707"/>
    <mergeCell ref="D1696:E1696"/>
    <mergeCell ref="D1697:E1697"/>
    <mergeCell ref="D1698:E1698"/>
    <mergeCell ref="D1699:E1699"/>
    <mergeCell ref="D1700:E1700"/>
    <mergeCell ref="D1701:E1701"/>
    <mergeCell ref="D1726:E1726"/>
    <mergeCell ref="D1727:E1727"/>
    <mergeCell ref="D1728:E1728"/>
    <mergeCell ref="D1729:E1729"/>
    <mergeCell ref="D1730:E1730"/>
    <mergeCell ref="D1731:E1731"/>
    <mergeCell ref="D1720:E1720"/>
    <mergeCell ref="D1721:E1721"/>
    <mergeCell ref="D1722:E1722"/>
    <mergeCell ref="D1723:E1723"/>
    <mergeCell ref="D1724:E1724"/>
    <mergeCell ref="D1725:E1725"/>
    <mergeCell ref="D1714:E1714"/>
    <mergeCell ref="D1715:E1715"/>
    <mergeCell ref="D1716:E1716"/>
    <mergeCell ref="D1717:E1717"/>
    <mergeCell ref="D1718:E1718"/>
    <mergeCell ref="D1719:E1719"/>
    <mergeCell ref="D1744:E1744"/>
    <mergeCell ref="D1745:E1745"/>
    <mergeCell ref="D1746:E1746"/>
    <mergeCell ref="D1747:E1747"/>
    <mergeCell ref="D1748:E1748"/>
    <mergeCell ref="D1749:E1749"/>
    <mergeCell ref="D1738:E1738"/>
    <mergeCell ref="D1739:E1739"/>
    <mergeCell ref="D1740:E1740"/>
    <mergeCell ref="D1741:E1741"/>
    <mergeCell ref="D1742:E1742"/>
    <mergeCell ref="D1743:E1743"/>
    <mergeCell ref="D1732:E1732"/>
    <mergeCell ref="D1733:E1733"/>
    <mergeCell ref="D1734:E1734"/>
    <mergeCell ref="D1735:E1735"/>
    <mergeCell ref="D1736:E1736"/>
    <mergeCell ref="D1737:E1737"/>
    <mergeCell ref="D1762:E1762"/>
    <mergeCell ref="D1763:E1763"/>
    <mergeCell ref="D1764:E1764"/>
    <mergeCell ref="D1765:E1765"/>
    <mergeCell ref="D1766:E1766"/>
    <mergeCell ref="D1767:E1767"/>
    <mergeCell ref="D1756:E1756"/>
    <mergeCell ref="D1757:E1757"/>
    <mergeCell ref="D1758:E1758"/>
    <mergeCell ref="D1759:E1759"/>
    <mergeCell ref="D1760:E1760"/>
    <mergeCell ref="D1761:E1761"/>
    <mergeCell ref="D1750:E1750"/>
    <mergeCell ref="D1751:E1751"/>
    <mergeCell ref="D1752:E1752"/>
    <mergeCell ref="D1753:E1753"/>
    <mergeCell ref="D1754:E1754"/>
    <mergeCell ref="D1755:E1755"/>
    <mergeCell ref="D1780:E1780"/>
    <mergeCell ref="D1781:E1781"/>
    <mergeCell ref="D1782:E1782"/>
    <mergeCell ref="D1783:E1783"/>
    <mergeCell ref="D1784:E1784"/>
    <mergeCell ref="D1785:E1785"/>
    <mergeCell ref="D1774:E1774"/>
    <mergeCell ref="D1775:E1775"/>
    <mergeCell ref="D1776:E1776"/>
    <mergeCell ref="D1777:E1777"/>
    <mergeCell ref="D1778:E1778"/>
    <mergeCell ref="D1779:E1779"/>
    <mergeCell ref="D1768:E1768"/>
    <mergeCell ref="D1769:E1769"/>
    <mergeCell ref="D1770:E1770"/>
    <mergeCell ref="D1771:E1771"/>
    <mergeCell ref="D1772:E1772"/>
    <mergeCell ref="D1773:E1773"/>
    <mergeCell ref="D1798:E1798"/>
    <mergeCell ref="D1799:E1799"/>
    <mergeCell ref="D1800:E1800"/>
    <mergeCell ref="D1801:E1801"/>
    <mergeCell ref="D1802:E1802"/>
    <mergeCell ref="D1803:E1803"/>
    <mergeCell ref="D1792:E1792"/>
    <mergeCell ref="D1793:E1793"/>
    <mergeCell ref="D1794:E1794"/>
    <mergeCell ref="D1795:E1795"/>
    <mergeCell ref="D1796:E1796"/>
    <mergeCell ref="D1797:E1797"/>
    <mergeCell ref="D1786:E1786"/>
    <mergeCell ref="D1787:E1787"/>
    <mergeCell ref="D1788:E1788"/>
    <mergeCell ref="D1789:E1789"/>
    <mergeCell ref="D1790:E1790"/>
    <mergeCell ref="D1791:E1791"/>
    <mergeCell ref="D1816:F1816"/>
    <mergeCell ref="D1817:E1817"/>
    <mergeCell ref="D1818:F1818"/>
    <mergeCell ref="D1819:E1819"/>
    <mergeCell ref="D1820:F1820"/>
    <mergeCell ref="A1823:G1823"/>
    <mergeCell ref="D1810:E1810"/>
    <mergeCell ref="D1811:E1811"/>
    <mergeCell ref="D1812:E1812"/>
    <mergeCell ref="D1813:F1813"/>
    <mergeCell ref="D1814:E1814"/>
    <mergeCell ref="D1815:E1815"/>
    <mergeCell ref="D1804:E1804"/>
    <mergeCell ref="D1805:E1805"/>
    <mergeCell ref="D1806:E1806"/>
    <mergeCell ref="D1807:E1807"/>
    <mergeCell ref="D1808:E1808"/>
    <mergeCell ref="D1809:E1809"/>
  </mergeCells>
  <pageMargins left="0.39400000000000002" right="0.39400000000000002" top="0.59099999999999997" bottom="0.59099999999999997" header="0.5" footer="0.5"/>
  <pageSetup paperSize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 rozpočtu</vt:lpstr>
      <vt:lpstr>Stavební rozpočet - součet</vt:lpstr>
      <vt:lpstr>Stavební rozpočet</vt:lpstr>
      <vt:lpstr>Výkaz výměr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Hefner</dc:creator>
  <cp:lastModifiedBy>Ing. Miroslav Fejfar</cp:lastModifiedBy>
  <dcterms:created xsi:type="dcterms:W3CDTF">2020-04-27T17:41:57Z</dcterms:created>
  <dcterms:modified xsi:type="dcterms:W3CDTF">2020-05-18T10:20:02Z</dcterms:modified>
</cp:coreProperties>
</file>