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xr:revisionPtr revIDLastSave="0" documentId="13_ncr:9_{005BB785-E319-4620-B269-B84C4C00C218}" xr6:coauthVersionLast="47" xr6:coauthVersionMax="47" xr10:uidLastSave="{00000000-0000-0000-0000-000000000000}"/>
  <bookViews>
    <workbookView xWindow="-120" yWindow="-120" windowWidth="29040" windowHeight="15720" xr2:uid="{BD4AD7E0-C457-4853-882D-20A933017840}"/>
  </bookViews>
  <sheets>
    <sheet name="Rekapitulace stavby" sheetId="1" r:id="rId1"/>
    <sheet name="Srby - Oprava komun..." sheetId="2" r:id="rId2"/>
  </sheets>
  <definedNames>
    <definedName name="_xlnm._FilterDatabase" localSheetId="1" hidden="1">'Srby - Oprava komun...'!$E$1:$E$162</definedName>
    <definedName name="_xlnm.Print_Area" localSheetId="0">'Rekapitulace stavby'!$B$3:$AQ$52</definedName>
    <definedName name="_xlnm.Print_Area" localSheetId="1">'Srby - Oprava komun...'!$B$66:$R$162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0" i="1" l="1"/>
  <c r="BK159" i="2"/>
  <c r="BK122" i="2"/>
  <c r="BI122" i="2"/>
  <c r="BH122" i="2"/>
  <c r="BG122" i="2"/>
  <c r="BF122" i="2"/>
  <c r="AA122" i="2"/>
  <c r="Y122" i="2"/>
  <c r="N122" i="2"/>
  <c r="Y153" i="2"/>
  <c r="Y152" i="2"/>
  <c r="K150" i="2"/>
  <c r="Y150" i="2" s="1"/>
  <c r="N150" i="2"/>
  <c r="BE150" i="2"/>
  <c r="K148" i="2"/>
  <c r="BK148" i="2" s="1"/>
  <c r="AA148" i="2"/>
  <c r="K140" i="2"/>
  <c r="BK140" i="2" s="1"/>
  <c r="N140" i="2"/>
  <c r="BE140" i="2" s="1"/>
  <c r="K144" i="2"/>
  <c r="K142" i="2"/>
  <c r="AA142" i="2"/>
  <c r="K147" i="2"/>
  <c r="K145" i="2"/>
  <c r="AA145" i="2" s="1"/>
  <c r="BK145" i="2"/>
  <c r="N145" i="2"/>
  <c r="BE145" i="2"/>
  <c r="K111" i="2"/>
  <c r="BK111" i="2" s="1"/>
  <c r="K102" i="2"/>
  <c r="K104" i="2"/>
  <c r="K108" i="2" s="1"/>
  <c r="K97" i="2"/>
  <c r="BK97" i="2" s="1"/>
  <c r="N97" i="2"/>
  <c r="BE97" i="2"/>
  <c r="Y97" i="2"/>
  <c r="K89" i="2"/>
  <c r="BK89" i="2" s="1"/>
  <c r="K91" i="2"/>
  <c r="Y91" i="2" s="1"/>
  <c r="N87" i="2"/>
  <c r="BE87" i="2"/>
  <c r="K83" i="2"/>
  <c r="AA83" i="2"/>
  <c r="BK83" i="2"/>
  <c r="N124" i="2"/>
  <c r="BK124" i="2"/>
  <c r="BI124" i="2"/>
  <c r="BH124" i="2"/>
  <c r="BG124" i="2"/>
  <c r="BF124" i="2"/>
  <c r="AA124" i="2"/>
  <c r="Y124" i="2"/>
  <c r="F6" i="2"/>
  <c r="F41" i="2" s="1"/>
  <c r="O10" i="2"/>
  <c r="M44" i="2" s="1"/>
  <c r="M72" i="2"/>
  <c r="O12" i="2"/>
  <c r="E13" i="2"/>
  <c r="F46" i="2" s="1"/>
  <c r="F74" i="2"/>
  <c r="O13" i="2"/>
  <c r="O15" i="2"/>
  <c r="E16" i="2"/>
  <c r="F47" i="2" s="1"/>
  <c r="F75" i="2"/>
  <c r="O16" i="2"/>
  <c r="O18" i="2"/>
  <c r="E19" i="2"/>
  <c r="M46" i="2" s="1"/>
  <c r="M74" i="2"/>
  <c r="O19" i="2"/>
  <c r="F42" i="2"/>
  <c r="F44" i="2"/>
  <c r="F70" i="2"/>
  <c r="F72" i="2"/>
  <c r="W80" i="2"/>
  <c r="W79" i="2" s="1"/>
  <c r="W78" i="2" s="1"/>
  <c r="AU50" i="1" s="1"/>
  <c r="AU49" i="1" s="1"/>
  <c r="N81" i="2"/>
  <c r="BE81" i="2"/>
  <c r="Y81" i="2"/>
  <c r="AA81" i="2"/>
  <c r="K135" i="2" s="1"/>
  <c r="BF81" i="2"/>
  <c r="BG81" i="2"/>
  <c r="BH81" i="2"/>
  <c r="BI81" i="2"/>
  <c r="BK81" i="2"/>
  <c r="BF83" i="2"/>
  <c r="BG83" i="2"/>
  <c r="BH83" i="2"/>
  <c r="BI83" i="2"/>
  <c r="N85" i="2"/>
  <c r="BE85" i="2"/>
  <c r="Y85" i="2"/>
  <c r="AA85" i="2"/>
  <c r="K133" i="2"/>
  <c r="K131" i="2" s="1"/>
  <c r="AA133" i="2"/>
  <c r="BF85" i="2"/>
  <c r="BG85" i="2"/>
  <c r="BH85" i="2"/>
  <c r="BI85" i="2"/>
  <c r="BK85" i="2"/>
  <c r="AA87" i="2"/>
  <c r="BF87" i="2"/>
  <c r="BG87" i="2"/>
  <c r="BH87" i="2"/>
  <c r="BI87" i="2"/>
  <c r="BK87" i="2"/>
  <c r="BF89" i="2"/>
  <c r="BG89" i="2"/>
  <c r="BH89" i="2"/>
  <c r="BI89" i="2"/>
  <c r="BF91" i="2"/>
  <c r="BG91" i="2"/>
  <c r="BH91" i="2"/>
  <c r="BI91" i="2"/>
  <c r="N93" i="2"/>
  <c r="BE93" i="2" s="1"/>
  <c r="Y93" i="2"/>
  <c r="AA93" i="2"/>
  <c r="BF93" i="2"/>
  <c r="BG93" i="2"/>
  <c r="BH93" i="2"/>
  <c r="BI93" i="2"/>
  <c r="BK93" i="2"/>
  <c r="BF95" i="2"/>
  <c r="BG95" i="2"/>
  <c r="BH95" i="2"/>
  <c r="BI95" i="2"/>
  <c r="BF97" i="2"/>
  <c r="BG97" i="2"/>
  <c r="BH97" i="2"/>
  <c r="BI97" i="2"/>
  <c r="N99" i="2"/>
  <c r="BE99" i="2" s="1"/>
  <c r="Y99" i="2"/>
  <c r="AA99" i="2"/>
  <c r="BF99" i="2"/>
  <c r="BG99" i="2"/>
  <c r="BH99" i="2"/>
  <c r="BI99" i="2"/>
  <c r="BK99" i="2"/>
  <c r="W101" i="2"/>
  <c r="BF102" i="2"/>
  <c r="BG102" i="2"/>
  <c r="BH102" i="2"/>
  <c r="BI102" i="2"/>
  <c r="BF104" i="2"/>
  <c r="BG104" i="2"/>
  <c r="BH104" i="2"/>
  <c r="BI104" i="2"/>
  <c r="BF106" i="2"/>
  <c r="BG106" i="2"/>
  <c r="BH106" i="2"/>
  <c r="BI106" i="2"/>
  <c r="BF108" i="2"/>
  <c r="BG108" i="2"/>
  <c r="BH108" i="2"/>
  <c r="BI108" i="2"/>
  <c r="W110" i="2"/>
  <c r="BF111" i="2"/>
  <c r="BG111" i="2"/>
  <c r="BH111" i="2"/>
  <c r="BI111" i="2"/>
  <c r="BF113" i="2"/>
  <c r="BG113" i="2"/>
  <c r="BH113" i="2"/>
  <c r="BI113" i="2"/>
  <c r="BF115" i="2"/>
  <c r="BG115" i="2"/>
  <c r="BH115" i="2"/>
  <c r="BI115" i="2"/>
  <c r="W117" i="2"/>
  <c r="N118" i="2"/>
  <c r="BE118" i="2" s="1"/>
  <c r="Y118" i="2"/>
  <c r="AA118" i="2"/>
  <c r="BF118" i="2"/>
  <c r="BG118" i="2"/>
  <c r="BH118" i="2"/>
  <c r="BI118" i="2"/>
  <c r="BK118" i="2"/>
  <c r="BK117" i="2"/>
  <c r="N117" i="2" s="1"/>
  <c r="N56" i="2" s="1"/>
  <c r="N120" i="2"/>
  <c r="BE122" i="2" s="1"/>
  <c r="BE124" i="2"/>
  <c r="Y120" i="2"/>
  <c r="Y117" i="2"/>
  <c r="AA120" i="2"/>
  <c r="AA117" i="2" s="1"/>
  <c r="BF120" i="2"/>
  <c r="BG120" i="2"/>
  <c r="BH120" i="2"/>
  <c r="BI120" i="2"/>
  <c r="BK120" i="2"/>
  <c r="W126" i="2"/>
  <c r="BF127" i="2"/>
  <c r="BG127" i="2"/>
  <c r="BH127" i="2"/>
  <c r="BI127" i="2"/>
  <c r="BF129" i="2"/>
  <c r="BG129" i="2"/>
  <c r="BH129" i="2"/>
  <c r="BI129" i="2"/>
  <c r="BF131" i="2"/>
  <c r="BG131" i="2"/>
  <c r="BH131" i="2"/>
  <c r="BI131" i="2"/>
  <c r="BF133" i="2"/>
  <c r="BG133" i="2"/>
  <c r="BH133" i="2"/>
  <c r="BI133" i="2"/>
  <c r="BF135" i="2"/>
  <c r="BG135" i="2"/>
  <c r="BH135" i="2"/>
  <c r="BI135" i="2"/>
  <c r="N138" i="2"/>
  <c r="BE138" i="2"/>
  <c r="Y138" i="2"/>
  <c r="AA138" i="2"/>
  <c r="BF138" i="2"/>
  <c r="BG138" i="2"/>
  <c r="BH138" i="2"/>
  <c r="BI138" i="2"/>
  <c r="BK138" i="2"/>
  <c r="BF140" i="2"/>
  <c r="BG140" i="2"/>
  <c r="BH140" i="2"/>
  <c r="BI140" i="2"/>
  <c r="BF142" i="2"/>
  <c r="BG142" i="2"/>
  <c r="BH142" i="2"/>
  <c r="BI142" i="2"/>
  <c r="BF145" i="2"/>
  <c r="BG145" i="2"/>
  <c r="BH145" i="2"/>
  <c r="BI145" i="2"/>
  <c r="BF148" i="2"/>
  <c r="BG148" i="2"/>
  <c r="BH148" i="2"/>
  <c r="BI148" i="2"/>
  <c r="BF150" i="2"/>
  <c r="BG150" i="2"/>
  <c r="BH150" i="2"/>
  <c r="BI150" i="2"/>
  <c r="W152" i="2"/>
  <c r="BF153" i="2"/>
  <c r="BG153" i="2"/>
  <c r="BH153" i="2"/>
  <c r="BI153" i="2"/>
  <c r="W155" i="2"/>
  <c r="N156" i="2"/>
  <c r="BE156" i="2"/>
  <c r="Y156" i="2"/>
  <c r="Y155" i="2"/>
  <c r="AA156" i="2"/>
  <c r="AA155" i="2"/>
  <c r="BF156" i="2"/>
  <c r="BG156" i="2"/>
  <c r="BH156" i="2"/>
  <c r="BI156" i="2"/>
  <c r="BK156" i="2"/>
  <c r="BK155" i="2"/>
  <c r="N155" i="2" s="1"/>
  <c r="N59" i="2" s="1"/>
  <c r="W158" i="2"/>
  <c r="Y159" i="2"/>
  <c r="Y158" i="2"/>
  <c r="AA159" i="2"/>
  <c r="AA158" i="2"/>
  <c r="BF159" i="2"/>
  <c r="BG159" i="2"/>
  <c r="BH159" i="2"/>
  <c r="BI159" i="2"/>
  <c r="N161" i="2"/>
  <c r="BE161" i="2"/>
  <c r="Y161" i="2"/>
  <c r="AA161" i="2"/>
  <c r="BF161" i="2"/>
  <c r="BG161" i="2"/>
  <c r="BH161" i="2"/>
  <c r="BI161" i="2"/>
  <c r="BK161" i="2"/>
  <c r="L40" i="1"/>
  <c r="L42" i="1"/>
  <c r="AM42" i="1"/>
  <c r="L44" i="1"/>
  <c r="AM44" i="1"/>
  <c r="L45" i="1"/>
  <c r="AS49" i="1"/>
  <c r="AX50" i="1"/>
  <c r="AY50" i="1"/>
  <c r="N159" i="2"/>
  <c r="BE159" i="2"/>
  <c r="BK142" i="2"/>
  <c r="N142" i="2"/>
  <c r="BE142" i="2"/>
  <c r="Y142" i="2"/>
  <c r="AA89" i="2"/>
  <c r="K95" i="2"/>
  <c r="BK95" i="2" s="1"/>
  <c r="Y87" i="2"/>
  <c r="N83" i="2"/>
  <c r="BE83" i="2"/>
  <c r="Y83" i="2"/>
  <c r="N148" i="2"/>
  <c r="BE148" i="2"/>
  <c r="BK133" i="2"/>
  <c r="Y133" i="2"/>
  <c r="Y140" i="2"/>
  <c r="N133" i="2"/>
  <c r="BE133" i="2"/>
  <c r="AA140" i="2"/>
  <c r="F69" i="2"/>
  <c r="BK91" i="2"/>
  <c r="Y104" i="2"/>
  <c r="AA104" i="2"/>
  <c r="N102" i="2"/>
  <c r="BE102" i="2"/>
  <c r="AA153" i="2"/>
  <c r="AA152" i="2"/>
  <c r="Y102" i="2"/>
  <c r="BK102" i="2"/>
  <c r="N153" i="2"/>
  <c r="BE153" i="2"/>
  <c r="AA102" i="2"/>
  <c r="K113" i="2"/>
  <c r="N113" i="2" s="1"/>
  <c r="BE113" i="2" s="1"/>
  <c r="Y145" i="2"/>
  <c r="BK153" i="2"/>
  <c r="BK152" i="2"/>
  <c r="N152" i="2"/>
  <c r="N58" i="2" s="1"/>
  <c r="BK158" i="2" l="1"/>
  <c r="N158" i="2" s="1"/>
  <c r="N60" i="2" s="1"/>
  <c r="BE120" i="2"/>
  <c r="H31" i="2"/>
  <c r="BD50" i="1" s="1"/>
  <c r="BD49" i="1" s="1"/>
  <c r="W29" i="1" s="1"/>
  <c r="H29" i="2"/>
  <c r="BB50" i="1" s="1"/>
  <c r="BB49" i="1" s="1"/>
  <c r="AX49" i="1" s="1"/>
  <c r="M28" i="2"/>
  <c r="AW50" i="1" s="1"/>
  <c r="H30" i="2"/>
  <c r="BC50" i="1" s="1"/>
  <c r="BC49" i="1" s="1"/>
  <c r="AY49" i="1" s="1"/>
  <c r="BK135" i="2"/>
  <c r="Y135" i="2"/>
  <c r="AA135" i="2"/>
  <c r="N135" i="2"/>
  <c r="BE135" i="2" s="1"/>
  <c r="N108" i="2"/>
  <c r="BE108" i="2" s="1"/>
  <c r="Y108" i="2"/>
  <c r="BK108" i="2"/>
  <c r="AA108" i="2"/>
  <c r="Y131" i="2"/>
  <c r="BK131" i="2"/>
  <c r="N131" i="2"/>
  <c r="BE131" i="2" s="1"/>
  <c r="K127" i="2"/>
  <c r="AA131" i="2"/>
  <c r="BK80" i="2"/>
  <c r="AA91" i="2"/>
  <c r="BK113" i="2"/>
  <c r="N91" i="2"/>
  <c r="BE91" i="2" s="1"/>
  <c r="Y89" i="2"/>
  <c r="Y80" i="2" s="1"/>
  <c r="K115" i="2"/>
  <c r="Y113" i="2"/>
  <c r="AA113" i="2"/>
  <c r="Y111" i="2"/>
  <c r="H28" i="2"/>
  <c r="BA50" i="1" s="1"/>
  <c r="BA49" i="1" s="1"/>
  <c r="AA111" i="2"/>
  <c r="N111" i="2"/>
  <c r="BE111" i="2" s="1"/>
  <c r="N95" i="2"/>
  <c r="BE95" i="2" s="1"/>
  <c r="AA95" i="2"/>
  <c r="AA80" i="2" s="1"/>
  <c r="Y95" i="2"/>
  <c r="Y148" i="2"/>
  <c r="N89" i="2"/>
  <c r="BE89" i="2" s="1"/>
  <c r="N104" i="2"/>
  <c r="BE104" i="2" s="1"/>
  <c r="K106" i="2"/>
  <c r="AA150" i="2"/>
  <c r="AA97" i="2"/>
  <c r="BK104" i="2"/>
  <c r="BK150" i="2"/>
  <c r="W27" i="1" l="1"/>
  <c r="W28" i="1"/>
  <c r="BK127" i="2"/>
  <c r="AA127" i="2"/>
  <c r="Y127" i="2"/>
  <c r="K129" i="2"/>
  <c r="N127" i="2"/>
  <c r="BE127" i="2" s="1"/>
  <c r="AW49" i="1"/>
  <c r="AK26" i="1" s="1"/>
  <c r="W26" i="1"/>
  <c r="N115" i="2"/>
  <c r="BE115" i="2" s="1"/>
  <c r="BK115" i="2"/>
  <c r="BK110" i="2" s="1"/>
  <c r="N110" i="2" s="1"/>
  <c r="N55" i="2" s="1"/>
  <c r="AA115" i="2"/>
  <c r="AA110" i="2" s="1"/>
  <c r="Y115" i="2"/>
  <c r="Y110" i="2" s="1"/>
  <c r="Y106" i="2"/>
  <c r="Y101" i="2" s="1"/>
  <c r="BK106" i="2"/>
  <c r="BK101" i="2" s="1"/>
  <c r="N101" i="2" s="1"/>
  <c r="AA106" i="2"/>
  <c r="AA101" i="2" s="1"/>
  <c r="N106" i="2"/>
  <c r="BE106" i="2" s="1"/>
  <c r="N80" i="2"/>
  <c r="N53" i="2" s="1"/>
  <c r="N54" i="2" l="1"/>
  <c r="Y129" i="2"/>
  <c r="BK129" i="2"/>
  <c r="AA129" i="2"/>
  <c r="AA126" i="2" s="1"/>
  <c r="AA79" i="2" s="1"/>
  <c r="AA78" i="2" s="1"/>
  <c r="N129" i="2"/>
  <c r="BE129" i="2" s="1"/>
  <c r="Y126" i="2"/>
  <c r="Y79" i="2" s="1"/>
  <c r="Y78" i="2" s="1"/>
  <c r="BK126" i="2"/>
  <c r="N126" i="2" l="1"/>
  <c r="BK79" i="2"/>
  <c r="BK78" i="2" s="1"/>
  <c r="N57" i="2" l="1"/>
  <c r="N52" i="2" s="1"/>
  <c r="N79" i="2"/>
  <c r="N78" i="2" s="1"/>
  <c r="AG50" i="1" l="1"/>
  <c r="N51" i="2"/>
  <c r="M25" i="2" s="1"/>
  <c r="H27" i="2" s="1"/>
  <c r="M27" i="2" l="1"/>
  <c r="AZ50" i="1"/>
  <c r="AZ49" i="1" s="1"/>
  <c r="AV49" i="1" s="1"/>
  <c r="AT49" i="1" s="1"/>
  <c r="AN50" i="1"/>
  <c r="AN49" i="1" s="1"/>
  <c r="AG49" i="1"/>
  <c r="AK23" i="1" s="1"/>
  <c r="W25" i="1" s="1"/>
  <c r="AK25" i="1" s="1"/>
  <c r="AK31" i="1" s="1"/>
  <c r="AV50" i="1" l="1"/>
  <c r="AT50" i="1" s="1"/>
  <c r="L33" i="2"/>
</calcChain>
</file>

<file path=xl/sharedStrings.xml><?xml version="1.0" encoding="utf-8"?>
<sst xmlns="http://schemas.openxmlformats.org/spreadsheetml/2006/main" count="795" uniqueCount="245">
  <si>
    <t>Export VZ</t>
  </si>
  <si>
    <t>List obsahuje:</t>
  </si>
  <si>
    <t>1.0</t>
  </si>
  <si>
    <t>False</t>
  </si>
  <si>
    <t>{68C5B7BF-8FA7-4561-AA18-02075CDF743F}</t>
  </si>
  <si>
    <t>optimalizováno pro tisk sestav ve formátu A4 - na výšku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</si>
  <si>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</si>
  <si>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</si>
  <si>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</si>
  <si>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</si>
  <si>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</si>
  <si>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</si>
  <si>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</si>
  <si>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</si>
  <si>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Měnit lze pouze buňky se žlutým podbarvením!
1) v Rekapitulaci stavby vyplňte údaje o Uchazeči (přenesou se do ostatních sestav i v jiných listech)
2) na vybraných listech vyplňte v sestavě Soupis prací ceny u položek
Podrobnosti k vyplnění naleznete na poslední záložce s Pokyny pro vyplnění</t>
  </si>
  <si>
    <t>Stavba:</t>
  </si>
  <si>
    <t>0,1</t>
  </si>
  <si>
    <t>1</t>
  </si>
  <si>
    <t>Místo:</t>
  </si>
  <si>
    <t xml:space="preserve"> </t>
  </si>
  <si>
    <t>Datum:</t>
  </si>
  <si>
    <t>10</t>
  </si>
  <si>
    <t>100</t>
  </si>
  <si>
    <t>Zadavatel:</t>
  </si>
  <si>
    <t>IČ:</t>
  </si>
  <si>
    <t>DIČ:</t>
  </si>
  <si>
    <t>Uchazeč:</t>
  </si>
  <si>
    <t>Vyplň údaj</t>
  </si>
  <si>
    <t>Projektant:</t>
  </si>
  <si>
    <t>True</t>
  </si>
  <si>
    <t>Poznámka: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</si>
  <si>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</si>
  <si>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</si>
  <si>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</si>
  <si>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</si>
  <si>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</si>
  <si>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</si>
  <si>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</si>
  <si>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</si>
  <si>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</si>
  <si>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</si>
  <si>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</si>
  <si>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</si>
  <si>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</si>
  <si>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</si>
  <si>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</si>
  <si>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</si>
  <si>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</si>
  <si>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</si>
  <si>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
náklady [CZK]</t>
  </si>
  <si>
    <t>DPH [CZK]</t>
  </si>
  <si>
    <t>Normohodiny [h]</t>
  </si>
  <si>
    <t>DPH základní [CZK]</t>
  </si>
  <si>
    <t>DPH snížená [CZK]</t>
  </si>
  <si>
    <t>DPH základní přenesená
[CZK]</t>
  </si>
  <si>
    <t>DPH snížená přenesená
[CZK]</t>
  </si>
  <si>
    <t>Základna
DPH základní</t>
  </si>
  <si>
    <t>Základna
DPH snížená</t>
  </si>
  <si>
    <t>Základna
DPH zákl. přenesená</t>
  </si>
  <si>
    <t>Základna
DPH sníž. přenesená</t>
  </si>
  <si>
    <t>Základna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</si>
  <si>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</si>
  <si>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</si>
  <si>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</si>
  <si>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</si>
  <si>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</si>
  <si>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</si>
  <si>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STA</t>
  </si>
  <si>
    <t>{609B3B61-937F-4E70-944A-D27A25C0F78B}</t>
  </si>
  <si>
    <t>2</t>
  </si>
  <si>
    <t>Zpět na list:</t>
  </si>
  <si>
    <t>KRYCÍ LIST SOUPISU</t>
  </si>
  <si>
    <t>Objekt:</t>
  </si>
  <si>
    <t>KSO:</t>
  </si>
  <si>
    <t>REKAPITULACE ČLENĚNÍ SOUPISU PRACÍ</t>
  </si>
  <si>
    <t>Kód dílu - Popis</t>
  </si>
  <si>
    <t>Cena celkem [CZK]</t>
  </si>
  <si>
    <t>Náklady soupisu celkem</t>
  </si>
  <si>
    <t>-1</t>
  </si>
  <si>
    <t xml:space="preserve">    001 - Zemní práce</t>
  </si>
  <si>
    <t xml:space="preserve">    005a - Nová konstrukce vozovky</t>
  </si>
  <si>
    <t xml:space="preserve">    005c - Nová konstrukce vjezdu</t>
  </si>
  <si>
    <t xml:space="preserve">    008 - Trubní vedení</t>
  </si>
  <si>
    <t xml:space="preserve">    009 - Ostatní konstrukce a práce</t>
  </si>
  <si>
    <t xml:space="preserve">    099 - Přesun hmot HSV</t>
  </si>
  <si>
    <t xml:space="preserve">    V01 - Průzkumné, geodetické a projektové práce</t>
  </si>
  <si>
    <t xml:space="preserve">    VRN - Vedlejší rozpočtové náklady</t>
  </si>
  <si>
    <t>SOUPIS PRACÍ</t>
  </si>
  <si>
    <t>PČ</t>
  </si>
  <si>
    <t>Popis</t>
  </si>
  <si>
    <t>MJ</t>
  </si>
  <si>
    <t>Množství</t>
  </si>
  <si>
    <t>J.cena [CZK]</t>
  </si>
  <si>
    <t>Cena celkem
[CZK]</t>
  </si>
  <si>
    <t>Cenová soustava</t>
  </si>
  <si>
    <t>Poznámka</t>
  </si>
  <si>
    <t>J. Nh [h]</t>
  </si>
  <si>
    <t>Nh celkem [h]</t>
  </si>
  <si>
    <t>J. hmotnost
[t]</t>
  </si>
  <si>
    <t>Hmotnost
celkem [t]</t>
  </si>
  <si>
    <t>J. suť [t]</t>
  </si>
  <si>
    <t>Suť Celkem [t]</t>
  </si>
  <si>
    <t>ROZPOCET</t>
  </si>
  <si>
    <t>K</t>
  </si>
  <si>
    <t>113151214</t>
  </si>
  <si>
    <t>Odstranění živičného krytu frézováním pl přes 500 m2 tl 50 mm bez překážek v trase s naložením</t>
  </si>
  <si>
    <t>m2</t>
  </si>
  <si>
    <t>4</t>
  </si>
  <si>
    <t>PP</t>
  </si>
  <si>
    <t>VV</t>
  </si>
  <si>
    <t>113107241</t>
  </si>
  <si>
    <t>Odstranění podkladu pl přes 200 m2 živičných tl 50 mm</t>
  </si>
  <si>
    <t>Odstranění podkladů nebo krytů s přemístěním hmot na skládku na vzdálenost do 20 m nebo s naložením na dopravní prostředek v ploše jednotlivě přes 200 m2 živičných, o tl. vrstvy do 50 mm</t>
  </si>
  <si>
    <t>113107030</t>
  </si>
  <si>
    <t>Odstranění podkladu plochy do 15 m2 z betonu prostého tl 100 mm při překopech inž sítí</t>
  </si>
  <si>
    <t>7</t>
  </si>
  <si>
    <t>Odstranění podkladů nebo krytů při překopech inženýrských sítí v ploše jednotlivě do 15 m2 s přemístěním hmot na skládku ve vzdálenosti do 3 m nebo s naložením na dopravní prostředek z betonu prostého, o tl. vrstvy do 100 mm</t>
  </si>
  <si>
    <t>m</t>
  </si>
  <si>
    <t>m3</t>
  </si>
  <si>
    <t>122202201</t>
  </si>
  <si>
    <t>Odkopávky a prokopávky nezapažené pro silnice objemu do 100 m3 v hornině tř. 3</t>
  </si>
  <si>
    <t>11</t>
  </si>
  <si>
    <t>Odkopávky a prokopávky nezapažené pro silnice s přemístěním výkopku v příčných profilech na vzdálenost do 15 m nebo s naložením na dopravní prostředek v hornině tř. 3 do 100 m3</t>
  </si>
  <si>
    <t>162701105</t>
  </si>
  <si>
    <t>Vodorovné přemístění do 10000 m výkopku/sypaniny z horniny tř. 1 až 4</t>
  </si>
  <si>
    <t>12</t>
  </si>
  <si>
    <t>Vodorovné přemístění výkopku nebo sypaniny po suchu na obvyklém dopravním prostředku, bez naložení výkopku, avšak se složením bez rozhrnutí z horniny tř. 1 až 4 na vzdálenost přes 9 000 do 10 000 m</t>
  </si>
  <si>
    <t>162701109</t>
  </si>
  <si>
    <t>Příplatek k vodorovnému přemístění výkopku/sypaniny z horniny tř. 1 až 4 ZKD 1000 m přes 10000 m</t>
  </si>
  <si>
    <t>13</t>
  </si>
  <si>
    <t>Vodorovné přemístění výkopku nebo sypaniny po suchu na obvyklém dopravním prostředku, bez naložení výkopku, avšak se složením bez rozhrnutí z horniny tř. 1 až 4 na vzdálenost Příplatek k ceně za každých dalších i započatých 1 000 m</t>
  </si>
  <si>
    <t>171201201</t>
  </si>
  <si>
    <t>Uložení sypaniny na skládky</t>
  </si>
  <si>
    <t>14</t>
  </si>
  <si>
    <t>171201211</t>
  </si>
  <si>
    <t>Poplatek za uložení odpadu ze sypaniny na skládce (skládkovné)</t>
  </si>
  <si>
    <t>t</t>
  </si>
  <si>
    <t>Uložení sypaniny poplatek za uložení sypaniny na skládce ( skládkovné )</t>
  </si>
  <si>
    <t>kus</t>
  </si>
  <si>
    <t>181102302</t>
  </si>
  <si>
    <t>Úprava pláně v zářezech se zhutněním</t>
  </si>
  <si>
    <t>23</t>
  </si>
  <si>
    <t>Úprava pláně na stavbách dálnic v zářezech mimo skalních se zhutněním</t>
  </si>
  <si>
    <t>181301102</t>
  </si>
  <si>
    <t>Rozprostření ornice tl vrstvy do 150 mm pl do 500 m2 v rovině nebo ve svahu do 1:5</t>
  </si>
  <si>
    <t>24</t>
  </si>
  <si>
    <t>Rozprostření a urovnání ornice v rovině nebo ve svahu sklonu do 1 : 5 při souvislé ploše do 500 m2, tl. vrstvy přes 100 do 150 mm</t>
  </si>
  <si>
    <t>kpl</t>
  </si>
  <si>
    <t>27</t>
  </si>
  <si>
    <t>565155121</t>
  </si>
  <si>
    <t>Asfaltový beton vrstva podkladní ACP 16 (obalované kamenivo OKS) tl 70 mm š přes 3 m</t>
  </si>
  <si>
    <t>28</t>
  </si>
  <si>
    <t>Asfaltový beton vrstva podkladní ACP 16 (obalované kamenivo střednězrnné - OKS) s rozprostřením a zhutněním v pruhu šířky přes 3 m, po zhutnění tl. 70 mm</t>
  </si>
  <si>
    <t>573211111</t>
  </si>
  <si>
    <t>Postřik živičný spojovací z asfaltu v množství do 0,70 kg/m2</t>
  </si>
  <si>
    <t>29</t>
  </si>
  <si>
    <t>Postřik živičný spojovací bez posypu kamenivem z asfaltu silničního, v množství od 0,50 do 0,70 kg/m2</t>
  </si>
  <si>
    <t>577144121</t>
  </si>
  <si>
    <t>Asfaltový beton vrstva obrusná ACO 11 (ABS) tř. I tl 50 mm š přes 3 m z nemodifikovaného asfaltu</t>
  </si>
  <si>
    <t>30</t>
  </si>
  <si>
    <t>Asfaltový beton vrstva obrusná ACO 11 (ABS) s rozprostřením a se zhutněním z nemodifikovaného asfaltu v pruhu šířky přes 3 m tř. I, po zhutnění tl. 50 mm</t>
  </si>
  <si>
    <t>564861111</t>
  </si>
  <si>
    <t>Podklad ze štěrkodrtě ŠD tl 200 mm</t>
  </si>
  <si>
    <t>Podklad ze štěrkodrti ŠD s rozprostřením a zhutněním, po zhutnění tl. 200 mm</t>
  </si>
  <si>
    <t>35</t>
  </si>
  <si>
    <t>596211211</t>
  </si>
  <si>
    <t>Kladení zámkové dlažby komunikací pro pěší tl 80 mm skupiny A pl do 100 m2</t>
  </si>
  <si>
    <t>36</t>
  </si>
  <si>
    <t>Kladení dlažby z betonových zámkových dlaždic komunikací pro pěší s ložem z kameniva těženého nebo drceného tl. do 40 mm, s vyplněním spár s dvojitým hutněním, vibrováním a se smetením přebytečného materiálu na krajnici tl. 80 mm skupiny A, pro plochy přes 50 do 100 m2</t>
  </si>
  <si>
    <t>59245311</t>
  </si>
  <si>
    <t>Dlažba betonová 20 x 10 x 8 cm přírodní</t>
  </si>
  <si>
    <t>37</t>
  </si>
  <si>
    <t>802</t>
  </si>
  <si>
    <t>40</t>
  </si>
  <si>
    <t>804</t>
  </si>
  <si>
    <t>Usazení kanalizačního poklopu do výšky nové vozovky</t>
  </si>
  <si>
    <t>42</t>
  </si>
  <si>
    <t>979082113</t>
  </si>
  <si>
    <t>Vodorovná doprava suti po suchu na vzdálenost do 1000 m</t>
  </si>
  <si>
    <t>43</t>
  </si>
  <si>
    <t>979082119</t>
  </si>
  <si>
    <t>Příplatek ZKD 1000 m u vodorovné dopravy suti</t>
  </si>
  <si>
    <t>44</t>
  </si>
  <si>
    <t>979088212</t>
  </si>
  <si>
    <t>Nakládání suti a vybouraných hmot</t>
  </si>
  <si>
    <t>45</t>
  </si>
  <si>
    <t>979098201</t>
  </si>
  <si>
    <t>Poplatek za uložení stavebního betonového odpadu na skládce (skládkovné)</t>
  </si>
  <si>
    <t>46</t>
  </si>
  <si>
    <t>979099145</t>
  </si>
  <si>
    <t>Poplatek za uložení odpadu z asfaltových povrchů na skládce (skládkovné)</t>
  </si>
  <si>
    <t>47</t>
  </si>
  <si>
    <t>919121231.1</t>
  </si>
  <si>
    <t>asfaltová zálivka a zásyp křemičitým pískem</t>
  </si>
  <si>
    <t>49</t>
  </si>
  <si>
    <t>916131213</t>
  </si>
  <si>
    <t>Osazení silničního obrubníku betonového stojatého s boční opěrou do lože z betonu prostého</t>
  </si>
  <si>
    <t>50</t>
  </si>
  <si>
    <t>Osazení silničního obrubníku betonového se zřízením lože, s vyplněním a zatřením spár cementovou maltou stojatého s boční opěrou z betonu prostého tř. C 12/15, do lože z betonu prostého téže značky</t>
  </si>
  <si>
    <t>59217465</t>
  </si>
  <si>
    <t>Obrubník betonový silniční 100x15x25 cm</t>
  </si>
  <si>
    <t>51</t>
  </si>
  <si>
    <t>59217468</t>
  </si>
  <si>
    <t>Obrubník betonový silniční nájezdový 100x15x15 cm</t>
  </si>
  <si>
    <t>52</t>
  </si>
  <si>
    <t>53</t>
  </si>
  <si>
    <t>54</t>
  </si>
  <si>
    <t>998225111</t>
  </si>
  <si>
    <t>Přesun hmot pro pozemní komunikace s krytem z kamene, monolitickým betonovým nebo živičným</t>
  </si>
  <si>
    <t>56</t>
  </si>
  <si>
    <t>Přesun hmot pro komunikace s krytem z kameniva, monolitickým betonovým nebo živičným dopravní vzdálenost do 200 m jakékoliv délky objektu</t>
  </si>
  <si>
    <t>013254000</t>
  </si>
  <si>
    <t>57</t>
  </si>
  <si>
    <t>07</t>
  </si>
  <si>
    <t>Zařízení staveniště</t>
  </si>
  <si>
    <t>%</t>
  </si>
  <si>
    <t>58</t>
  </si>
  <si>
    <t>DIO</t>
  </si>
  <si>
    <t>Dopravně inženýrská opatření</t>
  </si>
  <si>
    <t>59</t>
  </si>
  <si>
    <t>SO_01</t>
  </si>
  <si>
    <t>899431111</t>
  </si>
  <si>
    <t>Výšková úprava uličního vstupu nebo vpusti do 200 mm zvýšením krycího hrnce, šoupěte nebo hydrantu</t>
  </si>
  <si>
    <t xml:space="preserve">    005a - Konstrukce vozovky - předpokládáme únosné podloží </t>
  </si>
  <si>
    <t>564811111</t>
  </si>
  <si>
    <t>Podklad ze štěrkodrtě ŠD plochy přes 100 m2 tl 50 mm</t>
  </si>
  <si>
    <t>Podklad ze štěrkodrti ŠD s rozprostřením a zhutněním plochy přes 100 m2, po zhutnění tl. 50 mm</t>
  </si>
  <si>
    <t xml:space="preserve">    005c - Nová konstrukce parkovacího stání</t>
  </si>
  <si>
    <t xml:space="preserve">Usazení vpusti do výšky nové vozovky </t>
  </si>
  <si>
    <t xml:space="preserve">Usazení vpusti do výšky nové vozovky 
1ks včetně odbourání části UV a nového osazení </t>
  </si>
  <si>
    <t xml:space="preserve">Usazení kanalizačního poklopu do výšky nové vozovky
2ks šachtička čtvercový poklop </t>
  </si>
  <si>
    <t>Osazování betonových palisád do betonového základu jednotlivě výšky prvku přes 1 do 1,5 m</t>
  </si>
  <si>
    <t>130*1,03</t>
  </si>
  <si>
    <t>31*1,03</t>
  </si>
  <si>
    <t xml:space="preserve"> 33992111R</t>
  </si>
  <si>
    <t>Osazování palisád betonových jednotlivých se zabetonováním výšky palisády přes 1000 do 1500 mm</t>
  </si>
  <si>
    <t>59228416</t>
  </si>
  <si>
    <t>palisáda tyčová kruhová betonová s armaturou 175x200mm v 1500mm</t>
  </si>
  <si>
    <t>65,5/0,2*1,03</t>
  </si>
  <si>
    <t xml:space="preserve">R </t>
  </si>
  <si>
    <t>Vybourání stávajícího gajgru, osazení plastového vč. Dodávky a napojení do stávající přípojky</t>
  </si>
  <si>
    <t xml:space="preserve">Jedná se o asfalt bez dehtu </t>
  </si>
  <si>
    <t>Geodetické práce před, v průběhu a po stavbě</t>
  </si>
  <si>
    <t xml:space="preserve">Srby - Oprava komunikace ul. II Srby </t>
  </si>
  <si>
    <t xml:space="preserve">Oprava komunikace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</si>
</sst>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0.00%;\-0.00%"/>
    <numFmt numFmtId="167" formatCode="dd\.mm\.yyyy"/>
    <numFmt numFmtId="168" formatCode="#,##0.00000;\-#,##0.00000"/>
    <numFmt numFmtId="169" formatCode="#,##0.000;\-#,##0.000"/>
  </numFmts>
  <fonts count="33" x14ac:knownFonts="1">
    <font>
      <sz val="8"/>
      <name val="Trebuchet MS"/>
      <charset val="238"/>
    </font>
    <font>
      <sz val="8"/>
      <color indexed="43"/>
      <name val="Trebuchet MS"/>
      <charset val="238"/>
    </font>
    <font>
      <sz val="10"/>
      <color indexed="16"/>
      <name val="Trebuchet MS"/>
      <charset val="238"/>
    </font>
    <font>
      <sz val="8"/>
      <color indexed="48"/>
      <name val="Trebuchet MS"/>
      <charset val="238"/>
    </font>
    <font>
      <b/>
      <sz val="16"/>
      <name val="Trebuchet MS"/>
      <charset val="238"/>
    </font>
    <font>
      <b/>
      <sz val="12"/>
      <color indexed="55"/>
      <name val="Trebuchet MS"/>
      <charset val="238"/>
    </font>
    <font>
      <b/>
      <sz val="8"/>
      <color indexed="55"/>
      <name val="Trebuchet MS"/>
      <charset val="238"/>
    </font>
    <font>
      <b/>
      <sz val="12"/>
      <name val="Trebuchet MS"/>
      <charset val="238"/>
    </font>
    <font>
      <sz val="9"/>
      <color indexed="55"/>
      <name val="Trebuchet MS"/>
      <charset val="238"/>
    </font>
    <font>
      <sz val="9"/>
      <name val="Trebuchet MS"/>
      <charset val="238"/>
    </font>
    <font>
      <b/>
      <sz val="10"/>
      <name val="Trebuchet MS"/>
      <charset val="238"/>
    </font>
    <font>
      <sz val="8"/>
      <color indexed="55"/>
      <name val="Trebuchet MS"/>
      <charset val="238"/>
    </font>
    <font>
      <b/>
      <sz val="9"/>
      <name val="Trebuchet MS"/>
      <charset val="238"/>
    </font>
    <font>
      <sz val="12"/>
      <color indexed="55"/>
      <name val="Trebuchet MS"/>
      <charset val="238"/>
    </font>
    <font>
      <b/>
      <sz val="12"/>
      <color indexed="16"/>
      <name val="Trebuchet MS"/>
      <charset val="238"/>
    </font>
    <font>
      <sz val="12"/>
      <name val="Trebuchet MS"/>
      <charset val="238"/>
    </font>
    <font>
      <sz val="11"/>
      <name val="Trebuchet MS"/>
      <charset val="238"/>
    </font>
    <font>
      <b/>
      <sz val="11"/>
      <color indexed="56"/>
      <name val="Trebuchet MS"/>
      <charset val="238"/>
    </font>
    <font>
      <sz val="11"/>
      <color indexed="56"/>
      <name val="Trebuchet MS"/>
      <charset val="238"/>
    </font>
    <font>
      <b/>
      <sz val="11"/>
      <name val="Trebuchet MS"/>
      <charset val="238"/>
    </font>
    <font>
      <sz val="11"/>
      <color indexed="55"/>
      <name val="Trebuchet MS"/>
      <charset val="238"/>
    </font>
    <font>
      <sz val="12"/>
      <color indexed="56"/>
      <name val="Trebuchet MS"/>
      <charset val="238"/>
    </font>
    <font>
      <sz val="8"/>
      <color indexed="56"/>
      <name val="Trebuchet MS"/>
      <charset val="238"/>
    </font>
    <font>
      <sz val="10"/>
      <name val="Trebuchet MS"/>
      <charset val="238"/>
    </font>
    <font>
      <sz val="10"/>
      <color indexed="56"/>
      <name val="Trebuchet MS"/>
      <charset val="238"/>
    </font>
    <font>
      <sz val="8"/>
      <color indexed="16"/>
      <name val="Trebuchet MS"/>
      <charset val="238"/>
    </font>
    <font>
      <b/>
      <sz val="8"/>
      <name val="Trebuchet MS"/>
      <charset val="238"/>
    </font>
    <font>
      <sz val="7"/>
      <name val="Trebuchet MS"/>
      <charset val="238"/>
    </font>
    <font>
      <sz val="8"/>
      <color indexed="63"/>
      <name val="Trebuchet MS"/>
      <charset val="238"/>
    </font>
    <font>
      <b/>
      <sz val="12"/>
      <name val="Trebuchet MS"/>
      <family val="2"/>
      <charset val="238"/>
    </font>
    <font>
      <sz val="8"/>
      <name val="Trebuchet MS"/>
      <family val="2"/>
      <charset val="238"/>
    </font>
    <font>
      <sz val="7"/>
      <color rgb="FFFF0000"/>
      <name val="Trebuchet MS"/>
      <family val="2"/>
      <charset val="238"/>
    </font>
    <font>
      <sz val="8"/>
      <color rgb="FFFF0000"/>
      <name val="Trebuchet M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hair">
        <color indexed="55"/>
      </top>
      <bottom/>
      <diagonal/>
    </border>
    <border>
      <left/>
      <right style="hair">
        <color indexed="55"/>
      </right>
      <top style="hair">
        <color indexed="55"/>
      </top>
      <bottom/>
      <diagonal/>
    </border>
    <border>
      <left style="hair">
        <color indexed="55"/>
      </left>
      <right/>
      <top/>
      <bottom/>
      <diagonal/>
    </border>
    <border>
      <left/>
      <right style="hair">
        <color indexed="55"/>
      </right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/>
      <diagonal/>
    </border>
    <border>
      <left style="hair">
        <color indexed="55"/>
      </left>
      <right/>
      <top/>
      <bottom style="hair">
        <color indexed="55"/>
      </bottom>
      <diagonal/>
    </border>
    <border>
      <left/>
      <right/>
      <top/>
      <bottom style="hair">
        <color indexed="55"/>
      </bottom>
      <diagonal/>
    </border>
    <border>
      <left/>
      <right style="hair">
        <color indexed="55"/>
      </right>
      <top/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200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0" fillId="2" borderId="0" xfId="0" applyFill="1" applyAlignment="1">
      <alignment horizontal="left" vertical="top"/>
      <protection locked="0"/>
    </xf>
    <xf numFmtId="0" fontId="1" fillId="2" borderId="0" xfId="0" applyFont="1" applyFill="1" applyAlignment="1">
      <alignment horizontal="left" vertical="center"/>
      <protection locked="0"/>
    </xf>
    <xf numFmtId="0" fontId="0" fillId="2" borderId="0" xfId="0" applyFont="1" applyFill="1" applyAlignment="1">
      <alignment horizontal="left" vertical="top"/>
      <protection locked="0"/>
    </xf>
    <xf numFmtId="0" fontId="2" fillId="2" borderId="0" xfId="0" applyFont="1" applyFill="1" applyAlignment="1">
      <alignment horizontal="left" vertical="center"/>
      <protection locked="0"/>
    </xf>
    <xf numFmtId="0" fontId="0" fillId="0" borderId="0" xfId="0" applyFont="1" applyAlignment="1">
      <alignment horizontal="left" vertical="center"/>
      <protection locked="0"/>
    </xf>
    <xf numFmtId="0" fontId="0" fillId="0" borderId="1" xfId="0" applyBorder="1" applyAlignment="1">
      <alignment horizontal="left" vertical="top"/>
      <protection locked="0"/>
    </xf>
    <xf numFmtId="0" fontId="0" fillId="0" borderId="2" xfId="0" applyBorder="1" applyAlignment="1">
      <alignment horizontal="left" vertical="top"/>
      <protection locked="0"/>
    </xf>
    <xf numFmtId="0" fontId="0" fillId="0" borderId="3" xfId="0" applyBorder="1" applyAlignment="1">
      <alignment horizontal="left" vertical="top"/>
      <protection locked="0"/>
    </xf>
    <xf numFmtId="0" fontId="0" fillId="0" borderId="4" xfId="0" applyBorder="1" applyAlignment="1">
      <alignment horizontal="left" vertical="top"/>
      <protection locked="0"/>
    </xf>
    <xf numFmtId="0" fontId="0" fillId="0" borderId="5" xfId="0" applyBorder="1" applyAlignment="1">
      <alignment horizontal="left" vertical="top"/>
      <protection locked="0"/>
    </xf>
    <xf numFmtId="0" fontId="3" fillId="0" borderId="0" xfId="0" applyFont="1" applyAlignment="1">
      <alignment horizontal="left" vertical="center"/>
      <protection locked="0"/>
    </xf>
    <xf numFmtId="0" fontId="5" fillId="0" borderId="0" xfId="0" applyFont="1" applyAlignment="1">
      <alignment horizontal="left" vertical="center"/>
      <protection locked="0"/>
    </xf>
    <xf numFmtId="0" fontId="7" fillId="0" borderId="0" xfId="0" applyFont="1" applyAlignment="1">
      <alignment horizontal="left" vertical="center"/>
      <protection locked="0"/>
    </xf>
    <xf numFmtId="0" fontId="8" fillId="0" borderId="0" xfId="0" applyFont="1" applyAlignment="1">
      <alignment horizontal="left" vertical="center"/>
      <protection locked="0"/>
    </xf>
    <xf numFmtId="0" fontId="9" fillId="0" borderId="0" xfId="0" applyFont="1" applyAlignment="1">
      <alignment horizontal="left" vertical="center"/>
      <protection locked="0"/>
    </xf>
    <xf numFmtId="49" fontId="9" fillId="3" borderId="0" xfId="0" applyNumberFormat="1" applyFont="1" applyFill="1" applyAlignment="1">
      <alignment horizontal="left" vertical="top"/>
      <protection locked="0"/>
    </xf>
    <xf numFmtId="0" fontId="0" fillId="0" borderId="6" xfId="0" applyBorder="1" applyAlignment="1">
      <alignment horizontal="left" vertical="top"/>
      <protection locked="0"/>
    </xf>
    <xf numFmtId="0" fontId="0" fillId="0" borderId="4" xfId="0" applyBorder="1" applyAlignment="1">
      <alignment horizontal="left" vertical="center"/>
      <protection locked="0"/>
    </xf>
    <xf numFmtId="0" fontId="10" fillId="0" borderId="7" xfId="0" applyFont="1" applyBorder="1" applyAlignment="1">
      <alignment horizontal="left" vertical="center"/>
      <protection locked="0"/>
    </xf>
    <xf numFmtId="0" fontId="0" fillId="0" borderId="7" xfId="0" applyBorder="1" applyAlignment="1">
      <alignment horizontal="left" vertical="center"/>
      <protection locked="0"/>
    </xf>
    <xf numFmtId="0" fontId="0" fillId="0" borderId="5" xfId="0" applyBorder="1" applyAlignment="1">
      <alignment horizontal="left" vertical="center"/>
      <protection locked="0"/>
    </xf>
    <xf numFmtId="0" fontId="11" fillId="0" borderId="4" xfId="0" applyFont="1" applyBorder="1" applyAlignment="1">
      <alignment horizontal="left" vertical="center"/>
      <protection locked="0"/>
    </xf>
    <xf numFmtId="0" fontId="11" fillId="0" borderId="0" xfId="0" applyFont="1" applyAlignment="1">
      <alignment horizontal="left" vertical="center"/>
      <protection locked="0"/>
    </xf>
    <xf numFmtId="0" fontId="11" fillId="0" borderId="0" xfId="0" applyFont="1" applyAlignment="1">
      <alignment horizontal="center" vertical="center"/>
      <protection locked="0"/>
    </xf>
    <xf numFmtId="0" fontId="11" fillId="0" borderId="5" xfId="0" applyFont="1" applyBorder="1" applyAlignment="1">
      <alignment horizontal="left" vertical="center"/>
      <protection locked="0"/>
    </xf>
    <xf numFmtId="0" fontId="0" fillId="4" borderId="0" xfId="0" applyFill="1" applyAlignment="1">
      <alignment horizontal="left" vertical="center"/>
      <protection locked="0"/>
    </xf>
    <xf numFmtId="0" fontId="7" fillId="4" borderId="8" xfId="0" applyFont="1" applyFill="1" applyBorder="1" applyAlignment="1">
      <alignment horizontal="left" vertical="center"/>
      <protection locked="0"/>
    </xf>
    <xf numFmtId="0" fontId="0" fillId="4" borderId="9" xfId="0" applyFill="1" applyBorder="1" applyAlignment="1">
      <alignment horizontal="left" vertical="center"/>
      <protection locked="0"/>
    </xf>
    <xf numFmtId="0" fontId="7" fillId="4" borderId="9" xfId="0" applyFont="1" applyFill="1" applyBorder="1" applyAlignment="1">
      <alignment horizontal="center" vertical="center"/>
      <protection locked="0"/>
    </xf>
    <xf numFmtId="0" fontId="0" fillId="4" borderId="5" xfId="0" applyFill="1" applyBorder="1" applyAlignment="1">
      <alignment horizontal="left" vertical="center"/>
      <protection locked="0"/>
    </xf>
    <xf numFmtId="0" fontId="0" fillId="0" borderId="10" xfId="0" applyBorder="1" applyAlignment="1">
      <alignment horizontal="left" vertical="center"/>
      <protection locked="0"/>
    </xf>
    <xf numFmtId="0" fontId="0" fillId="0" borderId="11" xfId="0" applyBorder="1" applyAlignment="1">
      <alignment horizontal="left" vertical="center"/>
      <protection locked="0"/>
    </xf>
    <xf numFmtId="0" fontId="0" fillId="0" borderId="12" xfId="0" applyBorder="1" applyAlignment="1">
      <alignment horizontal="left" vertical="center"/>
      <protection locked="0"/>
    </xf>
    <xf numFmtId="0" fontId="0" fillId="0" borderId="1" xfId="0" applyBorder="1" applyAlignment="1">
      <alignment horizontal="left" vertical="center"/>
      <protection locked="0"/>
    </xf>
    <xf numFmtId="0" fontId="0" fillId="0" borderId="2" xfId="0" applyBorder="1" applyAlignment="1">
      <alignment horizontal="left" vertical="center"/>
      <protection locked="0"/>
    </xf>
    <xf numFmtId="0" fontId="7" fillId="0" borderId="4" xfId="0" applyFont="1" applyBorder="1" applyAlignment="1">
      <alignment horizontal="left" vertical="center"/>
      <protection locked="0"/>
    </xf>
    <xf numFmtId="0" fontId="12" fillId="0" borderId="0" xfId="0" applyFont="1" applyAlignment="1">
      <alignment horizontal="left" vertical="center"/>
      <protection locked="0"/>
    </xf>
    <xf numFmtId="0" fontId="0" fillId="0" borderId="13" xfId="0" applyBorder="1" applyAlignment="1">
      <alignment horizontal="left" vertical="center"/>
      <protection locked="0"/>
    </xf>
    <xf numFmtId="0" fontId="0" fillId="0" borderId="14" xfId="0" applyBorder="1" applyAlignment="1">
      <alignment horizontal="left" vertical="center"/>
      <protection locked="0"/>
    </xf>
    <xf numFmtId="0" fontId="0" fillId="0" borderId="15" xfId="0" applyBorder="1" applyAlignment="1">
      <alignment horizontal="left" vertical="center"/>
      <protection locked="0"/>
    </xf>
    <xf numFmtId="0" fontId="0" fillId="0" borderId="16" xfId="0" applyBorder="1" applyAlignment="1">
      <alignment horizontal="left" vertical="center"/>
      <protection locked="0"/>
    </xf>
    <xf numFmtId="0" fontId="9" fillId="4" borderId="17" xfId="0" applyFont="1" applyFill="1" applyBorder="1" applyAlignment="1">
      <alignment horizontal="center" vertical="center"/>
      <protection locked="0"/>
    </xf>
    <xf numFmtId="0" fontId="8" fillId="0" borderId="18" xfId="0" applyFont="1" applyBorder="1" applyAlignment="1">
      <alignment horizontal="center" vertical="center" wrapText="1"/>
      <protection locked="0"/>
    </xf>
    <xf numFmtId="0" fontId="8" fillId="0" borderId="19" xfId="0" applyFont="1" applyBorder="1" applyAlignment="1">
      <alignment horizontal="center" vertical="center" wrapText="1"/>
      <protection locked="0"/>
    </xf>
    <xf numFmtId="0" fontId="8" fillId="0" borderId="20" xfId="0" applyFont="1" applyBorder="1" applyAlignment="1">
      <alignment horizontal="center" vertical="center" wrapText="1"/>
      <protection locked="0"/>
    </xf>
    <xf numFmtId="0" fontId="0" fillId="0" borderId="0" xfId="0" applyAlignment="1">
      <alignment horizontal="left" vertical="center"/>
      <protection locked="0"/>
    </xf>
    <xf numFmtId="0" fontId="0" fillId="0" borderId="21" xfId="0" applyBorder="1" applyAlignment="1">
      <alignment horizontal="left" vertical="center"/>
      <protection locked="0"/>
    </xf>
    <xf numFmtId="0" fontId="14" fillId="0" borderId="0" xfId="0" applyFont="1" applyAlignment="1">
      <alignment horizontal="left" vertical="center"/>
      <protection locked="0"/>
    </xf>
    <xf numFmtId="0" fontId="7" fillId="0" borderId="0" xfId="0" applyFont="1" applyAlignment="1">
      <alignment horizontal="center" vertical="center"/>
      <protection locked="0"/>
    </xf>
    <xf numFmtId="39" fontId="13" fillId="0" borderId="15" xfId="0" applyNumberFormat="1" applyFont="1" applyBorder="1" applyAlignment="1">
      <alignment horizontal="right" vertical="center"/>
      <protection locked="0"/>
    </xf>
    <xf numFmtId="39" fontId="13" fillId="0" borderId="0" xfId="0" applyNumberFormat="1" applyFont="1" applyAlignment="1">
      <alignment horizontal="right" vertical="center"/>
      <protection locked="0"/>
    </xf>
    <xf numFmtId="168" fontId="13" fillId="0" borderId="0" xfId="0" applyNumberFormat="1" applyFont="1" applyAlignment="1">
      <alignment horizontal="right" vertical="center"/>
      <protection locked="0"/>
    </xf>
    <xf numFmtId="39" fontId="13" fillId="0" borderId="16" xfId="0" applyNumberFormat="1" applyFont="1" applyBorder="1" applyAlignment="1">
      <alignment horizontal="right" vertical="center"/>
      <protection locked="0"/>
    </xf>
    <xf numFmtId="0" fontId="15" fillId="0" borderId="0" xfId="0" applyFont="1" applyAlignment="1">
      <alignment horizontal="left" vertical="center"/>
      <protection locked="0"/>
    </xf>
    <xf numFmtId="0" fontId="16" fillId="0" borderId="0" xfId="0" applyFont="1" applyAlignment="1">
      <alignment horizontal="left" vertical="center"/>
      <protection locked="0"/>
    </xf>
    <xf numFmtId="0" fontId="16" fillId="0" borderId="4" xfId="0" applyFont="1" applyBorder="1" applyAlignment="1">
      <alignment horizontal="left" vertical="center"/>
      <protection locked="0"/>
    </xf>
    <xf numFmtId="0" fontId="17" fillId="0" borderId="0" xfId="0" applyFont="1" applyAlignment="1">
      <alignment horizontal="left" vertical="center"/>
      <protection locked="0"/>
    </xf>
    <xf numFmtId="0" fontId="19" fillId="0" borderId="0" xfId="0" applyFont="1" applyAlignment="1">
      <alignment horizontal="center" vertical="center"/>
      <protection locked="0"/>
    </xf>
    <xf numFmtId="39" fontId="20" fillId="0" borderId="22" xfId="0" applyNumberFormat="1" applyFont="1" applyBorder="1" applyAlignment="1">
      <alignment horizontal="right" vertical="center"/>
      <protection locked="0"/>
    </xf>
    <xf numFmtId="39" fontId="20" fillId="0" borderId="23" xfId="0" applyNumberFormat="1" applyFont="1" applyBorder="1" applyAlignment="1">
      <alignment horizontal="right" vertical="center"/>
      <protection locked="0"/>
    </xf>
    <xf numFmtId="168" fontId="20" fillId="0" borderId="23" xfId="0" applyNumberFormat="1" applyFont="1" applyBorder="1" applyAlignment="1">
      <alignment horizontal="right" vertical="center"/>
      <protection locked="0"/>
    </xf>
    <xf numFmtId="39" fontId="20" fillId="0" borderId="24" xfId="0" applyNumberFormat="1" applyFont="1" applyBorder="1" applyAlignment="1">
      <alignment horizontal="right" vertical="center"/>
      <protection locked="0"/>
    </xf>
    <xf numFmtId="0" fontId="0" fillId="0" borderId="0" xfId="0" applyFont="1" applyAlignment="1">
      <alignment horizontal="left" vertical="center" wrapText="1"/>
      <protection locked="0"/>
    </xf>
    <xf numFmtId="0" fontId="0" fillId="0" borderId="4" xfId="0" applyBorder="1" applyAlignment="1">
      <alignment horizontal="left" vertical="center" wrapText="1"/>
      <protection locked="0"/>
    </xf>
    <xf numFmtId="0" fontId="0" fillId="0" borderId="5" xfId="0" applyBorder="1" applyAlignment="1">
      <alignment horizontal="left" vertical="center" wrapText="1"/>
      <protection locked="0"/>
    </xf>
    <xf numFmtId="0" fontId="7" fillId="4" borderId="9" xfId="0" applyFont="1" applyFill="1" applyBorder="1" applyAlignment="1">
      <alignment horizontal="right" vertical="center"/>
      <protection locked="0"/>
    </xf>
    <xf numFmtId="0" fontId="0" fillId="0" borderId="3" xfId="0" applyBorder="1" applyAlignment="1">
      <alignment horizontal="left" vertical="center"/>
      <protection locked="0"/>
    </xf>
    <xf numFmtId="0" fontId="21" fillId="0" borderId="4" xfId="0" applyFont="1" applyBorder="1" applyAlignment="1">
      <alignment horizontal="left" vertical="center"/>
      <protection locked="0"/>
    </xf>
    <xf numFmtId="0" fontId="21" fillId="0" borderId="0" xfId="0" applyFont="1" applyAlignment="1">
      <alignment horizontal="left" vertical="center"/>
      <protection locked="0"/>
    </xf>
    <xf numFmtId="0" fontId="21" fillId="0" borderId="5" xfId="0" applyFont="1" applyBorder="1" applyAlignment="1">
      <alignment horizontal="left" vertical="center"/>
      <protection locked="0"/>
    </xf>
    <xf numFmtId="0" fontId="23" fillId="0" borderId="0" xfId="0" applyFont="1" applyAlignment="1">
      <alignment horizontal="left" vertical="center"/>
      <protection locked="0"/>
    </xf>
    <xf numFmtId="0" fontId="24" fillId="0" borderId="4" xfId="0" applyFont="1" applyBorder="1" applyAlignment="1">
      <alignment horizontal="left" vertical="center"/>
      <protection locked="0"/>
    </xf>
    <xf numFmtId="0" fontId="24" fillId="0" borderId="0" xfId="0" applyFont="1" applyAlignment="1">
      <alignment horizontal="left" vertical="center"/>
      <protection locked="0"/>
    </xf>
    <xf numFmtId="0" fontId="24" fillId="0" borderId="5" xfId="0" applyFont="1" applyBorder="1" applyAlignment="1">
      <alignment horizontal="left" vertical="center"/>
      <protection locked="0"/>
    </xf>
    <xf numFmtId="0" fontId="0" fillId="0" borderId="0" xfId="0" applyFont="1" applyAlignment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  <protection locked="0"/>
    </xf>
    <xf numFmtId="0" fontId="9" fillId="4" borderId="18" xfId="0" applyFont="1" applyFill="1" applyBorder="1" applyAlignment="1">
      <alignment horizontal="center" vertical="center" wrapText="1"/>
      <protection locked="0"/>
    </xf>
    <xf numFmtId="0" fontId="9" fillId="4" borderId="19" xfId="0" applyFont="1" applyFill="1" applyBorder="1" applyAlignment="1">
      <alignment horizontal="center" vertical="center" wrapText="1"/>
      <protection locked="0"/>
    </xf>
    <xf numFmtId="0" fontId="9" fillId="4" borderId="20" xfId="0" applyFont="1" applyFill="1" applyBorder="1" applyAlignment="1">
      <alignment horizontal="center" vertical="center" wrapText="1"/>
      <protection locked="0"/>
    </xf>
    <xf numFmtId="168" fontId="25" fillId="0" borderId="13" xfId="0" applyNumberFormat="1" applyFont="1" applyBorder="1" applyAlignment="1">
      <alignment horizontal="right"/>
      <protection locked="0"/>
    </xf>
    <xf numFmtId="168" fontId="25" fillId="0" borderId="14" xfId="0" applyNumberFormat="1" applyFont="1" applyBorder="1" applyAlignment="1">
      <alignment horizontal="right"/>
      <protection locked="0"/>
    </xf>
    <xf numFmtId="39" fontId="26" fillId="0" borderId="0" xfId="0" applyNumberFormat="1" applyFont="1" applyAlignment="1">
      <alignment horizontal="right" vertical="center"/>
      <protection locked="0"/>
    </xf>
    <xf numFmtId="0" fontId="0" fillId="0" borderId="0" xfId="0" applyFont="1" applyAlignment="1">
      <alignment horizontal="left"/>
      <protection locked="0"/>
    </xf>
    <xf numFmtId="0" fontId="22" fillId="0" borderId="4" xfId="0" applyFont="1" applyBorder="1" applyAlignment="1">
      <alignment horizontal="left"/>
      <protection locked="0"/>
    </xf>
    <xf numFmtId="0" fontId="21" fillId="0" borderId="0" xfId="0" applyFont="1" applyAlignment="1">
      <alignment horizontal="left"/>
      <protection locked="0"/>
    </xf>
    <xf numFmtId="0" fontId="22" fillId="0" borderId="0" xfId="0" applyFont="1" applyAlignment="1">
      <alignment horizontal="left"/>
      <protection locked="0"/>
    </xf>
    <xf numFmtId="0" fontId="22" fillId="0" borderId="15" xfId="0" applyFont="1" applyBorder="1" applyAlignment="1">
      <alignment horizontal="left"/>
      <protection locked="0"/>
    </xf>
    <xf numFmtId="168" fontId="22" fillId="0" borderId="0" xfId="0" applyNumberFormat="1" applyFont="1" applyAlignment="1">
      <alignment horizontal="right"/>
      <protection locked="0"/>
    </xf>
    <xf numFmtId="168" fontId="22" fillId="0" borderId="16" xfId="0" applyNumberFormat="1" applyFont="1" applyBorder="1" applyAlignment="1">
      <alignment horizontal="right"/>
      <protection locked="0"/>
    </xf>
    <xf numFmtId="39" fontId="22" fillId="0" borderId="0" xfId="0" applyNumberFormat="1" applyFont="1" applyAlignment="1">
      <alignment horizontal="right" vertical="center"/>
      <protection locked="0"/>
    </xf>
    <xf numFmtId="0" fontId="24" fillId="0" borderId="0" xfId="0" applyFont="1" applyAlignment="1">
      <alignment horizontal="left"/>
      <protection locked="0"/>
    </xf>
    <xf numFmtId="0" fontId="0" fillId="0" borderId="25" xfId="0" applyFont="1" applyBorder="1" applyAlignment="1">
      <alignment horizontal="center" vertical="center"/>
      <protection locked="0"/>
    </xf>
    <xf numFmtId="49" fontId="0" fillId="0" borderId="25" xfId="0" applyNumberFormat="1" applyFont="1" applyBorder="1" applyAlignment="1">
      <alignment horizontal="left" vertical="center" wrapText="1"/>
      <protection locked="0"/>
    </xf>
    <xf numFmtId="0" fontId="0" fillId="0" borderId="25" xfId="0" applyFont="1" applyBorder="1" applyAlignment="1">
      <alignment horizontal="left" vertical="center" wrapText="1"/>
      <protection locked="0"/>
    </xf>
    <xf numFmtId="0" fontId="0" fillId="0" borderId="25" xfId="0" applyFont="1" applyBorder="1" applyAlignment="1">
      <alignment horizontal="center" vertical="center" wrapText="1"/>
      <protection locked="0"/>
    </xf>
    <xf numFmtId="169" fontId="0" fillId="0" borderId="25" xfId="0" applyNumberFormat="1" applyFont="1" applyBorder="1" applyAlignment="1">
      <alignment horizontal="right" vertical="center"/>
      <protection locked="0"/>
    </xf>
    <xf numFmtId="0" fontId="11" fillId="3" borderId="25" xfId="0" applyFont="1" applyFill="1" applyBorder="1" applyAlignment="1">
      <alignment horizontal="left" vertical="center" wrapText="1"/>
      <protection locked="0"/>
    </xf>
    <xf numFmtId="0" fontId="11" fillId="0" borderId="0" xfId="0" applyFont="1" applyAlignment="1">
      <alignment horizontal="center" vertical="center" wrapText="1"/>
      <protection locked="0"/>
    </xf>
    <xf numFmtId="168" fontId="11" fillId="0" borderId="0" xfId="0" applyNumberFormat="1" applyFont="1" applyAlignment="1">
      <alignment horizontal="right" vertical="center"/>
      <protection locked="0"/>
    </xf>
    <xf numFmtId="168" fontId="11" fillId="0" borderId="16" xfId="0" applyNumberFormat="1" applyFont="1" applyBorder="1" applyAlignment="1">
      <alignment horizontal="right" vertical="center"/>
      <protection locked="0"/>
    </xf>
    <xf numFmtId="39" fontId="0" fillId="0" borderId="0" xfId="0" applyNumberFormat="1" applyFont="1" applyAlignment="1">
      <alignment horizontal="right" vertical="center"/>
      <protection locked="0"/>
    </xf>
    <xf numFmtId="0" fontId="28" fillId="0" borderId="4" xfId="0" applyFont="1" applyBorder="1" applyAlignment="1">
      <alignment horizontal="left" vertical="center"/>
      <protection locked="0"/>
    </xf>
    <xf numFmtId="0" fontId="28" fillId="0" borderId="0" xfId="0" applyFont="1" applyAlignment="1">
      <alignment horizontal="left" vertical="center"/>
      <protection locked="0"/>
    </xf>
    <xf numFmtId="169" fontId="28" fillId="0" borderId="0" xfId="0" applyNumberFormat="1" applyFont="1" applyAlignment="1">
      <alignment horizontal="right" vertical="center"/>
      <protection locked="0"/>
    </xf>
    <xf numFmtId="0" fontId="28" fillId="0" borderId="15" xfId="0" applyFont="1" applyBorder="1" applyAlignment="1">
      <alignment horizontal="left" vertical="center"/>
      <protection locked="0"/>
    </xf>
    <xf numFmtId="0" fontId="28" fillId="0" borderId="16" xfId="0" applyFont="1" applyBorder="1" applyAlignment="1">
      <alignment horizontal="left" vertical="center"/>
      <protection locked="0"/>
    </xf>
    <xf numFmtId="49" fontId="0" fillId="0" borderId="25" xfId="0" applyNumberFormat="1" applyBorder="1" applyAlignment="1">
      <alignment horizontal="left" vertical="center" wrapText="1"/>
      <protection locked="0"/>
    </xf>
    <xf numFmtId="0" fontId="0" fillId="0" borderId="11" xfId="0" applyFont="1" applyBorder="1" applyAlignment="1">
      <alignment horizontal="left" vertical="center"/>
      <protection locked="0"/>
    </xf>
    <xf numFmtId="0" fontId="0" fillId="0" borderId="0" xfId="0" applyBorder="1" applyAlignment="1">
      <alignment horizontal="left" vertical="top"/>
      <protection locked="0"/>
    </xf>
    <xf numFmtId="0" fontId="8" fillId="0" borderId="0" xfId="0" applyFont="1" applyBorder="1" applyAlignment="1">
      <alignment horizontal="left" vertical="center"/>
      <protection locked="0"/>
    </xf>
    <xf numFmtId="0" fontId="0" fillId="0" borderId="0" xfId="0" applyFont="1" applyBorder="1" applyAlignment="1">
      <alignment horizontal="left" vertical="center"/>
      <protection locked="0"/>
    </xf>
    <xf numFmtId="0" fontId="7" fillId="0" borderId="0" xfId="0" applyFont="1" applyBorder="1" applyAlignment="1">
      <alignment horizontal="left" vertical="center"/>
      <protection locked="0"/>
    </xf>
    <xf numFmtId="0" fontId="9" fillId="0" borderId="0" xfId="0" applyFont="1" applyBorder="1" applyAlignment="1">
      <alignment horizontal="left" vertical="center"/>
      <protection locked="0"/>
    </xf>
    <xf numFmtId="0" fontId="0" fillId="0" borderId="0" xfId="0" applyFont="1" applyBorder="1" applyAlignment="1">
      <alignment horizontal="left" vertical="center" wrapText="1"/>
      <protection locked="0"/>
    </xf>
    <xf numFmtId="0" fontId="10" fillId="0" borderId="0" xfId="0" applyFont="1" applyBorder="1" applyAlignment="1">
      <alignment horizontal="left" vertical="center"/>
      <protection locked="0"/>
    </xf>
    <xf numFmtId="0" fontId="11" fillId="0" borderId="0" xfId="0" applyFont="1" applyBorder="1" applyAlignment="1">
      <alignment horizontal="left" vertical="center"/>
      <protection locked="0"/>
    </xf>
    <xf numFmtId="166" fontId="11" fillId="0" borderId="0" xfId="0" applyNumberFormat="1" applyFont="1" applyBorder="1" applyAlignment="1">
      <alignment horizontal="right" vertical="center"/>
      <protection locked="0"/>
    </xf>
    <xf numFmtId="0" fontId="11" fillId="0" borderId="0" xfId="0" applyFont="1" applyBorder="1" applyAlignment="1">
      <alignment horizontal="right" vertical="center"/>
      <protection locked="0"/>
    </xf>
    <xf numFmtId="0" fontId="0" fillId="4" borderId="0" xfId="0" applyFill="1" applyBorder="1" applyAlignment="1">
      <alignment horizontal="left" vertical="center"/>
      <protection locked="0"/>
    </xf>
    <xf numFmtId="14" fontId="9" fillId="3" borderId="0" xfId="0" applyNumberFormat="1" applyFont="1" applyFill="1" applyAlignment="1">
      <alignment horizontal="left" vertical="center"/>
      <protection locked="0"/>
    </xf>
    <xf numFmtId="49" fontId="30" fillId="0" borderId="25" xfId="0" applyNumberFormat="1" applyFont="1" applyBorder="1" applyAlignment="1">
      <alignment horizontal="left" vertical="center" wrapText="1"/>
      <protection locked="0"/>
    </xf>
    <xf numFmtId="0" fontId="30" fillId="0" borderId="25" xfId="0" applyFont="1" applyBorder="1" applyAlignment="1">
      <alignment horizontal="center" vertical="center"/>
      <protection locked="0"/>
    </xf>
    <xf numFmtId="0" fontId="30" fillId="0" borderId="25" xfId="0" applyFont="1" applyBorder="1" applyAlignment="1">
      <alignment horizontal="center" vertical="center" wrapText="1"/>
      <protection locked="0"/>
    </xf>
    <xf numFmtId="0" fontId="3" fillId="0" borderId="0" xfId="0" applyFont="1" applyAlignment="1">
      <alignment horizontal="center" vertical="center"/>
      <protection locked="0"/>
    </xf>
    <xf numFmtId="0" fontId="0" fillId="0" borderId="0" xfId="0" applyFont="1" applyAlignment="1">
      <alignment horizontal="left" vertical="top"/>
      <protection locked="0"/>
    </xf>
    <xf numFmtId="0" fontId="4" fillId="0" borderId="0" xfId="0" applyFont="1" applyAlignment="1">
      <alignment horizontal="center" vertical="center"/>
      <protection locked="0"/>
    </xf>
    <xf numFmtId="0" fontId="0" fillId="0" borderId="5" xfId="0" applyBorder="1" applyAlignment="1">
      <alignment horizontal="left" vertical="top"/>
      <protection locked="0"/>
    </xf>
    <xf numFmtId="0" fontId="6" fillId="0" borderId="0" xfId="0" applyFont="1" applyAlignment="1">
      <alignment horizontal="left" vertical="top" wrapText="1"/>
      <protection locked="0"/>
    </xf>
    <xf numFmtId="0" fontId="0" fillId="0" borderId="0" xfId="0" applyFont="1" applyAlignment="1">
      <alignment horizontal="left" vertical="center"/>
      <protection locked="0"/>
    </xf>
    <xf numFmtId="0" fontId="11" fillId="0" borderId="0" xfId="0" applyFont="1" applyAlignment="1">
      <alignment horizontal="left" vertical="center"/>
      <protection locked="0"/>
    </xf>
    <xf numFmtId="0" fontId="29" fillId="0" borderId="0" xfId="0" applyFont="1" applyAlignment="1">
      <alignment horizontal="left" vertical="center"/>
      <protection locked="0"/>
    </xf>
    <xf numFmtId="49" fontId="9" fillId="3" borderId="0" xfId="0" applyNumberFormat="1" applyFont="1" applyFill="1" applyAlignment="1">
      <alignment horizontal="left" vertical="top"/>
      <protection locked="0"/>
    </xf>
    <xf numFmtId="0" fontId="9" fillId="0" borderId="0" xfId="0" applyFont="1" applyAlignment="1">
      <alignment horizontal="left" vertical="center" wrapText="1"/>
      <protection locked="0"/>
    </xf>
    <xf numFmtId="39" fontId="10" fillId="0" borderId="7" xfId="0" applyNumberFormat="1" applyFont="1" applyBorder="1" applyAlignment="1">
      <alignment horizontal="right" vertical="center"/>
      <protection locked="0"/>
    </xf>
    <xf numFmtId="0" fontId="0" fillId="0" borderId="7" xfId="0" applyBorder="1" applyAlignment="1">
      <alignment horizontal="left" vertical="center"/>
      <protection locked="0"/>
    </xf>
    <xf numFmtId="166" fontId="11" fillId="0" borderId="0" xfId="0" applyNumberFormat="1" applyFont="1" applyAlignment="1">
      <alignment horizontal="right" vertical="center"/>
      <protection locked="0"/>
    </xf>
    <xf numFmtId="39" fontId="6" fillId="0" borderId="0" xfId="0" applyNumberFormat="1" applyFont="1" applyAlignment="1">
      <alignment horizontal="right" vertical="center"/>
      <protection locked="0"/>
    </xf>
    <xf numFmtId="0" fontId="9" fillId="0" borderId="0" xfId="0" applyFont="1" applyAlignment="1">
      <alignment horizontal="left" vertical="center"/>
      <protection locked="0"/>
    </xf>
    <xf numFmtId="0" fontId="13" fillId="0" borderId="21" xfId="0" applyFont="1" applyBorder="1" applyAlignment="1">
      <alignment horizontal="center" vertical="center"/>
      <protection locked="0"/>
    </xf>
    <xf numFmtId="0" fontId="0" fillId="0" borderId="13" xfId="0" applyBorder="1" applyAlignment="1">
      <alignment horizontal="left" vertical="center"/>
      <protection locked="0"/>
    </xf>
    <xf numFmtId="0" fontId="0" fillId="0" borderId="15" xfId="0" applyBorder="1" applyAlignment="1">
      <alignment horizontal="left" vertical="center"/>
      <protection locked="0"/>
    </xf>
    <xf numFmtId="39" fontId="18" fillId="0" borderId="0" xfId="0" applyNumberFormat="1" applyFont="1" applyAlignment="1">
      <alignment horizontal="right" vertical="center"/>
      <protection locked="0"/>
    </xf>
    <xf numFmtId="0" fontId="18" fillId="0" borderId="0" xfId="0" applyFont="1" applyAlignment="1">
      <alignment horizontal="left" vertical="center"/>
      <protection locked="0"/>
    </xf>
    <xf numFmtId="0" fontId="17" fillId="0" borderId="0" xfId="0" applyFont="1" applyAlignment="1">
      <alignment horizontal="left" vertical="center" wrapText="1"/>
      <protection locked="0"/>
    </xf>
    <xf numFmtId="0" fontId="17" fillId="0" borderId="0" xfId="0" applyFont="1" applyAlignment="1">
      <alignment horizontal="left" vertical="center"/>
      <protection locked="0"/>
    </xf>
    <xf numFmtId="39" fontId="14" fillId="0" borderId="0" xfId="0" applyNumberFormat="1" applyFont="1" applyAlignment="1">
      <alignment horizontal="right" vertical="center"/>
      <protection locked="0"/>
    </xf>
    <xf numFmtId="0" fontId="14" fillId="0" borderId="0" xfId="0" applyFont="1" applyAlignment="1">
      <alignment horizontal="left" vertical="center"/>
      <protection locked="0"/>
    </xf>
    <xf numFmtId="0" fontId="3" fillId="4" borderId="0" xfId="0" applyFont="1" applyFill="1" applyAlignment="1">
      <alignment horizontal="center" vertical="center"/>
      <protection locked="0"/>
    </xf>
    <xf numFmtId="0" fontId="9" fillId="4" borderId="8" xfId="0" applyFont="1" applyFill="1" applyBorder="1" applyAlignment="1">
      <alignment horizontal="center" vertical="center"/>
      <protection locked="0"/>
    </xf>
    <xf numFmtId="0" fontId="0" fillId="4" borderId="9" xfId="0" applyFill="1" applyBorder="1" applyAlignment="1">
      <alignment horizontal="left" vertical="center"/>
      <protection locked="0"/>
    </xf>
    <xf numFmtId="167" fontId="9" fillId="0" borderId="0" xfId="0" applyNumberFormat="1" applyFont="1" applyAlignment="1">
      <alignment horizontal="left" vertical="top"/>
      <protection locked="0"/>
    </xf>
    <xf numFmtId="0" fontId="9" fillId="4" borderId="9" xfId="0" applyFont="1" applyFill="1" applyBorder="1" applyAlignment="1">
      <alignment horizontal="center" vertical="center"/>
      <protection locked="0"/>
    </xf>
    <xf numFmtId="0" fontId="9" fillId="4" borderId="9" xfId="0" applyFont="1" applyFill="1" applyBorder="1" applyAlignment="1">
      <alignment horizontal="right" vertical="center"/>
      <protection locked="0"/>
    </xf>
    <xf numFmtId="0" fontId="7" fillId="4" borderId="9" xfId="0" applyFont="1" applyFill="1" applyBorder="1" applyAlignment="1">
      <alignment horizontal="left" vertical="center"/>
      <protection locked="0"/>
    </xf>
    <xf numFmtId="39" fontId="7" fillId="4" borderId="9" xfId="0" applyNumberFormat="1" applyFont="1" applyFill="1" applyBorder="1" applyAlignment="1">
      <alignment horizontal="right" vertical="center"/>
      <protection locked="0"/>
    </xf>
    <xf numFmtId="0" fontId="0" fillId="4" borderId="17" xfId="0" applyFill="1" applyBorder="1" applyAlignment="1">
      <alignment horizontal="left" vertical="center"/>
      <protection locked="0"/>
    </xf>
    <xf numFmtId="0" fontId="7" fillId="0" borderId="0" xfId="0" applyFont="1" applyAlignment="1">
      <alignment horizontal="left" vertical="center"/>
      <protection locked="0"/>
    </xf>
    <xf numFmtId="0" fontId="27" fillId="0" borderId="0" xfId="0" applyFont="1" applyAlignment="1">
      <alignment horizontal="left" vertical="center" wrapText="1"/>
      <protection locked="0"/>
    </xf>
    <xf numFmtId="0" fontId="4" fillId="0" borderId="0" xfId="0" applyFont="1" applyBorder="1" applyAlignment="1">
      <alignment horizontal="center" vertical="center"/>
      <protection locked="0"/>
    </xf>
    <xf numFmtId="0" fontId="0" fillId="0" borderId="0" xfId="0" applyFont="1" applyBorder="1" applyAlignment="1">
      <alignment horizontal="left" vertical="top"/>
      <protection locked="0"/>
    </xf>
    <xf numFmtId="0" fontId="8" fillId="0" borderId="0" xfId="0" applyFont="1" applyBorder="1" applyAlignment="1">
      <alignment horizontal="left" vertical="center"/>
      <protection locked="0"/>
    </xf>
    <xf numFmtId="0" fontId="29" fillId="0" borderId="0" xfId="0" applyFont="1" applyBorder="1" applyAlignment="1">
      <alignment horizontal="left" vertical="center"/>
      <protection locked="0"/>
    </xf>
    <xf numFmtId="0" fontId="0" fillId="0" borderId="0" xfId="0" applyFont="1" applyBorder="1" applyAlignment="1">
      <alignment horizontal="left" vertical="center"/>
      <protection locked="0"/>
    </xf>
    <xf numFmtId="167" fontId="9" fillId="0" borderId="0" xfId="0" applyNumberFormat="1" applyFont="1" applyBorder="1" applyAlignment="1">
      <alignment horizontal="left" vertical="top"/>
      <protection locked="0"/>
    </xf>
    <xf numFmtId="0" fontId="9" fillId="0" borderId="0" xfId="0" applyFont="1" applyBorder="1" applyAlignment="1">
      <alignment horizontal="left" vertical="center"/>
      <protection locked="0"/>
    </xf>
    <xf numFmtId="0" fontId="9" fillId="0" borderId="0" xfId="0" applyFont="1" applyBorder="1" applyAlignment="1">
      <alignment horizontal="left" vertical="center" wrapText="1"/>
      <protection locked="0"/>
    </xf>
    <xf numFmtId="0" fontId="0" fillId="0" borderId="0" xfId="0" applyFont="1" applyBorder="1" applyAlignment="1">
      <alignment horizontal="left" vertical="center" wrapText="1"/>
      <protection locked="0"/>
    </xf>
    <xf numFmtId="39" fontId="14" fillId="0" borderId="0" xfId="0" applyNumberFormat="1" applyFont="1" applyBorder="1" applyAlignment="1">
      <alignment horizontal="right" vertical="center"/>
      <protection locked="0"/>
    </xf>
    <xf numFmtId="39" fontId="11" fillId="0" borderId="0" xfId="0" applyNumberFormat="1" applyFont="1" applyBorder="1" applyAlignment="1">
      <alignment horizontal="right" vertical="center"/>
      <protection locked="0"/>
    </xf>
    <xf numFmtId="0" fontId="9" fillId="4" borderId="0" xfId="0" applyFont="1" applyFill="1" applyAlignment="1">
      <alignment horizontal="center" vertical="center"/>
      <protection locked="0"/>
    </xf>
    <xf numFmtId="0" fontId="0" fillId="4" borderId="0" xfId="0" applyFill="1" applyAlignment="1">
      <alignment horizontal="left" vertical="center"/>
      <protection locked="0"/>
    </xf>
    <xf numFmtId="0" fontId="0" fillId="0" borderId="5" xfId="0" applyBorder="1" applyAlignment="1">
      <alignment horizontal="left" vertical="center"/>
      <protection locked="0"/>
    </xf>
    <xf numFmtId="39" fontId="21" fillId="0" borderId="0" xfId="0" applyNumberFormat="1" applyFont="1" applyAlignment="1">
      <alignment horizontal="right" vertical="center"/>
      <protection locked="0"/>
    </xf>
    <xf numFmtId="0" fontId="22" fillId="0" borderId="0" xfId="0" applyFont="1" applyAlignment="1">
      <alignment horizontal="left" vertical="center"/>
      <protection locked="0"/>
    </xf>
    <xf numFmtId="39" fontId="24" fillId="0" borderId="0" xfId="0" applyNumberFormat="1" applyFont="1" applyAlignment="1">
      <alignment horizontal="right" vertical="center"/>
      <protection locked="0"/>
    </xf>
    <xf numFmtId="0" fontId="8" fillId="0" borderId="0" xfId="0" applyFont="1" applyAlignment="1">
      <alignment horizontal="left" vertical="center"/>
      <protection locked="0"/>
    </xf>
    <xf numFmtId="0" fontId="9" fillId="4" borderId="19" xfId="0" applyFont="1" applyFill="1" applyBorder="1" applyAlignment="1">
      <alignment horizontal="center" vertical="center" wrapText="1"/>
      <protection locked="0"/>
    </xf>
    <xf numFmtId="0" fontId="0" fillId="4" borderId="19" xfId="0" applyFill="1" applyBorder="1" applyAlignment="1">
      <alignment horizontal="center" vertical="center" wrapText="1"/>
      <protection locked="0"/>
    </xf>
    <xf numFmtId="0" fontId="0" fillId="0" borderId="25" xfId="0" applyFont="1" applyBorder="1" applyAlignment="1">
      <alignment horizontal="left" vertical="center" wrapText="1"/>
      <protection locked="0"/>
    </xf>
    <xf numFmtId="0" fontId="0" fillId="0" borderId="25" xfId="0" applyBorder="1" applyAlignment="1">
      <alignment horizontal="left" vertical="center"/>
      <protection locked="0"/>
    </xf>
    <xf numFmtId="39" fontId="0" fillId="3" borderId="25" xfId="0" applyNumberFormat="1" applyFont="1" applyFill="1" applyBorder="1" applyAlignment="1">
      <alignment horizontal="right" vertical="center"/>
      <protection locked="0"/>
    </xf>
    <xf numFmtId="39" fontId="0" fillId="0" borderId="25" xfId="0" applyNumberFormat="1" applyFont="1" applyBorder="1" applyAlignment="1">
      <alignment horizontal="right" vertical="center"/>
      <protection locked="0"/>
    </xf>
    <xf numFmtId="39" fontId="24" fillId="0" borderId="0" xfId="0" applyNumberFormat="1" applyFont="1" applyAlignment="1">
      <alignment horizontal="right"/>
      <protection locked="0"/>
    </xf>
    <xf numFmtId="0" fontId="22" fillId="0" borderId="0" xfId="0" applyFont="1" applyAlignment="1">
      <alignment horizontal="left"/>
      <protection locked="0"/>
    </xf>
    <xf numFmtId="0" fontId="30" fillId="0" borderId="25" xfId="0" applyFont="1" applyBorder="1" applyAlignment="1">
      <alignment horizontal="left" vertical="center" wrapText="1"/>
      <protection locked="0"/>
    </xf>
    <xf numFmtId="0" fontId="28" fillId="0" borderId="0" xfId="0" applyFont="1" applyAlignment="1">
      <alignment horizontal="left" vertical="center" wrapText="1"/>
      <protection locked="0"/>
    </xf>
    <xf numFmtId="0" fontId="28" fillId="0" borderId="0" xfId="0" applyFont="1" applyAlignment="1">
      <alignment horizontal="left" vertical="center"/>
      <protection locked="0"/>
    </xf>
    <xf numFmtId="0" fontId="27" fillId="0" borderId="11" xfId="0" applyFont="1" applyBorder="1" applyAlignment="1">
      <alignment horizontal="left" vertical="center" wrapText="1"/>
      <protection locked="0"/>
    </xf>
    <xf numFmtId="0" fontId="0" fillId="0" borderId="11" xfId="0" applyFont="1" applyBorder="1" applyAlignment="1">
      <alignment horizontal="left" vertical="center"/>
      <protection locked="0"/>
    </xf>
    <xf numFmtId="0" fontId="0" fillId="0" borderId="12" xfId="0" applyFont="1" applyBorder="1" applyAlignment="1">
      <alignment horizontal="left" vertical="center"/>
      <protection locked="0"/>
    </xf>
    <xf numFmtId="39" fontId="21" fillId="0" borderId="0" xfId="0" applyNumberFormat="1" applyFont="1" applyAlignment="1">
      <alignment horizontal="right"/>
      <protection locked="0"/>
    </xf>
    <xf numFmtId="0" fontId="0" fillId="2" borderId="0" xfId="0" applyFill="1" applyAlignment="1">
      <alignment horizontal="left" vertical="top"/>
      <protection locked="0"/>
    </xf>
    <xf numFmtId="0" fontId="0" fillId="2" borderId="0" xfId="0" applyFont="1" applyFill="1" applyAlignment="1">
      <alignment horizontal="left" vertical="top"/>
      <protection locked="0"/>
    </xf>
    <xf numFmtId="0" fontId="31" fillId="0" borderId="0" xfId="0" applyFont="1" applyAlignment="1">
      <alignment horizontal="left" vertical="center" wrapText="1"/>
      <protection locked="0"/>
    </xf>
    <xf numFmtId="0" fontId="32" fillId="0" borderId="0" xfId="0" applyFont="1" applyAlignment="1">
      <alignment horizontal="left" vertical="center"/>
      <protection locked="0"/>
    </xf>
    <xf numFmtId="0" fontId="0" fillId="0" borderId="25" xfId="0" applyBorder="1" applyAlignment="1">
      <alignment horizontal="left" vertical="center" wrapText="1"/>
      <protection locked="0"/>
    </xf>
    <xf numFmtId="39" fontId="14" fillId="0" borderId="0" xfId="0" applyNumberFormat="1" applyFont="1" applyAlignment="1">
      <alignment horizontal="right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C1EE0-6313-4601-8424-FC6C16E69046}">
  <sheetPr>
    <pageSetUpPr fitToPage="1"/>
  </sheetPr>
  <dimension ref="A1:IV52"/>
  <sheetViews>
    <sheetView showGridLines="0" tabSelected="1" workbookViewId="0">
      <pane ySplit="1" topLeftCell="A2" activePane="bottomLeft" state="frozenSplit"/>
      <selection pane="bottomLeft" activeCell="AG17" sqref="AG17"/>
    </sheetView>
  </sheetViews>
  <sheetFormatPr defaultColWidth="10.6640625" defaultRowHeight="14.25" customHeight="1" x14ac:dyDescent="0.3"/>
  <cols>
    <col min="1" max="1" width="8.33203125" style="2" customWidth="1"/>
    <col min="2" max="2" width="1.6640625" style="2" customWidth="1"/>
    <col min="3" max="3" width="4.1640625" style="2" customWidth="1"/>
    <col min="4" max="33" width="2.5" style="2" customWidth="1"/>
    <col min="34" max="34" width="3.33203125" style="2" customWidth="1"/>
    <col min="35" max="35" width="31.6640625" style="2" customWidth="1"/>
    <col min="36" max="37" width="2.5" style="2" customWidth="1"/>
    <col min="38" max="38" width="8.33203125" style="2" customWidth="1"/>
    <col min="39" max="39" width="3.33203125" style="2" customWidth="1"/>
    <col min="40" max="40" width="13.33203125" style="2" customWidth="1"/>
    <col min="41" max="41" width="7.5" style="2" customWidth="1"/>
    <col min="42" max="42" width="4.1640625" style="2" customWidth="1"/>
    <col min="43" max="43" width="16.33203125" style="2" customWidth="1"/>
    <col min="44" max="44" width="13.6640625" style="2" customWidth="1"/>
    <col min="45" max="46" width="25.83203125" style="2" hidden="1" customWidth="1"/>
    <col min="47" max="47" width="25" style="2" hidden="1" customWidth="1"/>
    <col min="48" max="52" width="21.6640625" style="2" hidden="1" customWidth="1"/>
    <col min="53" max="53" width="19.1640625" style="2" hidden="1" customWidth="1"/>
    <col min="54" max="54" width="25" style="2" hidden="1" customWidth="1"/>
    <col min="55" max="56" width="19.1640625" style="2" hidden="1" customWidth="1"/>
    <col min="57" max="57" width="66.5" style="2" hidden="1" customWidth="1"/>
    <col min="58" max="58" width="10.6640625" style="1" hidden="1" customWidth="1"/>
    <col min="59" max="70" width="10.6640625" style="1" customWidth="1"/>
    <col min="71" max="91" width="10.6640625" style="2" hidden="1" customWidth="1"/>
    <col min="92" max="16384" width="10.6640625" style="1"/>
  </cols>
  <sheetData>
    <row r="1" spans="1:256" s="3" customFormat="1" ht="22.5" customHeight="1" x14ac:dyDescent="0.3">
      <c r="A1" s="4" t="s">
        <v>0</v>
      </c>
      <c r="B1" s="5"/>
      <c r="C1" s="5"/>
      <c r="D1" s="6" t="s">
        <v>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4" t="s">
        <v>2</v>
      </c>
      <c r="BT1" s="4" t="s">
        <v>3</v>
      </c>
      <c r="BU1" s="4" t="s">
        <v>3</v>
      </c>
      <c r="BV1" s="4" t="s">
        <v>4</v>
      </c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s="2" customFormat="1" ht="37.5" customHeight="1" x14ac:dyDescent="0.3">
      <c r="C2" s="126" t="s">
        <v>5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50" t="s">
        <v>6</v>
      </c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S2" s="7" t="s">
        <v>7</v>
      </c>
      <c r="BT2" s="7" t="s">
        <v>8</v>
      </c>
    </row>
    <row r="3" spans="1:256" s="2" customFormat="1" ht="7.5" customHeigh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10"/>
      <c r="BS3" s="7" t="s">
        <v>7</v>
      </c>
      <c r="BT3" s="7" t="s">
        <v>9</v>
      </c>
    </row>
    <row r="4" spans="1:256" s="2" customFormat="1" ht="37.5" customHeight="1" x14ac:dyDescent="0.3">
      <c r="B4" s="11"/>
      <c r="C4" s="128" t="s">
        <v>10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9"/>
      <c r="AS4" s="13" t="s">
        <v>11</v>
      </c>
      <c r="BE4" s="14" t="s">
        <v>12</v>
      </c>
      <c r="BS4" s="7" t="s">
        <v>13</v>
      </c>
    </row>
    <row r="5" spans="1:256" s="2" customFormat="1" ht="7.5" customHeight="1" x14ac:dyDescent="0.3">
      <c r="B5" s="11"/>
      <c r="AQ5" s="12"/>
      <c r="BE5" s="130" t="s">
        <v>14</v>
      </c>
      <c r="BS5" s="7" t="s">
        <v>7</v>
      </c>
    </row>
    <row r="6" spans="1:256" s="2" customFormat="1" ht="26.25" customHeight="1" x14ac:dyDescent="0.3">
      <c r="B6" s="11"/>
      <c r="D6" s="15" t="s">
        <v>15</v>
      </c>
      <c r="K6" s="133" t="s">
        <v>243</v>
      </c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Q6" s="12"/>
      <c r="BE6" s="127"/>
      <c r="BS6" s="7" t="s">
        <v>16</v>
      </c>
    </row>
    <row r="7" spans="1:256" s="2" customFormat="1" ht="7.5" customHeight="1" x14ac:dyDescent="0.3">
      <c r="B7" s="11"/>
      <c r="AQ7" s="12"/>
      <c r="BE7" s="127"/>
      <c r="BS7" s="7" t="s">
        <v>17</v>
      </c>
    </row>
    <row r="8" spans="1:256" s="2" customFormat="1" ht="15" customHeight="1" x14ac:dyDescent="0.3">
      <c r="B8" s="11"/>
      <c r="D8" s="16" t="s">
        <v>18</v>
      </c>
      <c r="K8" s="17" t="s">
        <v>19</v>
      </c>
      <c r="AK8" s="16" t="s">
        <v>20</v>
      </c>
      <c r="AN8" s="122">
        <v>46195</v>
      </c>
      <c r="AQ8" s="12"/>
      <c r="BE8" s="127"/>
      <c r="BS8" s="7" t="s">
        <v>21</v>
      </c>
    </row>
    <row r="9" spans="1:256" s="2" customFormat="1" ht="15" customHeight="1" x14ac:dyDescent="0.3">
      <c r="B9" s="11"/>
      <c r="AQ9" s="12"/>
      <c r="BE9" s="127"/>
      <c r="BS9" s="7" t="s">
        <v>22</v>
      </c>
    </row>
    <row r="10" spans="1:256" s="2" customFormat="1" ht="15" customHeight="1" x14ac:dyDescent="0.3">
      <c r="B10" s="11"/>
      <c r="D10" s="16" t="s">
        <v>23</v>
      </c>
      <c r="AK10" s="16" t="s">
        <v>24</v>
      </c>
      <c r="AN10" s="17"/>
      <c r="AQ10" s="12"/>
      <c r="BE10" s="127"/>
      <c r="BS10" s="7" t="s">
        <v>16</v>
      </c>
    </row>
    <row r="11" spans="1:256" s="2" customFormat="1" ht="19.5" customHeight="1" x14ac:dyDescent="0.3">
      <c r="B11" s="11"/>
      <c r="E11" s="17" t="s">
        <v>19</v>
      </c>
      <c r="AK11" s="16" t="s">
        <v>25</v>
      </c>
      <c r="AN11" s="17"/>
      <c r="AQ11" s="12"/>
      <c r="BE11" s="127"/>
      <c r="BS11" s="7" t="s">
        <v>16</v>
      </c>
    </row>
    <row r="12" spans="1:256" s="2" customFormat="1" ht="7.5" customHeight="1" x14ac:dyDescent="0.3">
      <c r="B12" s="11"/>
      <c r="AQ12" s="12"/>
      <c r="BE12" s="127"/>
      <c r="BS12" s="7" t="s">
        <v>16</v>
      </c>
    </row>
    <row r="13" spans="1:256" s="2" customFormat="1" ht="15" customHeight="1" x14ac:dyDescent="0.3">
      <c r="B13" s="11"/>
      <c r="D13" s="16" t="s">
        <v>26</v>
      </c>
      <c r="AK13" s="16" t="s">
        <v>24</v>
      </c>
      <c r="AN13" s="18" t="s">
        <v>27</v>
      </c>
      <c r="AQ13" s="12"/>
      <c r="BE13" s="127"/>
      <c r="BS13" s="7" t="s">
        <v>16</v>
      </c>
    </row>
    <row r="14" spans="1:256" s="2" customFormat="1" ht="15.75" customHeight="1" x14ac:dyDescent="0.3">
      <c r="B14" s="11"/>
      <c r="E14" s="134" t="s">
        <v>27</v>
      </c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6" t="s">
        <v>25</v>
      </c>
      <c r="AN14" s="18" t="s">
        <v>27</v>
      </c>
      <c r="AQ14" s="12"/>
      <c r="BE14" s="127"/>
      <c r="BS14" s="7" t="s">
        <v>16</v>
      </c>
    </row>
    <row r="15" spans="1:256" s="2" customFormat="1" ht="7.5" customHeight="1" x14ac:dyDescent="0.3">
      <c r="B15" s="11"/>
      <c r="AQ15" s="12"/>
      <c r="BE15" s="127"/>
      <c r="BS15" s="7" t="s">
        <v>3</v>
      </c>
    </row>
    <row r="16" spans="1:256" s="2" customFormat="1" ht="15" customHeight="1" x14ac:dyDescent="0.3">
      <c r="B16" s="11"/>
      <c r="D16" s="16" t="s">
        <v>28</v>
      </c>
      <c r="AK16" s="16" t="s">
        <v>24</v>
      </c>
      <c r="AN16" s="17"/>
      <c r="AQ16" s="12"/>
      <c r="BE16" s="127"/>
      <c r="BS16" s="7" t="s">
        <v>3</v>
      </c>
    </row>
    <row r="17" spans="2:71" s="2" customFormat="1" ht="19.5" customHeight="1" x14ac:dyDescent="0.3">
      <c r="B17" s="11"/>
      <c r="E17" s="17" t="s">
        <v>19</v>
      </c>
      <c r="AK17" s="16" t="s">
        <v>25</v>
      </c>
      <c r="AN17" s="17"/>
      <c r="AQ17" s="12"/>
      <c r="BE17" s="127"/>
      <c r="BS17" s="7" t="s">
        <v>29</v>
      </c>
    </row>
    <row r="18" spans="2:71" s="2" customFormat="1" ht="7.5" customHeight="1" x14ac:dyDescent="0.3">
      <c r="B18" s="11"/>
      <c r="AQ18" s="12"/>
      <c r="BE18" s="127"/>
      <c r="BS18" s="7" t="s">
        <v>7</v>
      </c>
    </row>
    <row r="19" spans="2:71" s="2" customFormat="1" ht="15" customHeight="1" x14ac:dyDescent="0.3">
      <c r="B19" s="11"/>
      <c r="D19" s="16" t="s">
        <v>30</v>
      </c>
      <c r="AQ19" s="12"/>
      <c r="BE19" s="127"/>
      <c r="BS19" s="7" t="s">
        <v>16</v>
      </c>
    </row>
    <row r="20" spans="2:71" s="2" customFormat="1" ht="15.75" customHeight="1" x14ac:dyDescent="0.3">
      <c r="B20" s="11"/>
      <c r="E20" s="135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Q20" s="12"/>
      <c r="BE20" s="127"/>
      <c r="BS20" s="7" t="s">
        <v>3</v>
      </c>
    </row>
    <row r="21" spans="2:71" s="2" customFormat="1" ht="7.5" customHeight="1" x14ac:dyDescent="0.3">
      <c r="B21" s="11"/>
      <c r="AQ21" s="12"/>
      <c r="BE21" s="127"/>
    </row>
    <row r="22" spans="2:71" s="2" customFormat="1" ht="7.5" customHeight="1" x14ac:dyDescent="0.3">
      <c r="B22" s="11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Q22" s="12"/>
      <c r="BE22" s="127"/>
    </row>
    <row r="23" spans="2:71" s="7" customFormat="1" ht="27" customHeight="1" x14ac:dyDescent="0.3">
      <c r="B23" s="20"/>
      <c r="D23" s="21" t="s">
        <v>31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136">
        <f>AG49</f>
        <v>0</v>
      </c>
      <c r="AL23" s="137"/>
      <c r="AM23" s="137"/>
      <c r="AN23" s="137"/>
      <c r="AO23" s="137"/>
      <c r="AQ23" s="23"/>
      <c r="BE23" s="131"/>
    </row>
    <row r="24" spans="2:71" s="7" customFormat="1" ht="7.5" customHeight="1" x14ac:dyDescent="0.3">
      <c r="B24" s="20"/>
      <c r="AQ24" s="23"/>
      <c r="BE24" s="131"/>
    </row>
    <row r="25" spans="2:71" s="7" customFormat="1" ht="15" customHeight="1" x14ac:dyDescent="0.3">
      <c r="B25" s="24"/>
      <c r="D25" s="25" t="s">
        <v>32</v>
      </c>
      <c r="F25" s="25" t="s">
        <v>33</v>
      </c>
      <c r="L25" s="138">
        <v>0.21</v>
      </c>
      <c r="M25" s="132"/>
      <c r="N25" s="132"/>
      <c r="O25" s="132"/>
      <c r="T25" s="26" t="s">
        <v>34</v>
      </c>
      <c r="W25" s="139">
        <f>AK23</f>
        <v>0</v>
      </c>
      <c r="X25" s="132"/>
      <c r="Y25" s="132"/>
      <c r="Z25" s="132"/>
      <c r="AA25" s="132"/>
      <c r="AB25" s="132"/>
      <c r="AC25" s="132"/>
      <c r="AD25" s="132"/>
      <c r="AE25" s="132"/>
      <c r="AK25" s="139">
        <f>W25*0.21</f>
        <v>0</v>
      </c>
      <c r="AL25" s="132"/>
      <c r="AM25" s="132"/>
      <c r="AN25" s="132"/>
      <c r="AO25" s="132"/>
      <c r="AQ25" s="27"/>
      <c r="BE25" s="132"/>
    </row>
    <row r="26" spans="2:71" s="7" customFormat="1" ht="15" customHeight="1" x14ac:dyDescent="0.3">
      <c r="B26" s="24"/>
      <c r="F26" s="25" t="s">
        <v>35</v>
      </c>
      <c r="L26" s="138">
        <v>0.15</v>
      </c>
      <c r="M26" s="132"/>
      <c r="N26" s="132"/>
      <c r="O26" s="132"/>
      <c r="T26" s="26" t="s">
        <v>34</v>
      </c>
      <c r="W26" s="139">
        <f>ROUNDUP($BA$49,2)</f>
        <v>0</v>
      </c>
      <c r="X26" s="132"/>
      <c r="Y26" s="132"/>
      <c r="Z26" s="132"/>
      <c r="AA26" s="132"/>
      <c r="AB26" s="132"/>
      <c r="AC26" s="132"/>
      <c r="AD26" s="132"/>
      <c r="AE26" s="132"/>
      <c r="AK26" s="139">
        <f>ROUNDUP($AW$49,1)</f>
        <v>0</v>
      </c>
      <c r="AL26" s="132"/>
      <c r="AM26" s="132"/>
      <c r="AN26" s="132"/>
      <c r="AO26" s="132"/>
      <c r="AQ26" s="27"/>
      <c r="BE26" s="132"/>
    </row>
    <row r="27" spans="2:71" s="7" customFormat="1" ht="15" hidden="1" customHeight="1" x14ac:dyDescent="0.3">
      <c r="B27" s="24"/>
      <c r="F27" s="25" t="s">
        <v>36</v>
      </c>
      <c r="L27" s="138">
        <v>0.21</v>
      </c>
      <c r="M27" s="132"/>
      <c r="N27" s="132"/>
      <c r="O27" s="132"/>
      <c r="T27" s="26" t="s">
        <v>34</v>
      </c>
      <c r="W27" s="139">
        <f>ROUNDUP($BB$49,2)</f>
        <v>0</v>
      </c>
      <c r="X27" s="132"/>
      <c r="Y27" s="132"/>
      <c r="Z27" s="132"/>
      <c r="AA27" s="132"/>
      <c r="AB27" s="132"/>
      <c r="AC27" s="132"/>
      <c r="AD27" s="132"/>
      <c r="AE27" s="132"/>
      <c r="AK27" s="139">
        <v>0</v>
      </c>
      <c r="AL27" s="132"/>
      <c r="AM27" s="132"/>
      <c r="AN27" s="132"/>
      <c r="AO27" s="132"/>
      <c r="AQ27" s="27"/>
      <c r="BE27" s="132"/>
    </row>
    <row r="28" spans="2:71" s="7" customFormat="1" ht="15" hidden="1" customHeight="1" x14ac:dyDescent="0.3">
      <c r="B28" s="24"/>
      <c r="F28" s="25" t="s">
        <v>37</v>
      </c>
      <c r="L28" s="138">
        <v>0.15</v>
      </c>
      <c r="M28" s="132"/>
      <c r="N28" s="132"/>
      <c r="O28" s="132"/>
      <c r="T28" s="26" t="s">
        <v>34</v>
      </c>
      <c r="W28" s="139">
        <f>ROUNDUP($BC$49,2)</f>
        <v>0</v>
      </c>
      <c r="X28" s="132"/>
      <c r="Y28" s="132"/>
      <c r="Z28" s="132"/>
      <c r="AA28" s="132"/>
      <c r="AB28" s="132"/>
      <c r="AC28" s="132"/>
      <c r="AD28" s="132"/>
      <c r="AE28" s="132"/>
      <c r="AK28" s="139">
        <v>0</v>
      </c>
      <c r="AL28" s="132"/>
      <c r="AM28" s="132"/>
      <c r="AN28" s="132"/>
      <c r="AO28" s="132"/>
      <c r="AQ28" s="27"/>
      <c r="BE28" s="132"/>
    </row>
    <row r="29" spans="2:71" s="7" customFormat="1" ht="15" hidden="1" customHeight="1" x14ac:dyDescent="0.3">
      <c r="B29" s="24"/>
      <c r="F29" s="25" t="s">
        <v>38</v>
      </c>
      <c r="L29" s="138">
        <v>0</v>
      </c>
      <c r="M29" s="132"/>
      <c r="N29" s="132"/>
      <c r="O29" s="132"/>
      <c r="T29" s="26" t="s">
        <v>34</v>
      </c>
      <c r="W29" s="139">
        <f>ROUNDUP($BD$49,2)</f>
        <v>0</v>
      </c>
      <c r="X29" s="132"/>
      <c r="Y29" s="132"/>
      <c r="Z29" s="132"/>
      <c r="AA29" s="132"/>
      <c r="AB29" s="132"/>
      <c r="AC29" s="132"/>
      <c r="AD29" s="132"/>
      <c r="AE29" s="132"/>
      <c r="AK29" s="139">
        <v>0</v>
      </c>
      <c r="AL29" s="132"/>
      <c r="AM29" s="132"/>
      <c r="AN29" s="132"/>
      <c r="AO29" s="132"/>
      <c r="AQ29" s="27"/>
      <c r="BE29" s="132"/>
    </row>
    <row r="30" spans="2:71" s="7" customFormat="1" ht="7.5" customHeight="1" x14ac:dyDescent="0.3">
      <c r="B30" s="20"/>
      <c r="AQ30" s="23"/>
      <c r="BE30" s="131"/>
    </row>
    <row r="31" spans="2:71" s="7" customFormat="1" ht="27" customHeight="1" x14ac:dyDescent="0.3">
      <c r="B31" s="20"/>
      <c r="C31" s="28"/>
      <c r="D31" s="29" t="s">
        <v>39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1" t="s">
        <v>40</v>
      </c>
      <c r="U31" s="30"/>
      <c r="V31" s="30"/>
      <c r="W31" s="30"/>
      <c r="X31" s="156" t="s">
        <v>41</v>
      </c>
      <c r="Y31" s="152"/>
      <c r="Z31" s="152"/>
      <c r="AA31" s="152"/>
      <c r="AB31" s="152"/>
      <c r="AC31" s="30"/>
      <c r="AD31" s="30"/>
      <c r="AE31" s="30"/>
      <c r="AF31" s="30"/>
      <c r="AG31" s="30"/>
      <c r="AH31" s="30"/>
      <c r="AI31" s="30"/>
      <c r="AJ31" s="30"/>
      <c r="AK31" s="157">
        <f>AK25+AK23</f>
        <v>0</v>
      </c>
      <c r="AL31" s="152"/>
      <c r="AM31" s="152"/>
      <c r="AN31" s="152"/>
      <c r="AO31" s="158"/>
      <c r="AP31" s="28"/>
      <c r="AQ31" s="32"/>
      <c r="BE31" s="131"/>
    </row>
    <row r="32" spans="2:71" s="7" customFormat="1" ht="7.5" customHeight="1" x14ac:dyDescent="0.3">
      <c r="B32" s="20"/>
      <c r="AQ32" s="23"/>
      <c r="BE32" s="131"/>
    </row>
    <row r="33" spans="2:57" s="7" customFormat="1" ht="7.5" customHeight="1" x14ac:dyDescent="0.3"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5"/>
    </row>
    <row r="37" spans="2:57" s="7" customFormat="1" ht="7.5" customHeight="1" x14ac:dyDescent="0.3"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20"/>
    </row>
    <row r="38" spans="2:57" s="7" customFormat="1" ht="37.5" customHeight="1" x14ac:dyDescent="0.3">
      <c r="B38" s="20"/>
      <c r="C38" s="128" t="s">
        <v>42</v>
      </c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20"/>
    </row>
    <row r="39" spans="2:57" s="7" customFormat="1" ht="7.5" customHeight="1" x14ac:dyDescent="0.3">
      <c r="B39" s="20"/>
      <c r="AR39" s="20"/>
    </row>
    <row r="40" spans="2:57" s="15" customFormat="1" ht="27" customHeight="1" x14ac:dyDescent="0.3">
      <c r="B40" s="38"/>
      <c r="C40" s="15" t="s">
        <v>15</v>
      </c>
      <c r="L40" s="159" t="str">
        <f>$K$6</f>
        <v xml:space="preserve">Srby - Oprava komunikace ul. II Srby </v>
      </c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R40" s="38"/>
    </row>
    <row r="41" spans="2:57" s="7" customFormat="1" ht="7.5" customHeight="1" x14ac:dyDescent="0.3">
      <c r="B41" s="20"/>
      <c r="AR41" s="20"/>
    </row>
    <row r="42" spans="2:57" s="7" customFormat="1" ht="15.75" customHeight="1" x14ac:dyDescent="0.3">
      <c r="B42" s="20"/>
      <c r="C42" s="16" t="s">
        <v>18</v>
      </c>
      <c r="L42" s="39" t="str">
        <f>IF($K$8="","",$K$8)</f>
        <v xml:space="preserve"> </v>
      </c>
      <c r="AI42" s="16" t="s">
        <v>20</v>
      </c>
      <c r="AM42" s="153">
        <f>IF($AN$8="","",$AN$8)</f>
        <v>46195</v>
      </c>
      <c r="AN42" s="153"/>
      <c r="AR42" s="20"/>
    </row>
    <row r="43" spans="2:57" s="7" customFormat="1" ht="7.5" customHeight="1" x14ac:dyDescent="0.3">
      <c r="B43" s="20"/>
      <c r="AR43" s="20"/>
    </row>
    <row r="44" spans="2:57" s="7" customFormat="1" ht="18.75" customHeight="1" x14ac:dyDescent="0.3">
      <c r="B44" s="20"/>
      <c r="C44" s="16" t="s">
        <v>23</v>
      </c>
      <c r="L44" s="17" t="str">
        <f>IF($E$11="","",$E$11)</f>
        <v xml:space="preserve"> </v>
      </c>
      <c r="AI44" s="16" t="s">
        <v>28</v>
      </c>
      <c r="AM44" s="140" t="str">
        <f>IF($E$17="","",$E$17)</f>
        <v xml:space="preserve"> </v>
      </c>
      <c r="AN44" s="131"/>
      <c r="AO44" s="131"/>
      <c r="AP44" s="131"/>
      <c r="AR44" s="20"/>
      <c r="AS44" s="141" t="s">
        <v>43</v>
      </c>
      <c r="AT44" s="142"/>
      <c r="AU44" s="40"/>
      <c r="AV44" s="40"/>
      <c r="AW44" s="40"/>
      <c r="AX44" s="40"/>
      <c r="AY44" s="40"/>
      <c r="AZ44" s="40"/>
      <c r="BA44" s="40"/>
      <c r="BB44" s="40"/>
      <c r="BC44" s="40"/>
      <c r="BD44" s="41"/>
    </row>
    <row r="45" spans="2:57" s="7" customFormat="1" ht="15.75" customHeight="1" x14ac:dyDescent="0.3">
      <c r="B45" s="20"/>
      <c r="C45" s="16" t="s">
        <v>26</v>
      </c>
      <c r="L45" s="17" t="str">
        <f>IF($E$14="Vyplň údaj","",$E$14)</f>
        <v/>
      </c>
      <c r="AR45" s="20"/>
      <c r="AS45" s="143"/>
      <c r="AT45" s="131"/>
      <c r="BD45" s="43"/>
    </row>
    <row r="46" spans="2:57" s="7" customFormat="1" ht="12" customHeight="1" x14ac:dyDescent="0.3">
      <c r="B46" s="20"/>
      <c r="AR46" s="20"/>
      <c r="AS46" s="143"/>
      <c r="AT46" s="131"/>
      <c r="BD46" s="43"/>
    </row>
    <row r="47" spans="2:57" s="7" customFormat="1" ht="30" customHeight="1" x14ac:dyDescent="0.3">
      <c r="B47" s="20"/>
      <c r="C47" s="151" t="s">
        <v>44</v>
      </c>
      <c r="D47" s="152"/>
      <c r="E47" s="152"/>
      <c r="F47" s="152"/>
      <c r="G47" s="152"/>
      <c r="H47" s="30"/>
      <c r="I47" s="154" t="s">
        <v>45</v>
      </c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5" t="s">
        <v>46</v>
      </c>
      <c r="AH47" s="152"/>
      <c r="AI47" s="152"/>
      <c r="AJ47" s="152"/>
      <c r="AK47" s="152"/>
      <c r="AL47" s="152"/>
      <c r="AM47" s="152"/>
      <c r="AN47" s="154" t="s">
        <v>47</v>
      </c>
      <c r="AO47" s="152"/>
      <c r="AP47" s="152"/>
      <c r="AQ47" s="44" t="s">
        <v>48</v>
      </c>
      <c r="AR47" s="20"/>
      <c r="AS47" s="45" t="s">
        <v>49</v>
      </c>
      <c r="AT47" s="46" t="s">
        <v>50</v>
      </c>
      <c r="AU47" s="46" t="s">
        <v>51</v>
      </c>
      <c r="AV47" s="46" t="s">
        <v>52</v>
      </c>
      <c r="AW47" s="46" t="s">
        <v>53</v>
      </c>
      <c r="AX47" s="46" t="s">
        <v>54</v>
      </c>
      <c r="AY47" s="46" t="s">
        <v>55</v>
      </c>
      <c r="AZ47" s="46" t="s">
        <v>56</v>
      </c>
      <c r="BA47" s="46" t="s">
        <v>57</v>
      </c>
      <c r="BB47" s="46" t="s">
        <v>58</v>
      </c>
      <c r="BC47" s="46" t="s">
        <v>59</v>
      </c>
      <c r="BD47" s="47" t="s">
        <v>60</v>
      </c>
      <c r="BE47" s="48"/>
    </row>
    <row r="48" spans="2:57" s="7" customFormat="1" ht="12" customHeight="1" x14ac:dyDescent="0.3">
      <c r="B48" s="20"/>
      <c r="AR48" s="20"/>
      <c r="AS48" s="49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1"/>
    </row>
    <row r="49" spans="2:91" s="15" customFormat="1" ht="33" customHeight="1" x14ac:dyDescent="0.3">
      <c r="B49" s="38"/>
      <c r="C49" s="50" t="s">
        <v>61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148">
        <f>AG50</f>
        <v>0</v>
      </c>
      <c r="AH49" s="149"/>
      <c r="AI49" s="149"/>
      <c r="AJ49" s="149"/>
      <c r="AK49" s="149"/>
      <c r="AL49" s="149"/>
      <c r="AM49" s="149"/>
      <c r="AN49" s="148">
        <f>AN50</f>
        <v>0</v>
      </c>
      <c r="AO49" s="149"/>
      <c r="AP49" s="149"/>
      <c r="AQ49" s="51"/>
      <c r="AR49" s="38"/>
      <c r="AS49" s="52">
        <f>ROUNDUP($AS$50,2)</f>
        <v>0</v>
      </c>
      <c r="AT49" s="53">
        <f>ROUNDUP(SUM($AV$49:$AW$49),1)</f>
        <v>0</v>
      </c>
      <c r="AU49" s="54" t="e">
        <f>ROUNDUP($AU$50,5)</f>
        <v>#REF!</v>
      </c>
      <c r="AV49" s="53">
        <f>ROUNDUP($AZ$49*$L$25,2)</f>
        <v>0</v>
      </c>
      <c r="AW49" s="53">
        <f>ROUNDUP($BA$49*$L$26,2)</f>
        <v>0</v>
      </c>
      <c r="AX49" s="53">
        <f>ROUNDUP($BB$49*$L$25,2)</f>
        <v>0</v>
      </c>
      <c r="AY49" s="53">
        <f>ROUNDUP($BC$49*$L$26,2)</f>
        <v>0</v>
      </c>
      <c r="AZ49" s="53">
        <f>ROUNDUP($AZ$50,2)</f>
        <v>0</v>
      </c>
      <c r="BA49" s="53">
        <f>ROUNDUP($BA$50,2)</f>
        <v>0</v>
      </c>
      <c r="BB49" s="53">
        <f>ROUNDUP($BB$50,2)</f>
        <v>0</v>
      </c>
      <c r="BC49" s="53">
        <f>ROUNDUP($BC$50,2)</f>
        <v>0</v>
      </c>
      <c r="BD49" s="55">
        <f>ROUNDUP($BD$50,2)</f>
        <v>0</v>
      </c>
      <c r="BS49" s="15" t="s">
        <v>62</v>
      </c>
      <c r="BT49" s="15" t="s">
        <v>63</v>
      </c>
      <c r="BU49" s="56" t="s">
        <v>64</v>
      </c>
      <c r="BV49" s="15" t="s">
        <v>65</v>
      </c>
      <c r="BW49" s="15" t="s">
        <v>4</v>
      </c>
      <c r="BX49" s="15" t="s">
        <v>66</v>
      </c>
    </row>
    <row r="50" spans="2:91" s="57" customFormat="1" ht="28.5" customHeight="1" x14ac:dyDescent="0.3">
      <c r="B50" s="58"/>
      <c r="C50" s="59"/>
      <c r="D50" s="146" t="s">
        <v>220</v>
      </c>
      <c r="E50" s="147"/>
      <c r="F50" s="147"/>
      <c r="G50" s="147"/>
      <c r="H50" s="147"/>
      <c r="I50" s="59"/>
      <c r="J50" s="146" t="str">
        <f>'Srby - Oprava komun...'!D79</f>
        <v xml:space="preserve">Oprava komunikace </v>
      </c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4">
        <f>'Srby - Oprava komun...'!N52:N52</f>
        <v>0</v>
      </c>
      <c r="AH50" s="145"/>
      <c r="AI50" s="145"/>
      <c r="AJ50" s="145"/>
      <c r="AK50" s="145"/>
      <c r="AL50" s="145"/>
      <c r="AM50" s="145"/>
      <c r="AN50" s="144">
        <f>AG50*1.21</f>
        <v>0</v>
      </c>
      <c r="AO50" s="145"/>
      <c r="AP50" s="145"/>
      <c r="AQ50" s="60" t="s">
        <v>67</v>
      </c>
      <c r="AR50" s="58"/>
      <c r="AS50" s="61">
        <v>0</v>
      </c>
      <c r="AT50" s="62">
        <f>ROUNDUP(SUM($AV$50:$AW$50),1)</f>
        <v>0</v>
      </c>
      <c r="AU50" s="63" t="e">
        <f>'Srby - Oprava komun...'!$W$78</f>
        <v>#REF!</v>
      </c>
      <c r="AV50" s="62">
        <f>'Srby - Oprava komun...'!$M$27</f>
        <v>0</v>
      </c>
      <c r="AW50" s="62">
        <f>'Srby - Oprava komun...'!$M$28</f>
        <v>0</v>
      </c>
      <c r="AX50" s="62">
        <f>'Srby - Oprava komun...'!$M$29</f>
        <v>0</v>
      </c>
      <c r="AY50" s="62">
        <f>'Srby - Oprava komun...'!$M$30</f>
        <v>0</v>
      </c>
      <c r="AZ50" s="62">
        <f>'Srby - Oprava komun...'!$H$27</f>
        <v>0</v>
      </c>
      <c r="BA50" s="62">
        <f>'Srby - Oprava komun...'!$H$28</f>
        <v>0</v>
      </c>
      <c r="BB50" s="62">
        <f>'Srby - Oprava komun...'!$H$29</f>
        <v>0</v>
      </c>
      <c r="BC50" s="62">
        <f>'Srby - Oprava komun...'!$H$30</f>
        <v>0</v>
      </c>
      <c r="BD50" s="64">
        <f>'Srby - Oprava komun...'!$H$31</f>
        <v>0</v>
      </c>
      <c r="BT50" s="57" t="s">
        <v>17</v>
      </c>
      <c r="BV50" s="57" t="s">
        <v>65</v>
      </c>
      <c r="BW50" s="57" t="s">
        <v>68</v>
      </c>
      <c r="BX50" s="57" t="s">
        <v>4</v>
      </c>
      <c r="CM50" s="57" t="s">
        <v>69</v>
      </c>
    </row>
    <row r="51" spans="2:91" s="7" customFormat="1" ht="30.75" customHeight="1" x14ac:dyDescent="0.3">
      <c r="B51" s="20"/>
      <c r="AR51" s="20"/>
    </row>
    <row r="52" spans="2:91" s="7" customFormat="1" ht="7.5" customHeight="1" x14ac:dyDescent="0.3"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20"/>
    </row>
  </sheetData>
  <mergeCells count="40">
    <mergeCell ref="AR2:BE2"/>
    <mergeCell ref="C47:G47"/>
    <mergeCell ref="AM42:AN42"/>
    <mergeCell ref="I47:AF47"/>
    <mergeCell ref="AG47:AM47"/>
    <mergeCell ref="AN47:AP47"/>
    <mergeCell ref="X31:AB31"/>
    <mergeCell ref="AK31:AO31"/>
    <mergeCell ref="C38:AQ38"/>
    <mergeCell ref="L40:AO40"/>
    <mergeCell ref="AN50:AP50"/>
    <mergeCell ref="AG50:AM50"/>
    <mergeCell ref="D50:H50"/>
    <mergeCell ref="J50:AF50"/>
    <mergeCell ref="AG49:AM49"/>
    <mergeCell ref="AN49:AP49"/>
    <mergeCell ref="AM44:AP44"/>
    <mergeCell ref="AS44:AT46"/>
    <mergeCell ref="L28:O28"/>
    <mergeCell ref="W28:AE28"/>
    <mergeCell ref="AK28:AO28"/>
    <mergeCell ref="L29:O29"/>
    <mergeCell ref="W29:AE29"/>
    <mergeCell ref="AK29:AO29"/>
    <mergeCell ref="L26:O26"/>
    <mergeCell ref="W26:AE26"/>
    <mergeCell ref="AK26:AO26"/>
    <mergeCell ref="L27:O27"/>
    <mergeCell ref="W27:AE27"/>
    <mergeCell ref="AK27:AO27"/>
    <mergeCell ref="C2:AQ2"/>
    <mergeCell ref="C4:AQ4"/>
    <mergeCell ref="BE5:BE32"/>
    <mergeCell ref="K6:AO6"/>
    <mergeCell ref="E14:AJ14"/>
    <mergeCell ref="E20:AN20"/>
    <mergeCell ref="AK23:AO23"/>
    <mergeCell ref="L25:O25"/>
    <mergeCell ref="W25:AE25"/>
    <mergeCell ref="AK25:AO25"/>
  </mergeCells>
  <pageMargins left="0.59027779102325439" right="0.59027779102325439" top="0.59027779102325439" bottom="0.59027779102325439" header="0" footer="0"/>
  <pageSetup paperSize="9" scale="69" fitToHeight="99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66353-5649-44AD-8FEA-DD59E3254FDE}">
  <sheetPr>
    <pageSetUpPr fitToPage="1"/>
  </sheetPr>
  <dimension ref="A1:IV162"/>
  <sheetViews>
    <sheetView showGridLines="0" workbookViewId="0">
      <pane ySplit="1" topLeftCell="A4" activePane="bottomLeft" state="frozenSplit"/>
      <selection pane="bottomLeft" activeCell="O10" sqref="O10:P10"/>
    </sheetView>
  </sheetViews>
  <sheetFormatPr defaultColWidth="10.5" defaultRowHeight="14.25" customHeight="1" x14ac:dyDescent="0.3"/>
  <cols>
    <col min="1" max="1" width="8.33203125" style="2" customWidth="1"/>
    <col min="2" max="2" width="1.6640625" style="2" customWidth="1"/>
    <col min="3" max="3" width="4.1640625" style="2" customWidth="1"/>
    <col min="4" max="4" width="4.33203125" style="2" customWidth="1"/>
    <col min="5" max="5" width="17.1640625" style="2" customWidth="1"/>
    <col min="6" max="7" width="11.1640625" style="2" customWidth="1"/>
    <col min="8" max="8" width="12.5" style="2" customWidth="1"/>
    <col min="9" max="9" width="7" style="2" customWidth="1"/>
    <col min="10" max="10" width="5.1640625" style="2" customWidth="1"/>
    <col min="11" max="11" width="11.5" style="2" customWidth="1"/>
    <col min="12" max="12" width="12" style="2" customWidth="1"/>
    <col min="13" max="14" width="6" style="2" customWidth="1"/>
    <col min="15" max="15" width="2" style="2" customWidth="1"/>
    <col min="16" max="16" width="12.5" style="2" customWidth="1"/>
    <col min="17" max="17" width="4.1640625" style="2" customWidth="1"/>
    <col min="18" max="18" width="0.5" style="2" customWidth="1"/>
    <col min="19" max="19" width="8.1640625" style="2" customWidth="1"/>
    <col min="20" max="20" width="29.6640625" style="2" hidden="1" customWidth="1"/>
    <col min="21" max="21" width="16.33203125" style="2" hidden="1" customWidth="1"/>
    <col min="22" max="22" width="12.33203125" style="2" hidden="1" customWidth="1"/>
    <col min="23" max="23" width="16.33203125" style="2" hidden="1" customWidth="1"/>
    <col min="24" max="24" width="12.1640625" style="2" hidden="1" customWidth="1"/>
    <col min="25" max="25" width="15" style="2" hidden="1" customWidth="1"/>
    <col min="26" max="26" width="11" style="2" hidden="1" customWidth="1"/>
    <col min="27" max="27" width="15" style="2" hidden="1" customWidth="1"/>
    <col min="28" max="28" width="16.33203125" style="2" customWidth="1"/>
    <col min="29" max="29" width="11" style="2" customWidth="1"/>
    <col min="30" max="30" width="15" style="2" customWidth="1"/>
    <col min="31" max="31" width="16.33203125" style="2" customWidth="1"/>
    <col min="32" max="43" width="10.5" style="1" customWidth="1"/>
    <col min="44" max="65" width="10.5" style="2" hidden="1" customWidth="1"/>
    <col min="66" max="16384" width="10.5" style="1"/>
  </cols>
  <sheetData>
    <row r="1" spans="1:256" s="3" customFormat="1" ht="22.5" customHeight="1" x14ac:dyDescent="0.3">
      <c r="A1" s="5"/>
      <c r="B1" s="5"/>
      <c r="C1" s="5"/>
      <c r="D1" s="6" t="s">
        <v>1</v>
      </c>
      <c r="E1" s="5"/>
      <c r="F1" s="5"/>
      <c r="G1" s="5"/>
      <c r="H1" s="194"/>
      <c r="I1" s="195"/>
      <c r="J1" s="195"/>
      <c r="K1" s="195"/>
      <c r="L1" s="5"/>
      <c r="M1" s="5"/>
      <c r="N1" s="5"/>
      <c r="O1" s="6" t="s">
        <v>70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s="2" customFormat="1" ht="37.5" customHeight="1" x14ac:dyDescent="0.3">
      <c r="C2" s="126" t="s">
        <v>5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50" t="s">
        <v>6</v>
      </c>
      <c r="T2" s="127"/>
      <c r="U2" s="127"/>
      <c r="V2" s="127"/>
      <c r="W2" s="127"/>
      <c r="X2" s="127"/>
      <c r="Y2" s="127"/>
      <c r="Z2" s="127"/>
      <c r="AA2" s="127"/>
      <c r="AB2" s="127"/>
      <c r="AC2" s="127"/>
      <c r="AT2" s="2" t="s">
        <v>68</v>
      </c>
    </row>
    <row r="3" spans="1:256" s="2" customFormat="1" ht="7.5" customHeigh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"/>
      <c r="AT3" s="2" t="s">
        <v>69</v>
      </c>
    </row>
    <row r="4" spans="1:256" s="2" customFormat="1" ht="37.5" customHeight="1" x14ac:dyDescent="0.3">
      <c r="B4" s="11"/>
      <c r="C4" s="161" t="s">
        <v>71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29"/>
      <c r="T4" s="13" t="s">
        <v>11</v>
      </c>
      <c r="AT4" s="2" t="s">
        <v>3</v>
      </c>
    </row>
    <row r="5" spans="1:256" s="2" customFormat="1" ht="7.5" customHeight="1" x14ac:dyDescent="0.3">
      <c r="B5" s="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2"/>
    </row>
    <row r="6" spans="1:256" s="2" customFormat="1" ht="15.75" customHeight="1" x14ac:dyDescent="0.3">
      <c r="B6" s="11"/>
      <c r="C6" s="111"/>
      <c r="D6" s="112" t="s">
        <v>15</v>
      </c>
      <c r="E6" s="111"/>
      <c r="F6" s="163" t="str">
        <f>'Rekapitulace stavby'!$K$6</f>
        <v xml:space="preserve">Srby - Oprava komunikace ul. II Srby </v>
      </c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2"/>
    </row>
    <row r="7" spans="1:256" s="7" customFormat="1" ht="18.75" customHeight="1" x14ac:dyDescent="0.3">
      <c r="B7" s="20"/>
      <c r="C7" s="113"/>
      <c r="D7" s="114" t="s">
        <v>72</v>
      </c>
      <c r="E7" s="113"/>
      <c r="F7" s="164" t="s">
        <v>243</v>
      </c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23"/>
    </row>
    <row r="8" spans="1:256" s="7" customFormat="1" ht="14.25" customHeight="1" x14ac:dyDescent="0.3">
      <c r="B8" s="20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23"/>
    </row>
    <row r="9" spans="1:256" s="7" customFormat="1" ht="15" customHeight="1" x14ac:dyDescent="0.3">
      <c r="B9" s="20"/>
      <c r="C9" s="113"/>
      <c r="D9" s="112" t="s">
        <v>73</v>
      </c>
      <c r="E9" s="113"/>
      <c r="F9" s="115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23"/>
    </row>
    <row r="10" spans="1:256" s="7" customFormat="1" ht="15" customHeight="1" x14ac:dyDescent="0.3">
      <c r="B10" s="20"/>
      <c r="C10" s="113"/>
      <c r="D10" s="112" t="s">
        <v>18</v>
      </c>
      <c r="E10" s="113"/>
      <c r="F10" s="115" t="s">
        <v>19</v>
      </c>
      <c r="G10" s="113"/>
      <c r="H10" s="113"/>
      <c r="I10" s="113"/>
      <c r="J10" s="113"/>
      <c r="K10" s="113"/>
      <c r="L10" s="113"/>
      <c r="M10" s="112" t="s">
        <v>20</v>
      </c>
      <c r="N10" s="113"/>
      <c r="O10" s="166">
        <f>'Rekapitulace stavby'!$AN$8</f>
        <v>46195</v>
      </c>
      <c r="P10" s="165"/>
      <c r="Q10" s="113"/>
      <c r="R10" s="23"/>
    </row>
    <row r="11" spans="1:256" s="7" customFormat="1" ht="7.5" customHeight="1" x14ac:dyDescent="0.3">
      <c r="B11" s="20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23"/>
    </row>
    <row r="12" spans="1:256" s="7" customFormat="1" ht="15" customHeight="1" x14ac:dyDescent="0.3">
      <c r="B12" s="20"/>
      <c r="C12" s="113"/>
      <c r="D12" s="112" t="s">
        <v>23</v>
      </c>
      <c r="E12" s="113"/>
      <c r="F12" s="113"/>
      <c r="G12" s="113"/>
      <c r="H12" s="113"/>
      <c r="I12" s="113"/>
      <c r="J12" s="113"/>
      <c r="K12" s="113"/>
      <c r="L12" s="113"/>
      <c r="M12" s="112" t="s">
        <v>24</v>
      </c>
      <c r="N12" s="113"/>
      <c r="O12" s="167" t="str">
        <f>IF('Rekapitulace stavby'!$AN$10="","",'Rekapitulace stavby'!$AN$10)</f>
        <v/>
      </c>
      <c r="P12" s="165"/>
      <c r="Q12" s="113"/>
      <c r="R12" s="23"/>
    </row>
    <row r="13" spans="1:256" s="7" customFormat="1" ht="18.75" customHeight="1" x14ac:dyDescent="0.3">
      <c r="B13" s="20"/>
      <c r="C13" s="113"/>
      <c r="D13" s="113"/>
      <c r="E13" s="115" t="str">
        <f>IF('Rekapitulace stavby'!$E$11="","",'Rekapitulace stavby'!$E$11)</f>
        <v xml:space="preserve"> </v>
      </c>
      <c r="F13" s="113"/>
      <c r="G13" s="113"/>
      <c r="H13" s="113"/>
      <c r="I13" s="113"/>
      <c r="J13" s="113"/>
      <c r="K13" s="113"/>
      <c r="L13" s="113"/>
      <c r="M13" s="112" t="s">
        <v>25</v>
      </c>
      <c r="N13" s="113"/>
      <c r="O13" s="167" t="str">
        <f>IF('Rekapitulace stavby'!$AN$11="","",'Rekapitulace stavby'!$AN$11)</f>
        <v/>
      </c>
      <c r="P13" s="165"/>
      <c r="Q13" s="113"/>
      <c r="R13" s="23"/>
    </row>
    <row r="14" spans="1:256" s="7" customFormat="1" ht="7.5" customHeight="1" x14ac:dyDescent="0.3">
      <c r="B14" s="20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23"/>
    </row>
    <row r="15" spans="1:256" s="7" customFormat="1" ht="15" customHeight="1" x14ac:dyDescent="0.3">
      <c r="B15" s="20"/>
      <c r="C15" s="113"/>
      <c r="D15" s="112" t="s">
        <v>26</v>
      </c>
      <c r="E15" s="113"/>
      <c r="F15" s="113"/>
      <c r="G15" s="113"/>
      <c r="H15" s="113"/>
      <c r="I15" s="113"/>
      <c r="J15" s="113"/>
      <c r="K15" s="113"/>
      <c r="L15" s="113"/>
      <c r="M15" s="112" t="s">
        <v>24</v>
      </c>
      <c r="N15" s="113"/>
      <c r="O15" s="167" t="str">
        <f>IF('Rekapitulace stavby'!$AN$13="","",'Rekapitulace stavby'!$AN$13)</f>
        <v>Vyplň údaj</v>
      </c>
      <c r="P15" s="165"/>
      <c r="Q15" s="113"/>
      <c r="R15" s="23"/>
    </row>
    <row r="16" spans="1:256" s="7" customFormat="1" ht="18.75" customHeight="1" x14ac:dyDescent="0.3">
      <c r="B16" s="20"/>
      <c r="C16" s="113"/>
      <c r="D16" s="113"/>
      <c r="E16" s="115" t="str">
        <f>IF('Rekapitulace stavby'!$E$14="","",'Rekapitulace stavby'!$E$14)</f>
        <v>Vyplň údaj</v>
      </c>
      <c r="F16" s="113"/>
      <c r="G16" s="113"/>
      <c r="H16" s="113"/>
      <c r="I16" s="113"/>
      <c r="J16" s="113"/>
      <c r="K16" s="113"/>
      <c r="L16" s="113"/>
      <c r="M16" s="112" t="s">
        <v>25</v>
      </c>
      <c r="N16" s="113"/>
      <c r="O16" s="167" t="str">
        <f>IF('Rekapitulace stavby'!$AN$14="","",'Rekapitulace stavby'!$AN$14)</f>
        <v>Vyplň údaj</v>
      </c>
      <c r="P16" s="165"/>
      <c r="Q16" s="113"/>
      <c r="R16" s="23"/>
    </row>
    <row r="17" spans="2:18" s="7" customFormat="1" ht="7.5" customHeight="1" x14ac:dyDescent="0.3">
      <c r="B17" s="20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23"/>
    </row>
    <row r="18" spans="2:18" s="7" customFormat="1" ht="15" customHeight="1" x14ac:dyDescent="0.3">
      <c r="B18" s="20"/>
      <c r="C18" s="113"/>
      <c r="D18" s="112" t="s">
        <v>28</v>
      </c>
      <c r="E18" s="113"/>
      <c r="F18" s="113"/>
      <c r="G18" s="113"/>
      <c r="H18" s="113"/>
      <c r="I18" s="113"/>
      <c r="J18" s="113"/>
      <c r="K18" s="113"/>
      <c r="L18" s="113"/>
      <c r="M18" s="112" t="s">
        <v>24</v>
      </c>
      <c r="N18" s="113"/>
      <c r="O18" s="167" t="str">
        <f>IF('Rekapitulace stavby'!$AN$16="","",'Rekapitulace stavby'!$AN$16)</f>
        <v/>
      </c>
      <c r="P18" s="165"/>
      <c r="Q18" s="113"/>
      <c r="R18" s="23"/>
    </row>
    <row r="19" spans="2:18" s="7" customFormat="1" ht="18.75" customHeight="1" x14ac:dyDescent="0.3">
      <c r="B19" s="20"/>
      <c r="C19" s="113"/>
      <c r="D19" s="113"/>
      <c r="E19" s="115" t="str">
        <f>IF('Rekapitulace stavby'!$E$17="","",'Rekapitulace stavby'!$E$17)</f>
        <v xml:space="preserve"> </v>
      </c>
      <c r="F19" s="113"/>
      <c r="G19" s="113"/>
      <c r="H19" s="113"/>
      <c r="I19" s="113"/>
      <c r="J19" s="113"/>
      <c r="K19" s="113"/>
      <c r="L19" s="113"/>
      <c r="M19" s="112" t="s">
        <v>25</v>
      </c>
      <c r="N19" s="113"/>
      <c r="O19" s="167" t="str">
        <f>IF('Rekapitulace stavby'!$AN$17="","",'Rekapitulace stavby'!$AN$17)</f>
        <v/>
      </c>
      <c r="P19" s="165"/>
      <c r="Q19" s="113"/>
      <c r="R19" s="23"/>
    </row>
    <row r="20" spans="2:18" s="7" customFormat="1" ht="7.5" customHeight="1" x14ac:dyDescent="0.3">
      <c r="B20" s="20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23"/>
    </row>
    <row r="21" spans="2:18" s="7" customFormat="1" ht="15" customHeight="1" x14ac:dyDescent="0.3">
      <c r="B21" s="20"/>
      <c r="C21" s="113"/>
      <c r="D21" s="112" t="s">
        <v>30</v>
      </c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23"/>
    </row>
    <row r="22" spans="2:18" s="65" customFormat="1" ht="15.75" customHeight="1" x14ac:dyDescent="0.3">
      <c r="B22" s="66"/>
      <c r="C22" s="116"/>
      <c r="D22" s="116"/>
      <c r="E22" s="168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16"/>
      <c r="R22" s="67"/>
    </row>
    <row r="23" spans="2:18" s="7" customFormat="1" ht="7.5" customHeight="1" x14ac:dyDescent="0.3">
      <c r="B23" s="20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23"/>
    </row>
    <row r="24" spans="2:18" s="7" customFormat="1" ht="7.5" customHeight="1" x14ac:dyDescent="0.3">
      <c r="B24" s="20"/>
      <c r="C24" s="113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113"/>
      <c r="R24" s="23"/>
    </row>
    <row r="25" spans="2:18" s="7" customFormat="1" ht="26.25" customHeight="1" x14ac:dyDescent="0.3">
      <c r="B25" s="20"/>
      <c r="C25" s="113"/>
      <c r="D25" s="117" t="s">
        <v>31</v>
      </c>
      <c r="E25" s="113"/>
      <c r="F25" s="113"/>
      <c r="G25" s="113"/>
      <c r="H25" s="113"/>
      <c r="I25" s="113"/>
      <c r="J25" s="113"/>
      <c r="K25" s="113"/>
      <c r="L25" s="113"/>
      <c r="M25" s="170">
        <f>N51</f>
        <v>0</v>
      </c>
      <c r="N25" s="165"/>
      <c r="O25" s="165"/>
      <c r="P25" s="165"/>
      <c r="Q25" s="113"/>
      <c r="R25" s="23"/>
    </row>
    <row r="26" spans="2:18" s="7" customFormat="1" ht="7.5" customHeight="1" x14ac:dyDescent="0.3">
      <c r="B26" s="20"/>
      <c r="C26" s="113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13"/>
      <c r="R26" s="23"/>
    </row>
    <row r="27" spans="2:18" s="7" customFormat="1" ht="15" customHeight="1" x14ac:dyDescent="0.3">
      <c r="B27" s="20"/>
      <c r="C27" s="113"/>
      <c r="D27" s="118" t="s">
        <v>32</v>
      </c>
      <c r="E27" s="118" t="s">
        <v>33</v>
      </c>
      <c r="F27" s="119">
        <v>0.21</v>
      </c>
      <c r="G27" s="120" t="s">
        <v>34</v>
      </c>
      <c r="H27" s="171">
        <f>M25</f>
        <v>0</v>
      </c>
      <c r="I27" s="165"/>
      <c r="J27" s="165"/>
      <c r="K27" s="113"/>
      <c r="L27" s="113"/>
      <c r="M27" s="171">
        <f>H27*0.21</f>
        <v>0</v>
      </c>
      <c r="N27" s="165"/>
      <c r="O27" s="165"/>
      <c r="P27" s="165"/>
      <c r="Q27" s="113"/>
      <c r="R27" s="23"/>
    </row>
    <row r="28" spans="2:18" s="7" customFormat="1" ht="15" customHeight="1" x14ac:dyDescent="0.3">
      <c r="B28" s="20"/>
      <c r="C28" s="113"/>
      <c r="D28" s="113"/>
      <c r="E28" s="118" t="s">
        <v>35</v>
      </c>
      <c r="F28" s="119">
        <v>0.15</v>
      </c>
      <c r="G28" s="120" t="s">
        <v>34</v>
      </c>
      <c r="H28" s="171">
        <f>SUM($BF$78:$BF$162)</f>
        <v>0</v>
      </c>
      <c r="I28" s="165"/>
      <c r="J28" s="165"/>
      <c r="K28" s="113"/>
      <c r="L28" s="113"/>
      <c r="M28" s="171">
        <f>SUM($BF$78:$BF$162)*$F$28</f>
        <v>0</v>
      </c>
      <c r="N28" s="165"/>
      <c r="O28" s="165"/>
      <c r="P28" s="165"/>
      <c r="Q28" s="113"/>
      <c r="R28" s="23"/>
    </row>
    <row r="29" spans="2:18" s="7" customFormat="1" ht="15" customHeight="1" x14ac:dyDescent="0.3">
      <c r="B29" s="20"/>
      <c r="C29" s="113"/>
      <c r="D29" s="113"/>
      <c r="E29" s="118" t="s">
        <v>36</v>
      </c>
      <c r="F29" s="119">
        <v>0.21</v>
      </c>
      <c r="G29" s="120" t="s">
        <v>34</v>
      </c>
      <c r="H29" s="171">
        <f>SUM($BG$78:$BG$162)</f>
        <v>0</v>
      </c>
      <c r="I29" s="165"/>
      <c r="J29" s="165"/>
      <c r="K29" s="113"/>
      <c r="L29" s="113"/>
      <c r="M29" s="171">
        <v>0</v>
      </c>
      <c r="N29" s="165"/>
      <c r="O29" s="165"/>
      <c r="P29" s="165"/>
      <c r="Q29" s="113"/>
      <c r="R29" s="23"/>
    </row>
    <row r="30" spans="2:18" s="7" customFormat="1" ht="15" customHeight="1" x14ac:dyDescent="0.3">
      <c r="B30" s="20"/>
      <c r="C30" s="113"/>
      <c r="D30" s="113"/>
      <c r="E30" s="118" t="s">
        <v>37</v>
      </c>
      <c r="F30" s="119">
        <v>0.15</v>
      </c>
      <c r="G30" s="120" t="s">
        <v>34</v>
      </c>
      <c r="H30" s="171">
        <f>SUM($BH$78:$BH$162)</f>
        <v>0</v>
      </c>
      <c r="I30" s="165"/>
      <c r="J30" s="165"/>
      <c r="K30" s="113"/>
      <c r="L30" s="113"/>
      <c r="M30" s="171">
        <v>0</v>
      </c>
      <c r="N30" s="165"/>
      <c r="O30" s="165"/>
      <c r="P30" s="165"/>
      <c r="Q30" s="113"/>
      <c r="R30" s="23"/>
    </row>
    <row r="31" spans="2:18" s="7" customFormat="1" ht="15" customHeight="1" x14ac:dyDescent="0.3">
      <c r="B31" s="20"/>
      <c r="C31" s="113"/>
      <c r="D31" s="113"/>
      <c r="E31" s="118" t="s">
        <v>38</v>
      </c>
      <c r="F31" s="119">
        <v>0</v>
      </c>
      <c r="G31" s="120" t="s">
        <v>34</v>
      </c>
      <c r="H31" s="171">
        <f>SUM($BI$78:$BI$162)</f>
        <v>0</v>
      </c>
      <c r="I31" s="165"/>
      <c r="J31" s="165"/>
      <c r="K31" s="113"/>
      <c r="L31" s="113"/>
      <c r="M31" s="171">
        <v>0</v>
      </c>
      <c r="N31" s="165"/>
      <c r="O31" s="165"/>
      <c r="P31" s="165"/>
      <c r="Q31" s="113"/>
      <c r="R31" s="23"/>
    </row>
    <row r="32" spans="2:18" s="7" customFormat="1" ht="7.5" customHeight="1" x14ac:dyDescent="0.3">
      <c r="B32" s="20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23"/>
    </row>
    <row r="33" spans="2:18" s="7" customFormat="1" ht="26.25" customHeight="1" x14ac:dyDescent="0.3">
      <c r="B33" s="20"/>
      <c r="C33" s="121"/>
      <c r="D33" s="29" t="s">
        <v>39</v>
      </c>
      <c r="E33" s="30"/>
      <c r="F33" s="30"/>
      <c r="G33" s="68" t="s">
        <v>40</v>
      </c>
      <c r="H33" s="31" t="s">
        <v>41</v>
      </c>
      <c r="I33" s="30"/>
      <c r="J33" s="30"/>
      <c r="K33" s="30"/>
      <c r="L33" s="157">
        <f>M27+M25</f>
        <v>0</v>
      </c>
      <c r="M33" s="152"/>
      <c r="N33" s="152"/>
      <c r="O33" s="152"/>
      <c r="P33" s="158"/>
      <c r="Q33" s="121"/>
      <c r="R33" s="32"/>
    </row>
    <row r="34" spans="2:18" s="7" customFormat="1" ht="15" customHeight="1" x14ac:dyDescent="0.3"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5"/>
    </row>
    <row r="38" spans="2:18" s="7" customFormat="1" ht="7.5" customHeight="1" x14ac:dyDescent="0.3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69"/>
    </row>
    <row r="39" spans="2:18" s="7" customFormat="1" ht="37.5" customHeight="1" x14ac:dyDescent="0.3">
      <c r="B39" s="20"/>
      <c r="C39" s="128" t="s">
        <v>74</v>
      </c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74"/>
    </row>
    <row r="40" spans="2:18" s="7" customFormat="1" ht="7.5" customHeight="1" x14ac:dyDescent="0.3">
      <c r="B40" s="20"/>
      <c r="R40" s="23"/>
    </row>
    <row r="41" spans="2:18" s="7" customFormat="1" ht="15" customHeight="1" x14ac:dyDescent="0.3">
      <c r="B41" s="20"/>
      <c r="C41" s="16" t="s">
        <v>15</v>
      </c>
      <c r="F41" s="178" t="str">
        <f>$F$6</f>
        <v xml:space="preserve">Srby - Oprava komunikace ul. II Srby </v>
      </c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23"/>
    </row>
    <row r="42" spans="2:18" s="7" customFormat="1" ht="15" customHeight="1" x14ac:dyDescent="0.3">
      <c r="B42" s="20"/>
      <c r="C42" s="15" t="s">
        <v>72</v>
      </c>
      <c r="F42" s="159" t="str">
        <f>$F$7</f>
        <v xml:space="preserve">Srby - Oprava komunikace ul. II Srby </v>
      </c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23"/>
    </row>
    <row r="43" spans="2:18" s="7" customFormat="1" ht="7.5" customHeight="1" x14ac:dyDescent="0.3">
      <c r="B43" s="20"/>
      <c r="R43" s="23"/>
    </row>
    <row r="44" spans="2:18" s="7" customFormat="1" ht="18.75" customHeight="1" x14ac:dyDescent="0.3">
      <c r="B44" s="20"/>
      <c r="C44" s="16" t="s">
        <v>18</v>
      </c>
      <c r="F44" s="17" t="str">
        <f>$F$10</f>
        <v xml:space="preserve"> </v>
      </c>
      <c r="K44" s="16" t="s">
        <v>20</v>
      </c>
      <c r="M44" s="153">
        <f>IF($O$10="","",$O$10)</f>
        <v>46195</v>
      </c>
      <c r="N44" s="131"/>
      <c r="O44" s="131"/>
      <c r="P44" s="131"/>
      <c r="R44" s="23"/>
    </row>
    <row r="45" spans="2:18" s="7" customFormat="1" ht="7.5" customHeight="1" x14ac:dyDescent="0.3">
      <c r="B45" s="20"/>
      <c r="R45" s="23"/>
    </row>
    <row r="46" spans="2:18" s="7" customFormat="1" ht="15.75" customHeight="1" x14ac:dyDescent="0.3">
      <c r="B46" s="20"/>
      <c r="C46" s="16" t="s">
        <v>23</v>
      </c>
      <c r="F46" s="17" t="str">
        <f>$E$13</f>
        <v xml:space="preserve"> </v>
      </c>
      <c r="K46" s="16" t="s">
        <v>28</v>
      </c>
      <c r="M46" s="140" t="str">
        <f>$E$19</f>
        <v xml:space="preserve"> </v>
      </c>
      <c r="N46" s="131"/>
      <c r="O46" s="131"/>
      <c r="P46" s="131"/>
      <c r="Q46" s="131"/>
      <c r="R46" s="23"/>
    </row>
    <row r="47" spans="2:18" s="7" customFormat="1" ht="15" customHeight="1" x14ac:dyDescent="0.3">
      <c r="B47" s="20"/>
      <c r="C47" s="16" t="s">
        <v>26</v>
      </c>
      <c r="F47" s="17" t="str">
        <f>IF($E$16="","",$E$16)</f>
        <v>Vyplň údaj</v>
      </c>
      <c r="R47" s="23"/>
    </row>
    <row r="48" spans="2:18" s="7" customFormat="1" ht="11.25" customHeight="1" x14ac:dyDescent="0.3">
      <c r="B48" s="20"/>
      <c r="R48" s="23"/>
    </row>
    <row r="49" spans="2:47" s="7" customFormat="1" ht="30" customHeight="1" x14ac:dyDescent="0.3">
      <c r="B49" s="20"/>
      <c r="C49" s="172" t="s">
        <v>75</v>
      </c>
      <c r="D49" s="173"/>
      <c r="E49" s="173"/>
      <c r="F49" s="173"/>
      <c r="G49" s="173"/>
      <c r="H49" s="28"/>
      <c r="I49" s="28"/>
      <c r="J49" s="28"/>
      <c r="K49" s="28"/>
      <c r="L49" s="28"/>
      <c r="M49" s="28"/>
      <c r="N49" s="172" t="s">
        <v>76</v>
      </c>
      <c r="O49" s="173"/>
      <c r="P49" s="173"/>
      <c r="Q49" s="173"/>
      <c r="R49" s="32"/>
    </row>
    <row r="50" spans="2:47" s="7" customFormat="1" ht="11.25" customHeight="1" x14ac:dyDescent="0.3">
      <c r="B50" s="20"/>
      <c r="R50" s="23"/>
    </row>
    <row r="51" spans="2:47" s="7" customFormat="1" ht="30" customHeight="1" x14ac:dyDescent="0.3">
      <c r="B51" s="20"/>
      <c r="C51" s="50" t="s">
        <v>77</v>
      </c>
      <c r="N51" s="148">
        <f>N52</f>
        <v>0</v>
      </c>
      <c r="O51" s="131"/>
      <c r="P51" s="131"/>
      <c r="Q51" s="131"/>
      <c r="R51" s="23"/>
      <c r="AU51" s="7" t="s">
        <v>78</v>
      </c>
    </row>
    <row r="52" spans="2:47" s="56" customFormat="1" ht="25.5" customHeight="1" x14ac:dyDescent="0.3">
      <c r="B52" s="70"/>
      <c r="D52" s="71" t="s">
        <v>244</v>
      </c>
      <c r="N52" s="175">
        <f>SUM(N53:Q60)</f>
        <v>0</v>
      </c>
      <c r="O52" s="176"/>
      <c r="P52" s="176"/>
      <c r="Q52" s="176"/>
      <c r="R52" s="72"/>
    </row>
    <row r="53" spans="2:47" s="73" customFormat="1" ht="21" customHeight="1" x14ac:dyDescent="0.3">
      <c r="B53" s="74"/>
      <c r="D53" s="75" t="s">
        <v>79</v>
      </c>
      <c r="N53" s="177">
        <f>ROUNDUP($N$80,2)</f>
        <v>0</v>
      </c>
      <c r="O53" s="176"/>
      <c r="P53" s="176"/>
      <c r="Q53" s="176"/>
      <c r="R53" s="76"/>
    </row>
    <row r="54" spans="2:47" s="73" customFormat="1" ht="21" customHeight="1" x14ac:dyDescent="0.3">
      <c r="B54" s="74"/>
      <c r="D54" s="75" t="s">
        <v>80</v>
      </c>
      <c r="N54" s="177">
        <f>ROUNDUP($N$101,2)</f>
        <v>0</v>
      </c>
      <c r="O54" s="176"/>
      <c r="P54" s="176"/>
      <c r="Q54" s="176"/>
      <c r="R54" s="76"/>
    </row>
    <row r="55" spans="2:47" s="73" customFormat="1" ht="21" customHeight="1" x14ac:dyDescent="0.3">
      <c r="B55" s="74"/>
      <c r="D55" s="75" t="s">
        <v>81</v>
      </c>
      <c r="N55" s="177">
        <f>ROUNDUP($N$110,2)</f>
        <v>0</v>
      </c>
      <c r="O55" s="176"/>
      <c r="P55" s="176"/>
      <c r="Q55" s="176"/>
      <c r="R55" s="76"/>
    </row>
    <row r="56" spans="2:47" s="73" customFormat="1" ht="21" customHeight="1" x14ac:dyDescent="0.3">
      <c r="B56" s="74"/>
      <c r="D56" s="75" t="s">
        <v>82</v>
      </c>
      <c r="N56" s="177">
        <f>ROUNDUP($N$117,2)</f>
        <v>0</v>
      </c>
      <c r="O56" s="176"/>
      <c r="P56" s="176"/>
      <c r="Q56" s="176"/>
      <c r="R56" s="76"/>
    </row>
    <row r="57" spans="2:47" s="73" customFormat="1" ht="21" customHeight="1" x14ac:dyDescent="0.3">
      <c r="B57" s="74"/>
      <c r="D57" s="75" t="s">
        <v>83</v>
      </c>
      <c r="N57" s="177">
        <f>ROUNDUP($N$126,2)</f>
        <v>0</v>
      </c>
      <c r="O57" s="176"/>
      <c r="P57" s="176"/>
      <c r="Q57" s="176"/>
      <c r="R57" s="76"/>
    </row>
    <row r="58" spans="2:47" s="73" customFormat="1" ht="21" customHeight="1" x14ac:dyDescent="0.3">
      <c r="B58" s="74"/>
      <c r="D58" s="75" t="s">
        <v>84</v>
      </c>
      <c r="N58" s="177">
        <f>ROUNDUP($N$152,2)</f>
        <v>0</v>
      </c>
      <c r="O58" s="176"/>
      <c r="P58" s="176"/>
      <c r="Q58" s="176"/>
      <c r="R58" s="76"/>
    </row>
    <row r="59" spans="2:47" s="73" customFormat="1" ht="21" customHeight="1" x14ac:dyDescent="0.3">
      <c r="B59" s="74"/>
      <c r="D59" s="75" t="s">
        <v>85</v>
      </c>
      <c r="N59" s="177">
        <f>ROUNDUP($N$155,2)</f>
        <v>0</v>
      </c>
      <c r="O59" s="176"/>
      <c r="P59" s="176"/>
      <c r="Q59" s="176"/>
      <c r="R59" s="76"/>
    </row>
    <row r="60" spans="2:47" s="73" customFormat="1" ht="21" customHeight="1" x14ac:dyDescent="0.3">
      <c r="B60" s="74"/>
      <c r="D60" s="75" t="s">
        <v>86</v>
      </c>
      <c r="N60" s="177">
        <f>ROUNDUP($N$158,2)</f>
        <v>0</v>
      </c>
      <c r="O60" s="176"/>
      <c r="P60" s="176"/>
      <c r="Q60" s="176"/>
      <c r="R60" s="76"/>
    </row>
    <row r="61" spans="2:47" s="7" customFormat="1" ht="22.5" customHeight="1" x14ac:dyDescent="0.3">
      <c r="B61" s="20"/>
      <c r="R61" s="23"/>
    </row>
    <row r="62" spans="2:47" s="7" customFormat="1" ht="7.5" customHeight="1" x14ac:dyDescent="0.3">
      <c r="B62" s="33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5"/>
    </row>
    <row r="66" spans="2:63" s="7" customFormat="1" ht="7.5" customHeight="1" x14ac:dyDescent="0.3">
      <c r="B66" s="36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20"/>
    </row>
    <row r="67" spans="2:63" s="7" customFormat="1" ht="37.5" customHeight="1" x14ac:dyDescent="0.3">
      <c r="B67" s="20"/>
      <c r="C67" s="128" t="s">
        <v>87</v>
      </c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20"/>
    </row>
    <row r="68" spans="2:63" s="7" customFormat="1" ht="7.5" customHeight="1" x14ac:dyDescent="0.3">
      <c r="B68" s="20"/>
      <c r="S68" s="20"/>
    </row>
    <row r="69" spans="2:63" s="7" customFormat="1" ht="15" customHeight="1" x14ac:dyDescent="0.3">
      <c r="B69" s="20"/>
      <c r="C69" s="16" t="s">
        <v>15</v>
      </c>
      <c r="F69" s="178" t="str">
        <f>$F$6</f>
        <v xml:space="preserve">Srby - Oprava komunikace ul. II Srby </v>
      </c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S69" s="20"/>
    </row>
    <row r="70" spans="2:63" s="7" customFormat="1" ht="15" customHeight="1" x14ac:dyDescent="0.3">
      <c r="B70" s="20"/>
      <c r="C70" s="15" t="s">
        <v>72</v>
      </c>
      <c r="F70" s="159" t="str">
        <f>$F$7</f>
        <v xml:space="preserve">Srby - Oprava komunikace ul. II Srby </v>
      </c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S70" s="20"/>
    </row>
    <row r="71" spans="2:63" s="7" customFormat="1" ht="7.5" customHeight="1" x14ac:dyDescent="0.3">
      <c r="B71" s="20"/>
      <c r="S71" s="20"/>
    </row>
    <row r="72" spans="2:63" s="7" customFormat="1" ht="18.75" customHeight="1" x14ac:dyDescent="0.3">
      <c r="B72" s="20"/>
      <c r="C72" s="16" t="s">
        <v>18</v>
      </c>
      <c r="F72" s="17" t="str">
        <f>$F$10</f>
        <v xml:space="preserve"> </v>
      </c>
      <c r="K72" s="16" t="s">
        <v>20</v>
      </c>
      <c r="M72" s="153">
        <f>IF($O$10="","",$O$10)</f>
        <v>46195</v>
      </c>
      <c r="N72" s="131"/>
      <c r="O72" s="131"/>
      <c r="P72" s="131"/>
      <c r="S72" s="20"/>
    </row>
    <row r="73" spans="2:63" s="7" customFormat="1" ht="7.5" customHeight="1" x14ac:dyDescent="0.3">
      <c r="B73" s="20"/>
      <c r="S73" s="20"/>
    </row>
    <row r="74" spans="2:63" s="7" customFormat="1" ht="15.75" customHeight="1" x14ac:dyDescent="0.3">
      <c r="B74" s="20"/>
      <c r="C74" s="16" t="s">
        <v>23</v>
      </c>
      <c r="F74" s="17" t="str">
        <f>$E$13</f>
        <v xml:space="preserve"> </v>
      </c>
      <c r="K74" s="16" t="s">
        <v>28</v>
      </c>
      <c r="M74" s="140" t="str">
        <f>$E$19</f>
        <v xml:space="preserve"> </v>
      </c>
      <c r="N74" s="131"/>
      <c r="O74" s="131"/>
      <c r="P74" s="131"/>
      <c r="Q74" s="131"/>
      <c r="S74" s="20"/>
    </row>
    <row r="75" spans="2:63" s="7" customFormat="1" ht="15" customHeight="1" x14ac:dyDescent="0.3">
      <c r="B75" s="20"/>
      <c r="C75" s="16" t="s">
        <v>26</v>
      </c>
      <c r="F75" s="17" t="str">
        <f>IF($E$16="","",$E$16)</f>
        <v>Vyplň údaj</v>
      </c>
      <c r="S75" s="20"/>
    </row>
    <row r="76" spans="2:63" s="7" customFormat="1" ht="11.25" customHeight="1" x14ac:dyDescent="0.3">
      <c r="B76" s="20"/>
      <c r="S76" s="20"/>
    </row>
    <row r="77" spans="2:63" s="77" customFormat="1" ht="30" customHeight="1" x14ac:dyDescent="0.3">
      <c r="B77" s="78"/>
      <c r="C77" s="79" t="s">
        <v>88</v>
      </c>
      <c r="D77" s="80" t="s">
        <v>48</v>
      </c>
      <c r="E77" s="80" t="s">
        <v>44</v>
      </c>
      <c r="F77" s="179" t="s">
        <v>89</v>
      </c>
      <c r="G77" s="180"/>
      <c r="H77" s="180"/>
      <c r="I77" s="180"/>
      <c r="J77" s="80" t="s">
        <v>90</v>
      </c>
      <c r="K77" s="80" t="s">
        <v>91</v>
      </c>
      <c r="L77" s="179" t="s">
        <v>92</v>
      </c>
      <c r="M77" s="180"/>
      <c r="N77" s="179" t="s">
        <v>93</v>
      </c>
      <c r="O77" s="180"/>
      <c r="P77" s="180"/>
      <c r="Q77" s="180"/>
      <c r="R77" s="81" t="s">
        <v>94</v>
      </c>
      <c r="S77" s="78"/>
      <c r="T77" s="45" t="s">
        <v>95</v>
      </c>
      <c r="U77" s="46" t="s">
        <v>32</v>
      </c>
      <c r="V77" s="46" t="s">
        <v>96</v>
      </c>
      <c r="W77" s="46" t="s">
        <v>97</v>
      </c>
      <c r="X77" s="46" t="s">
        <v>98</v>
      </c>
      <c r="Y77" s="46" t="s">
        <v>99</v>
      </c>
      <c r="Z77" s="46" t="s">
        <v>100</v>
      </c>
      <c r="AA77" s="47" t="s">
        <v>101</v>
      </c>
    </row>
    <row r="78" spans="2:63" s="7" customFormat="1" ht="30" hidden="1" customHeight="1" x14ac:dyDescent="0.35">
      <c r="B78" s="20"/>
      <c r="C78" s="50" t="s">
        <v>77</v>
      </c>
      <c r="N78" s="199" t="e">
        <f>N79+#REF!+#REF!</f>
        <v>#REF!</v>
      </c>
      <c r="O78" s="131"/>
      <c r="P78" s="131"/>
      <c r="Q78" s="131"/>
      <c r="S78" s="20"/>
      <c r="T78" s="49"/>
      <c r="U78" s="40"/>
      <c r="V78" s="40"/>
      <c r="W78" s="82" t="e">
        <f>$W$79+#REF!+#REF!</f>
        <v>#REF!</v>
      </c>
      <c r="X78" s="40"/>
      <c r="Y78" s="82" t="e">
        <f>$Y$79+#REF!+#REF!</f>
        <v>#REF!</v>
      </c>
      <c r="Z78" s="40"/>
      <c r="AA78" s="83" t="e">
        <f>$AA$79+#REF!+#REF!</f>
        <v>#REF!</v>
      </c>
      <c r="AT78" s="7" t="s">
        <v>62</v>
      </c>
      <c r="AU78" s="7" t="s">
        <v>78</v>
      </c>
      <c r="BK78" s="84" t="e">
        <f>$BK$79+#REF!+#REF!</f>
        <v>#REF!</v>
      </c>
    </row>
    <row r="79" spans="2:63" s="85" customFormat="1" ht="37.5" customHeight="1" x14ac:dyDescent="0.35">
      <c r="B79" s="86"/>
      <c r="D79" s="87" t="s">
        <v>244</v>
      </c>
      <c r="N79" s="193">
        <f>N101+N110+N117+N126+N152+N155+N158+N80</f>
        <v>0</v>
      </c>
      <c r="O79" s="186"/>
      <c r="P79" s="186"/>
      <c r="Q79" s="186"/>
      <c r="S79" s="86"/>
      <c r="T79" s="89"/>
      <c r="W79" s="90">
        <f>$W$80+$W$101+$W$110+$W$117+$W$126+$W$152+$W$155+$W$158</f>
        <v>0</v>
      </c>
      <c r="Y79" s="90">
        <f>$Y$80+$Y$101+$Y$110+$Y$117+$Y$126+$Y$152+$Y$155+$Y$158</f>
        <v>1123.2157249999998</v>
      </c>
      <c r="AA79" s="91">
        <f>$AA$80+$AA$101+$AA$110+$AA$117+$AA$126+$AA$152+$AA$155+$AA$158</f>
        <v>448.40500000000003</v>
      </c>
      <c r="AR79" s="88" t="s">
        <v>17</v>
      </c>
      <c r="AT79" s="88" t="s">
        <v>62</v>
      </c>
      <c r="AU79" s="88" t="s">
        <v>63</v>
      </c>
      <c r="AY79" s="88" t="s">
        <v>102</v>
      </c>
      <c r="BK79" s="92" t="e">
        <f>$BK$80+$BK$101+#REF!+$BK$110+$BK$117+$BK$126+$BK$152+$BK$155+$BK$158</f>
        <v>#REF!</v>
      </c>
    </row>
    <row r="80" spans="2:63" s="85" customFormat="1" ht="21" customHeight="1" x14ac:dyDescent="0.3">
      <c r="B80" s="86"/>
      <c r="D80" s="93" t="s">
        <v>79</v>
      </c>
      <c r="N80" s="185">
        <f>$BK$80</f>
        <v>0</v>
      </c>
      <c r="O80" s="186"/>
      <c r="P80" s="186"/>
      <c r="Q80" s="186"/>
      <c r="S80" s="86"/>
      <c r="T80" s="89"/>
      <c r="W80" s="90">
        <f>SUM($W$81:$W$100)</f>
        <v>0</v>
      </c>
      <c r="Y80" s="90">
        <f>SUM($Y$81:$Y$100)</f>
        <v>59.439600000000006</v>
      </c>
      <c r="AA80" s="91">
        <f>SUM($AA$81:$AA$100)</f>
        <v>448.40500000000003</v>
      </c>
      <c r="AR80" s="88" t="s">
        <v>17</v>
      </c>
      <c r="AT80" s="88" t="s">
        <v>62</v>
      </c>
      <c r="AU80" s="88" t="s">
        <v>17</v>
      </c>
      <c r="AY80" s="88" t="s">
        <v>102</v>
      </c>
      <c r="BK80" s="92">
        <f>SUM($BK$81:$BK$100)</f>
        <v>0</v>
      </c>
    </row>
    <row r="81" spans="2:65" s="7" customFormat="1" ht="39" customHeight="1" x14ac:dyDescent="0.3">
      <c r="B81" s="20"/>
      <c r="C81" s="94">
        <v>1</v>
      </c>
      <c r="D81" s="94" t="s">
        <v>103</v>
      </c>
      <c r="E81" s="123" t="s">
        <v>104</v>
      </c>
      <c r="F81" s="181" t="s">
        <v>105</v>
      </c>
      <c r="G81" s="182"/>
      <c r="H81" s="182"/>
      <c r="I81" s="182"/>
      <c r="J81" s="97" t="s">
        <v>106</v>
      </c>
      <c r="K81" s="98">
        <v>1980</v>
      </c>
      <c r="L81" s="183"/>
      <c r="M81" s="182"/>
      <c r="N81" s="184">
        <f>ROUND($L$81*$K$81,2)</f>
        <v>0</v>
      </c>
      <c r="O81" s="182"/>
      <c r="P81" s="182"/>
      <c r="Q81" s="182"/>
      <c r="R81" s="96"/>
      <c r="S81" s="20"/>
      <c r="T81" s="99"/>
      <c r="U81" s="100" t="s">
        <v>33</v>
      </c>
      <c r="X81" s="101">
        <v>3.0020000000000002E-2</v>
      </c>
      <c r="Y81" s="101">
        <f>$X$81*$K$81</f>
        <v>59.439600000000006</v>
      </c>
      <c r="Z81" s="101">
        <v>0.128</v>
      </c>
      <c r="AA81" s="102">
        <f>$Z$81*$K$81</f>
        <v>253.44</v>
      </c>
      <c r="AR81" s="65" t="s">
        <v>107</v>
      </c>
      <c r="AT81" s="65" t="s">
        <v>103</v>
      </c>
      <c r="AU81" s="65" t="s">
        <v>69</v>
      </c>
      <c r="AY81" s="7" t="s">
        <v>102</v>
      </c>
      <c r="BE81" s="103">
        <f>IF($U$81="základní",$N$81,0)</f>
        <v>0</v>
      </c>
      <c r="BF81" s="103">
        <f>IF($U$81="snížená",$N$81,0)</f>
        <v>0</v>
      </c>
      <c r="BG81" s="103">
        <f>IF($U$81="zákl. přenesená",$N$81,0)</f>
        <v>0</v>
      </c>
      <c r="BH81" s="103">
        <f>IF($U$81="sníž. přenesená",$N$81,0)</f>
        <v>0</v>
      </c>
      <c r="BI81" s="103">
        <f>IF($U$81="nulová",$N$81,0)</f>
        <v>0</v>
      </c>
      <c r="BJ81" s="65" t="s">
        <v>17</v>
      </c>
      <c r="BK81" s="103">
        <f>ROUND($L$81*$K$81,2)</f>
        <v>0</v>
      </c>
      <c r="BL81" s="65" t="s">
        <v>107</v>
      </c>
      <c r="BM81" s="65" t="s">
        <v>17</v>
      </c>
    </row>
    <row r="82" spans="2:65" s="7" customFormat="1" ht="16.5" customHeight="1" x14ac:dyDescent="0.3">
      <c r="B82" s="20"/>
      <c r="F82" s="160" t="s">
        <v>105</v>
      </c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20"/>
      <c r="T82" s="42"/>
      <c r="AA82" s="43"/>
      <c r="AT82" s="7" t="s">
        <v>108</v>
      </c>
      <c r="AU82" s="7" t="s">
        <v>69</v>
      </c>
    </row>
    <row r="83" spans="2:65" s="7" customFormat="1" ht="27" customHeight="1" x14ac:dyDescent="0.3">
      <c r="B83" s="20"/>
      <c r="C83" s="94">
        <v>2</v>
      </c>
      <c r="D83" s="94" t="s">
        <v>103</v>
      </c>
      <c r="E83" s="95" t="s">
        <v>110</v>
      </c>
      <c r="F83" s="181" t="s">
        <v>111</v>
      </c>
      <c r="G83" s="182"/>
      <c r="H83" s="182"/>
      <c r="I83" s="182"/>
      <c r="J83" s="97" t="s">
        <v>106</v>
      </c>
      <c r="K83" s="98">
        <f>K81</f>
        <v>1980</v>
      </c>
      <c r="L83" s="183"/>
      <c r="M83" s="182"/>
      <c r="N83" s="184">
        <f>ROUND($L$83*$K$83,2)</f>
        <v>0</v>
      </c>
      <c r="O83" s="182"/>
      <c r="P83" s="182"/>
      <c r="Q83" s="182"/>
      <c r="R83" s="96"/>
      <c r="S83" s="20"/>
      <c r="T83" s="99"/>
      <c r="U83" s="100" t="s">
        <v>33</v>
      </c>
      <c r="X83" s="101">
        <v>0</v>
      </c>
      <c r="Y83" s="101">
        <f>$X$83*$K$83</f>
        <v>0</v>
      </c>
      <c r="Z83" s="101">
        <v>9.8000000000000004E-2</v>
      </c>
      <c r="AA83" s="102">
        <f>$Z$83*$K$83</f>
        <v>194.04000000000002</v>
      </c>
      <c r="AR83" s="65" t="s">
        <v>107</v>
      </c>
      <c r="AT83" s="65" t="s">
        <v>103</v>
      </c>
      <c r="AU83" s="65" t="s">
        <v>69</v>
      </c>
      <c r="AY83" s="7" t="s">
        <v>102</v>
      </c>
      <c r="BE83" s="103">
        <f>IF($U$83="základní",$N$83,0)</f>
        <v>0</v>
      </c>
      <c r="BF83" s="103">
        <f>IF($U$83="snížená",$N$83,0)</f>
        <v>0</v>
      </c>
      <c r="BG83" s="103">
        <f>IF($U$83="zákl. přenesená",$N$83,0)</f>
        <v>0</v>
      </c>
      <c r="BH83" s="103">
        <f>IF($U$83="sníž. přenesená",$N$83,0)</f>
        <v>0</v>
      </c>
      <c r="BI83" s="103">
        <f>IF($U$83="nulová",$N$83,0)</f>
        <v>0</v>
      </c>
      <c r="BJ83" s="65" t="s">
        <v>17</v>
      </c>
      <c r="BK83" s="103">
        <f>ROUND($L$83*$K$83,2)</f>
        <v>0</v>
      </c>
      <c r="BL83" s="65" t="s">
        <v>107</v>
      </c>
      <c r="BM83" s="65" t="s">
        <v>69</v>
      </c>
    </row>
    <row r="84" spans="2:65" s="7" customFormat="1" ht="27" customHeight="1" x14ac:dyDescent="0.3">
      <c r="B84" s="20"/>
      <c r="F84" s="160" t="s">
        <v>112</v>
      </c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20"/>
      <c r="T84" s="42"/>
      <c r="AA84" s="43"/>
      <c r="AT84" s="7" t="s">
        <v>108</v>
      </c>
      <c r="AU84" s="7" t="s">
        <v>69</v>
      </c>
    </row>
    <row r="85" spans="2:65" s="7" customFormat="1" ht="27" customHeight="1" x14ac:dyDescent="0.3">
      <c r="B85" s="20"/>
      <c r="C85" s="94">
        <v>7</v>
      </c>
      <c r="D85" s="94" t="s">
        <v>103</v>
      </c>
      <c r="E85" s="95" t="s">
        <v>113</v>
      </c>
      <c r="F85" s="181" t="s">
        <v>114</v>
      </c>
      <c r="G85" s="182"/>
      <c r="H85" s="182"/>
      <c r="I85" s="182"/>
      <c r="J85" s="97" t="s">
        <v>106</v>
      </c>
      <c r="K85" s="98">
        <v>5</v>
      </c>
      <c r="L85" s="183"/>
      <c r="M85" s="182"/>
      <c r="N85" s="184">
        <f>ROUND($L$85*$K$85,2)</f>
        <v>0</v>
      </c>
      <c r="O85" s="182"/>
      <c r="P85" s="182"/>
      <c r="Q85" s="182"/>
      <c r="R85" s="96"/>
      <c r="S85" s="20"/>
      <c r="T85" s="99"/>
      <c r="U85" s="100" t="s">
        <v>33</v>
      </c>
      <c r="X85" s="101">
        <v>0</v>
      </c>
      <c r="Y85" s="101">
        <f>$X$85*$K$85</f>
        <v>0</v>
      </c>
      <c r="Z85" s="101">
        <v>0.185</v>
      </c>
      <c r="AA85" s="102">
        <f>$Z$85*$K$85</f>
        <v>0.92500000000000004</v>
      </c>
      <c r="AR85" s="65" t="s">
        <v>107</v>
      </c>
      <c r="AT85" s="65" t="s">
        <v>103</v>
      </c>
      <c r="AU85" s="65" t="s">
        <v>69</v>
      </c>
      <c r="AY85" s="7" t="s">
        <v>102</v>
      </c>
      <c r="BE85" s="103">
        <f>IF($U$85="základní",$N$85,0)</f>
        <v>0</v>
      </c>
      <c r="BF85" s="103">
        <f>IF($U$85="snížená",$N$85,0)</f>
        <v>0</v>
      </c>
      <c r="BG85" s="103">
        <f>IF($U$85="zákl. přenesená",$N$85,0)</f>
        <v>0</v>
      </c>
      <c r="BH85" s="103">
        <f>IF($U$85="sníž. přenesená",$N$85,0)</f>
        <v>0</v>
      </c>
      <c r="BI85" s="103">
        <f>IF($U$85="nulová",$N$85,0)</f>
        <v>0</v>
      </c>
      <c r="BJ85" s="65" t="s">
        <v>17</v>
      </c>
      <c r="BK85" s="103">
        <f>ROUND($L$85*$K$85,2)</f>
        <v>0</v>
      </c>
      <c r="BL85" s="65" t="s">
        <v>107</v>
      </c>
      <c r="BM85" s="65" t="s">
        <v>115</v>
      </c>
    </row>
    <row r="86" spans="2:65" s="7" customFormat="1" ht="27" customHeight="1" x14ac:dyDescent="0.3">
      <c r="B86" s="20"/>
      <c r="F86" s="160" t="s">
        <v>116</v>
      </c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20"/>
      <c r="T86" s="42"/>
      <c r="AA86" s="43"/>
      <c r="AT86" s="7" t="s">
        <v>108</v>
      </c>
      <c r="AU86" s="7" t="s">
        <v>69</v>
      </c>
    </row>
    <row r="87" spans="2:65" s="7" customFormat="1" ht="27" customHeight="1" x14ac:dyDescent="0.3">
      <c r="B87" s="20"/>
      <c r="C87" s="94">
        <v>11</v>
      </c>
      <c r="D87" s="94" t="s">
        <v>103</v>
      </c>
      <c r="E87" s="95" t="s">
        <v>119</v>
      </c>
      <c r="F87" s="181" t="s">
        <v>120</v>
      </c>
      <c r="G87" s="182"/>
      <c r="H87" s="182"/>
      <c r="I87" s="182"/>
      <c r="J87" s="97" t="s">
        <v>118</v>
      </c>
      <c r="K87" s="98">
        <v>114.2</v>
      </c>
      <c r="L87" s="183"/>
      <c r="M87" s="182"/>
      <c r="N87" s="184">
        <f>ROUND($L$87*$K$87,2)</f>
        <v>0</v>
      </c>
      <c r="O87" s="182"/>
      <c r="P87" s="182"/>
      <c r="Q87" s="182"/>
      <c r="R87" s="96"/>
      <c r="S87" s="20"/>
      <c r="T87" s="99"/>
      <c r="U87" s="100" t="s">
        <v>33</v>
      </c>
      <c r="X87" s="101">
        <v>0</v>
      </c>
      <c r="Y87" s="101">
        <f>$X$87*$K$87</f>
        <v>0</v>
      </c>
      <c r="Z87" s="101">
        <v>0</v>
      </c>
      <c r="AA87" s="102">
        <f>$Z$87*$K$87</f>
        <v>0</v>
      </c>
      <c r="AR87" s="65" t="s">
        <v>107</v>
      </c>
      <c r="AT87" s="65" t="s">
        <v>103</v>
      </c>
      <c r="AU87" s="65" t="s">
        <v>69</v>
      </c>
      <c r="AY87" s="7" t="s">
        <v>102</v>
      </c>
      <c r="BE87" s="103">
        <f>IF($U$87="základní",$N$87,0)</f>
        <v>0</v>
      </c>
      <c r="BF87" s="103">
        <f>IF($U$87="snížená",$N$87,0)</f>
        <v>0</v>
      </c>
      <c r="BG87" s="103">
        <f>IF($U$87="zákl. přenesená",$N$87,0)</f>
        <v>0</v>
      </c>
      <c r="BH87" s="103">
        <f>IF($U$87="sníž. přenesená",$N$87,0)</f>
        <v>0</v>
      </c>
      <c r="BI87" s="103">
        <f>IF($U$87="nulová",$N$87,0)</f>
        <v>0</v>
      </c>
      <c r="BJ87" s="65" t="s">
        <v>17</v>
      </c>
      <c r="BK87" s="103">
        <f>ROUND($L$87*$K$87,2)</f>
        <v>0</v>
      </c>
      <c r="BL87" s="65" t="s">
        <v>107</v>
      </c>
      <c r="BM87" s="65" t="s">
        <v>121</v>
      </c>
    </row>
    <row r="88" spans="2:65" s="7" customFormat="1" ht="27" customHeight="1" x14ac:dyDescent="0.3">
      <c r="B88" s="20"/>
      <c r="F88" s="160" t="s">
        <v>122</v>
      </c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20"/>
      <c r="T88" s="42"/>
      <c r="AA88" s="43"/>
      <c r="AT88" s="7" t="s">
        <v>108</v>
      </c>
      <c r="AU88" s="7" t="s">
        <v>69</v>
      </c>
    </row>
    <row r="89" spans="2:65" s="7" customFormat="1" ht="27" customHeight="1" x14ac:dyDescent="0.3">
      <c r="B89" s="20"/>
      <c r="C89" s="94">
        <v>12</v>
      </c>
      <c r="D89" s="94" t="s">
        <v>103</v>
      </c>
      <c r="E89" s="95" t="s">
        <v>123</v>
      </c>
      <c r="F89" s="181" t="s">
        <v>124</v>
      </c>
      <c r="G89" s="182"/>
      <c r="H89" s="182"/>
      <c r="I89" s="182"/>
      <c r="J89" s="97" t="s">
        <v>118</v>
      </c>
      <c r="K89" s="98">
        <f>K87</f>
        <v>114.2</v>
      </c>
      <c r="L89" s="183"/>
      <c r="M89" s="182"/>
      <c r="N89" s="184">
        <f>ROUND($L$89*$K$89,2)</f>
        <v>0</v>
      </c>
      <c r="O89" s="182"/>
      <c r="P89" s="182"/>
      <c r="Q89" s="182"/>
      <c r="R89" s="96"/>
      <c r="S89" s="20"/>
      <c r="T89" s="99"/>
      <c r="U89" s="100" t="s">
        <v>33</v>
      </c>
      <c r="X89" s="101">
        <v>0</v>
      </c>
      <c r="Y89" s="101">
        <f>$X$89*$K$89</f>
        <v>0</v>
      </c>
      <c r="Z89" s="101">
        <v>0</v>
      </c>
      <c r="AA89" s="102">
        <f>$Z$89*$K$89</f>
        <v>0</v>
      </c>
      <c r="AR89" s="65" t="s">
        <v>107</v>
      </c>
      <c r="AT89" s="65" t="s">
        <v>103</v>
      </c>
      <c r="AU89" s="65" t="s">
        <v>69</v>
      </c>
      <c r="AY89" s="7" t="s">
        <v>102</v>
      </c>
      <c r="BE89" s="103">
        <f>IF($U$89="základní",$N$89,0)</f>
        <v>0</v>
      </c>
      <c r="BF89" s="103">
        <f>IF($U$89="snížená",$N$89,0)</f>
        <v>0</v>
      </c>
      <c r="BG89" s="103">
        <f>IF($U$89="zákl. přenesená",$N$89,0)</f>
        <v>0</v>
      </c>
      <c r="BH89" s="103">
        <f>IF($U$89="sníž. přenesená",$N$89,0)</f>
        <v>0</v>
      </c>
      <c r="BI89" s="103">
        <f>IF($U$89="nulová",$N$89,0)</f>
        <v>0</v>
      </c>
      <c r="BJ89" s="65" t="s">
        <v>17</v>
      </c>
      <c r="BK89" s="103">
        <f>ROUND($L$89*$K$89,2)</f>
        <v>0</v>
      </c>
      <c r="BL89" s="65" t="s">
        <v>107</v>
      </c>
      <c r="BM89" s="65" t="s">
        <v>125</v>
      </c>
    </row>
    <row r="90" spans="2:65" s="7" customFormat="1" ht="27" customHeight="1" x14ac:dyDescent="0.3">
      <c r="B90" s="20"/>
      <c r="F90" s="160" t="s">
        <v>126</v>
      </c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20"/>
      <c r="T90" s="42"/>
      <c r="AA90" s="43"/>
      <c r="AT90" s="7" t="s">
        <v>108</v>
      </c>
      <c r="AU90" s="7" t="s">
        <v>69</v>
      </c>
    </row>
    <row r="91" spans="2:65" s="7" customFormat="1" ht="39" customHeight="1" x14ac:dyDescent="0.3">
      <c r="B91" s="20"/>
      <c r="C91" s="94">
        <v>13</v>
      </c>
      <c r="D91" s="94" t="s">
        <v>103</v>
      </c>
      <c r="E91" s="95" t="s">
        <v>127</v>
      </c>
      <c r="F91" s="181" t="s">
        <v>128</v>
      </c>
      <c r="G91" s="182"/>
      <c r="H91" s="182"/>
      <c r="I91" s="182"/>
      <c r="J91" s="97" t="s">
        <v>118</v>
      </c>
      <c r="K91" s="98">
        <f>K89*10</f>
        <v>1142</v>
      </c>
      <c r="L91" s="183"/>
      <c r="M91" s="182"/>
      <c r="N91" s="184">
        <f>ROUND($L$91*$K$91,2)</f>
        <v>0</v>
      </c>
      <c r="O91" s="182"/>
      <c r="P91" s="182"/>
      <c r="Q91" s="182"/>
      <c r="R91" s="96"/>
      <c r="S91" s="20"/>
      <c r="T91" s="99"/>
      <c r="U91" s="100" t="s">
        <v>33</v>
      </c>
      <c r="X91" s="101">
        <v>0</v>
      </c>
      <c r="Y91" s="101">
        <f>$X$91*$K$91</f>
        <v>0</v>
      </c>
      <c r="Z91" s="101">
        <v>0</v>
      </c>
      <c r="AA91" s="102">
        <f>$Z$91*$K$91</f>
        <v>0</v>
      </c>
      <c r="AR91" s="65" t="s">
        <v>107</v>
      </c>
      <c r="AT91" s="65" t="s">
        <v>103</v>
      </c>
      <c r="AU91" s="65" t="s">
        <v>69</v>
      </c>
      <c r="AY91" s="7" t="s">
        <v>102</v>
      </c>
      <c r="BE91" s="103">
        <f>IF($U$91="základní",$N$91,0)</f>
        <v>0</v>
      </c>
      <c r="BF91" s="103">
        <f>IF($U$91="snížená",$N$91,0)</f>
        <v>0</v>
      </c>
      <c r="BG91" s="103">
        <f>IF($U$91="zákl. přenesená",$N$91,0)</f>
        <v>0</v>
      </c>
      <c r="BH91" s="103">
        <f>IF($U$91="sníž. přenesená",$N$91,0)</f>
        <v>0</v>
      </c>
      <c r="BI91" s="103">
        <f>IF($U$91="nulová",$N$91,0)</f>
        <v>0</v>
      </c>
      <c r="BJ91" s="65" t="s">
        <v>17</v>
      </c>
      <c r="BK91" s="103">
        <f>ROUND($L$91*$K$91,2)</f>
        <v>0</v>
      </c>
      <c r="BL91" s="65" t="s">
        <v>107</v>
      </c>
      <c r="BM91" s="65" t="s">
        <v>129</v>
      </c>
    </row>
    <row r="92" spans="2:65" s="7" customFormat="1" ht="27" customHeight="1" x14ac:dyDescent="0.3">
      <c r="B92" s="20"/>
      <c r="F92" s="160" t="s">
        <v>130</v>
      </c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20"/>
      <c r="T92" s="42"/>
      <c r="AA92" s="43"/>
      <c r="AT92" s="7" t="s">
        <v>108</v>
      </c>
      <c r="AU92" s="7" t="s">
        <v>69</v>
      </c>
    </row>
    <row r="93" spans="2:65" s="7" customFormat="1" ht="15.75" customHeight="1" x14ac:dyDescent="0.3">
      <c r="B93" s="20"/>
      <c r="C93" s="94">
        <v>14</v>
      </c>
      <c r="D93" s="94" t="s">
        <v>103</v>
      </c>
      <c r="E93" s="95" t="s">
        <v>131</v>
      </c>
      <c r="F93" s="181" t="s">
        <v>132</v>
      </c>
      <c r="G93" s="182"/>
      <c r="H93" s="182"/>
      <c r="I93" s="182"/>
      <c r="J93" s="97" t="s">
        <v>118</v>
      </c>
      <c r="K93" s="98">
        <v>29.5</v>
      </c>
      <c r="L93" s="183"/>
      <c r="M93" s="182"/>
      <c r="N93" s="184">
        <f>ROUND($L$93*$K$93,2)</f>
        <v>0</v>
      </c>
      <c r="O93" s="182"/>
      <c r="P93" s="182"/>
      <c r="Q93" s="182"/>
      <c r="R93" s="96"/>
      <c r="S93" s="20"/>
      <c r="T93" s="99"/>
      <c r="U93" s="100" t="s">
        <v>33</v>
      </c>
      <c r="X93" s="101">
        <v>0</v>
      </c>
      <c r="Y93" s="101">
        <f>$X$93*$K$93</f>
        <v>0</v>
      </c>
      <c r="Z93" s="101">
        <v>0</v>
      </c>
      <c r="AA93" s="102">
        <f>$Z$93*$K$93</f>
        <v>0</v>
      </c>
      <c r="AR93" s="65" t="s">
        <v>107</v>
      </c>
      <c r="AT93" s="65" t="s">
        <v>103</v>
      </c>
      <c r="AU93" s="65" t="s">
        <v>69</v>
      </c>
      <c r="AY93" s="7" t="s">
        <v>102</v>
      </c>
      <c r="BE93" s="103">
        <f>IF($U$93="základní",$N$93,0)</f>
        <v>0</v>
      </c>
      <c r="BF93" s="103">
        <f>IF($U$93="snížená",$N$93,0)</f>
        <v>0</v>
      </c>
      <c r="BG93" s="103">
        <f>IF($U$93="zákl. přenesená",$N$93,0)</f>
        <v>0</v>
      </c>
      <c r="BH93" s="103">
        <f>IF($U$93="sníž. přenesená",$N$93,0)</f>
        <v>0</v>
      </c>
      <c r="BI93" s="103">
        <f>IF($U$93="nulová",$N$93,0)</f>
        <v>0</v>
      </c>
      <c r="BJ93" s="65" t="s">
        <v>17</v>
      </c>
      <c r="BK93" s="103">
        <f>ROUND($L$93*$K$93,2)</f>
        <v>0</v>
      </c>
      <c r="BL93" s="65" t="s">
        <v>107</v>
      </c>
      <c r="BM93" s="65" t="s">
        <v>133</v>
      </c>
    </row>
    <row r="94" spans="2:65" s="7" customFormat="1" ht="16.5" customHeight="1" x14ac:dyDescent="0.3">
      <c r="B94" s="20"/>
      <c r="F94" s="160" t="s">
        <v>132</v>
      </c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20"/>
      <c r="T94" s="42"/>
      <c r="AA94" s="43"/>
      <c r="AT94" s="7" t="s">
        <v>108</v>
      </c>
      <c r="AU94" s="7" t="s">
        <v>69</v>
      </c>
    </row>
    <row r="95" spans="2:65" s="7" customFormat="1" ht="27" customHeight="1" x14ac:dyDescent="0.3">
      <c r="B95" s="20"/>
      <c r="C95" s="94">
        <v>15</v>
      </c>
      <c r="D95" s="94" t="s">
        <v>103</v>
      </c>
      <c r="E95" s="95" t="s">
        <v>134</v>
      </c>
      <c r="F95" s="181" t="s">
        <v>135</v>
      </c>
      <c r="G95" s="182"/>
      <c r="H95" s="182"/>
      <c r="I95" s="182"/>
      <c r="J95" s="97" t="s">
        <v>136</v>
      </c>
      <c r="K95" s="98">
        <f>K89*1.8</f>
        <v>205.56</v>
      </c>
      <c r="L95" s="183"/>
      <c r="M95" s="182"/>
      <c r="N95" s="184">
        <f>ROUND($L$95*$K$95,2)</f>
        <v>0</v>
      </c>
      <c r="O95" s="182"/>
      <c r="P95" s="182"/>
      <c r="Q95" s="182"/>
      <c r="R95" s="96"/>
      <c r="S95" s="20"/>
      <c r="T95" s="99"/>
      <c r="U95" s="100" t="s">
        <v>33</v>
      </c>
      <c r="X95" s="101">
        <v>0</v>
      </c>
      <c r="Y95" s="101">
        <f>$X$95*$K$95</f>
        <v>0</v>
      </c>
      <c r="Z95" s="101">
        <v>0</v>
      </c>
      <c r="AA95" s="102">
        <f>$Z$95*$K$95</f>
        <v>0</v>
      </c>
      <c r="AR95" s="65" t="s">
        <v>107</v>
      </c>
      <c r="AT95" s="65" t="s">
        <v>103</v>
      </c>
      <c r="AU95" s="65" t="s">
        <v>69</v>
      </c>
      <c r="AY95" s="7" t="s">
        <v>102</v>
      </c>
      <c r="BE95" s="103">
        <f>IF($U$95="základní",$N$95,0)</f>
        <v>0</v>
      </c>
      <c r="BF95" s="103">
        <f>IF($U$95="snížená",$N$95,0)</f>
        <v>0</v>
      </c>
      <c r="BG95" s="103">
        <f>IF($U$95="zákl. přenesená",$N$95,0)</f>
        <v>0</v>
      </c>
      <c r="BH95" s="103">
        <f>IF($U$95="sníž. přenesená",$N$95,0)</f>
        <v>0</v>
      </c>
      <c r="BI95" s="103">
        <f>IF($U$95="nulová",$N$95,0)</f>
        <v>0</v>
      </c>
      <c r="BJ95" s="65" t="s">
        <v>17</v>
      </c>
      <c r="BK95" s="103">
        <f>ROUND($L$95*$K$95,2)</f>
        <v>0</v>
      </c>
      <c r="BL95" s="65" t="s">
        <v>107</v>
      </c>
      <c r="BM95" s="65" t="s">
        <v>9</v>
      </c>
    </row>
    <row r="96" spans="2:65" s="7" customFormat="1" ht="16.5" customHeight="1" x14ac:dyDescent="0.3">
      <c r="B96" s="20"/>
      <c r="F96" s="160" t="s">
        <v>137</v>
      </c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20"/>
      <c r="T96" s="42"/>
      <c r="AA96" s="43"/>
      <c r="AT96" s="7" t="s">
        <v>108</v>
      </c>
      <c r="AU96" s="7" t="s">
        <v>69</v>
      </c>
    </row>
    <row r="97" spans="2:65" s="7" customFormat="1" ht="15.75" customHeight="1" x14ac:dyDescent="0.3">
      <c r="B97" s="20"/>
      <c r="C97" s="94">
        <v>23</v>
      </c>
      <c r="D97" s="94" t="s">
        <v>103</v>
      </c>
      <c r="E97" s="95" t="s">
        <v>139</v>
      </c>
      <c r="F97" s="181" t="s">
        <v>140</v>
      </c>
      <c r="G97" s="182"/>
      <c r="H97" s="182"/>
      <c r="I97" s="182"/>
      <c r="J97" s="97" t="s">
        <v>106</v>
      </c>
      <c r="K97" s="98">
        <f>K81+(40*0.5)+(38*2.5)+(48.5*2.5)</f>
        <v>2216.25</v>
      </c>
      <c r="L97" s="183"/>
      <c r="M97" s="182"/>
      <c r="N97" s="184">
        <f>ROUND($L$97*$K$97,2)</f>
        <v>0</v>
      </c>
      <c r="O97" s="182"/>
      <c r="P97" s="182"/>
      <c r="Q97" s="182"/>
      <c r="R97" s="96"/>
      <c r="S97" s="20"/>
      <c r="T97" s="99"/>
      <c r="U97" s="100" t="s">
        <v>33</v>
      </c>
      <c r="X97" s="101">
        <v>0</v>
      </c>
      <c r="Y97" s="101">
        <f>$X$97*$K$97</f>
        <v>0</v>
      </c>
      <c r="Z97" s="101">
        <v>0</v>
      </c>
      <c r="AA97" s="102">
        <f>$Z$97*$K$97</f>
        <v>0</v>
      </c>
      <c r="AR97" s="65" t="s">
        <v>107</v>
      </c>
      <c r="AT97" s="65" t="s">
        <v>103</v>
      </c>
      <c r="AU97" s="65" t="s">
        <v>69</v>
      </c>
      <c r="AY97" s="7" t="s">
        <v>102</v>
      </c>
      <c r="BE97" s="103">
        <f>IF($U$97="základní",$N$97,0)</f>
        <v>0</v>
      </c>
      <c r="BF97" s="103">
        <f>IF($U$97="snížená",$N$97,0)</f>
        <v>0</v>
      </c>
      <c r="BG97" s="103">
        <f>IF($U$97="zákl. přenesená",$N$97,0)</f>
        <v>0</v>
      </c>
      <c r="BH97" s="103">
        <f>IF($U$97="sníž. přenesená",$N$97,0)</f>
        <v>0</v>
      </c>
      <c r="BI97" s="103">
        <f>IF($U$97="nulová",$N$97,0)</f>
        <v>0</v>
      </c>
      <c r="BJ97" s="65" t="s">
        <v>17</v>
      </c>
      <c r="BK97" s="103">
        <f>ROUND($L$97*$K$97,2)</f>
        <v>0</v>
      </c>
      <c r="BL97" s="65" t="s">
        <v>107</v>
      </c>
      <c r="BM97" s="65" t="s">
        <v>141</v>
      </c>
    </row>
    <row r="98" spans="2:65" s="7" customFormat="1" ht="16.5" customHeight="1" x14ac:dyDescent="0.3">
      <c r="B98" s="20"/>
      <c r="F98" s="160" t="s">
        <v>142</v>
      </c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20"/>
      <c r="T98" s="42"/>
      <c r="AA98" s="43"/>
      <c r="AT98" s="7" t="s">
        <v>108</v>
      </c>
      <c r="AU98" s="7" t="s">
        <v>69</v>
      </c>
    </row>
    <row r="99" spans="2:65" s="7" customFormat="1" ht="27" customHeight="1" x14ac:dyDescent="0.3">
      <c r="B99" s="20"/>
      <c r="C99" s="94">
        <v>24</v>
      </c>
      <c r="D99" s="94" t="s">
        <v>103</v>
      </c>
      <c r="E99" s="95" t="s">
        <v>143</v>
      </c>
      <c r="F99" s="181" t="s">
        <v>144</v>
      </c>
      <c r="G99" s="182"/>
      <c r="H99" s="182"/>
      <c r="I99" s="182"/>
      <c r="J99" s="97" t="s">
        <v>106</v>
      </c>
      <c r="K99" s="98">
        <v>140</v>
      </c>
      <c r="L99" s="183"/>
      <c r="M99" s="182"/>
      <c r="N99" s="184">
        <f>ROUND($L$99*$K$99,2)</f>
        <v>0</v>
      </c>
      <c r="O99" s="182"/>
      <c r="P99" s="182"/>
      <c r="Q99" s="182"/>
      <c r="R99" s="96"/>
      <c r="S99" s="20"/>
      <c r="T99" s="99"/>
      <c r="U99" s="100" t="s">
        <v>33</v>
      </c>
      <c r="X99" s="101">
        <v>0</v>
      </c>
      <c r="Y99" s="101">
        <f>$X$99*$K$99</f>
        <v>0</v>
      </c>
      <c r="Z99" s="101">
        <v>0</v>
      </c>
      <c r="AA99" s="102">
        <f>$Z$99*$K$99</f>
        <v>0</v>
      </c>
      <c r="AR99" s="65" t="s">
        <v>107</v>
      </c>
      <c r="AT99" s="65" t="s">
        <v>103</v>
      </c>
      <c r="AU99" s="65" t="s">
        <v>69</v>
      </c>
      <c r="AY99" s="7" t="s">
        <v>102</v>
      </c>
      <c r="BE99" s="103">
        <f>IF($U$99="základní",$N$99,0)</f>
        <v>0</v>
      </c>
      <c r="BF99" s="103">
        <f>IF($U$99="snížená",$N$99,0)</f>
        <v>0</v>
      </c>
      <c r="BG99" s="103">
        <f>IF($U$99="zákl. přenesená",$N$99,0)</f>
        <v>0</v>
      </c>
      <c r="BH99" s="103">
        <f>IF($U$99="sníž. přenesená",$N$99,0)</f>
        <v>0</v>
      </c>
      <c r="BI99" s="103">
        <f>IF($U$99="nulová",$N$99,0)</f>
        <v>0</v>
      </c>
      <c r="BJ99" s="65" t="s">
        <v>17</v>
      </c>
      <c r="BK99" s="103">
        <f>ROUND($L$99*$K$99,2)</f>
        <v>0</v>
      </c>
      <c r="BL99" s="65" t="s">
        <v>107</v>
      </c>
      <c r="BM99" s="65" t="s">
        <v>145</v>
      </c>
    </row>
    <row r="100" spans="2:65" s="7" customFormat="1" ht="16.5" customHeight="1" x14ac:dyDescent="0.3">
      <c r="B100" s="20"/>
      <c r="F100" s="160" t="s">
        <v>146</v>
      </c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20"/>
      <c r="T100" s="42"/>
      <c r="AA100" s="43"/>
      <c r="AT100" s="7" t="s">
        <v>108</v>
      </c>
      <c r="AU100" s="7" t="s">
        <v>69</v>
      </c>
    </row>
    <row r="101" spans="2:65" s="85" customFormat="1" ht="30.75" customHeight="1" x14ac:dyDescent="0.3">
      <c r="B101" s="86"/>
      <c r="D101" s="93" t="s">
        <v>223</v>
      </c>
      <c r="N101" s="185">
        <f>$BK$101</f>
        <v>0</v>
      </c>
      <c r="O101" s="186"/>
      <c r="P101" s="186"/>
      <c r="Q101" s="186"/>
      <c r="S101" s="86"/>
      <c r="T101" s="89"/>
      <c r="W101" s="90">
        <f>SUM($W$102:$W$109)</f>
        <v>0</v>
      </c>
      <c r="Y101" s="90">
        <f>SUM($Y$102:$Y$109)</f>
        <v>852.4097999999999</v>
      </c>
      <c r="AA101" s="91">
        <f>SUM($AA$102:$AA$109)</f>
        <v>0</v>
      </c>
      <c r="AR101" s="88" t="s">
        <v>17</v>
      </c>
      <c r="AT101" s="88" t="s">
        <v>62</v>
      </c>
      <c r="AU101" s="88" t="s">
        <v>17</v>
      </c>
      <c r="AY101" s="88" t="s">
        <v>102</v>
      </c>
      <c r="BK101" s="92">
        <f>SUM($BK$102:$BK$109)</f>
        <v>0</v>
      </c>
    </row>
    <row r="102" spans="2:65" s="7" customFormat="1" ht="29.25" customHeight="1" x14ac:dyDescent="0.3">
      <c r="B102" s="20"/>
      <c r="C102" s="94">
        <v>27</v>
      </c>
      <c r="D102" s="94" t="s">
        <v>103</v>
      </c>
      <c r="E102" s="95" t="s">
        <v>224</v>
      </c>
      <c r="F102" s="181" t="s">
        <v>225</v>
      </c>
      <c r="G102" s="182"/>
      <c r="H102" s="182"/>
      <c r="I102" s="182"/>
      <c r="J102" s="97" t="s">
        <v>106</v>
      </c>
      <c r="K102" s="98">
        <f>K81</f>
        <v>1980</v>
      </c>
      <c r="L102" s="183"/>
      <c r="M102" s="182"/>
      <c r="N102" s="184">
        <f>ROUND($L$102*$K$102,2)</f>
        <v>0</v>
      </c>
      <c r="O102" s="182"/>
      <c r="P102" s="182"/>
      <c r="Q102" s="182"/>
      <c r="R102" s="96"/>
      <c r="S102" s="20"/>
      <c r="T102" s="99"/>
      <c r="U102" s="100" t="s">
        <v>33</v>
      </c>
      <c r="X102" s="101">
        <v>0.115</v>
      </c>
      <c r="Y102" s="101">
        <f>$X$102*$K$102</f>
        <v>227.70000000000002</v>
      </c>
      <c r="Z102" s="101">
        <v>0</v>
      </c>
      <c r="AA102" s="102">
        <f>$Z$102*$K$102</f>
        <v>0</v>
      </c>
      <c r="AR102" s="65" t="s">
        <v>107</v>
      </c>
      <c r="AT102" s="65" t="s">
        <v>103</v>
      </c>
      <c r="AU102" s="65" t="s">
        <v>69</v>
      </c>
      <c r="AY102" s="7" t="s">
        <v>102</v>
      </c>
      <c r="BE102" s="103">
        <f>IF($U$102="základní",$N$102,0)</f>
        <v>0</v>
      </c>
      <c r="BF102" s="103">
        <f>IF($U$102="snížená",$N$102,0)</f>
        <v>0</v>
      </c>
      <c r="BG102" s="103">
        <f>IF($U$102="zákl. přenesená",$N$102,0)</f>
        <v>0</v>
      </c>
      <c r="BH102" s="103">
        <f>IF($U$102="sníž. přenesená",$N$102,0)</f>
        <v>0</v>
      </c>
      <c r="BI102" s="103">
        <f>IF($U$102="nulová",$N$102,0)</f>
        <v>0</v>
      </c>
      <c r="BJ102" s="65" t="s">
        <v>17</v>
      </c>
      <c r="BK102" s="103">
        <f>ROUND($L$102*$K$102,2)</f>
        <v>0</v>
      </c>
      <c r="BL102" s="65" t="s">
        <v>107</v>
      </c>
      <c r="BM102" s="65" t="s">
        <v>148</v>
      </c>
    </row>
    <row r="103" spans="2:65" s="7" customFormat="1" ht="16.5" customHeight="1" x14ac:dyDescent="0.3">
      <c r="B103" s="20"/>
      <c r="F103" s="160" t="s">
        <v>226</v>
      </c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20"/>
      <c r="T103" s="42"/>
      <c r="AA103" s="43"/>
      <c r="AT103" s="7" t="s">
        <v>108</v>
      </c>
      <c r="AU103" s="7" t="s">
        <v>69</v>
      </c>
    </row>
    <row r="104" spans="2:65" s="7" customFormat="1" ht="27" customHeight="1" x14ac:dyDescent="0.3">
      <c r="B104" s="20"/>
      <c r="C104" s="94">
        <v>28</v>
      </c>
      <c r="D104" s="94" t="s">
        <v>103</v>
      </c>
      <c r="E104" s="95" t="s">
        <v>149</v>
      </c>
      <c r="F104" s="181" t="s">
        <v>150</v>
      </c>
      <c r="G104" s="182"/>
      <c r="H104" s="182"/>
      <c r="I104" s="182"/>
      <c r="J104" s="97" t="s">
        <v>106</v>
      </c>
      <c r="K104" s="98">
        <f>K102</f>
        <v>1980</v>
      </c>
      <c r="L104" s="183"/>
      <c r="M104" s="182"/>
      <c r="N104" s="184">
        <f>ROUND($L$104*$K$104,2)</f>
        <v>0</v>
      </c>
      <c r="O104" s="182"/>
      <c r="P104" s="182"/>
      <c r="Q104" s="182"/>
      <c r="R104" s="96"/>
      <c r="S104" s="20"/>
      <c r="T104" s="99"/>
      <c r="U104" s="100" t="s">
        <v>33</v>
      </c>
      <c r="X104" s="101">
        <v>0.18462999999999999</v>
      </c>
      <c r="Y104" s="101">
        <f>$X$104*$K$104</f>
        <v>365.56739999999996</v>
      </c>
      <c r="Z104" s="101">
        <v>0</v>
      </c>
      <c r="AA104" s="102">
        <f>$Z$104*$K$104</f>
        <v>0</v>
      </c>
      <c r="AR104" s="65" t="s">
        <v>107</v>
      </c>
      <c r="AT104" s="65" t="s">
        <v>103</v>
      </c>
      <c r="AU104" s="65" t="s">
        <v>69</v>
      </c>
      <c r="AY104" s="7" t="s">
        <v>102</v>
      </c>
      <c r="BE104" s="103">
        <f>IF($U$104="základní",$N$104,0)</f>
        <v>0</v>
      </c>
      <c r="BF104" s="103">
        <f>IF($U$104="snížená",$N$104,0)</f>
        <v>0</v>
      </c>
      <c r="BG104" s="103">
        <f>IF($U$104="zákl. přenesená",$N$104,0)</f>
        <v>0</v>
      </c>
      <c r="BH104" s="103">
        <f>IF($U$104="sníž. přenesená",$N$104,0)</f>
        <v>0</v>
      </c>
      <c r="BI104" s="103">
        <f>IF($U$104="nulová",$N$104,0)</f>
        <v>0</v>
      </c>
      <c r="BJ104" s="65" t="s">
        <v>17</v>
      </c>
      <c r="BK104" s="103">
        <f>ROUND($L$104*$K$104,2)</f>
        <v>0</v>
      </c>
      <c r="BL104" s="65" t="s">
        <v>107</v>
      </c>
      <c r="BM104" s="65" t="s">
        <v>151</v>
      </c>
    </row>
    <row r="105" spans="2:65" s="7" customFormat="1" ht="25.5" customHeight="1" x14ac:dyDescent="0.3">
      <c r="B105" s="20"/>
      <c r="F105" s="160" t="s">
        <v>152</v>
      </c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20"/>
      <c r="T105" s="42"/>
      <c r="AA105" s="43"/>
      <c r="AT105" s="7" t="s">
        <v>108</v>
      </c>
      <c r="AU105" s="7" t="s">
        <v>69</v>
      </c>
    </row>
    <row r="106" spans="2:65" s="7" customFormat="1" ht="27" customHeight="1" x14ac:dyDescent="0.3">
      <c r="B106" s="20"/>
      <c r="C106" s="94">
        <v>29</v>
      </c>
      <c r="D106" s="94" t="s">
        <v>103</v>
      </c>
      <c r="E106" s="95" t="s">
        <v>153</v>
      </c>
      <c r="F106" s="181" t="s">
        <v>154</v>
      </c>
      <c r="G106" s="182"/>
      <c r="H106" s="182"/>
      <c r="I106" s="182"/>
      <c r="J106" s="97" t="s">
        <v>106</v>
      </c>
      <c r="K106" s="98">
        <f>K104*2</f>
        <v>3960</v>
      </c>
      <c r="L106" s="183"/>
      <c r="M106" s="182"/>
      <c r="N106" s="184">
        <f>ROUND($L$106*$K$106,2)</f>
        <v>0</v>
      </c>
      <c r="O106" s="182"/>
      <c r="P106" s="182"/>
      <c r="Q106" s="182"/>
      <c r="R106" s="96"/>
      <c r="S106" s="20"/>
      <c r="T106" s="99"/>
      <c r="U106" s="100" t="s">
        <v>33</v>
      </c>
      <c r="X106" s="101">
        <v>6.0999999999999997E-4</v>
      </c>
      <c r="Y106" s="101">
        <f>$X$106*$K$106</f>
        <v>2.4156</v>
      </c>
      <c r="Z106" s="101">
        <v>0</v>
      </c>
      <c r="AA106" s="102">
        <f>$Z$106*$K$106</f>
        <v>0</v>
      </c>
      <c r="AR106" s="65" t="s">
        <v>107</v>
      </c>
      <c r="AT106" s="65" t="s">
        <v>103</v>
      </c>
      <c r="AU106" s="65" t="s">
        <v>69</v>
      </c>
      <c r="AY106" s="7" t="s">
        <v>102</v>
      </c>
      <c r="BE106" s="103">
        <f>IF($U$106="základní",$N$106,0)</f>
        <v>0</v>
      </c>
      <c r="BF106" s="103">
        <f>IF($U$106="snížená",$N$106,0)</f>
        <v>0</v>
      </c>
      <c r="BG106" s="103">
        <f>IF($U$106="zákl. přenesená",$N$106,0)</f>
        <v>0</v>
      </c>
      <c r="BH106" s="103">
        <f>IF($U$106="sníž. přenesená",$N$106,0)</f>
        <v>0</v>
      </c>
      <c r="BI106" s="103">
        <f>IF($U$106="nulová",$N$106,0)</f>
        <v>0</v>
      </c>
      <c r="BJ106" s="65" t="s">
        <v>17</v>
      </c>
      <c r="BK106" s="103">
        <f>ROUND($L$106*$K$106,2)</f>
        <v>0</v>
      </c>
      <c r="BL106" s="65" t="s">
        <v>107</v>
      </c>
      <c r="BM106" s="65" t="s">
        <v>155</v>
      </c>
    </row>
    <row r="107" spans="2:65" s="7" customFormat="1" ht="16.5" customHeight="1" x14ac:dyDescent="0.3">
      <c r="B107" s="20"/>
      <c r="F107" s="160" t="s">
        <v>156</v>
      </c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20"/>
      <c r="T107" s="42"/>
      <c r="AA107" s="43"/>
      <c r="AT107" s="7" t="s">
        <v>108</v>
      </c>
      <c r="AU107" s="7" t="s">
        <v>69</v>
      </c>
    </row>
    <row r="108" spans="2:65" s="7" customFormat="1" ht="27" customHeight="1" x14ac:dyDescent="0.3">
      <c r="B108" s="20"/>
      <c r="C108" s="94">
        <v>30</v>
      </c>
      <c r="D108" s="94" t="s">
        <v>103</v>
      </c>
      <c r="E108" s="95" t="s">
        <v>157</v>
      </c>
      <c r="F108" s="181" t="s">
        <v>158</v>
      </c>
      <c r="G108" s="182"/>
      <c r="H108" s="182"/>
      <c r="I108" s="182"/>
      <c r="J108" s="97" t="s">
        <v>106</v>
      </c>
      <c r="K108" s="98">
        <f>K104</f>
        <v>1980</v>
      </c>
      <c r="L108" s="183"/>
      <c r="M108" s="182"/>
      <c r="N108" s="184">
        <f>ROUND($L$108*$K$108,2)</f>
        <v>0</v>
      </c>
      <c r="O108" s="182"/>
      <c r="P108" s="182"/>
      <c r="Q108" s="182"/>
      <c r="R108" s="96"/>
      <c r="S108" s="20"/>
      <c r="T108" s="99"/>
      <c r="U108" s="100" t="s">
        <v>33</v>
      </c>
      <c r="X108" s="101">
        <v>0.12966</v>
      </c>
      <c r="Y108" s="101">
        <f>$X$108*$K$108</f>
        <v>256.72679999999997</v>
      </c>
      <c r="Z108" s="101">
        <v>0</v>
      </c>
      <c r="AA108" s="102">
        <f>$Z$108*$K$108</f>
        <v>0</v>
      </c>
      <c r="AR108" s="65" t="s">
        <v>107</v>
      </c>
      <c r="AT108" s="65" t="s">
        <v>103</v>
      </c>
      <c r="AU108" s="65" t="s">
        <v>69</v>
      </c>
      <c r="AY108" s="7" t="s">
        <v>102</v>
      </c>
      <c r="BE108" s="103">
        <f>IF($U$108="základní",$N$108,0)</f>
        <v>0</v>
      </c>
      <c r="BF108" s="103">
        <f>IF($U$108="snížená",$N$108,0)</f>
        <v>0</v>
      </c>
      <c r="BG108" s="103">
        <f>IF($U$108="zákl. přenesená",$N$108,0)</f>
        <v>0</v>
      </c>
      <c r="BH108" s="103">
        <f>IF($U$108="sníž. přenesená",$N$108,0)</f>
        <v>0</v>
      </c>
      <c r="BI108" s="103">
        <f>IF($U$108="nulová",$N$108,0)</f>
        <v>0</v>
      </c>
      <c r="BJ108" s="65" t="s">
        <v>17</v>
      </c>
      <c r="BK108" s="103">
        <f>ROUND($L$108*$K$108,2)</f>
        <v>0</v>
      </c>
      <c r="BL108" s="65" t="s">
        <v>107</v>
      </c>
      <c r="BM108" s="65" t="s">
        <v>159</v>
      </c>
    </row>
    <row r="109" spans="2:65" s="7" customFormat="1" ht="23.25" customHeight="1" x14ac:dyDescent="0.3">
      <c r="B109" s="20"/>
      <c r="F109" s="160" t="s">
        <v>160</v>
      </c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20"/>
      <c r="T109" s="42"/>
      <c r="AA109" s="43"/>
      <c r="AT109" s="7" t="s">
        <v>108</v>
      </c>
      <c r="AU109" s="7" t="s">
        <v>69</v>
      </c>
    </row>
    <row r="110" spans="2:65" s="85" customFormat="1" ht="30.75" customHeight="1" x14ac:dyDescent="0.3">
      <c r="B110" s="86"/>
      <c r="D110" s="93" t="s">
        <v>227</v>
      </c>
      <c r="N110" s="185">
        <f>$BK$110</f>
        <v>0</v>
      </c>
      <c r="O110" s="186"/>
      <c r="P110" s="186"/>
      <c r="Q110" s="186"/>
      <c r="S110" s="86"/>
      <c r="T110" s="89"/>
      <c r="W110" s="90">
        <f>SUM($W$111:$W$116)</f>
        <v>0</v>
      </c>
      <c r="Y110" s="90">
        <f>SUM($Y$111:$Y$116)</f>
        <v>137.52851250000001</v>
      </c>
      <c r="AA110" s="91">
        <f>SUM($AA$111:$AA$116)</f>
        <v>0</v>
      </c>
      <c r="AR110" s="88" t="s">
        <v>17</v>
      </c>
      <c r="AT110" s="88" t="s">
        <v>62</v>
      </c>
      <c r="AU110" s="88" t="s">
        <v>17</v>
      </c>
      <c r="AY110" s="88" t="s">
        <v>102</v>
      </c>
      <c r="BK110" s="92">
        <f>SUM($BK$111:$BK$116)</f>
        <v>0</v>
      </c>
    </row>
    <row r="111" spans="2:65" s="7" customFormat="1" ht="15.75" customHeight="1" x14ac:dyDescent="0.3">
      <c r="B111" s="20"/>
      <c r="C111" s="94">
        <v>35</v>
      </c>
      <c r="D111" s="94" t="s">
        <v>103</v>
      </c>
      <c r="E111" s="95" t="s">
        <v>161</v>
      </c>
      <c r="F111" s="181" t="s">
        <v>162</v>
      </c>
      <c r="G111" s="182"/>
      <c r="H111" s="182"/>
      <c r="I111" s="182"/>
      <c r="J111" s="97" t="s">
        <v>106</v>
      </c>
      <c r="K111" s="98">
        <f>(38*2.5)+(48.5*2.5)</f>
        <v>216.25</v>
      </c>
      <c r="L111" s="183"/>
      <c r="M111" s="182"/>
      <c r="N111" s="184">
        <f>ROUND($L$111*$K$111,2)</f>
        <v>0</v>
      </c>
      <c r="O111" s="182"/>
      <c r="P111" s="182"/>
      <c r="Q111" s="182"/>
      <c r="R111" s="96"/>
      <c r="S111" s="20"/>
      <c r="T111" s="99"/>
      <c r="U111" s="100" t="s">
        <v>33</v>
      </c>
      <c r="X111" s="101">
        <v>0.37080000000000002</v>
      </c>
      <c r="Y111" s="101">
        <f>$X$111*$K$111</f>
        <v>80.185500000000005</v>
      </c>
      <c r="Z111" s="101">
        <v>0</v>
      </c>
      <c r="AA111" s="102">
        <f>$Z$111*$K$111</f>
        <v>0</v>
      </c>
      <c r="AR111" s="65" t="s">
        <v>107</v>
      </c>
      <c r="AT111" s="65" t="s">
        <v>103</v>
      </c>
      <c r="AU111" s="65" t="s">
        <v>69</v>
      </c>
      <c r="AY111" s="7" t="s">
        <v>102</v>
      </c>
      <c r="BE111" s="103">
        <f>IF($U$111="základní",$N$111,0)</f>
        <v>0</v>
      </c>
      <c r="BF111" s="103">
        <f>IF($U$111="snížená",$N$111,0)</f>
        <v>0</v>
      </c>
      <c r="BG111" s="103">
        <f>IF($U$111="zákl. přenesená",$N$111,0)</f>
        <v>0</v>
      </c>
      <c r="BH111" s="103">
        <f>IF($U$111="sníž. přenesená",$N$111,0)</f>
        <v>0</v>
      </c>
      <c r="BI111" s="103">
        <f>IF($U$111="nulová",$N$111,0)</f>
        <v>0</v>
      </c>
      <c r="BJ111" s="65" t="s">
        <v>17</v>
      </c>
      <c r="BK111" s="103">
        <f>ROUND($L$111*$K$111,2)</f>
        <v>0</v>
      </c>
      <c r="BL111" s="65" t="s">
        <v>107</v>
      </c>
      <c r="BM111" s="65" t="s">
        <v>164</v>
      </c>
    </row>
    <row r="112" spans="2:65" s="7" customFormat="1" ht="16.5" customHeight="1" x14ac:dyDescent="0.3">
      <c r="B112" s="20"/>
      <c r="F112" s="160" t="s">
        <v>163</v>
      </c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20"/>
      <c r="T112" s="42"/>
      <c r="AA112" s="43"/>
      <c r="AT112" s="7" t="s">
        <v>108</v>
      </c>
      <c r="AU112" s="7" t="s">
        <v>69</v>
      </c>
    </row>
    <row r="113" spans="2:65" s="7" customFormat="1" ht="27" customHeight="1" x14ac:dyDescent="0.3">
      <c r="B113" s="20"/>
      <c r="C113" s="94">
        <v>36</v>
      </c>
      <c r="D113" s="94" t="s">
        <v>103</v>
      </c>
      <c r="E113" s="95" t="s">
        <v>165</v>
      </c>
      <c r="F113" s="181" t="s">
        <v>166</v>
      </c>
      <c r="G113" s="182"/>
      <c r="H113" s="182"/>
      <c r="I113" s="182"/>
      <c r="J113" s="97" t="s">
        <v>106</v>
      </c>
      <c r="K113" s="98">
        <f>K111</f>
        <v>216.25</v>
      </c>
      <c r="L113" s="183"/>
      <c r="M113" s="182"/>
      <c r="N113" s="184">
        <f>ROUND($L$113*$K$113,2)</f>
        <v>0</v>
      </c>
      <c r="O113" s="182"/>
      <c r="P113" s="182"/>
      <c r="Q113" s="182"/>
      <c r="R113" s="96"/>
      <c r="S113" s="20"/>
      <c r="T113" s="99"/>
      <c r="U113" s="100" t="s">
        <v>33</v>
      </c>
      <c r="X113" s="101">
        <v>8.5650000000000004E-2</v>
      </c>
      <c r="Y113" s="101">
        <f>$X$113*$K$113</f>
        <v>18.521812499999999</v>
      </c>
      <c r="Z113" s="101">
        <v>0</v>
      </c>
      <c r="AA113" s="102">
        <f>$Z$113*$K$113</f>
        <v>0</v>
      </c>
      <c r="AR113" s="65" t="s">
        <v>107</v>
      </c>
      <c r="AT113" s="65" t="s">
        <v>103</v>
      </c>
      <c r="AU113" s="65" t="s">
        <v>69</v>
      </c>
      <c r="AY113" s="7" t="s">
        <v>102</v>
      </c>
      <c r="BE113" s="103">
        <f>IF($U$113="základní",$N$113,0)</f>
        <v>0</v>
      </c>
      <c r="BF113" s="103">
        <f>IF($U$113="snížená",$N$113,0)</f>
        <v>0</v>
      </c>
      <c r="BG113" s="103">
        <f>IF($U$113="zákl. přenesená",$N$113,0)</f>
        <v>0</v>
      </c>
      <c r="BH113" s="103">
        <f>IF($U$113="sníž. přenesená",$N$113,0)</f>
        <v>0</v>
      </c>
      <c r="BI113" s="103">
        <f>IF($U$113="nulová",$N$113,0)</f>
        <v>0</v>
      </c>
      <c r="BJ113" s="65" t="s">
        <v>17</v>
      </c>
      <c r="BK113" s="103">
        <f>ROUND($L$113*$K$113,2)</f>
        <v>0</v>
      </c>
      <c r="BL113" s="65" t="s">
        <v>107</v>
      </c>
      <c r="BM113" s="65" t="s">
        <v>167</v>
      </c>
    </row>
    <row r="114" spans="2:65" s="7" customFormat="1" ht="27" customHeight="1" x14ac:dyDescent="0.3">
      <c r="B114" s="20"/>
      <c r="F114" s="160" t="s">
        <v>168</v>
      </c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20"/>
      <c r="T114" s="42"/>
      <c r="AA114" s="43"/>
      <c r="AT114" s="7" t="s">
        <v>108</v>
      </c>
      <c r="AU114" s="7" t="s">
        <v>69</v>
      </c>
    </row>
    <row r="115" spans="2:65" s="7" customFormat="1" ht="15.75" customHeight="1" x14ac:dyDescent="0.3">
      <c r="B115" s="20"/>
      <c r="C115" s="94">
        <v>37</v>
      </c>
      <c r="D115" s="94" t="s">
        <v>103</v>
      </c>
      <c r="E115" s="95" t="s">
        <v>169</v>
      </c>
      <c r="F115" s="181" t="s">
        <v>170</v>
      </c>
      <c r="G115" s="182"/>
      <c r="H115" s="182"/>
      <c r="I115" s="182"/>
      <c r="J115" s="97" t="s">
        <v>106</v>
      </c>
      <c r="K115" s="98">
        <f>K113*1.02</f>
        <v>220.57500000000002</v>
      </c>
      <c r="L115" s="183"/>
      <c r="M115" s="182"/>
      <c r="N115" s="184">
        <f>ROUND($L$115*$K$115,2)</f>
        <v>0</v>
      </c>
      <c r="O115" s="182"/>
      <c r="P115" s="182"/>
      <c r="Q115" s="182"/>
      <c r="R115" s="96"/>
      <c r="S115" s="20"/>
      <c r="T115" s="99"/>
      <c r="U115" s="100" t="s">
        <v>33</v>
      </c>
      <c r="X115" s="101">
        <v>0.17599999999999999</v>
      </c>
      <c r="Y115" s="101">
        <f>$X$115*$K$115</f>
        <v>38.821199999999997</v>
      </c>
      <c r="Z115" s="101">
        <v>0</v>
      </c>
      <c r="AA115" s="102">
        <f>$Z$115*$K$115</f>
        <v>0</v>
      </c>
      <c r="AR115" s="65" t="s">
        <v>107</v>
      </c>
      <c r="AT115" s="65" t="s">
        <v>103</v>
      </c>
      <c r="AU115" s="65" t="s">
        <v>69</v>
      </c>
      <c r="AY115" s="7" t="s">
        <v>102</v>
      </c>
      <c r="BE115" s="103">
        <f>IF($U$115="základní",$N$115,0)</f>
        <v>0</v>
      </c>
      <c r="BF115" s="103">
        <f>IF($U$115="snížená",$N$115,0)</f>
        <v>0</v>
      </c>
      <c r="BG115" s="103">
        <f>IF($U$115="zákl. přenesená",$N$115,0)</f>
        <v>0</v>
      </c>
      <c r="BH115" s="103">
        <f>IF($U$115="sníž. přenesená",$N$115,0)</f>
        <v>0</v>
      </c>
      <c r="BI115" s="103">
        <f>IF($U$115="nulová",$N$115,0)</f>
        <v>0</v>
      </c>
      <c r="BJ115" s="65" t="s">
        <v>17</v>
      </c>
      <c r="BK115" s="103">
        <f>ROUND($L$115*$K$115,2)</f>
        <v>0</v>
      </c>
      <c r="BL115" s="65" t="s">
        <v>107</v>
      </c>
      <c r="BM115" s="65" t="s">
        <v>171</v>
      </c>
    </row>
    <row r="116" spans="2:65" s="7" customFormat="1" ht="16.5" customHeight="1" x14ac:dyDescent="0.3">
      <c r="B116" s="20"/>
      <c r="F116" s="160" t="s">
        <v>170</v>
      </c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20"/>
      <c r="T116" s="42"/>
      <c r="AA116" s="43"/>
      <c r="AT116" s="7" t="s">
        <v>108</v>
      </c>
      <c r="AU116" s="7" t="s">
        <v>69</v>
      </c>
    </row>
    <row r="117" spans="2:65" s="85" customFormat="1" ht="30.75" customHeight="1" x14ac:dyDescent="0.3">
      <c r="B117" s="86"/>
      <c r="D117" s="93" t="s">
        <v>82</v>
      </c>
      <c r="N117" s="185">
        <f>$BK$117+N124</f>
        <v>0</v>
      </c>
      <c r="O117" s="186"/>
      <c r="P117" s="186"/>
      <c r="Q117" s="186"/>
      <c r="S117" s="86"/>
      <c r="T117" s="89"/>
      <c r="W117" s="90">
        <f>SUM($W$118:$W$121)</f>
        <v>0</v>
      </c>
      <c r="Y117" s="90">
        <f>SUM($Y$118:$Y$121)</f>
        <v>0</v>
      </c>
      <c r="AA117" s="91">
        <f>SUM($AA$118:$AA$121)</f>
        <v>0</v>
      </c>
      <c r="AR117" s="88" t="s">
        <v>17</v>
      </c>
      <c r="AT117" s="88" t="s">
        <v>62</v>
      </c>
      <c r="AU117" s="88" t="s">
        <v>17</v>
      </c>
      <c r="AY117" s="88" t="s">
        <v>102</v>
      </c>
      <c r="BK117" s="92">
        <f>SUM($BK$118:$BK$121)</f>
        <v>0</v>
      </c>
    </row>
    <row r="118" spans="2:65" s="7" customFormat="1" ht="27" customHeight="1" x14ac:dyDescent="0.3">
      <c r="B118" s="20"/>
      <c r="C118" s="94">
        <v>40</v>
      </c>
      <c r="D118" s="94" t="s">
        <v>103</v>
      </c>
      <c r="E118" s="95" t="s">
        <v>172</v>
      </c>
      <c r="F118" s="181" t="s">
        <v>228</v>
      </c>
      <c r="G118" s="182"/>
      <c r="H118" s="182"/>
      <c r="I118" s="182"/>
      <c r="J118" s="97" t="s">
        <v>138</v>
      </c>
      <c r="K118" s="98">
        <v>10</v>
      </c>
      <c r="L118" s="183"/>
      <c r="M118" s="182"/>
      <c r="N118" s="184">
        <f>ROUND($L$118*$K$118,2)</f>
        <v>0</v>
      </c>
      <c r="O118" s="182"/>
      <c r="P118" s="182"/>
      <c r="Q118" s="182"/>
      <c r="R118" s="96"/>
      <c r="S118" s="20"/>
      <c r="T118" s="99"/>
      <c r="U118" s="100" t="s">
        <v>33</v>
      </c>
      <c r="X118" s="101">
        <v>0</v>
      </c>
      <c r="Y118" s="101">
        <f>$X$118*$K$118</f>
        <v>0</v>
      </c>
      <c r="Z118" s="101">
        <v>0</v>
      </c>
      <c r="AA118" s="102">
        <f>$Z$118*$K$118</f>
        <v>0</v>
      </c>
      <c r="AR118" s="65" t="s">
        <v>107</v>
      </c>
      <c r="AT118" s="65" t="s">
        <v>103</v>
      </c>
      <c r="AU118" s="65" t="s">
        <v>69</v>
      </c>
      <c r="AY118" s="7" t="s">
        <v>102</v>
      </c>
      <c r="BE118" s="103">
        <f>IF($U$118="základní",$N$118,0)</f>
        <v>0</v>
      </c>
      <c r="BF118" s="103">
        <f>IF($U$118="snížená",$N$118,0)</f>
        <v>0</v>
      </c>
      <c r="BG118" s="103">
        <f>IF($U$118="zákl. přenesená",$N$118,0)</f>
        <v>0</v>
      </c>
      <c r="BH118" s="103">
        <f>IF($U$118="sníž. přenesená",$N$118,0)</f>
        <v>0</v>
      </c>
      <c r="BI118" s="103">
        <f>IF($U$118="nulová",$N$118,0)</f>
        <v>0</v>
      </c>
      <c r="BJ118" s="65" t="s">
        <v>17</v>
      </c>
      <c r="BK118" s="103">
        <f>ROUND($L$118*$K$118,2)</f>
        <v>0</v>
      </c>
      <c r="BL118" s="65" t="s">
        <v>107</v>
      </c>
      <c r="BM118" s="65" t="s">
        <v>173</v>
      </c>
    </row>
    <row r="119" spans="2:65" s="7" customFormat="1" ht="28.5" customHeight="1" x14ac:dyDescent="0.3">
      <c r="B119" s="20"/>
      <c r="F119" s="160" t="s">
        <v>229</v>
      </c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20"/>
      <c r="T119" s="42"/>
      <c r="AA119" s="43"/>
      <c r="AT119" s="7" t="s">
        <v>108</v>
      </c>
      <c r="AU119" s="7" t="s">
        <v>69</v>
      </c>
    </row>
    <row r="120" spans="2:65" s="7" customFormat="1" ht="27" customHeight="1" x14ac:dyDescent="0.3">
      <c r="B120" s="20"/>
      <c r="C120" s="94">
        <v>42</v>
      </c>
      <c r="D120" s="94" t="s">
        <v>103</v>
      </c>
      <c r="E120" s="95" t="s">
        <v>174</v>
      </c>
      <c r="F120" s="181" t="s">
        <v>175</v>
      </c>
      <c r="G120" s="182"/>
      <c r="H120" s="182"/>
      <c r="I120" s="182"/>
      <c r="J120" s="97" t="s">
        <v>138</v>
      </c>
      <c r="K120" s="98">
        <v>12</v>
      </c>
      <c r="L120" s="183"/>
      <c r="M120" s="182"/>
      <c r="N120" s="184">
        <f>ROUND($L$120*$K$120,2)</f>
        <v>0</v>
      </c>
      <c r="O120" s="182"/>
      <c r="P120" s="182"/>
      <c r="Q120" s="182"/>
      <c r="R120" s="96"/>
      <c r="S120" s="20"/>
      <c r="T120" s="99"/>
      <c r="U120" s="100" t="s">
        <v>33</v>
      </c>
      <c r="X120" s="101">
        <v>0</v>
      </c>
      <c r="Y120" s="101">
        <f>$X$120*$K$120</f>
        <v>0</v>
      </c>
      <c r="Z120" s="101">
        <v>0</v>
      </c>
      <c r="AA120" s="102">
        <f>$Z$120*$K$120</f>
        <v>0</v>
      </c>
      <c r="AR120" s="65" t="s">
        <v>107</v>
      </c>
      <c r="AT120" s="65" t="s">
        <v>103</v>
      </c>
      <c r="AU120" s="65" t="s">
        <v>69</v>
      </c>
      <c r="AY120" s="7" t="s">
        <v>102</v>
      </c>
      <c r="BE120" s="103">
        <f>IF($U$120="základní",$N$120,0)</f>
        <v>0</v>
      </c>
      <c r="BF120" s="103">
        <f>IF($U$120="snížená",$N$120,0)</f>
        <v>0</v>
      </c>
      <c r="BG120" s="103">
        <f>IF($U$120="zákl. přenesená",$N$120,0)</f>
        <v>0</v>
      </c>
      <c r="BH120" s="103">
        <f>IF($U$120="sníž. přenesená",$N$120,0)</f>
        <v>0</v>
      </c>
      <c r="BI120" s="103">
        <f>IF($U$120="nulová",$N$120,0)</f>
        <v>0</v>
      </c>
      <c r="BJ120" s="65" t="s">
        <v>17</v>
      </c>
      <c r="BK120" s="103">
        <f>ROUND($L$120*$K$120,2)</f>
        <v>0</v>
      </c>
      <c r="BL120" s="65" t="s">
        <v>107</v>
      </c>
      <c r="BM120" s="65" t="s">
        <v>176</v>
      </c>
    </row>
    <row r="121" spans="2:65" s="7" customFormat="1" ht="31.5" customHeight="1" x14ac:dyDescent="0.3">
      <c r="B121" s="20"/>
      <c r="F121" s="160" t="s">
        <v>230</v>
      </c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20"/>
      <c r="T121" s="42"/>
      <c r="AA121" s="43"/>
      <c r="AT121" s="7" t="s">
        <v>108</v>
      </c>
      <c r="AU121" s="7" t="s">
        <v>69</v>
      </c>
    </row>
    <row r="122" spans="2:65" s="7" customFormat="1" ht="27" customHeight="1" x14ac:dyDescent="0.3">
      <c r="B122" s="20"/>
      <c r="C122" s="94">
        <v>43</v>
      </c>
      <c r="D122" s="94" t="s">
        <v>103</v>
      </c>
      <c r="E122" s="109" t="s">
        <v>221</v>
      </c>
      <c r="F122" s="198" t="s">
        <v>222</v>
      </c>
      <c r="G122" s="182"/>
      <c r="H122" s="182"/>
      <c r="I122" s="182"/>
      <c r="J122" s="97" t="s">
        <v>138</v>
      </c>
      <c r="K122" s="98">
        <v>40</v>
      </c>
      <c r="L122" s="183"/>
      <c r="M122" s="182"/>
      <c r="N122" s="184">
        <f>L122*K122</f>
        <v>0</v>
      </c>
      <c r="O122" s="182"/>
      <c r="P122" s="182"/>
      <c r="Q122" s="182"/>
      <c r="R122" s="96"/>
      <c r="S122" s="20"/>
      <c r="T122" s="99"/>
      <c r="U122" s="100" t="s">
        <v>33</v>
      </c>
      <c r="X122" s="101">
        <v>0</v>
      </c>
      <c r="Y122" s="101">
        <f>$X$120*$K$120</f>
        <v>0</v>
      </c>
      <c r="Z122" s="101">
        <v>0</v>
      </c>
      <c r="AA122" s="102">
        <f>$Z$120*$K$120</f>
        <v>0</v>
      </c>
      <c r="AR122" s="65" t="s">
        <v>107</v>
      </c>
      <c r="AT122" s="65" t="s">
        <v>103</v>
      </c>
      <c r="AU122" s="65" t="s">
        <v>69</v>
      </c>
      <c r="AY122" s="7" t="s">
        <v>102</v>
      </c>
      <c r="BE122" s="103">
        <f>IF($U$120="základní",$N$120,0)</f>
        <v>0</v>
      </c>
      <c r="BF122" s="103">
        <f>IF($U$120="snížená",$N$120,0)</f>
        <v>0</v>
      </c>
      <c r="BG122" s="103">
        <f>IF($U$120="zákl. přenesená",$N$120,0)</f>
        <v>0</v>
      </c>
      <c r="BH122" s="103">
        <f>IF($U$120="sníž. přenesená",$N$120,0)</f>
        <v>0</v>
      </c>
      <c r="BI122" s="103">
        <f>IF($U$120="nulová",$N$120,0)</f>
        <v>0</v>
      </c>
      <c r="BJ122" s="65" t="s">
        <v>17</v>
      </c>
      <c r="BK122" s="103">
        <f>ROUND($L$120*$K$120,2)</f>
        <v>0</v>
      </c>
      <c r="BL122" s="65" t="s">
        <v>107</v>
      </c>
      <c r="BM122" s="65" t="s">
        <v>176</v>
      </c>
    </row>
    <row r="123" spans="2:65" s="7" customFormat="1" ht="16.5" customHeight="1" x14ac:dyDescent="0.3">
      <c r="B123" s="20"/>
      <c r="F123" s="160" t="s">
        <v>222</v>
      </c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20"/>
      <c r="T123" s="42"/>
      <c r="AA123" s="43"/>
      <c r="AT123" s="7" t="s">
        <v>108</v>
      </c>
      <c r="AU123" s="7" t="s">
        <v>69</v>
      </c>
    </row>
    <row r="124" spans="2:65" s="7" customFormat="1" ht="44.25" customHeight="1" x14ac:dyDescent="0.3">
      <c r="B124" s="20"/>
      <c r="C124" s="94"/>
      <c r="D124" s="124" t="s">
        <v>103</v>
      </c>
      <c r="E124" s="123" t="s">
        <v>239</v>
      </c>
      <c r="F124" s="187" t="s">
        <v>240</v>
      </c>
      <c r="G124" s="182"/>
      <c r="H124" s="182"/>
      <c r="I124" s="182"/>
      <c r="J124" s="125" t="s">
        <v>147</v>
      </c>
      <c r="K124" s="98">
        <v>1</v>
      </c>
      <c r="L124" s="183"/>
      <c r="M124" s="182"/>
      <c r="N124" s="184">
        <f>L124*K124</f>
        <v>0</v>
      </c>
      <c r="O124" s="182"/>
      <c r="P124" s="182"/>
      <c r="Q124" s="182"/>
      <c r="R124" s="96"/>
      <c r="S124" s="20"/>
      <c r="T124" s="99"/>
      <c r="U124" s="100" t="s">
        <v>33</v>
      </c>
      <c r="X124" s="101">
        <v>0</v>
      </c>
      <c r="Y124" s="101">
        <f>$X$120*$K$120</f>
        <v>0</v>
      </c>
      <c r="Z124" s="101">
        <v>0</v>
      </c>
      <c r="AA124" s="102">
        <f>$Z$120*$K$120</f>
        <v>0</v>
      </c>
      <c r="AR124" s="65" t="s">
        <v>107</v>
      </c>
      <c r="AT124" s="65" t="s">
        <v>103</v>
      </c>
      <c r="AU124" s="65" t="s">
        <v>69</v>
      </c>
      <c r="AY124" s="7" t="s">
        <v>102</v>
      </c>
      <c r="BE124" s="103">
        <f>IF($U$120="základní",$N$120,0)</f>
        <v>0</v>
      </c>
      <c r="BF124" s="103">
        <f>IF($U$120="snížená",$N$120,0)</f>
        <v>0</v>
      </c>
      <c r="BG124" s="103">
        <f>IF($U$120="zákl. přenesená",$N$120,0)</f>
        <v>0</v>
      </c>
      <c r="BH124" s="103">
        <f>IF($U$120="sníž. přenesená",$N$120,0)</f>
        <v>0</v>
      </c>
      <c r="BI124" s="103">
        <f>IF($U$120="nulová",$N$120,0)</f>
        <v>0</v>
      </c>
      <c r="BJ124" s="65" t="s">
        <v>17</v>
      </c>
      <c r="BK124" s="103">
        <f>ROUND($L$120*$K$120,2)</f>
        <v>0</v>
      </c>
      <c r="BL124" s="65" t="s">
        <v>107</v>
      </c>
      <c r="BM124" s="65" t="s">
        <v>176</v>
      </c>
    </row>
    <row r="125" spans="2:65" s="7" customFormat="1" ht="16.5" customHeight="1" x14ac:dyDescent="0.3">
      <c r="B125" s="20"/>
      <c r="F125" s="160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20"/>
      <c r="T125" s="42"/>
      <c r="AA125" s="43"/>
      <c r="AT125" s="7" t="s">
        <v>108</v>
      </c>
      <c r="AU125" s="7" t="s">
        <v>69</v>
      </c>
    </row>
    <row r="126" spans="2:65" s="85" customFormat="1" ht="30.75" customHeight="1" x14ac:dyDescent="0.3">
      <c r="B126" s="86"/>
      <c r="D126" s="93" t="s">
        <v>83</v>
      </c>
      <c r="N126" s="185">
        <f>$BK$126</f>
        <v>0</v>
      </c>
      <c r="O126" s="186"/>
      <c r="P126" s="186"/>
      <c r="Q126" s="186"/>
      <c r="S126" s="86"/>
      <c r="T126" s="89"/>
      <c r="W126" s="90">
        <f>SUM($W$127:$W$151)</f>
        <v>0</v>
      </c>
      <c r="Y126" s="90">
        <f>SUM($Y$127:$Y$151)</f>
        <v>73.837812499999998</v>
      </c>
      <c r="AA126" s="91">
        <f>SUM($AA$127:$AA$151)</f>
        <v>0</v>
      </c>
      <c r="AR126" s="88" t="s">
        <v>17</v>
      </c>
      <c r="AT126" s="88" t="s">
        <v>62</v>
      </c>
      <c r="AU126" s="88" t="s">
        <v>17</v>
      </c>
      <c r="AY126" s="88" t="s">
        <v>102</v>
      </c>
      <c r="BK126" s="92">
        <f>SUM($BK$127:$BK$151)</f>
        <v>0</v>
      </c>
    </row>
    <row r="127" spans="2:65" s="7" customFormat="1" ht="27" customHeight="1" x14ac:dyDescent="0.3">
      <c r="B127" s="20"/>
      <c r="C127" s="94">
        <v>43</v>
      </c>
      <c r="D127" s="94" t="s">
        <v>103</v>
      </c>
      <c r="E127" s="95" t="s">
        <v>177</v>
      </c>
      <c r="F127" s="181" t="s">
        <v>178</v>
      </c>
      <c r="G127" s="182"/>
      <c r="H127" s="182"/>
      <c r="I127" s="182"/>
      <c r="J127" s="97" t="s">
        <v>136</v>
      </c>
      <c r="K127" s="98">
        <f>K131</f>
        <v>448.40500000000003</v>
      </c>
      <c r="L127" s="183"/>
      <c r="M127" s="182"/>
      <c r="N127" s="184">
        <f>ROUND($L$127*$K$127,2)</f>
        <v>0</v>
      </c>
      <c r="O127" s="182"/>
      <c r="P127" s="182"/>
      <c r="Q127" s="182"/>
      <c r="R127" s="96"/>
      <c r="S127" s="20"/>
      <c r="T127" s="99"/>
      <c r="U127" s="100" t="s">
        <v>33</v>
      </c>
      <c r="X127" s="101">
        <v>0</v>
      </c>
      <c r="Y127" s="101">
        <f>$X$127*$K$127</f>
        <v>0</v>
      </c>
      <c r="Z127" s="101">
        <v>0</v>
      </c>
      <c r="AA127" s="102">
        <f>$Z$127*$K$127</f>
        <v>0</v>
      </c>
      <c r="AR127" s="65" t="s">
        <v>107</v>
      </c>
      <c r="AT127" s="65" t="s">
        <v>103</v>
      </c>
      <c r="AU127" s="65" t="s">
        <v>69</v>
      </c>
      <c r="AY127" s="7" t="s">
        <v>102</v>
      </c>
      <c r="BE127" s="103">
        <f>IF($U$127="základní",$N$127,0)</f>
        <v>0</v>
      </c>
      <c r="BF127" s="103">
        <f>IF($U$127="snížená",$N$127,0)</f>
        <v>0</v>
      </c>
      <c r="BG127" s="103">
        <f>IF($U$127="zákl. přenesená",$N$127,0)</f>
        <v>0</v>
      </c>
      <c r="BH127" s="103">
        <f>IF($U$127="sníž. přenesená",$N$127,0)</f>
        <v>0</v>
      </c>
      <c r="BI127" s="103">
        <f>IF($U$127="nulová",$N$127,0)</f>
        <v>0</v>
      </c>
      <c r="BJ127" s="65" t="s">
        <v>17</v>
      </c>
      <c r="BK127" s="103">
        <f>ROUND($L$127*$K$127,2)</f>
        <v>0</v>
      </c>
      <c r="BL127" s="65" t="s">
        <v>107</v>
      </c>
      <c r="BM127" s="65" t="s">
        <v>179</v>
      </c>
    </row>
    <row r="128" spans="2:65" s="7" customFormat="1" ht="16.5" customHeight="1" x14ac:dyDescent="0.3">
      <c r="B128" s="20"/>
      <c r="F128" s="160" t="s">
        <v>178</v>
      </c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20"/>
      <c r="T128" s="42"/>
      <c r="AA128" s="43"/>
      <c r="AT128" s="7" t="s">
        <v>108</v>
      </c>
      <c r="AU128" s="7" t="s">
        <v>69</v>
      </c>
    </row>
    <row r="129" spans="2:65" s="7" customFormat="1" ht="15.75" customHeight="1" x14ac:dyDescent="0.3">
      <c r="B129" s="20"/>
      <c r="C129" s="94">
        <v>44</v>
      </c>
      <c r="D129" s="94" t="s">
        <v>103</v>
      </c>
      <c r="E129" s="95" t="s">
        <v>180</v>
      </c>
      <c r="F129" s="181" t="s">
        <v>181</v>
      </c>
      <c r="G129" s="182"/>
      <c r="H129" s="182"/>
      <c r="I129" s="182"/>
      <c r="J129" s="97" t="s">
        <v>136</v>
      </c>
      <c r="K129" s="98">
        <f>K127*19</f>
        <v>8519.6949999999997</v>
      </c>
      <c r="L129" s="183"/>
      <c r="M129" s="182"/>
      <c r="N129" s="184">
        <f>ROUND($L$129*$K$129,2)</f>
        <v>0</v>
      </c>
      <c r="O129" s="182"/>
      <c r="P129" s="182"/>
      <c r="Q129" s="182"/>
      <c r="R129" s="96"/>
      <c r="S129" s="20"/>
      <c r="T129" s="99"/>
      <c r="U129" s="100" t="s">
        <v>33</v>
      </c>
      <c r="X129" s="101">
        <v>0</v>
      </c>
      <c r="Y129" s="101">
        <f>$X$129*$K$129</f>
        <v>0</v>
      </c>
      <c r="Z129" s="101">
        <v>0</v>
      </c>
      <c r="AA129" s="102">
        <f>$Z$129*$K$129</f>
        <v>0</v>
      </c>
      <c r="AR129" s="65" t="s">
        <v>107</v>
      </c>
      <c r="AT129" s="65" t="s">
        <v>103</v>
      </c>
      <c r="AU129" s="65" t="s">
        <v>69</v>
      </c>
      <c r="AY129" s="7" t="s">
        <v>102</v>
      </c>
      <c r="BE129" s="103">
        <f>IF($U$129="základní",$N$129,0)</f>
        <v>0</v>
      </c>
      <c r="BF129" s="103">
        <f>IF($U$129="snížená",$N$129,0)</f>
        <v>0</v>
      </c>
      <c r="BG129" s="103">
        <f>IF($U$129="zákl. přenesená",$N$129,0)</f>
        <v>0</v>
      </c>
      <c r="BH129" s="103">
        <f>IF($U$129="sníž. přenesená",$N$129,0)</f>
        <v>0</v>
      </c>
      <c r="BI129" s="103">
        <f>IF($U$129="nulová",$N$129,0)</f>
        <v>0</v>
      </c>
      <c r="BJ129" s="65" t="s">
        <v>17</v>
      </c>
      <c r="BK129" s="103">
        <f>ROUND($L$129*$K$129,2)</f>
        <v>0</v>
      </c>
      <c r="BL129" s="65" t="s">
        <v>107</v>
      </c>
      <c r="BM129" s="65" t="s">
        <v>182</v>
      </c>
    </row>
    <row r="130" spans="2:65" s="7" customFormat="1" ht="16.5" customHeight="1" x14ac:dyDescent="0.3">
      <c r="B130" s="20"/>
      <c r="F130" s="160" t="s">
        <v>181</v>
      </c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20"/>
      <c r="T130" s="42"/>
      <c r="AA130" s="43"/>
      <c r="AT130" s="7" t="s">
        <v>108</v>
      </c>
      <c r="AU130" s="7" t="s">
        <v>69</v>
      </c>
    </row>
    <row r="131" spans="2:65" s="7" customFormat="1" ht="15.75" customHeight="1" x14ac:dyDescent="0.3">
      <c r="B131" s="20"/>
      <c r="C131" s="94">
        <v>45</v>
      </c>
      <c r="D131" s="94" t="s">
        <v>103</v>
      </c>
      <c r="E131" s="95" t="s">
        <v>183</v>
      </c>
      <c r="F131" s="181" t="s">
        <v>184</v>
      </c>
      <c r="G131" s="182"/>
      <c r="H131" s="182"/>
      <c r="I131" s="182"/>
      <c r="J131" s="97" t="s">
        <v>136</v>
      </c>
      <c r="K131" s="98">
        <f>K133+K135</f>
        <v>448.40500000000003</v>
      </c>
      <c r="L131" s="183"/>
      <c r="M131" s="182"/>
      <c r="N131" s="184">
        <f>ROUND($L$131*$K$131,2)</f>
        <v>0</v>
      </c>
      <c r="O131" s="182"/>
      <c r="P131" s="182"/>
      <c r="Q131" s="182"/>
      <c r="R131" s="96"/>
      <c r="S131" s="20"/>
      <c r="T131" s="99"/>
      <c r="U131" s="100" t="s">
        <v>33</v>
      </c>
      <c r="X131" s="101">
        <v>0</v>
      </c>
      <c r="Y131" s="101">
        <f>$X$131*$K$131</f>
        <v>0</v>
      </c>
      <c r="Z131" s="101">
        <v>0</v>
      </c>
      <c r="AA131" s="102">
        <f>$Z$131*$K$131</f>
        <v>0</v>
      </c>
      <c r="AR131" s="65" t="s">
        <v>107</v>
      </c>
      <c r="AT131" s="65" t="s">
        <v>103</v>
      </c>
      <c r="AU131" s="65" t="s">
        <v>69</v>
      </c>
      <c r="AY131" s="7" t="s">
        <v>102</v>
      </c>
      <c r="BE131" s="103">
        <f>IF($U$131="základní",$N$131,0)</f>
        <v>0</v>
      </c>
      <c r="BF131" s="103">
        <f>IF($U$131="snížená",$N$131,0)</f>
        <v>0</v>
      </c>
      <c r="BG131" s="103">
        <f>IF($U$131="zákl. přenesená",$N$131,0)</f>
        <v>0</v>
      </c>
      <c r="BH131" s="103">
        <f>IF($U$131="sníž. přenesená",$N$131,0)</f>
        <v>0</v>
      </c>
      <c r="BI131" s="103">
        <f>IF($U$131="nulová",$N$131,0)</f>
        <v>0</v>
      </c>
      <c r="BJ131" s="65" t="s">
        <v>17</v>
      </c>
      <c r="BK131" s="103">
        <f>ROUND($L$131*$K$131,2)</f>
        <v>0</v>
      </c>
      <c r="BL131" s="65" t="s">
        <v>107</v>
      </c>
      <c r="BM131" s="65" t="s">
        <v>185</v>
      </c>
    </row>
    <row r="132" spans="2:65" s="7" customFormat="1" ht="16.5" customHeight="1" x14ac:dyDescent="0.3">
      <c r="B132" s="20"/>
      <c r="F132" s="160" t="s">
        <v>184</v>
      </c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20"/>
      <c r="T132" s="42"/>
      <c r="AA132" s="43"/>
      <c r="AT132" s="7" t="s">
        <v>108</v>
      </c>
      <c r="AU132" s="7" t="s">
        <v>69</v>
      </c>
    </row>
    <row r="133" spans="2:65" s="7" customFormat="1" ht="27" customHeight="1" x14ac:dyDescent="0.3">
      <c r="B133" s="20"/>
      <c r="C133" s="94">
        <v>46</v>
      </c>
      <c r="D133" s="94" t="s">
        <v>103</v>
      </c>
      <c r="E133" s="95" t="s">
        <v>186</v>
      </c>
      <c r="F133" s="181" t="s">
        <v>187</v>
      </c>
      <c r="G133" s="182"/>
      <c r="H133" s="182"/>
      <c r="I133" s="182"/>
      <c r="J133" s="97" t="s">
        <v>136</v>
      </c>
      <c r="K133" s="98">
        <f>AA85</f>
        <v>0.92500000000000004</v>
      </c>
      <c r="L133" s="183"/>
      <c r="M133" s="182"/>
      <c r="N133" s="184">
        <f>ROUND($L$133*$K$133,2)</f>
        <v>0</v>
      </c>
      <c r="O133" s="182"/>
      <c r="P133" s="182"/>
      <c r="Q133" s="182"/>
      <c r="R133" s="96"/>
      <c r="S133" s="20"/>
      <c r="T133" s="99"/>
      <c r="U133" s="100" t="s">
        <v>33</v>
      </c>
      <c r="X133" s="101">
        <v>0</v>
      </c>
      <c r="Y133" s="101">
        <f>$X$133*$K$133</f>
        <v>0</v>
      </c>
      <c r="Z133" s="101">
        <v>0</v>
      </c>
      <c r="AA133" s="102">
        <f>$Z$133*$K$133</f>
        <v>0</v>
      </c>
      <c r="AR133" s="65" t="s">
        <v>107</v>
      </c>
      <c r="AT133" s="65" t="s">
        <v>103</v>
      </c>
      <c r="AU133" s="65" t="s">
        <v>69</v>
      </c>
      <c r="AY133" s="7" t="s">
        <v>102</v>
      </c>
      <c r="BE133" s="103">
        <f>IF($U$133="základní",$N$133,0)</f>
        <v>0</v>
      </c>
      <c r="BF133" s="103">
        <f>IF($U$133="snížená",$N$133,0)</f>
        <v>0</v>
      </c>
      <c r="BG133" s="103">
        <f>IF($U$133="zákl. přenesená",$N$133,0)</f>
        <v>0</v>
      </c>
      <c r="BH133" s="103">
        <f>IF($U$133="sníž. přenesená",$N$133,0)</f>
        <v>0</v>
      </c>
      <c r="BI133" s="103">
        <f>IF($U$133="nulová",$N$133,0)</f>
        <v>0</v>
      </c>
      <c r="BJ133" s="65" t="s">
        <v>17</v>
      </c>
      <c r="BK133" s="103">
        <f>ROUND($L$133*$K$133,2)</f>
        <v>0</v>
      </c>
      <c r="BL133" s="65" t="s">
        <v>107</v>
      </c>
      <c r="BM133" s="65" t="s">
        <v>188</v>
      </c>
    </row>
    <row r="134" spans="2:65" s="7" customFormat="1" ht="16.5" customHeight="1" x14ac:dyDescent="0.3">
      <c r="B134" s="20"/>
      <c r="F134" s="160" t="s">
        <v>187</v>
      </c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20"/>
      <c r="T134" s="42"/>
      <c r="AA134" s="43"/>
      <c r="AT134" s="7" t="s">
        <v>108</v>
      </c>
      <c r="AU134" s="7" t="s">
        <v>69</v>
      </c>
    </row>
    <row r="135" spans="2:65" s="7" customFormat="1" ht="27" customHeight="1" x14ac:dyDescent="0.3">
      <c r="B135" s="20"/>
      <c r="C135" s="94">
        <v>47</v>
      </c>
      <c r="D135" s="94" t="s">
        <v>103</v>
      </c>
      <c r="E135" s="95" t="s">
        <v>189</v>
      </c>
      <c r="F135" s="181" t="s">
        <v>190</v>
      </c>
      <c r="G135" s="182"/>
      <c r="H135" s="182"/>
      <c r="I135" s="182"/>
      <c r="J135" s="97" t="s">
        <v>136</v>
      </c>
      <c r="K135" s="98">
        <f>AA81+AA83</f>
        <v>447.48</v>
      </c>
      <c r="L135" s="183"/>
      <c r="M135" s="182"/>
      <c r="N135" s="184">
        <f>ROUND($L$135*$K$135,2)</f>
        <v>0</v>
      </c>
      <c r="O135" s="182"/>
      <c r="P135" s="182"/>
      <c r="Q135" s="182"/>
      <c r="R135" s="96"/>
      <c r="S135" s="20"/>
      <c r="T135" s="99"/>
      <c r="U135" s="100" t="s">
        <v>33</v>
      </c>
      <c r="X135" s="101">
        <v>0</v>
      </c>
      <c r="Y135" s="101">
        <f>$X$135*$K$135</f>
        <v>0</v>
      </c>
      <c r="Z135" s="101">
        <v>0</v>
      </c>
      <c r="AA135" s="102">
        <f>$Z$135*$K$135</f>
        <v>0</v>
      </c>
      <c r="AR135" s="65" t="s">
        <v>107</v>
      </c>
      <c r="AT135" s="65" t="s">
        <v>103</v>
      </c>
      <c r="AU135" s="65" t="s">
        <v>69</v>
      </c>
      <c r="AY135" s="7" t="s">
        <v>102</v>
      </c>
      <c r="BE135" s="103">
        <f>IF($U$135="základní",$N$135,0)</f>
        <v>0</v>
      </c>
      <c r="BF135" s="103">
        <f>IF($U$135="snížená",$N$135,0)</f>
        <v>0</v>
      </c>
      <c r="BG135" s="103">
        <f>IF($U$135="zákl. přenesená",$N$135,0)</f>
        <v>0</v>
      </c>
      <c r="BH135" s="103">
        <f>IF($U$135="sníž. přenesená",$N$135,0)</f>
        <v>0</v>
      </c>
      <c r="BI135" s="103">
        <f>IF($U$135="nulová",$N$135,0)</f>
        <v>0</v>
      </c>
      <c r="BJ135" s="65" t="s">
        <v>17</v>
      </c>
      <c r="BK135" s="103">
        <f>ROUND($L$135*$K$135,2)</f>
        <v>0</v>
      </c>
      <c r="BL135" s="65" t="s">
        <v>107</v>
      </c>
      <c r="BM135" s="65" t="s">
        <v>191</v>
      </c>
    </row>
    <row r="136" spans="2:65" s="7" customFormat="1" ht="16.5" customHeight="1" x14ac:dyDescent="0.3">
      <c r="B136" s="20"/>
      <c r="F136" s="160" t="s">
        <v>190</v>
      </c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20"/>
      <c r="T136" s="42"/>
      <c r="AA136" s="43"/>
      <c r="AT136" s="7" t="s">
        <v>108</v>
      </c>
      <c r="AU136" s="7" t="s">
        <v>69</v>
      </c>
    </row>
    <row r="137" spans="2:65" s="7" customFormat="1" ht="16.5" customHeight="1" x14ac:dyDescent="0.3">
      <c r="B137" s="20"/>
      <c r="F137" s="196" t="s">
        <v>241</v>
      </c>
      <c r="G137" s="197"/>
      <c r="H137" s="197"/>
      <c r="I137" s="197"/>
      <c r="J137" s="197"/>
      <c r="K137" s="197"/>
      <c r="L137" s="197"/>
      <c r="M137" s="197"/>
      <c r="N137" s="197"/>
      <c r="O137" s="197"/>
      <c r="P137" s="197"/>
      <c r="Q137" s="197"/>
      <c r="R137" s="197"/>
      <c r="S137" s="20"/>
      <c r="T137" s="42"/>
      <c r="AA137" s="43"/>
    </row>
    <row r="138" spans="2:65" s="7" customFormat="1" ht="15.75" customHeight="1" x14ac:dyDescent="0.3">
      <c r="B138" s="20"/>
      <c r="C138" s="94">
        <v>49</v>
      </c>
      <c r="D138" s="94" t="s">
        <v>103</v>
      </c>
      <c r="E138" s="95" t="s">
        <v>192</v>
      </c>
      <c r="F138" s="181" t="s">
        <v>193</v>
      </c>
      <c r="G138" s="182"/>
      <c r="H138" s="182"/>
      <c r="I138" s="182"/>
      <c r="J138" s="97" t="s">
        <v>117</v>
      </c>
      <c r="K138" s="98">
        <v>25</v>
      </c>
      <c r="L138" s="183"/>
      <c r="M138" s="182"/>
      <c r="N138" s="184">
        <f>ROUND($L$138*$K$138,2)</f>
        <v>0</v>
      </c>
      <c r="O138" s="182"/>
      <c r="P138" s="182"/>
      <c r="Q138" s="182"/>
      <c r="R138" s="96"/>
      <c r="S138" s="20"/>
      <c r="T138" s="99"/>
      <c r="U138" s="100" t="s">
        <v>33</v>
      </c>
      <c r="X138" s="101">
        <v>1.925E-2</v>
      </c>
      <c r="Y138" s="101">
        <f>$X$138*$K$138</f>
        <v>0.48125000000000001</v>
      </c>
      <c r="Z138" s="101">
        <v>0</v>
      </c>
      <c r="AA138" s="102">
        <f>$Z$138*$K$138</f>
        <v>0</v>
      </c>
      <c r="AR138" s="65" t="s">
        <v>107</v>
      </c>
      <c r="AT138" s="65" t="s">
        <v>103</v>
      </c>
      <c r="AU138" s="65" t="s">
        <v>69</v>
      </c>
      <c r="AY138" s="7" t="s">
        <v>102</v>
      </c>
      <c r="BE138" s="103">
        <f>IF($U$138="základní",$N$138,0)</f>
        <v>0</v>
      </c>
      <c r="BF138" s="103">
        <f>IF($U$138="snížená",$N$138,0)</f>
        <v>0</v>
      </c>
      <c r="BG138" s="103">
        <f>IF($U$138="zákl. přenesená",$N$138,0)</f>
        <v>0</v>
      </c>
      <c r="BH138" s="103">
        <f>IF($U$138="sníž. přenesená",$N$138,0)</f>
        <v>0</v>
      </c>
      <c r="BI138" s="103">
        <f>IF($U$138="nulová",$N$138,0)</f>
        <v>0</v>
      </c>
      <c r="BJ138" s="65" t="s">
        <v>17</v>
      </c>
      <c r="BK138" s="103">
        <f>ROUND($L$138*$K$138,2)</f>
        <v>0</v>
      </c>
      <c r="BL138" s="65" t="s">
        <v>107</v>
      </c>
      <c r="BM138" s="65" t="s">
        <v>194</v>
      </c>
    </row>
    <row r="139" spans="2:65" s="7" customFormat="1" ht="16.5" customHeight="1" x14ac:dyDescent="0.3">
      <c r="B139" s="20"/>
      <c r="F139" s="160" t="s">
        <v>193</v>
      </c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20"/>
      <c r="T139" s="42"/>
      <c r="AA139" s="43"/>
      <c r="AT139" s="7" t="s">
        <v>108</v>
      </c>
      <c r="AU139" s="7" t="s">
        <v>69</v>
      </c>
    </row>
    <row r="140" spans="2:65" s="7" customFormat="1" ht="39" customHeight="1" x14ac:dyDescent="0.3">
      <c r="B140" s="20"/>
      <c r="C140" s="94">
        <v>50</v>
      </c>
      <c r="D140" s="94" t="s">
        <v>103</v>
      </c>
      <c r="E140" s="95" t="s">
        <v>195</v>
      </c>
      <c r="F140" s="181" t="s">
        <v>196</v>
      </c>
      <c r="G140" s="182"/>
      <c r="H140" s="182"/>
      <c r="I140" s="182"/>
      <c r="J140" s="97" t="s">
        <v>117</v>
      </c>
      <c r="K140" s="98">
        <f>17.5+38+26+22.5+26+26+(2.5*2)</f>
        <v>161</v>
      </c>
      <c r="L140" s="183"/>
      <c r="M140" s="182"/>
      <c r="N140" s="184">
        <f>ROUND($L$140*$K$140,2)</f>
        <v>0</v>
      </c>
      <c r="O140" s="182"/>
      <c r="P140" s="182"/>
      <c r="Q140" s="182"/>
      <c r="R140" s="96"/>
      <c r="S140" s="20"/>
      <c r="T140" s="99"/>
      <c r="U140" s="100" t="s">
        <v>33</v>
      </c>
      <c r="X140" s="101">
        <v>0.15540000000000001</v>
      </c>
      <c r="Y140" s="101">
        <f>$X$140*$K$140</f>
        <v>25.019400000000001</v>
      </c>
      <c r="Z140" s="101">
        <v>0</v>
      </c>
      <c r="AA140" s="102">
        <f>$Z$140*$K$140</f>
        <v>0</v>
      </c>
      <c r="AR140" s="65" t="s">
        <v>107</v>
      </c>
      <c r="AT140" s="65" t="s">
        <v>103</v>
      </c>
      <c r="AU140" s="65" t="s">
        <v>69</v>
      </c>
      <c r="AY140" s="7" t="s">
        <v>102</v>
      </c>
      <c r="BE140" s="103">
        <f>IF($U$140="základní",$N$140,0)</f>
        <v>0</v>
      </c>
      <c r="BF140" s="103">
        <f>IF($U$140="snížená",$N$140,0)</f>
        <v>0</v>
      </c>
      <c r="BG140" s="103">
        <f>IF($U$140="zákl. přenesená",$N$140,0)</f>
        <v>0</v>
      </c>
      <c r="BH140" s="103">
        <f>IF($U$140="sníž. přenesená",$N$140,0)</f>
        <v>0</v>
      </c>
      <c r="BI140" s="103">
        <f>IF($U$140="nulová",$N$140,0)</f>
        <v>0</v>
      </c>
      <c r="BJ140" s="65" t="s">
        <v>17</v>
      </c>
      <c r="BK140" s="103">
        <f>ROUND($L$140*$K$140,2)</f>
        <v>0</v>
      </c>
      <c r="BL140" s="65" t="s">
        <v>107</v>
      </c>
      <c r="BM140" s="65" t="s">
        <v>197</v>
      </c>
    </row>
    <row r="141" spans="2:65" s="7" customFormat="1" ht="27" customHeight="1" x14ac:dyDescent="0.3">
      <c r="B141" s="20"/>
      <c r="F141" s="160" t="s">
        <v>198</v>
      </c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20"/>
      <c r="T141" s="42"/>
      <c r="AA141" s="43"/>
      <c r="AT141" s="7" t="s">
        <v>108</v>
      </c>
      <c r="AU141" s="7" t="s">
        <v>69</v>
      </c>
    </row>
    <row r="142" spans="2:65" s="7" customFormat="1" ht="15.75" customHeight="1" x14ac:dyDescent="0.3">
      <c r="B142" s="20"/>
      <c r="C142" s="94">
        <v>51</v>
      </c>
      <c r="D142" s="94" t="s">
        <v>103</v>
      </c>
      <c r="E142" s="95" t="s">
        <v>199</v>
      </c>
      <c r="F142" s="181" t="s">
        <v>200</v>
      </c>
      <c r="G142" s="182"/>
      <c r="H142" s="182"/>
      <c r="I142" s="182"/>
      <c r="J142" s="97" t="s">
        <v>138</v>
      </c>
      <c r="K142" s="98">
        <f>K144</f>
        <v>31.93</v>
      </c>
      <c r="L142" s="183"/>
      <c r="M142" s="182"/>
      <c r="N142" s="184">
        <f>ROUND($L$142*$K$142,2)</f>
        <v>0</v>
      </c>
      <c r="O142" s="182"/>
      <c r="P142" s="182"/>
      <c r="Q142" s="182"/>
      <c r="R142" s="96"/>
      <c r="S142" s="20"/>
      <c r="T142" s="99"/>
      <c r="U142" s="100" t="s">
        <v>33</v>
      </c>
      <c r="X142" s="101">
        <v>0.08</v>
      </c>
      <c r="Y142" s="101">
        <f>$X$142*$K$142</f>
        <v>2.5544000000000002</v>
      </c>
      <c r="Z142" s="101">
        <v>0</v>
      </c>
      <c r="AA142" s="102">
        <f>$Z$142*$K$142</f>
        <v>0</v>
      </c>
      <c r="AR142" s="65" t="s">
        <v>107</v>
      </c>
      <c r="AT142" s="65" t="s">
        <v>103</v>
      </c>
      <c r="AU142" s="65" t="s">
        <v>69</v>
      </c>
      <c r="AY142" s="7" t="s">
        <v>102</v>
      </c>
      <c r="BE142" s="103">
        <f>IF($U$142="základní",$N$142,0)</f>
        <v>0</v>
      </c>
      <c r="BF142" s="103">
        <f>IF($U$142="snížená",$N$142,0)</f>
        <v>0</v>
      </c>
      <c r="BG142" s="103">
        <f>IF($U$142="zákl. přenesená",$N$142,0)</f>
        <v>0</v>
      </c>
      <c r="BH142" s="103">
        <f>IF($U$142="sníž. přenesená",$N$142,0)</f>
        <v>0</v>
      </c>
      <c r="BI142" s="103">
        <f>IF($U$142="nulová",$N$142,0)</f>
        <v>0</v>
      </c>
      <c r="BJ142" s="65" t="s">
        <v>17</v>
      </c>
      <c r="BK142" s="103">
        <f>ROUND($L$142*$K$142,2)</f>
        <v>0</v>
      </c>
      <c r="BL142" s="65" t="s">
        <v>107</v>
      </c>
      <c r="BM142" s="65" t="s">
        <v>201</v>
      </c>
    </row>
    <row r="143" spans="2:65" s="7" customFormat="1" ht="16.5" customHeight="1" x14ac:dyDescent="0.3">
      <c r="B143" s="20"/>
      <c r="F143" s="160" t="s">
        <v>200</v>
      </c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20"/>
      <c r="T143" s="42"/>
      <c r="AA143" s="43"/>
      <c r="AT143" s="7" t="s">
        <v>108</v>
      </c>
      <c r="AU143" s="7" t="s">
        <v>69</v>
      </c>
    </row>
    <row r="144" spans="2:65" s="7" customFormat="1" ht="15.75" customHeight="1" x14ac:dyDescent="0.3">
      <c r="B144" s="104"/>
      <c r="E144" s="105"/>
      <c r="F144" s="188" t="s">
        <v>233</v>
      </c>
      <c r="G144" s="189"/>
      <c r="H144" s="189"/>
      <c r="I144" s="189"/>
      <c r="K144" s="106">
        <f>31*1.03</f>
        <v>31.93</v>
      </c>
      <c r="S144" s="104"/>
      <c r="T144" s="107"/>
      <c r="AA144" s="108"/>
      <c r="AT144" s="105" t="s">
        <v>109</v>
      </c>
      <c r="AU144" s="105" t="s">
        <v>69</v>
      </c>
      <c r="AV144" s="105" t="s">
        <v>69</v>
      </c>
      <c r="AW144" s="105" t="s">
        <v>78</v>
      </c>
      <c r="AX144" s="105" t="s">
        <v>63</v>
      </c>
      <c r="AY144" s="105" t="s">
        <v>102</v>
      </c>
    </row>
    <row r="145" spans="2:65" s="7" customFormat="1" ht="27" customHeight="1" x14ac:dyDescent="0.3">
      <c r="B145" s="20"/>
      <c r="C145" s="94">
        <v>52</v>
      </c>
      <c r="D145" s="94" t="s">
        <v>103</v>
      </c>
      <c r="E145" s="95" t="s">
        <v>202</v>
      </c>
      <c r="F145" s="181" t="s">
        <v>203</v>
      </c>
      <c r="G145" s="182"/>
      <c r="H145" s="182"/>
      <c r="I145" s="182"/>
      <c r="J145" s="97" t="s">
        <v>138</v>
      </c>
      <c r="K145" s="98">
        <f>K147</f>
        <v>133.9</v>
      </c>
      <c r="L145" s="183"/>
      <c r="M145" s="182"/>
      <c r="N145" s="184">
        <f>ROUND($L$145*$K$145,2)</f>
        <v>0</v>
      </c>
      <c r="O145" s="182"/>
      <c r="P145" s="182"/>
      <c r="Q145" s="182"/>
      <c r="R145" s="96"/>
      <c r="S145" s="20"/>
      <c r="T145" s="99"/>
      <c r="U145" s="100" t="s">
        <v>33</v>
      </c>
      <c r="X145" s="101">
        <v>4.8300000000000003E-2</v>
      </c>
      <c r="Y145" s="101">
        <f>$X$145*$K$145</f>
        <v>6.4673700000000007</v>
      </c>
      <c r="Z145" s="101">
        <v>0</v>
      </c>
      <c r="AA145" s="102">
        <f>$Z$145*$K$145</f>
        <v>0</v>
      </c>
      <c r="AR145" s="65" t="s">
        <v>107</v>
      </c>
      <c r="AT145" s="65" t="s">
        <v>103</v>
      </c>
      <c r="AU145" s="65" t="s">
        <v>69</v>
      </c>
      <c r="AY145" s="7" t="s">
        <v>102</v>
      </c>
      <c r="BE145" s="103">
        <f>IF($U$145="základní",$N$145,0)</f>
        <v>0</v>
      </c>
      <c r="BF145" s="103">
        <f>IF($U$145="snížená",$N$145,0)</f>
        <v>0</v>
      </c>
      <c r="BG145" s="103">
        <f>IF($U$145="zákl. přenesená",$N$145,0)</f>
        <v>0</v>
      </c>
      <c r="BH145" s="103">
        <f>IF($U$145="sníž. přenesená",$N$145,0)</f>
        <v>0</v>
      </c>
      <c r="BI145" s="103">
        <f>IF($U$145="nulová",$N$145,0)</f>
        <v>0</v>
      </c>
      <c r="BJ145" s="65" t="s">
        <v>17</v>
      </c>
      <c r="BK145" s="103">
        <f>ROUND($L$145*$K$145,2)</f>
        <v>0</v>
      </c>
      <c r="BL145" s="65" t="s">
        <v>107</v>
      </c>
      <c r="BM145" s="65" t="s">
        <v>204</v>
      </c>
    </row>
    <row r="146" spans="2:65" s="7" customFormat="1" ht="16.5" customHeight="1" x14ac:dyDescent="0.3">
      <c r="B146" s="20"/>
      <c r="F146" s="160" t="s">
        <v>203</v>
      </c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20"/>
      <c r="T146" s="42"/>
      <c r="AA146" s="43"/>
      <c r="AT146" s="7" t="s">
        <v>108</v>
      </c>
      <c r="AU146" s="7" t="s">
        <v>69</v>
      </c>
    </row>
    <row r="147" spans="2:65" s="7" customFormat="1" ht="15.75" customHeight="1" x14ac:dyDescent="0.3">
      <c r="B147" s="104"/>
      <c r="E147" s="105"/>
      <c r="F147" s="188" t="s">
        <v>232</v>
      </c>
      <c r="G147" s="189"/>
      <c r="H147" s="189"/>
      <c r="I147" s="189"/>
      <c r="K147" s="106">
        <f>130*1.03</f>
        <v>133.9</v>
      </c>
      <c r="S147" s="104"/>
      <c r="T147" s="107"/>
      <c r="AA147" s="108"/>
      <c r="AT147" s="105" t="s">
        <v>109</v>
      </c>
      <c r="AU147" s="105" t="s">
        <v>69</v>
      </c>
      <c r="AV147" s="105" t="s">
        <v>69</v>
      </c>
      <c r="AW147" s="105" t="s">
        <v>78</v>
      </c>
      <c r="AX147" s="105" t="s">
        <v>63</v>
      </c>
      <c r="AY147" s="105" t="s">
        <v>102</v>
      </c>
    </row>
    <row r="148" spans="2:65" s="7" customFormat="1" ht="39" customHeight="1" x14ac:dyDescent="0.3">
      <c r="B148" s="20"/>
      <c r="C148" s="94">
        <v>53</v>
      </c>
      <c r="D148" s="94" t="s">
        <v>103</v>
      </c>
      <c r="E148" s="95" t="s">
        <v>234</v>
      </c>
      <c r="F148" s="181" t="s">
        <v>231</v>
      </c>
      <c r="G148" s="182"/>
      <c r="H148" s="182"/>
      <c r="I148" s="182"/>
      <c r="J148" s="97" t="s">
        <v>117</v>
      </c>
      <c r="K148" s="98">
        <f>(38+22.5+2.5+2.5)</f>
        <v>65.5</v>
      </c>
      <c r="L148" s="183"/>
      <c r="M148" s="182"/>
      <c r="N148" s="184">
        <f>ROUND($L$148*$K$148,2)</f>
        <v>0</v>
      </c>
      <c r="O148" s="182"/>
      <c r="P148" s="182"/>
      <c r="Q148" s="182"/>
      <c r="R148" s="96"/>
      <c r="S148" s="20"/>
      <c r="T148" s="99"/>
      <c r="U148" s="100" t="s">
        <v>33</v>
      </c>
      <c r="X148" s="101">
        <v>8.2659999999999997E-2</v>
      </c>
      <c r="Y148" s="101">
        <f>$X$148*$K$148</f>
        <v>5.4142299999999999</v>
      </c>
      <c r="Z148" s="101">
        <v>0</v>
      </c>
      <c r="AA148" s="102">
        <f>$Z$148*$K$148</f>
        <v>0</v>
      </c>
      <c r="AR148" s="65" t="s">
        <v>107</v>
      </c>
      <c r="AT148" s="65" t="s">
        <v>103</v>
      </c>
      <c r="AU148" s="65" t="s">
        <v>69</v>
      </c>
      <c r="AY148" s="7" t="s">
        <v>102</v>
      </c>
      <c r="BE148" s="103">
        <f>IF($U$148="základní",$N$148,0)</f>
        <v>0</v>
      </c>
      <c r="BF148" s="103">
        <f>IF($U$148="snížená",$N$148,0)</f>
        <v>0</v>
      </c>
      <c r="BG148" s="103">
        <f>IF($U$148="zákl. přenesená",$N$148,0)</f>
        <v>0</v>
      </c>
      <c r="BH148" s="103">
        <f>IF($U$148="sníž. přenesená",$N$148,0)</f>
        <v>0</v>
      </c>
      <c r="BI148" s="103">
        <f>IF($U$148="nulová",$N$148,0)</f>
        <v>0</v>
      </c>
      <c r="BJ148" s="65" t="s">
        <v>17</v>
      </c>
      <c r="BK148" s="103">
        <f>ROUND($L$148*$K$148,2)</f>
        <v>0</v>
      </c>
      <c r="BL148" s="65" t="s">
        <v>107</v>
      </c>
      <c r="BM148" s="65" t="s">
        <v>205</v>
      </c>
    </row>
    <row r="149" spans="2:65" s="7" customFormat="1" ht="13.5" x14ac:dyDescent="0.3">
      <c r="B149" s="20"/>
      <c r="F149" s="160" t="s">
        <v>235</v>
      </c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20"/>
      <c r="T149" s="42"/>
      <c r="AA149" s="43"/>
      <c r="AT149" s="7" t="s">
        <v>108</v>
      </c>
      <c r="AU149" s="7" t="s">
        <v>69</v>
      </c>
    </row>
    <row r="150" spans="2:65" s="7" customFormat="1" ht="29.25" customHeight="1" x14ac:dyDescent="0.3">
      <c r="B150" s="20"/>
      <c r="C150" s="94">
        <v>54</v>
      </c>
      <c r="D150" s="94" t="s">
        <v>103</v>
      </c>
      <c r="E150" s="95" t="s">
        <v>236</v>
      </c>
      <c r="F150" s="181" t="s">
        <v>237</v>
      </c>
      <c r="G150" s="182"/>
      <c r="H150" s="182"/>
      <c r="I150" s="182"/>
      <c r="J150" s="97" t="s">
        <v>138</v>
      </c>
      <c r="K150" s="98">
        <f>65.5/0.2*1.03</f>
        <v>337.32499999999999</v>
      </c>
      <c r="L150" s="183"/>
      <c r="M150" s="182"/>
      <c r="N150" s="184">
        <f>ROUND($L$150*$K$150,2)</f>
        <v>0</v>
      </c>
      <c r="O150" s="182"/>
      <c r="P150" s="182"/>
      <c r="Q150" s="182"/>
      <c r="R150" s="96"/>
      <c r="S150" s="20"/>
      <c r="T150" s="99"/>
      <c r="U150" s="100" t="s">
        <v>33</v>
      </c>
      <c r="X150" s="101">
        <v>0.10050000000000001</v>
      </c>
      <c r="Y150" s="101">
        <f>$X$150*$K$150</f>
        <v>33.901162499999998</v>
      </c>
      <c r="Z150" s="101">
        <v>0</v>
      </c>
      <c r="AA150" s="102">
        <f>$Z$150*$K$150</f>
        <v>0</v>
      </c>
      <c r="AR150" s="65" t="s">
        <v>107</v>
      </c>
      <c r="AT150" s="65" t="s">
        <v>103</v>
      </c>
      <c r="AU150" s="65" t="s">
        <v>69</v>
      </c>
      <c r="AY150" s="7" t="s">
        <v>102</v>
      </c>
      <c r="BE150" s="103">
        <f>IF($U$150="základní",$N$150,0)</f>
        <v>0</v>
      </c>
      <c r="BF150" s="103">
        <f>IF($U$150="snížená",$N$150,0)</f>
        <v>0</v>
      </c>
      <c r="BG150" s="103">
        <f>IF($U$150="zákl. přenesená",$N$150,0)</f>
        <v>0</v>
      </c>
      <c r="BH150" s="103">
        <f>IF($U$150="sníž. přenesená",$N$150,0)</f>
        <v>0</v>
      </c>
      <c r="BI150" s="103">
        <f>IF($U$150="nulová",$N$150,0)</f>
        <v>0</v>
      </c>
      <c r="BJ150" s="65" t="s">
        <v>17</v>
      </c>
      <c r="BK150" s="103">
        <f>ROUND($L$150*$K$150,2)</f>
        <v>0</v>
      </c>
      <c r="BL150" s="65" t="s">
        <v>107</v>
      </c>
      <c r="BM150" s="65" t="s">
        <v>206</v>
      </c>
    </row>
    <row r="151" spans="2:65" s="7" customFormat="1" ht="16.5" customHeight="1" x14ac:dyDescent="0.3">
      <c r="B151" s="20"/>
      <c r="F151" s="160" t="s">
        <v>238</v>
      </c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20"/>
      <c r="T151" s="42"/>
      <c r="AA151" s="43"/>
      <c r="AT151" s="7" t="s">
        <v>108</v>
      </c>
      <c r="AU151" s="7" t="s">
        <v>69</v>
      </c>
    </row>
    <row r="152" spans="2:65" s="85" customFormat="1" ht="30.75" customHeight="1" x14ac:dyDescent="0.3">
      <c r="B152" s="86"/>
      <c r="D152" s="93" t="s">
        <v>84</v>
      </c>
      <c r="N152" s="185">
        <f>$BK$152</f>
        <v>0</v>
      </c>
      <c r="O152" s="186"/>
      <c r="P152" s="186"/>
      <c r="Q152" s="186"/>
      <c r="S152" s="86"/>
      <c r="T152" s="89"/>
      <c r="W152" s="90">
        <f>SUM($W$153:$W$154)</f>
        <v>0</v>
      </c>
      <c r="Y152" s="90">
        <f>SUM($Y$153:$Y$154)</f>
        <v>0</v>
      </c>
      <c r="AA152" s="91">
        <f>SUM($AA$153:$AA$154)</f>
        <v>0</v>
      </c>
      <c r="AR152" s="88" t="s">
        <v>17</v>
      </c>
      <c r="AT152" s="88" t="s">
        <v>62</v>
      </c>
      <c r="AU152" s="88" t="s">
        <v>17</v>
      </c>
      <c r="AY152" s="88" t="s">
        <v>102</v>
      </c>
      <c r="BK152" s="92">
        <f>SUM($BK$153:$BK$154)</f>
        <v>0</v>
      </c>
    </row>
    <row r="153" spans="2:65" s="7" customFormat="1" ht="39" customHeight="1" x14ac:dyDescent="0.3">
      <c r="B153" s="20"/>
      <c r="C153" s="94">
        <v>56</v>
      </c>
      <c r="D153" s="94" t="s">
        <v>103</v>
      </c>
      <c r="E153" s="95" t="s">
        <v>207</v>
      </c>
      <c r="F153" s="181" t="s">
        <v>208</v>
      </c>
      <c r="G153" s="182"/>
      <c r="H153" s="182"/>
      <c r="I153" s="182"/>
      <c r="J153" s="97" t="s">
        <v>136</v>
      </c>
      <c r="K153" s="98">
        <v>1123.2157299999999</v>
      </c>
      <c r="L153" s="183"/>
      <c r="M153" s="182"/>
      <c r="N153" s="184">
        <f>ROUND($L$153*$K$153,2)</f>
        <v>0</v>
      </c>
      <c r="O153" s="182"/>
      <c r="P153" s="182"/>
      <c r="Q153" s="182"/>
      <c r="R153" s="96"/>
      <c r="S153" s="20"/>
      <c r="T153" s="99"/>
      <c r="U153" s="100" t="s">
        <v>33</v>
      </c>
      <c r="X153" s="101">
        <v>0</v>
      </c>
      <c r="Y153" s="101">
        <f>$X$153*$K$153</f>
        <v>0</v>
      </c>
      <c r="Z153" s="101">
        <v>0</v>
      </c>
      <c r="AA153" s="102">
        <f>$Z$153*$K$153</f>
        <v>0</v>
      </c>
      <c r="AR153" s="65" t="s">
        <v>107</v>
      </c>
      <c r="AT153" s="65" t="s">
        <v>103</v>
      </c>
      <c r="AU153" s="65" t="s">
        <v>69</v>
      </c>
      <c r="AY153" s="7" t="s">
        <v>102</v>
      </c>
      <c r="BE153" s="103">
        <f>IF($U$153="základní",$N$153,0)</f>
        <v>0</v>
      </c>
      <c r="BF153" s="103">
        <f>IF($U$153="snížená",$N$153,0)</f>
        <v>0</v>
      </c>
      <c r="BG153" s="103">
        <f>IF($U$153="zákl. přenesená",$N$153,0)</f>
        <v>0</v>
      </c>
      <c r="BH153" s="103">
        <f>IF($U$153="sníž. přenesená",$N$153,0)</f>
        <v>0</v>
      </c>
      <c r="BI153" s="103">
        <f>IF($U$153="nulová",$N$153,0)</f>
        <v>0</v>
      </c>
      <c r="BJ153" s="65" t="s">
        <v>17</v>
      </c>
      <c r="BK153" s="103">
        <f>ROUND($L$153*$K$153,2)</f>
        <v>0</v>
      </c>
      <c r="BL153" s="65" t="s">
        <v>107</v>
      </c>
      <c r="BM153" s="65" t="s">
        <v>209</v>
      </c>
    </row>
    <row r="154" spans="2:65" s="7" customFormat="1" ht="27" customHeight="1" x14ac:dyDescent="0.3">
      <c r="B154" s="20"/>
      <c r="F154" s="160" t="s">
        <v>210</v>
      </c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20"/>
      <c r="T154" s="42"/>
      <c r="AA154" s="43"/>
      <c r="AT154" s="7" t="s">
        <v>108</v>
      </c>
      <c r="AU154" s="7" t="s">
        <v>69</v>
      </c>
    </row>
    <row r="155" spans="2:65" s="85" customFormat="1" ht="30.75" customHeight="1" x14ac:dyDescent="0.3">
      <c r="B155" s="86"/>
      <c r="D155" s="93" t="s">
        <v>85</v>
      </c>
      <c r="N155" s="185">
        <f>$BK$155</f>
        <v>0</v>
      </c>
      <c r="O155" s="186"/>
      <c r="P155" s="186"/>
      <c r="Q155" s="186"/>
      <c r="S155" s="86"/>
      <c r="T155" s="89"/>
      <c r="W155" s="90">
        <f>SUM($W$156:$W$157)</f>
        <v>0</v>
      </c>
      <c r="Y155" s="90">
        <f>SUM($Y$156:$Y$157)</f>
        <v>0</v>
      </c>
      <c r="AA155" s="91">
        <f>SUM($AA$156:$AA$157)</f>
        <v>0</v>
      </c>
      <c r="AR155" s="88" t="s">
        <v>17</v>
      </c>
      <c r="AT155" s="88" t="s">
        <v>62</v>
      </c>
      <c r="AU155" s="88" t="s">
        <v>17</v>
      </c>
      <c r="AY155" s="88" t="s">
        <v>102</v>
      </c>
      <c r="BK155" s="92">
        <f>SUM($BK$156:$BK$157)</f>
        <v>0</v>
      </c>
    </row>
    <row r="156" spans="2:65" s="7" customFormat="1" ht="15.75" customHeight="1" x14ac:dyDescent="0.3">
      <c r="B156" s="20"/>
      <c r="C156" s="94">
        <v>57</v>
      </c>
      <c r="D156" s="94" t="s">
        <v>103</v>
      </c>
      <c r="E156" s="95" t="s">
        <v>211</v>
      </c>
      <c r="F156" s="187" t="s">
        <v>242</v>
      </c>
      <c r="G156" s="182"/>
      <c r="H156" s="182"/>
      <c r="I156" s="182"/>
      <c r="J156" s="97" t="s">
        <v>147</v>
      </c>
      <c r="K156" s="98">
        <v>1</v>
      </c>
      <c r="L156" s="183"/>
      <c r="M156" s="182"/>
      <c r="N156" s="184">
        <f>ROUND($L$156*$K$156,2)</f>
        <v>0</v>
      </c>
      <c r="O156" s="182"/>
      <c r="P156" s="182"/>
      <c r="Q156" s="182"/>
      <c r="R156" s="96"/>
      <c r="S156" s="20"/>
      <c r="T156" s="99"/>
      <c r="U156" s="100" t="s">
        <v>33</v>
      </c>
      <c r="X156" s="101">
        <v>0</v>
      </c>
      <c r="Y156" s="101">
        <f>$X$156*$K$156</f>
        <v>0</v>
      </c>
      <c r="Z156" s="101">
        <v>0</v>
      </c>
      <c r="AA156" s="102">
        <f>$Z$156*$K$156</f>
        <v>0</v>
      </c>
      <c r="AR156" s="65" t="s">
        <v>107</v>
      </c>
      <c r="AT156" s="65" t="s">
        <v>103</v>
      </c>
      <c r="AU156" s="65" t="s">
        <v>69</v>
      </c>
      <c r="AY156" s="7" t="s">
        <v>102</v>
      </c>
      <c r="BE156" s="103">
        <f>IF($U$156="základní",$N$156,0)</f>
        <v>0</v>
      </c>
      <c r="BF156" s="103">
        <f>IF($U$156="snížená",$N$156,0)</f>
        <v>0</v>
      </c>
      <c r="BG156" s="103">
        <f>IF($U$156="zákl. přenesená",$N$156,0)</f>
        <v>0</v>
      </c>
      <c r="BH156" s="103">
        <f>IF($U$156="sníž. přenesená",$N$156,0)</f>
        <v>0</v>
      </c>
      <c r="BI156" s="103">
        <f>IF($U$156="nulová",$N$156,0)</f>
        <v>0</v>
      </c>
      <c r="BJ156" s="65" t="s">
        <v>17</v>
      </c>
      <c r="BK156" s="103">
        <f>ROUND($L$156*$K$156,2)</f>
        <v>0</v>
      </c>
      <c r="BL156" s="65" t="s">
        <v>107</v>
      </c>
      <c r="BM156" s="65" t="s">
        <v>212</v>
      </c>
    </row>
    <row r="157" spans="2:65" s="7" customFormat="1" ht="16.5" customHeight="1" x14ac:dyDescent="0.3">
      <c r="B157" s="20"/>
      <c r="F157" s="160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20"/>
      <c r="T157" s="42"/>
      <c r="AA157" s="43"/>
      <c r="AT157" s="7" t="s">
        <v>108</v>
      </c>
      <c r="AU157" s="7" t="s">
        <v>69</v>
      </c>
    </row>
    <row r="158" spans="2:65" s="85" customFormat="1" ht="30.75" customHeight="1" x14ac:dyDescent="0.3">
      <c r="B158" s="86"/>
      <c r="D158" s="93" t="s">
        <v>86</v>
      </c>
      <c r="N158" s="185">
        <f>$BK$158</f>
        <v>0</v>
      </c>
      <c r="O158" s="186"/>
      <c r="P158" s="186"/>
      <c r="Q158" s="186"/>
      <c r="S158" s="86"/>
      <c r="T158" s="89"/>
      <c r="W158" s="90">
        <f>SUM($W$159:$W$162)</f>
        <v>0</v>
      </c>
      <c r="Y158" s="90">
        <f>SUM($Y$159:$Y$162)</f>
        <v>0</v>
      </c>
      <c r="AA158" s="91">
        <f>SUM($AA$159:$AA$162)</f>
        <v>0</v>
      </c>
      <c r="AR158" s="88" t="s">
        <v>17</v>
      </c>
      <c r="AT158" s="88" t="s">
        <v>62</v>
      </c>
      <c r="AU158" s="88" t="s">
        <v>17</v>
      </c>
      <c r="AY158" s="88" t="s">
        <v>102</v>
      </c>
      <c r="BK158" s="92">
        <f>SUM($BK$159:$BK$162)</f>
        <v>0</v>
      </c>
    </row>
    <row r="159" spans="2:65" s="7" customFormat="1" ht="15.75" customHeight="1" x14ac:dyDescent="0.3">
      <c r="B159" s="20"/>
      <c r="C159" s="94">
        <v>58</v>
      </c>
      <c r="D159" s="94" t="s">
        <v>103</v>
      </c>
      <c r="E159" s="95" t="s">
        <v>213</v>
      </c>
      <c r="F159" s="181" t="s">
        <v>214</v>
      </c>
      <c r="G159" s="182"/>
      <c r="H159" s="182"/>
      <c r="I159" s="182"/>
      <c r="J159" s="97" t="s">
        <v>215</v>
      </c>
      <c r="K159" s="98">
        <v>4</v>
      </c>
      <c r="L159" s="183"/>
      <c r="M159" s="182"/>
      <c r="N159" s="184">
        <f>ROUND($L$159*$K$159,2)</f>
        <v>0</v>
      </c>
      <c r="O159" s="182"/>
      <c r="P159" s="182"/>
      <c r="Q159" s="182"/>
      <c r="R159" s="96"/>
      <c r="S159" s="20"/>
      <c r="T159" s="99"/>
      <c r="U159" s="100" t="s">
        <v>33</v>
      </c>
      <c r="X159" s="101">
        <v>0</v>
      </c>
      <c r="Y159" s="101">
        <f>$X$159*$K$159</f>
        <v>0</v>
      </c>
      <c r="Z159" s="101">
        <v>0</v>
      </c>
      <c r="AA159" s="102">
        <f>$Z$159*$K$159</f>
        <v>0</v>
      </c>
      <c r="AR159" s="65" t="s">
        <v>107</v>
      </c>
      <c r="AT159" s="65" t="s">
        <v>103</v>
      </c>
      <c r="AU159" s="65" t="s">
        <v>69</v>
      </c>
      <c r="AY159" s="7" t="s">
        <v>102</v>
      </c>
      <c r="BE159" s="103">
        <f>IF($U$159="základní",$N$159,0)</f>
        <v>0</v>
      </c>
      <c r="BF159" s="103">
        <f>IF($U$159="snížená",$N$159,0)</f>
        <v>0</v>
      </c>
      <c r="BG159" s="103">
        <f>IF($U$159="zákl. přenesená",$N$159,0)</f>
        <v>0</v>
      </c>
      <c r="BH159" s="103">
        <f>IF($U$159="sníž. přenesená",$N$159,0)</f>
        <v>0</v>
      </c>
      <c r="BI159" s="103">
        <f>IF($U$159="nulová",$N$159,0)</f>
        <v>0</v>
      </c>
      <c r="BJ159" s="65" t="s">
        <v>17</v>
      </c>
      <c r="BK159" s="103">
        <f>ROUND($L$159*$K$159,2)</f>
        <v>0</v>
      </c>
      <c r="BL159" s="65" t="s">
        <v>107</v>
      </c>
      <c r="BM159" s="65" t="s">
        <v>216</v>
      </c>
    </row>
    <row r="160" spans="2:65" s="7" customFormat="1" ht="16.5" customHeight="1" x14ac:dyDescent="0.3">
      <c r="B160" s="20"/>
      <c r="F160" s="160" t="s">
        <v>214</v>
      </c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20"/>
      <c r="T160" s="42"/>
      <c r="AA160" s="43"/>
      <c r="AT160" s="7" t="s">
        <v>108</v>
      </c>
      <c r="AU160" s="7" t="s">
        <v>69</v>
      </c>
    </row>
    <row r="161" spans="2:65" s="7" customFormat="1" ht="15.75" customHeight="1" x14ac:dyDescent="0.3">
      <c r="B161" s="20"/>
      <c r="C161" s="94">
        <v>59</v>
      </c>
      <c r="D161" s="94" t="s">
        <v>103</v>
      </c>
      <c r="E161" s="95" t="s">
        <v>217</v>
      </c>
      <c r="F161" s="181" t="s">
        <v>218</v>
      </c>
      <c r="G161" s="182"/>
      <c r="H161" s="182"/>
      <c r="I161" s="182"/>
      <c r="J161" s="97" t="s">
        <v>147</v>
      </c>
      <c r="K161" s="98">
        <v>1</v>
      </c>
      <c r="L161" s="183"/>
      <c r="M161" s="182"/>
      <c r="N161" s="184">
        <f>ROUND($L$161*$K$161,2)</f>
        <v>0</v>
      </c>
      <c r="O161" s="182"/>
      <c r="P161" s="182"/>
      <c r="Q161" s="182"/>
      <c r="R161" s="96"/>
      <c r="S161" s="20"/>
      <c r="T161" s="99"/>
      <c r="U161" s="100" t="s">
        <v>33</v>
      </c>
      <c r="X161" s="101">
        <v>0</v>
      </c>
      <c r="Y161" s="101">
        <f>$X$161*$K$161</f>
        <v>0</v>
      </c>
      <c r="Z161" s="101">
        <v>0</v>
      </c>
      <c r="AA161" s="102">
        <f>$Z$161*$K$161</f>
        <v>0</v>
      </c>
      <c r="AR161" s="65" t="s">
        <v>107</v>
      </c>
      <c r="AT161" s="65" t="s">
        <v>103</v>
      </c>
      <c r="AU161" s="65" t="s">
        <v>69</v>
      </c>
      <c r="AY161" s="7" t="s">
        <v>102</v>
      </c>
      <c r="BE161" s="103">
        <f>IF($U$161="základní",$N$161,0)</f>
        <v>0</v>
      </c>
      <c r="BF161" s="103">
        <f>IF($U$161="snížená",$N$161,0)</f>
        <v>0</v>
      </c>
      <c r="BG161" s="103">
        <f>IF($U$161="zákl. přenesená",$N$161,0)</f>
        <v>0</v>
      </c>
      <c r="BH161" s="103">
        <f>IF($U$161="sníž. přenesená",$N$161,0)</f>
        <v>0</v>
      </c>
      <c r="BI161" s="103">
        <f>IF($U$161="nulová",$N$161,0)</f>
        <v>0</v>
      </c>
      <c r="BJ161" s="65" t="s">
        <v>17</v>
      </c>
      <c r="BK161" s="103">
        <f>ROUND($L$161*$K$161,2)</f>
        <v>0</v>
      </c>
      <c r="BL161" s="65" t="s">
        <v>107</v>
      </c>
      <c r="BM161" s="65" t="s">
        <v>219</v>
      </c>
    </row>
    <row r="162" spans="2:65" s="7" customFormat="1" ht="16.5" customHeight="1" x14ac:dyDescent="0.3">
      <c r="B162" s="33"/>
      <c r="C162" s="110"/>
      <c r="D162" s="110"/>
      <c r="E162" s="110"/>
      <c r="F162" s="190" t="s">
        <v>218</v>
      </c>
      <c r="G162" s="191"/>
      <c r="H162" s="191"/>
      <c r="I162" s="191"/>
      <c r="J162" s="191"/>
      <c r="K162" s="191"/>
      <c r="L162" s="191"/>
      <c r="M162" s="191"/>
      <c r="N162" s="191"/>
      <c r="O162" s="191"/>
      <c r="P162" s="191"/>
      <c r="Q162" s="191"/>
      <c r="R162" s="192"/>
      <c r="S162" s="20"/>
      <c r="T162" s="42"/>
      <c r="AA162" s="43"/>
      <c r="AT162" s="7" t="s">
        <v>108</v>
      </c>
      <c r="AU162" s="7" t="s">
        <v>69</v>
      </c>
    </row>
  </sheetData>
  <mergeCells count="208">
    <mergeCell ref="H1:K1"/>
    <mergeCell ref="S2:AC2"/>
    <mergeCell ref="N110:Q110"/>
    <mergeCell ref="N117:Q117"/>
    <mergeCell ref="F137:R137"/>
    <mergeCell ref="F122:I122"/>
    <mergeCell ref="L122:M122"/>
    <mergeCell ref="N122:Q122"/>
    <mergeCell ref="F123:R123"/>
    <mergeCell ref="N78:Q78"/>
    <mergeCell ref="N101:Q101"/>
    <mergeCell ref="F160:R160"/>
    <mergeCell ref="F161:I161"/>
    <mergeCell ref="L161:M161"/>
    <mergeCell ref="N161:Q161"/>
    <mergeCell ref="N158:Q158"/>
    <mergeCell ref="F153:I153"/>
    <mergeCell ref="L153:M153"/>
    <mergeCell ref="F162:R162"/>
    <mergeCell ref="F154:R154"/>
    <mergeCell ref="F156:I156"/>
    <mergeCell ref="L156:M156"/>
    <mergeCell ref="N156:Q156"/>
    <mergeCell ref="F157:R157"/>
    <mergeCell ref="F159:I159"/>
    <mergeCell ref="L159:M159"/>
    <mergeCell ref="N159:Q159"/>
    <mergeCell ref="N155:Q155"/>
    <mergeCell ref="N153:Q153"/>
    <mergeCell ref="N152:Q152"/>
    <mergeCell ref="F151:R151"/>
    <mergeCell ref="F149:R149"/>
    <mergeCell ref="F150:I150"/>
    <mergeCell ref="L150:M150"/>
    <mergeCell ref="N150:Q150"/>
    <mergeCell ref="F146:R146"/>
    <mergeCell ref="F147:I147"/>
    <mergeCell ref="F148:I148"/>
    <mergeCell ref="L148:M148"/>
    <mergeCell ref="N148:Q148"/>
    <mergeCell ref="F143:R143"/>
    <mergeCell ref="F144:I144"/>
    <mergeCell ref="F145:I145"/>
    <mergeCell ref="L145:M145"/>
    <mergeCell ref="N145:Q145"/>
    <mergeCell ref="F142:I142"/>
    <mergeCell ref="L142:M142"/>
    <mergeCell ref="N142:Q142"/>
    <mergeCell ref="F140:I140"/>
    <mergeCell ref="L140:M140"/>
    <mergeCell ref="N140:Q140"/>
    <mergeCell ref="F141:R141"/>
    <mergeCell ref="F138:I138"/>
    <mergeCell ref="L138:M138"/>
    <mergeCell ref="N138:Q138"/>
    <mergeCell ref="F139:R139"/>
    <mergeCell ref="F134:R134"/>
    <mergeCell ref="F135:I135"/>
    <mergeCell ref="L135:M135"/>
    <mergeCell ref="N135:Q135"/>
    <mergeCell ref="F136:R136"/>
    <mergeCell ref="F131:I131"/>
    <mergeCell ref="L131:M131"/>
    <mergeCell ref="N131:Q131"/>
    <mergeCell ref="F132:R132"/>
    <mergeCell ref="F133:I133"/>
    <mergeCell ref="L133:M133"/>
    <mergeCell ref="N133:Q133"/>
    <mergeCell ref="F129:I129"/>
    <mergeCell ref="L129:M129"/>
    <mergeCell ref="N129:Q129"/>
    <mergeCell ref="F130:R130"/>
    <mergeCell ref="F120:I120"/>
    <mergeCell ref="L120:M120"/>
    <mergeCell ref="N120:Q120"/>
    <mergeCell ref="F121:R121"/>
    <mergeCell ref="F127:I127"/>
    <mergeCell ref="L127:M127"/>
    <mergeCell ref="N127:Q127"/>
    <mergeCell ref="N126:Q126"/>
    <mergeCell ref="F124:I124"/>
    <mergeCell ref="F118:I118"/>
    <mergeCell ref="L118:M118"/>
    <mergeCell ref="N118:Q118"/>
    <mergeCell ref="F119:R119"/>
    <mergeCell ref="L124:M124"/>
    <mergeCell ref="N124:Q124"/>
    <mergeCell ref="F125:R125"/>
    <mergeCell ref="F116:R116"/>
    <mergeCell ref="F113:I113"/>
    <mergeCell ref="L113:M113"/>
    <mergeCell ref="N113:Q113"/>
    <mergeCell ref="F114:R114"/>
    <mergeCell ref="F115:I115"/>
    <mergeCell ref="L115:M115"/>
    <mergeCell ref="N115:Q115"/>
    <mergeCell ref="F111:I111"/>
    <mergeCell ref="L111:M111"/>
    <mergeCell ref="N111:Q111"/>
    <mergeCell ref="F112:R112"/>
    <mergeCell ref="F109:R109"/>
    <mergeCell ref="F105:R105"/>
    <mergeCell ref="F106:I106"/>
    <mergeCell ref="L106:M106"/>
    <mergeCell ref="N106:Q106"/>
    <mergeCell ref="F107:R107"/>
    <mergeCell ref="F108:I108"/>
    <mergeCell ref="L108:M108"/>
    <mergeCell ref="N108:Q108"/>
    <mergeCell ref="F102:I102"/>
    <mergeCell ref="L102:M102"/>
    <mergeCell ref="N102:Q102"/>
    <mergeCell ref="F103:R103"/>
    <mergeCell ref="F104:I104"/>
    <mergeCell ref="L104:M104"/>
    <mergeCell ref="N104:Q104"/>
    <mergeCell ref="L95:M95"/>
    <mergeCell ref="N95:Q95"/>
    <mergeCell ref="F99:I99"/>
    <mergeCell ref="L99:M99"/>
    <mergeCell ref="N99:Q99"/>
    <mergeCell ref="F100:R100"/>
    <mergeCell ref="F97:I97"/>
    <mergeCell ref="L97:M97"/>
    <mergeCell ref="N97:Q97"/>
    <mergeCell ref="F98:R98"/>
    <mergeCell ref="F92:R92"/>
    <mergeCell ref="F89:I89"/>
    <mergeCell ref="L89:M89"/>
    <mergeCell ref="N89:Q89"/>
    <mergeCell ref="F96:R96"/>
    <mergeCell ref="F93:I93"/>
    <mergeCell ref="L93:M93"/>
    <mergeCell ref="N93:Q93"/>
    <mergeCell ref="F94:R94"/>
    <mergeCell ref="F95:I95"/>
    <mergeCell ref="F85:I85"/>
    <mergeCell ref="L85:M85"/>
    <mergeCell ref="N85:Q85"/>
    <mergeCell ref="F90:R90"/>
    <mergeCell ref="F91:I91"/>
    <mergeCell ref="L91:M91"/>
    <mergeCell ref="N91:Q91"/>
    <mergeCell ref="F84:R84"/>
    <mergeCell ref="F82:R82"/>
    <mergeCell ref="F83:I83"/>
    <mergeCell ref="L83:M83"/>
    <mergeCell ref="N83:Q83"/>
    <mergeCell ref="F88:R88"/>
    <mergeCell ref="F87:I87"/>
    <mergeCell ref="L87:M87"/>
    <mergeCell ref="N87:Q87"/>
    <mergeCell ref="F86:R86"/>
    <mergeCell ref="N60:Q60"/>
    <mergeCell ref="F77:I77"/>
    <mergeCell ref="L77:M77"/>
    <mergeCell ref="N77:Q77"/>
    <mergeCell ref="F81:I81"/>
    <mergeCell ref="L81:M81"/>
    <mergeCell ref="N81:Q81"/>
    <mergeCell ref="N79:Q79"/>
    <mergeCell ref="N80:Q80"/>
    <mergeCell ref="C49:G49"/>
    <mergeCell ref="C67:R67"/>
    <mergeCell ref="F69:Q69"/>
    <mergeCell ref="F70:Q70"/>
    <mergeCell ref="M72:P72"/>
    <mergeCell ref="M74:Q74"/>
    <mergeCell ref="N56:Q56"/>
    <mergeCell ref="N57:Q57"/>
    <mergeCell ref="N58:Q58"/>
    <mergeCell ref="N59:Q59"/>
    <mergeCell ref="C39:R39"/>
    <mergeCell ref="N51:Q51"/>
    <mergeCell ref="N52:Q52"/>
    <mergeCell ref="N53:Q53"/>
    <mergeCell ref="N54:Q54"/>
    <mergeCell ref="N55:Q55"/>
    <mergeCell ref="F41:Q41"/>
    <mergeCell ref="F42:Q42"/>
    <mergeCell ref="M44:P44"/>
    <mergeCell ref="M46:Q46"/>
    <mergeCell ref="H28:J28"/>
    <mergeCell ref="M28:P28"/>
    <mergeCell ref="H29:J29"/>
    <mergeCell ref="M29:P29"/>
    <mergeCell ref="N49:Q49"/>
    <mergeCell ref="H30:J30"/>
    <mergeCell ref="M30:P30"/>
    <mergeCell ref="H31:J31"/>
    <mergeCell ref="M31:P31"/>
    <mergeCell ref="L33:P33"/>
    <mergeCell ref="O18:P18"/>
    <mergeCell ref="O19:P19"/>
    <mergeCell ref="E22:P22"/>
    <mergeCell ref="M25:P25"/>
    <mergeCell ref="H27:J27"/>
    <mergeCell ref="M27:P27"/>
    <mergeCell ref="F128:R128"/>
    <mergeCell ref="C2:R2"/>
    <mergeCell ref="C4:R4"/>
    <mergeCell ref="F6:Q6"/>
    <mergeCell ref="F7:Q7"/>
    <mergeCell ref="O10:P10"/>
    <mergeCell ref="O12:P12"/>
    <mergeCell ref="O13:P13"/>
    <mergeCell ref="O15:P15"/>
    <mergeCell ref="O16:P16"/>
  </mergeCells>
  <pageMargins left="0.59027779102325439" right="0.59027779102325439" top="0.59027779102325439" bottom="0.59027779102325439" header="0" footer="0"/>
  <pageSetup paperSize="9" scale="93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Rekapitulace stavby</vt:lpstr>
      <vt:lpstr>Srby - Oprava komun...</vt:lpstr>
      <vt:lpstr>'Rekapitulace stavby'!Oblast_tisku</vt:lpstr>
      <vt:lpstr>'Srby - Oprava komun...'!Oblast_tisku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</cp:lastModifiedBy>
  <cp:lastPrinted>2025-09-02T14:08:46Z</cp:lastPrinted>
  <dcterms:created xsi:type="dcterms:W3CDTF">2026-06-23T07:07:56Z</dcterms:created>
  <dcterms:modified xsi:type="dcterms:W3CDTF">2026-06-23T07:08:44Z</dcterms:modified>
</cp:coreProperties>
</file>