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REGIONÁLNÍ ROZVOJOVÁ AGENTURA\Ketkovice - ZPŘ\Zadávací dokumentace\"/>
    </mc:Choice>
  </mc:AlternateContent>
  <xr:revisionPtr revIDLastSave="0" documentId="8_{ADB82F6C-FA80-4F84-B7E7-D231F38A359E}" xr6:coauthVersionLast="47" xr6:coauthVersionMax="47" xr10:uidLastSave="{00000000-0000-0000-0000-000000000000}"/>
  <bookViews>
    <workbookView xWindow="-120" yWindow="-120" windowWidth="29040" windowHeight="15720" activeTab="1" xr2:uid="{00000000-000D-0000-FFFF-FFFF00000000}"/>
  </bookViews>
  <sheets>
    <sheet name="Stavební rozpočet" sheetId="1" r:id="rId1"/>
    <sheet name="Krycí list rozpočtu" sheetId="2" r:id="rId2"/>
    <sheet name="VORN" sheetId="3" state="hidden" r:id="rId3"/>
  </sheets>
  <definedNames>
    <definedName name="vorn_sum">VORN!$I$45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3" l="1"/>
  <c r="I44" i="3" s="1"/>
  <c r="F42" i="3"/>
  <c r="I42" i="3" s="1"/>
  <c r="F41" i="3"/>
  <c r="I41" i="3" s="1"/>
  <c r="F40" i="3"/>
  <c r="I40" i="3" s="1"/>
  <c r="F39" i="3"/>
  <c r="I39" i="3" s="1"/>
  <c r="F36" i="3"/>
  <c r="I36" i="3" s="1"/>
  <c r="I26" i="3"/>
  <c r="I19" i="2" s="1"/>
  <c r="I25" i="3"/>
  <c r="I24" i="3"/>
  <c r="I23" i="3"/>
  <c r="I16" i="2" s="1"/>
  <c r="I22" i="3"/>
  <c r="I15" i="2" s="1"/>
  <c r="I21" i="3"/>
  <c r="I17" i="3"/>
  <c r="I16" i="3"/>
  <c r="I15" i="3"/>
  <c r="I18" i="3" s="1"/>
  <c r="I10" i="3"/>
  <c r="F10" i="3"/>
  <c r="C10" i="3"/>
  <c r="F8" i="3"/>
  <c r="C8" i="3"/>
  <c r="F6" i="3"/>
  <c r="C6" i="3"/>
  <c r="F4" i="3"/>
  <c r="C4" i="3"/>
  <c r="F2" i="3"/>
  <c r="C2" i="3"/>
  <c r="I18" i="2"/>
  <c r="I17" i="2"/>
  <c r="F16" i="2"/>
  <c r="F15" i="2"/>
  <c r="F14" i="2"/>
  <c r="I10" i="2"/>
  <c r="F10" i="2"/>
  <c r="C10" i="2"/>
  <c r="F8" i="2"/>
  <c r="C8" i="2"/>
  <c r="F6" i="2"/>
  <c r="C6" i="2"/>
  <c r="F4" i="2"/>
  <c r="C4" i="2"/>
  <c r="F2" i="2"/>
  <c r="C2" i="2"/>
  <c r="BU1328" i="1"/>
  <c r="F43" i="3" s="1"/>
  <c r="I43" i="3" s="1"/>
  <c r="BJ1328" i="1"/>
  <c r="BF1328" i="1"/>
  <c r="BD1328" i="1"/>
  <c r="AP1328" i="1"/>
  <c r="AO1328" i="1"/>
  <c r="H1328" i="1" s="1"/>
  <c r="H1327" i="1" s="1"/>
  <c r="AK1328" i="1"/>
  <c r="AT1327" i="1" s="1"/>
  <c r="AJ1328" i="1"/>
  <c r="AS1327" i="1" s="1"/>
  <c r="AH1328" i="1"/>
  <c r="AG1328" i="1"/>
  <c r="AF1328" i="1"/>
  <c r="AE1328" i="1"/>
  <c r="AD1328" i="1"/>
  <c r="AC1328" i="1"/>
  <c r="AB1328" i="1"/>
  <c r="Z1328" i="1"/>
  <c r="J1328" i="1"/>
  <c r="BP1326" i="1"/>
  <c r="BJ1326" i="1"/>
  <c r="BF1326" i="1"/>
  <c r="BD1326" i="1"/>
  <c r="AX1326" i="1"/>
  <c r="AP1326" i="1"/>
  <c r="BI1326" i="1" s="1"/>
  <c r="AO1326" i="1"/>
  <c r="AK1326" i="1"/>
  <c r="AJ1326" i="1"/>
  <c r="AH1326" i="1"/>
  <c r="AG1326" i="1"/>
  <c r="AF1326" i="1"/>
  <c r="AE1326" i="1"/>
  <c r="AD1326" i="1"/>
  <c r="AC1326" i="1"/>
  <c r="AB1326" i="1"/>
  <c r="Z1326" i="1"/>
  <c r="J1326" i="1"/>
  <c r="AL1326" i="1" s="1"/>
  <c r="BP1324" i="1"/>
  <c r="BJ1324" i="1"/>
  <c r="BF1324" i="1"/>
  <c r="BD1324" i="1"/>
  <c r="AP1324" i="1"/>
  <c r="BI1324" i="1" s="1"/>
  <c r="AO1324" i="1"/>
  <c r="BH1324" i="1" s="1"/>
  <c r="AK1324" i="1"/>
  <c r="AJ1324" i="1"/>
  <c r="AH1324" i="1"/>
  <c r="AG1324" i="1"/>
  <c r="AF1324" i="1"/>
  <c r="AE1324" i="1"/>
  <c r="AD1324" i="1"/>
  <c r="AC1324" i="1"/>
  <c r="AB1324" i="1"/>
  <c r="Z1324" i="1"/>
  <c r="J1324" i="1"/>
  <c r="AL1324" i="1" s="1"/>
  <c r="BO1322" i="1"/>
  <c r="F37" i="3" s="1"/>
  <c r="I37" i="3" s="1"/>
  <c r="BJ1322" i="1"/>
  <c r="BF1322" i="1"/>
  <c r="BD1322" i="1"/>
  <c r="AP1322" i="1"/>
  <c r="BI1322" i="1" s="1"/>
  <c r="AO1322" i="1"/>
  <c r="BH1322" i="1" s="1"/>
  <c r="AK1322" i="1"/>
  <c r="AT1321" i="1" s="1"/>
  <c r="AJ1322" i="1"/>
  <c r="AS1321" i="1" s="1"/>
  <c r="AH1322" i="1"/>
  <c r="AG1322" i="1"/>
  <c r="AF1322" i="1"/>
  <c r="AE1322" i="1"/>
  <c r="AD1322" i="1"/>
  <c r="AC1322" i="1"/>
  <c r="AB1322" i="1"/>
  <c r="Z1322" i="1"/>
  <c r="J1322" i="1"/>
  <c r="J1321" i="1" s="1"/>
  <c r="I1322" i="1"/>
  <c r="I1321" i="1" s="1"/>
  <c r="BM1319" i="1"/>
  <c r="BJ1319" i="1"/>
  <c r="BF1319" i="1"/>
  <c r="BD1319" i="1"/>
  <c r="AP1319" i="1"/>
  <c r="AO1319" i="1"/>
  <c r="AK1319" i="1"/>
  <c r="AJ1319" i="1"/>
  <c r="AH1319" i="1"/>
  <c r="AG1319" i="1"/>
  <c r="AF1319" i="1"/>
  <c r="AE1319" i="1"/>
  <c r="AD1319" i="1"/>
  <c r="AC1319" i="1"/>
  <c r="AB1319" i="1"/>
  <c r="Z1319" i="1"/>
  <c r="J1319" i="1"/>
  <c r="AL1319" i="1" s="1"/>
  <c r="BM1318" i="1"/>
  <c r="BJ1318" i="1"/>
  <c r="BF1318" i="1"/>
  <c r="BD1318" i="1"/>
  <c r="AP1318" i="1"/>
  <c r="I1318" i="1" s="1"/>
  <c r="AO1318" i="1"/>
  <c r="AK1318" i="1"/>
  <c r="AJ1318" i="1"/>
  <c r="AH1318" i="1"/>
  <c r="AG1318" i="1"/>
  <c r="AF1318" i="1"/>
  <c r="AE1318" i="1"/>
  <c r="AD1318" i="1"/>
  <c r="AC1318" i="1"/>
  <c r="AB1318" i="1"/>
  <c r="Z1318" i="1"/>
  <c r="J1318" i="1"/>
  <c r="AL1318" i="1" s="1"/>
  <c r="BM1317" i="1"/>
  <c r="BJ1317" i="1"/>
  <c r="BF1317" i="1"/>
  <c r="BD1317" i="1"/>
  <c r="AP1317" i="1"/>
  <c r="AX1317" i="1" s="1"/>
  <c r="AO1317" i="1"/>
  <c r="AK1317" i="1"/>
  <c r="AJ1317" i="1"/>
  <c r="AH1317" i="1"/>
  <c r="AG1317" i="1"/>
  <c r="AF1317" i="1"/>
  <c r="AE1317" i="1"/>
  <c r="AD1317" i="1"/>
  <c r="AC1317" i="1"/>
  <c r="AB1317" i="1"/>
  <c r="Z1317" i="1"/>
  <c r="J1317" i="1"/>
  <c r="AL1317" i="1" s="1"/>
  <c r="BM1316" i="1"/>
  <c r="BJ1316" i="1"/>
  <c r="BF1316" i="1"/>
  <c r="BD1316" i="1"/>
  <c r="AP1316" i="1"/>
  <c r="BI1316" i="1" s="1"/>
  <c r="AO1316" i="1"/>
  <c r="AK1316" i="1"/>
  <c r="AJ1316" i="1"/>
  <c r="AH1316" i="1"/>
  <c r="AG1316" i="1"/>
  <c r="AF1316" i="1"/>
  <c r="AE1316" i="1"/>
  <c r="AD1316" i="1"/>
  <c r="AC1316" i="1"/>
  <c r="AB1316" i="1"/>
  <c r="Z1316" i="1"/>
  <c r="J1316" i="1"/>
  <c r="AL1316" i="1" s="1"/>
  <c r="BM1315" i="1"/>
  <c r="BJ1315" i="1"/>
  <c r="BF1315" i="1"/>
  <c r="BD1315" i="1"/>
  <c r="AP1315" i="1"/>
  <c r="BI1315" i="1" s="1"/>
  <c r="AO1315" i="1"/>
  <c r="AK1315" i="1"/>
  <c r="AJ1315" i="1"/>
  <c r="AH1315" i="1"/>
  <c r="AG1315" i="1"/>
  <c r="AF1315" i="1"/>
  <c r="AE1315" i="1"/>
  <c r="AD1315" i="1"/>
  <c r="AC1315" i="1"/>
  <c r="AB1315" i="1"/>
  <c r="Z1315" i="1"/>
  <c r="J1315" i="1"/>
  <c r="AL1315" i="1" s="1"/>
  <c r="BJ1311" i="1"/>
  <c r="AH1311" i="1" s="1"/>
  <c r="BF1311" i="1"/>
  <c r="BD1311" i="1"/>
  <c r="AP1311" i="1"/>
  <c r="BI1311" i="1" s="1"/>
  <c r="AO1311" i="1"/>
  <c r="AK1311" i="1"/>
  <c r="AJ1311" i="1"/>
  <c r="AG1311" i="1"/>
  <c r="AF1311" i="1"/>
  <c r="AE1311" i="1"/>
  <c r="AD1311" i="1"/>
  <c r="AC1311" i="1"/>
  <c r="AB1311" i="1"/>
  <c r="Z1311" i="1"/>
  <c r="J1311" i="1"/>
  <c r="AL1311" i="1" s="1"/>
  <c r="BJ1310" i="1"/>
  <c r="AH1310" i="1" s="1"/>
  <c r="BF1310" i="1"/>
  <c r="BD1310" i="1"/>
  <c r="AP1310" i="1"/>
  <c r="BI1310" i="1" s="1"/>
  <c r="AO1310" i="1"/>
  <c r="H1310" i="1" s="1"/>
  <c r="AK1310" i="1"/>
  <c r="AJ1310" i="1"/>
  <c r="AG1310" i="1"/>
  <c r="AF1310" i="1"/>
  <c r="AE1310" i="1"/>
  <c r="AD1310" i="1"/>
  <c r="AC1310" i="1"/>
  <c r="AB1310" i="1"/>
  <c r="Z1310" i="1"/>
  <c r="J1310" i="1"/>
  <c r="AL1310" i="1" s="1"/>
  <c r="BJ1309" i="1"/>
  <c r="AH1309" i="1" s="1"/>
  <c r="BF1309" i="1"/>
  <c r="BD1309" i="1"/>
  <c r="AP1309" i="1"/>
  <c r="I1309" i="1" s="1"/>
  <c r="AO1309" i="1"/>
  <c r="BH1309" i="1" s="1"/>
  <c r="AK1309" i="1"/>
  <c r="AJ1309" i="1"/>
  <c r="AG1309" i="1"/>
  <c r="AF1309" i="1"/>
  <c r="AE1309" i="1"/>
  <c r="AD1309" i="1"/>
  <c r="AC1309" i="1"/>
  <c r="AB1309" i="1"/>
  <c r="Z1309" i="1"/>
  <c r="J1309" i="1"/>
  <c r="AL1309" i="1" s="1"/>
  <c r="BJ1308" i="1"/>
  <c r="AH1308" i="1" s="1"/>
  <c r="BF1308" i="1"/>
  <c r="BD1308" i="1"/>
  <c r="AP1308" i="1"/>
  <c r="BI1308" i="1" s="1"/>
  <c r="AO1308" i="1"/>
  <c r="AK1308" i="1"/>
  <c r="AJ1308" i="1"/>
  <c r="AG1308" i="1"/>
  <c r="AF1308" i="1"/>
  <c r="AE1308" i="1"/>
  <c r="AD1308" i="1"/>
  <c r="AC1308" i="1"/>
  <c r="AB1308" i="1"/>
  <c r="Z1308" i="1"/>
  <c r="J1308" i="1"/>
  <c r="AL1308" i="1" s="1"/>
  <c r="BJ1306" i="1"/>
  <c r="AH1306" i="1" s="1"/>
  <c r="BF1306" i="1"/>
  <c r="BD1306" i="1"/>
  <c r="AP1306" i="1"/>
  <c r="BI1306" i="1" s="1"/>
  <c r="AO1306" i="1"/>
  <c r="AK1306" i="1"/>
  <c r="AJ1306" i="1"/>
  <c r="AG1306" i="1"/>
  <c r="AF1306" i="1"/>
  <c r="AE1306" i="1"/>
  <c r="AD1306" i="1"/>
  <c r="AC1306" i="1"/>
  <c r="AB1306" i="1"/>
  <c r="Z1306" i="1"/>
  <c r="J1306" i="1"/>
  <c r="AL1306" i="1" s="1"/>
  <c r="BJ1304" i="1"/>
  <c r="AH1304" i="1" s="1"/>
  <c r="BF1304" i="1"/>
  <c r="BD1304" i="1"/>
  <c r="AP1304" i="1"/>
  <c r="BI1304" i="1" s="1"/>
  <c r="AO1304" i="1"/>
  <c r="BH1304" i="1" s="1"/>
  <c r="AK1304" i="1"/>
  <c r="AJ1304" i="1"/>
  <c r="AG1304" i="1"/>
  <c r="AF1304" i="1"/>
  <c r="AE1304" i="1"/>
  <c r="AD1304" i="1"/>
  <c r="AC1304" i="1"/>
  <c r="AB1304" i="1"/>
  <c r="Z1304" i="1"/>
  <c r="J1304" i="1"/>
  <c r="AL1304" i="1" s="1"/>
  <c r="BJ1302" i="1"/>
  <c r="AH1302" i="1" s="1"/>
  <c r="BF1302" i="1"/>
  <c r="BD1302" i="1"/>
  <c r="AP1302" i="1"/>
  <c r="AO1302" i="1"/>
  <c r="AW1302" i="1" s="1"/>
  <c r="AK1302" i="1"/>
  <c r="AJ1302" i="1"/>
  <c r="AG1302" i="1"/>
  <c r="AF1302" i="1"/>
  <c r="AE1302" i="1"/>
  <c r="AD1302" i="1"/>
  <c r="AC1302" i="1"/>
  <c r="AB1302" i="1"/>
  <c r="Z1302" i="1"/>
  <c r="J1302" i="1"/>
  <c r="AL1302" i="1" s="1"/>
  <c r="BJ1301" i="1"/>
  <c r="AH1301" i="1" s="1"/>
  <c r="BF1301" i="1"/>
  <c r="BD1301" i="1"/>
  <c r="AP1301" i="1"/>
  <c r="AX1301" i="1" s="1"/>
  <c r="AO1301" i="1"/>
  <c r="AK1301" i="1"/>
  <c r="AJ1301" i="1"/>
  <c r="AG1301" i="1"/>
  <c r="AF1301" i="1"/>
  <c r="AE1301" i="1"/>
  <c r="AD1301" i="1"/>
  <c r="AC1301" i="1"/>
  <c r="AB1301" i="1"/>
  <c r="Z1301" i="1"/>
  <c r="J1301" i="1"/>
  <c r="AL1301" i="1" s="1"/>
  <c r="BJ1299" i="1"/>
  <c r="AH1299" i="1" s="1"/>
  <c r="BF1299" i="1"/>
  <c r="BD1299" i="1"/>
  <c r="AP1299" i="1"/>
  <c r="BI1299" i="1" s="1"/>
  <c r="AO1299" i="1"/>
  <c r="BH1299" i="1" s="1"/>
  <c r="AK1299" i="1"/>
  <c r="AJ1299" i="1"/>
  <c r="AG1299" i="1"/>
  <c r="AF1299" i="1"/>
  <c r="AE1299" i="1"/>
  <c r="AD1299" i="1"/>
  <c r="AC1299" i="1"/>
  <c r="AB1299" i="1"/>
  <c r="Z1299" i="1"/>
  <c r="J1299" i="1"/>
  <c r="AL1299" i="1" s="1"/>
  <c r="BJ1298" i="1"/>
  <c r="AH1298" i="1" s="1"/>
  <c r="BF1298" i="1"/>
  <c r="BD1298" i="1"/>
  <c r="AP1298" i="1"/>
  <c r="AX1298" i="1" s="1"/>
  <c r="AO1298" i="1"/>
  <c r="AK1298" i="1"/>
  <c r="AJ1298" i="1"/>
  <c r="AG1298" i="1"/>
  <c r="AF1298" i="1"/>
  <c r="AE1298" i="1"/>
  <c r="AD1298" i="1"/>
  <c r="AC1298" i="1"/>
  <c r="AB1298" i="1"/>
  <c r="Z1298" i="1"/>
  <c r="J1298" i="1"/>
  <c r="AL1298" i="1" s="1"/>
  <c r="BJ1297" i="1"/>
  <c r="AH1297" i="1" s="1"/>
  <c r="BF1297" i="1"/>
  <c r="BD1297" i="1"/>
  <c r="AP1297" i="1"/>
  <c r="I1297" i="1" s="1"/>
  <c r="AO1297" i="1"/>
  <c r="BH1297" i="1" s="1"/>
  <c r="AK1297" i="1"/>
  <c r="AJ1297" i="1"/>
  <c r="AG1297" i="1"/>
  <c r="AF1297" i="1"/>
  <c r="AE1297" i="1"/>
  <c r="AD1297" i="1"/>
  <c r="AC1297" i="1"/>
  <c r="AB1297" i="1"/>
  <c r="Z1297" i="1"/>
  <c r="J1297" i="1"/>
  <c r="AL1297" i="1" s="1"/>
  <c r="BJ1296" i="1"/>
  <c r="AH1296" i="1" s="1"/>
  <c r="BF1296" i="1"/>
  <c r="BD1296" i="1"/>
  <c r="AP1296" i="1"/>
  <c r="AX1296" i="1" s="1"/>
  <c r="AO1296" i="1"/>
  <c r="BH1296" i="1" s="1"/>
  <c r="AK1296" i="1"/>
  <c r="AJ1296" i="1"/>
  <c r="AG1296" i="1"/>
  <c r="AF1296" i="1"/>
  <c r="AE1296" i="1"/>
  <c r="AD1296" i="1"/>
  <c r="AC1296" i="1"/>
  <c r="AB1296" i="1"/>
  <c r="Z1296" i="1"/>
  <c r="J1296" i="1"/>
  <c r="AL1296" i="1" s="1"/>
  <c r="BJ1295" i="1"/>
  <c r="AH1295" i="1" s="1"/>
  <c r="BF1295" i="1"/>
  <c r="BD1295" i="1"/>
  <c r="AP1295" i="1"/>
  <c r="AO1295" i="1"/>
  <c r="AK1295" i="1"/>
  <c r="AJ1295" i="1"/>
  <c r="AG1295" i="1"/>
  <c r="AF1295" i="1"/>
  <c r="AE1295" i="1"/>
  <c r="AD1295" i="1"/>
  <c r="AC1295" i="1"/>
  <c r="AB1295" i="1"/>
  <c r="Z1295" i="1"/>
  <c r="J1295" i="1"/>
  <c r="BJ1292" i="1"/>
  <c r="BF1292" i="1"/>
  <c r="BD1292" i="1"/>
  <c r="AP1292" i="1"/>
  <c r="AX1292" i="1" s="1"/>
  <c r="AO1292" i="1"/>
  <c r="BH1292" i="1" s="1"/>
  <c r="AF1292" i="1" s="1"/>
  <c r="AK1292" i="1"/>
  <c r="AJ1292" i="1"/>
  <c r="AH1292" i="1"/>
  <c r="AE1292" i="1"/>
  <c r="AD1292" i="1"/>
  <c r="AC1292" i="1"/>
  <c r="AB1292" i="1"/>
  <c r="Z1292" i="1"/>
  <c r="J1292" i="1"/>
  <c r="AL1292" i="1" s="1"/>
  <c r="BJ1290" i="1"/>
  <c r="BF1290" i="1"/>
  <c r="BD1290" i="1"/>
  <c r="AP1290" i="1"/>
  <c r="BI1290" i="1" s="1"/>
  <c r="AG1290" i="1" s="1"/>
  <c r="AO1290" i="1"/>
  <c r="AK1290" i="1"/>
  <c r="AJ1290" i="1"/>
  <c r="AH1290" i="1"/>
  <c r="AE1290" i="1"/>
  <c r="AD1290" i="1"/>
  <c r="AC1290" i="1"/>
  <c r="AB1290" i="1"/>
  <c r="Z1290" i="1"/>
  <c r="J1290" i="1"/>
  <c r="AL1290" i="1" s="1"/>
  <c r="BJ1289" i="1"/>
  <c r="BF1289" i="1"/>
  <c r="BD1289" i="1"/>
  <c r="AP1289" i="1"/>
  <c r="AO1289" i="1"/>
  <c r="H1289" i="1" s="1"/>
  <c r="AK1289" i="1"/>
  <c r="AJ1289" i="1"/>
  <c r="AH1289" i="1"/>
  <c r="AE1289" i="1"/>
  <c r="AD1289" i="1"/>
  <c r="AC1289" i="1"/>
  <c r="AB1289" i="1"/>
  <c r="Z1289" i="1"/>
  <c r="J1289" i="1"/>
  <c r="AL1289" i="1" s="1"/>
  <c r="BJ1287" i="1"/>
  <c r="BF1287" i="1"/>
  <c r="BD1287" i="1"/>
  <c r="AP1287" i="1"/>
  <c r="I1287" i="1" s="1"/>
  <c r="AO1287" i="1"/>
  <c r="AW1287" i="1" s="1"/>
  <c r="AK1287" i="1"/>
  <c r="AJ1287" i="1"/>
  <c r="AH1287" i="1"/>
  <c r="AE1287" i="1"/>
  <c r="AD1287" i="1"/>
  <c r="AC1287" i="1"/>
  <c r="AB1287" i="1"/>
  <c r="Z1287" i="1"/>
  <c r="J1287" i="1"/>
  <c r="AL1287" i="1" s="1"/>
  <c r="BJ1285" i="1"/>
  <c r="BF1285" i="1"/>
  <c r="BD1285" i="1"/>
  <c r="AP1285" i="1"/>
  <c r="AX1285" i="1" s="1"/>
  <c r="AO1285" i="1"/>
  <c r="BH1285" i="1" s="1"/>
  <c r="AF1285" i="1" s="1"/>
  <c r="AK1285" i="1"/>
  <c r="AJ1285" i="1"/>
  <c r="AH1285" i="1"/>
  <c r="AE1285" i="1"/>
  <c r="AD1285" i="1"/>
  <c r="AC1285" i="1"/>
  <c r="AB1285" i="1"/>
  <c r="Z1285" i="1"/>
  <c r="J1285" i="1"/>
  <c r="AL1285" i="1" s="1"/>
  <c r="BJ1284" i="1"/>
  <c r="BF1284" i="1"/>
  <c r="BD1284" i="1"/>
  <c r="AP1284" i="1"/>
  <c r="BI1284" i="1" s="1"/>
  <c r="AG1284" i="1" s="1"/>
  <c r="AO1284" i="1"/>
  <c r="H1284" i="1" s="1"/>
  <c r="AK1284" i="1"/>
  <c r="AJ1284" i="1"/>
  <c r="AH1284" i="1"/>
  <c r="AE1284" i="1"/>
  <c r="AD1284" i="1"/>
  <c r="AC1284" i="1"/>
  <c r="AB1284" i="1"/>
  <c r="Z1284" i="1"/>
  <c r="J1284" i="1"/>
  <c r="AL1284" i="1" s="1"/>
  <c r="BJ1283" i="1"/>
  <c r="BF1283" i="1"/>
  <c r="BD1283" i="1"/>
  <c r="AP1283" i="1"/>
  <c r="AX1283" i="1" s="1"/>
  <c r="AO1283" i="1"/>
  <c r="H1283" i="1" s="1"/>
  <c r="AK1283" i="1"/>
  <c r="AJ1283" i="1"/>
  <c r="AH1283" i="1"/>
  <c r="AE1283" i="1"/>
  <c r="AD1283" i="1"/>
  <c r="AC1283" i="1"/>
  <c r="AB1283" i="1"/>
  <c r="Z1283" i="1"/>
  <c r="J1283" i="1"/>
  <c r="AL1283" i="1" s="1"/>
  <c r="BJ1281" i="1"/>
  <c r="BF1281" i="1"/>
  <c r="BD1281" i="1"/>
  <c r="AP1281" i="1"/>
  <c r="AO1281" i="1"/>
  <c r="AW1281" i="1" s="1"/>
  <c r="AK1281" i="1"/>
  <c r="AJ1281" i="1"/>
  <c r="AH1281" i="1"/>
  <c r="AE1281" i="1"/>
  <c r="AD1281" i="1"/>
  <c r="AC1281" i="1"/>
  <c r="AB1281" i="1"/>
  <c r="Z1281" i="1"/>
  <c r="J1281" i="1"/>
  <c r="AL1281" i="1" s="1"/>
  <c r="BJ1279" i="1"/>
  <c r="BF1279" i="1"/>
  <c r="BD1279" i="1"/>
  <c r="AP1279" i="1"/>
  <c r="AX1279" i="1" s="1"/>
  <c r="AO1279" i="1"/>
  <c r="BH1279" i="1" s="1"/>
  <c r="AF1279" i="1" s="1"/>
  <c r="AK1279" i="1"/>
  <c r="AJ1279" i="1"/>
  <c r="AH1279" i="1"/>
  <c r="AE1279" i="1"/>
  <c r="AD1279" i="1"/>
  <c r="AC1279" i="1"/>
  <c r="AB1279" i="1"/>
  <c r="Z1279" i="1"/>
  <c r="J1279" i="1"/>
  <c r="AL1279" i="1" s="1"/>
  <c r="BJ1278" i="1"/>
  <c r="BF1278" i="1"/>
  <c r="BD1278" i="1"/>
  <c r="AP1278" i="1"/>
  <c r="BI1278" i="1" s="1"/>
  <c r="AG1278" i="1" s="1"/>
  <c r="AO1278" i="1"/>
  <c r="AW1278" i="1" s="1"/>
  <c r="AK1278" i="1"/>
  <c r="AJ1278" i="1"/>
  <c r="AH1278" i="1"/>
  <c r="AE1278" i="1"/>
  <c r="AD1278" i="1"/>
  <c r="AC1278" i="1"/>
  <c r="AB1278" i="1"/>
  <c r="Z1278" i="1"/>
  <c r="J1278" i="1"/>
  <c r="BJ1277" i="1"/>
  <c r="BF1277" i="1"/>
  <c r="BD1277" i="1"/>
  <c r="AP1277" i="1"/>
  <c r="AO1277" i="1"/>
  <c r="H1277" i="1" s="1"/>
  <c r="AK1277" i="1"/>
  <c r="AJ1277" i="1"/>
  <c r="AH1277" i="1"/>
  <c r="AE1277" i="1"/>
  <c r="AD1277" i="1"/>
  <c r="AC1277" i="1"/>
  <c r="AB1277" i="1"/>
  <c r="Z1277" i="1"/>
  <c r="J1277" i="1"/>
  <c r="AL1277" i="1" s="1"/>
  <c r="BJ1276" i="1"/>
  <c r="BF1276" i="1"/>
  <c r="BD1276" i="1"/>
  <c r="AP1276" i="1"/>
  <c r="I1276" i="1" s="1"/>
  <c r="AO1276" i="1"/>
  <c r="AK1276" i="1"/>
  <c r="AJ1276" i="1"/>
  <c r="AH1276" i="1"/>
  <c r="AE1276" i="1"/>
  <c r="AD1276" i="1"/>
  <c r="AC1276" i="1"/>
  <c r="AB1276" i="1"/>
  <c r="Z1276" i="1"/>
  <c r="J1276" i="1"/>
  <c r="AL1276" i="1" s="1"/>
  <c r="BJ1275" i="1"/>
  <c r="BF1275" i="1"/>
  <c r="BD1275" i="1"/>
  <c r="AP1275" i="1"/>
  <c r="AX1275" i="1" s="1"/>
  <c r="AO1275" i="1"/>
  <c r="BH1275" i="1" s="1"/>
  <c r="AF1275" i="1" s="1"/>
  <c r="AK1275" i="1"/>
  <c r="AJ1275" i="1"/>
  <c r="AH1275" i="1"/>
  <c r="AE1275" i="1"/>
  <c r="AD1275" i="1"/>
  <c r="AC1275" i="1"/>
  <c r="AB1275" i="1"/>
  <c r="Z1275" i="1"/>
  <c r="J1275" i="1"/>
  <c r="AL1275" i="1" s="1"/>
  <c r="BJ1273" i="1"/>
  <c r="BF1273" i="1"/>
  <c r="BD1273" i="1"/>
  <c r="AP1273" i="1"/>
  <c r="BI1273" i="1" s="1"/>
  <c r="AC1273" i="1" s="1"/>
  <c r="AO1273" i="1"/>
  <c r="AK1273" i="1"/>
  <c r="AJ1273" i="1"/>
  <c r="AH1273" i="1"/>
  <c r="AG1273" i="1"/>
  <c r="AF1273" i="1"/>
  <c r="AE1273" i="1"/>
  <c r="AD1273" i="1"/>
  <c r="Z1273" i="1"/>
  <c r="J1273" i="1"/>
  <c r="AL1273" i="1" s="1"/>
  <c r="BJ1271" i="1"/>
  <c r="BF1271" i="1"/>
  <c r="BD1271" i="1"/>
  <c r="AP1271" i="1"/>
  <c r="AO1271" i="1"/>
  <c r="H1271" i="1" s="1"/>
  <c r="AK1271" i="1"/>
  <c r="AJ1271" i="1"/>
  <c r="AH1271" i="1"/>
  <c r="AE1271" i="1"/>
  <c r="AD1271" i="1"/>
  <c r="AC1271" i="1"/>
  <c r="AB1271" i="1"/>
  <c r="Z1271" i="1"/>
  <c r="J1271" i="1"/>
  <c r="AL1271" i="1" s="1"/>
  <c r="BJ1269" i="1"/>
  <c r="BF1269" i="1"/>
  <c r="BD1269" i="1"/>
  <c r="AP1269" i="1"/>
  <c r="I1269" i="1" s="1"/>
  <c r="AO1269" i="1"/>
  <c r="AW1269" i="1" s="1"/>
  <c r="AK1269" i="1"/>
  <c r="AJ1269" i="1"/>
  <c r="AH1269" i="1"/>
  <c r="AE1269" i="1"/>
  <c r="AD1269" i="1"/>
  <c r="AC1269" i="1"/>
  <c r="AB1269" i="1"/>
  <c r="Z1269" i="1"/>
  <c r="J1269" i="1"/>
  <c r="AL1269" i="1" s="1"/>
  <c r="BJ1268" i="1"/>
  <c r="BF1268" i="1"/>
  <c r="BD1268" i="1"/>
  <c r="AP1268" i="1"/>
  <c r="AX1268" i="1" s="1"/>
  <c r="AO1268" i="1"/>
  <c r="BH1268" i="1" s="1"/>
  <c r="AF1268" i="1" s="1"/>
  <c r="AK1268" i="1"/>
  <c r="AJ1268" i="1"/>
  <c r="AH1268" i="1"/>
  <c r="AE1268" i="1"/>
  <c r="AD1268" i="1"/>
  <c r="AC1268" i="1"/>
  <c r="AB1268" i="1"/>
  <c r="Z1268" i="1"/>
  <c r="J1268" i="1"/>
  <c r="AL1268" i="1" s="1"/>
  <c r="BJ1266" i="1"/>
  <c r="BF1266" i="1"/>
  <c r="BD1266" i="1"/>
  <c r="AP1266" i="1"/>
  <c r="BI1266" i="1" s="1"/>
  <c r="AG1266" i="1" s="1"/>
  <c r="AO1266" i="1"/>
  <c r="AW1266" i="1" s="1"/>
  <c r="AK1266" i="1"/>
  <c r="AJ1266" i="1"/>
  <c r="AH1266" i="1"/>
  <c r="AE1266" i="1"/>
  <c r="AD1266" i="1"/>
  <c r="AC1266" i="1"/>
  <c r="AB1266" i="1"/>
  <c r="Z1266" i="1"/>
  <c r="J1266" i="1"/>
  <c r="AL1266" i="1" s="1"/>
  <c r="BJ1264" i="1"/>
  <c r="BF1264" i="1"/>
  <c r="BD1264" i="1"/>
  <c r="AP1264" i="1"/>
  <c r="AX1264" i="1" s="1"/>
  <c r="AO1264" i="1"/>
  <c r="H1264" i="1" s="1"/>
  <c r="AK1264" i="1"/>
  <c r="AJ1264" i="1"/>
  <c r="AH1264" i="1"/>
  <c r="AE1264" i="1"/>
  <c r="AD1264" i="1"/>
  <c r="AC1264" i="1"/>
  <c r="AB1264" i="1"/>
  <c r="Z1264" i="1"/>
  <c r="J1264" i="1"/>
  <c r="AL1264" i="1" s="1"/>
  <c r="BJ1262" i="1"/>
  <c r="BF1262" i="1"/>
  <c r="BD1262" i="1"/>
  <c r="AP1262" i="1"/>
  <c r="I1262" i="1" s="1"/>
  <c r="AO1262" i="1"/>
  <c r="AK1262" i="1"/>
  <c r="AJ1262" i="1"/>
  <c r="AH1262" i="1"/>
  <c r="AE1262" i="1"/>
  <c r="AD1262" i="1"/>
  <c r="AC1262" i="1"/>
  <c r="AB1262" i="1"/>
  <c r="Z1262" i="1"/>
  <c r="J1262" i="1"/>
  <c r="AL1262" i="1" s="1"/>
  <c r="BJ1260" i="1"/>
  <c r="BF1260" i="1"/>
  <c r="BD1260" i="1"/>
  <c r="AP1260" i="1"/>
  <c r="AO1260" i="1"/>
  <c r="BH1260" i="1" s="1"/>
  <c r="AF1260" i="1" s="1"/>
  <c r="AK1260" i="1"/>
  <c r="AJ1260" i="1"/>
  <c r="AH1260" i="1"/>
  <c r="AE1260" i="1"/>
  <c r="AD1260" i="1"/>
  <c r="AC1260" i="1"/>
  <c r="AB1260" i="1"/>
  <c r="Z1260" i="1"/>
  <c r="J1260" i="1"/>
  <c r="AL1260" i="1" s="1"/>
  <c r="BJ1258" i="1"/>
  <c r="BF1258" i="1"/>
  <c r="BD1258" i="1"/>
  <c r="AP1258" i="1"/>
  <c r="BI1258" i="1" s="1"/>
  <c r="AG1258" i="1" s="1"/>
  <c r="AO1258" i="1"/>
  <c r="BH1258" i="1" s="1"/>
  <c r="AF1258" i="1" s="1"/>
  <c r="AK1258" i="1"/>
  <c r="AJ1258" i="1"/>
  <c r="AH1258" i="1"/>
  <c r="AE1258" i="1"/>
  <c r="AD1258" i="1"/>
  <c r="AC1258" i="1"/>
  <c r="AB1258" i="1"/>
  <c r="Z1258" i="1"/>
  <c r="J1258" i="1"/>
  <c r="AL1258" i="1" s="1"/>
  <c r="BJ1256" i="1"/>
  <c r="BF1256" i="1"/>
  <c r="BD1256" i="1"/>
  <c r="AP1256" i="1"/>
  <c r="AO1256" i="1"/>
  <c r="BH1256" i="1" s="1"/>
  <c r="AF1256" i="1" s="1"/>
  <c r="AK1256" i="1"/>
  <c r="AJ1256" i="1"/>
  <c r="AH1256" i="1"/>
  <c r="AE1256" i="1"/>
  <c r="AD1256" i="1"/>
  <c r="AC1256" i="1"/>
  <c r="AB1256" i="1"/>
  <c r="Z1256" i="1"/>
  <c r="J1256" i="1"/>
  <c r="AL1256" i="1" s="1"/>
  <c r="BJ1254" i="1"/>
  <c r="BF1254" i="1"/>
  <c r="BD1254" i="1"/>
  <c r="AP1254" i="1"/>
  <c r="AO1254" i="1"/>
  <c r="AW1254" i="1" s="1"/>
  <c r="AK1254" i="1"/>
  <c r="AJ1254" i="1"/>
  <c r="AH1254" i="1"/>
  <c r="AE1254" i="1"/>
  <c r="AD1254" i="1"/>
  <c r="AC1254" i="1"/>
  <c r="AB1254" i="1"/>
  <c r="Z1254" i="1"/>
  <c r="J1254" i="1"/>
  <c r="AL1254" i="1" s="1"/>
  <c r="BJ1253" i="1"/>
  <c r="BF1253" i="1"/>
  <c r="BD1253" i="1"/>
  <c r="AP1253" i="1"/>
  <c r="AX1253" i="1" s="1"/>
  <c r="AO1253" i="1"/>
  <c r="AK1253" i="1"/>
  <c r="AJ1253" i="1"/>
  <c r="AH1253" i="1"/>
  <c r="AE1253" i="1"/>
  <c r="AD1253" i="1"/>
  <c r="AC1253" i="1"/>
  <c r="AB1253" i="1"/>
  <c r="Z1253" i="1"/>
  <c r="J1253" i="1"/>
  <c r="AL1253" i="1" s="1"/>
  <c r="BJ1252" i="1"/>
  <c r="BF1252" i="1"/>
  <c r="BD1252" i="1"/>
  <c r="AP1252" i="1"/>
  <c r="AO1252" i="1"/>
  <c r="AK1252" i="1"/>
  <c r="AJ1252" i="1"/>
  <c r="AH1252" i="1"/>
  <c r="AG1252" i="1"/>
  <c r="AF1252" i="1"/>
  <c r="AE1252" i="1"/>
  <c r="AD1252" i="1"/>
  <c r="Z1252" i="1"/>
  <c r="J1252" i="1"/>
  <c r="AL1252" i="1" s="1"/>
  <c r="BJ1250" i="1"/>
  <c r="BF1250" i="1"/>
  <c r="BD1250" i="1"/>
  <c r="AP1250" i="1"/>
  <c r="AO1250" i="1"/>
  <c r="AK1250" i="1"/>
  <c r="AJ1250" i="1"/>
  <c r="AH1250" i="1"/>
  <c r="AE1250" i="1"/>
  <c r="AD1250" i="1"/>
  <c r="AC1250" i="1"/>
  <c r="AB1250" i="1"/>
  <c r="Z1250" i="1"/>
  <c r="J1250" i="1"/>
  <c r="AL1250" i="1" s="1"/>
  <c r="BJ1249" i="1"/>
  <c r="BF1249" i="1"/>
  <c r="BD1249" i="1"/>
  <c r="AP1249" i="1"/>
  <c r="AO1249" i="1"/>
  <c r="AK1249" i="1"/>
  <c r="AJ1249" i="1"/>
  <c r="AH1249" i="1"/>
  <c r="AE1249" i="1"/>
  <c r="AD1249" i="1"/>
  <c r="AC1249" i="1"/>
  <c r="AB1249" i="1"/>
  <c r="Z1249" i="1"/>
  <c r="J1249" i="1"/>
  <c r="AL1249" i="1" s="1"/>
  <c r="BJ1247" i="1"/>
  <c r="BF1247" i="1"/>
  <c r="BD1247" i="1"/>
  <c r="AP1247" i="1"/>
  <c r="AO1247" i="1"/>
  <c r="AK1247" i="1"/>
  <c r="AJ1247" i="1"/>
  <c r="AH1247" i="1"/>
  <c r="AE1247" i="1"/>
  <c r="AD1247" i="1"/>
  <c r="AC1247" i="1"/>
  <c r="AB1247" i="1"/>
  <c r="Z1247" i="1"/>
  <c r="J1247" i="1"/>
  <c r="AL1247" i="1" s="1"/>
  <c r="BJ1245" i="1"/>
  <c r="BF1245" i="1"/>
  <c r="BD1245" i="1"/>
  <c r="AP1245" i="1"/>
  <c r="AO1245" i="1"/>
  <c r="AK1245" i="1"/>
  <c r="AJ1245" i="1"/>
  <c r="AH1245" i="1"/>
  <c r="AE1245" i="1"/>
  <c r="AD1245" i="1"/>
  <c r="AC1245" i="1"/>
  <c r="AB1245" i="1"/>
  <c r="Z1245" i="1"/>
  <c r="J1245" i="1"/>
  <c r="AL1245" i="1" s="1"/>
  <c r="BJ1244" i="1"/>
  <c r="BF1244" i="1"/>
  <c r="BD1244" i="1"/>
  <c r="AP1244" i="1"/>
  <c r="AO1244" i="1"/>
  <c r="AK1244" i="1"/>
  <c r="AJ1244" i="1"/>
  <c r="AH1244" i="1"/>
  <c r="AE1244" i="1"/>
  <c r="AD1244" i="1"/>
  <c r="AC1244" i="1"/>
  <c r="AB1244" i="1"/>
  <c r="Z1244" i="1"/>
  <c r="J1244" i="1"/>
  <c r="AL1244" i="1" s="1"/>
  <c r="BJ1243" i="1"/>
  <c r="BF1243" i="1"/>
  <c r="BD1243" i="1"/>
  <c r="AP1243" i="1"/>
  <c r="BI1243" i="1" s="1"/>
  <c r="AG1243" i="1" s="1"/>
  <c r="AO1243" i="1"/>
  <c r="H1243" i="1" s="1"/>
  <c r="AK1243" i="1"/>
  <c r="AJ1243" i="1"/>
  <c r="AH1243" i="1"/>
  <c r="AE1243" i="1"/>
  <c r="AD1243" i="1"/>
  <c r="AC1243" i="1"/>
  <c r="AB1243" i="1"/>
  <c r="Z1243" i="1"/>
  <c r="J1243" i="1"/>
  <c r="AL1243" i="1" s="1"/>
  <c r="BJ1242" i="1"/>
  <c r="BF1242" i="1"/>
  <c r="BD1242" i="1"/>
  <c r="AP1242" i="1"/>
  <c r="AO1242" i="1"/>
  <c r="BH1242" i="1" s="1"/>
  <c r="AF1242" i="1" s="1"/>
  <c r="AK1242" i="1"/>
  <c r="AJ1242" i="1"/>
  <c r="AH1242" i="1"/>
  <c r="AE1242" i="1"/>
  <c r="AD1242" i="1"/>
  <c r="AC1242" i="1"/>
  <c r="AB1242" i="1"/>
  <c r="Z1242" i="1"/>
  <c r="J1242" i="1"/>
  <c r="AL1242" i="1" s="1"/>
  <c r="H1242" i="1"/>
  <c r="BJ1241" i="1"/>
  <c r="BF1241" i="1"/>
  <c r="BD1241" i="1"/>
  <c r="AP1241" i="1"/>
  <c r="BI1241" i="1" s="1"/>
  <c r="AG1241" i="1" s="1"/>
  <c r="AO1241" i="1"/>
  <c r="AK1241" i="1"/>
  <c r="AJ1241" i="1"/>
  <c r="AH1241" i="1"/>
  <c r="AE1241" i="1"/>
  <c r="AD1241" i="1"/>
  <c r="AC1241" i="1"/>
  <c r="AB1241" i="1"/>
  <c r="Z1241" i="1"/>
  <c r="J1241" i="1"/>
  <c r="AL1241" i="1" s="1"/>
  <c r="BJ1239" i="1"/>
  <c r="BF1239" i="1"/>
  <c r="BD1239" i="1"/>
  <c r="AP1239" i="1"/>
  <c r="AO1239" i="1"/>
  <c r="BH1239" i="1" s="1"/>
  <c r="AF1239" i="1" s="1"/>
  <c r="AK1239" i="1"/>
  <c r="AJ1239" i="1"/>
  <c r="AH1239" i="1"/>
  <c r="AE1239" i="1"/>
  <c r="AD1239" i="1"/>
  <c r="AC1239" i="1"/>
  <c r="AB1239" i="1"/>
  <c r="Z1239" i="1"/>
  <c r="J1239" i="1"/>
  <c r="AL1239" i="1" s="1"/>
  <c r="BJ1237" i="1"/>
  <c r="BF1237" i="1"/>
  <c r="BD1237" i="1"/>
  <c r="AP1237" i="1"/>
  <c r="BI1237" i="1" s="1"/>
  <c r="AG1237" i="1" s="1"/>
  <c r="AO1237" i="1"/>
  <c r="BH1237" i="1" s="1"/>
  <c r="AF1237" i="1" s="1"/>
  <c r="AK1237" i="1"/>
  <c r="AJ1237" i="1"/>
  <c r="AH1237" i="1"/>
  <c r="AE1237" i="1"/>
  <c r="AD1237" i="1"/>
  <c r="AC1237" i="1"/>
  <c r="AB1237" i="1"/>
  <c r="Z1237" i="1"/>
  <c r="J1237" i="1"/>
  <c r="AL1237" i="1" s="1"/>
  <c r="BJ1236" i="1"/>
  <c r="BF1236" i="1"/>
  <c r="BD1236" i="1"/>
  <c r="AP1236" i="1"/>
  <c r="AO1236" i="1"/>
  <c r="AK1236" i="1"/>
  <c r="AJ1236" i="1"/>
  <c r="AH1236" i="1"/>
  <c r="AE1236" i="1"/>
  <c r="AD1236" i="1"/>
  <c r="AC1236" i="1"/>
  <c r="AB1236" i="1"/>
  <c r="Z1236" i="1"/>
  <c r="J1236" i="1"/>
  <c r="AL1236" i="1" s="1"/>
  <c r="BJ1235" i="1"/>
  <c r="BF1235" i="1"/>
  <c r="BD1235" i="1"/>
  <c r="AP1235" i="1"/>
  <c r="BI1235" i="1" s="1"/>
  <c r="AG1235" i="1" s="1"/>
  <c r="AO1235" i="1"/>
  <c r="AK1235" i="1"/>
  <c r="AJ1235" i="1"/>
  <c r="AH1235" i="1"/>
  <c r="AE1235" i="1"/>
  <c r="AD1235" i="1"/>
  <c r="AC1235" i="1"/>
  <c r="AB1235" i="1"/>
  <c r="Z1235" i="1"/>
  <c r="J1235" i="1"/>
  <c r="AL1235" i="1" s="1"/>
  <c r="BJ1234" i="1"/>
  <c r="BF1234" i="1"/>
  <c r="BD1234" i="1"/>
  <c r="AP1234" i="1"/>
  <c r="AO1234" i="1"/>
  <c r="AW1234" i="1" s="1"/>
  <c r="AK1234" i="1"/>
  <c r="AJ1234" i="1"/>
  <c r="AH1234" i="1"/>
  <c r="AE1234" i="1"/>
  <c r="AD1234" i="1"/>
  <c r="AC1234" i="1"/>
  <c r="AB1234" i="1"/>
  <c r="Z1234" i="1"/>
  <c r="J1234" i="1"/>
  <c r="AL1234" i="1" s="1"/>
  <c r="BJ1233" i="1"/>
  <c r="BF1233" i="1"/>
  <c r="BD1233" i="1"/>
  <c r="AP1233" i="1"/>
  <c r="BI1233" i="1" s="1"/>
  <c r="AG1233" i="1" s="1"/>
  <c r="AO1233" i="1"/>
  <c r="AK1233" i="1"/>
  <c r="AJ1233" i="1"/>
  <c r="AH1233" i="1"/>
  <c r="AE1233" i="1"/>
  <c r="AD1233" i="1"/>
  <c r="AC1233" i="1"/>
  <c r="AB1233" i="1"/>
  <c r="Z1233" i="1"/>
  <c r="J1233" i="1"/>
  <c r="AL1233" i="1" s="1"/>
  <c r="BJ1232" i="1"/>
  <c r="BF1232" i="1"/>
  <c r="BD1232" i="1"/>
  <c r="AP1232" i="1"/>
  <c r="AO1232" i="1"/>
  <c r="H1232" i="1" s="1"/>
  <c r="AK1232" i="1"/>
  <c r="AJ1232" i="1"/>
  <c r="AH1232" i="1"/>
  <c r="AE1232" i="1"/>
  <c r="AD1232" i="1"/>
  <c r="AC1232" i="1"/>
  <c r="AB1232" i="1"/>
  <c r="Z1232" i="1"/>
  <c r="J1232" i="1"/>
  <c r="AL1232" i="1" s="1"/>
  <c r="BJ1231" i="1"/>
  <c r="BF1231" i="1"/>
  <c r="BD1231" i="1"/>
  <c r="AP1231" i="1"/>
  <c r="AO1231" i="1"/>
  <c r="H1231" i="1" s="1"/>
  <c r="AK1231" i="1"/>
  <c r="AJ1231" i="1"/>
  <c r="AH1231" i="1"/>
  <c r="AE1231" i="1"/>
  <c r="AD1231" i="1"/>
  <c r="AC1231" i="1"/>
  <c r="AB1231" i="1"/>
  <c r="Z1231" i="1"/>
  <c r="J1231" i="1"/>
  <c r="AL1231" i="1" s="1"/>
  <c r="BJ1230" i="1"/>
  <c r="BF1230" i="1"/>
  <c r="BD1230" i="1"/>
  <c r="AP1230" i="1"/>
  <c r="AO1230" i="1"/>
  <c r="BH1230" i="1" s="1"/>
  <c r="AF1230" i="1" s="1"/>
  <c r="AK1230" i="1"/>
  <c r="AJ1230" i="1"/>
  <c r="AH1230" i="1"/>
  <c r="AE1230" i="1"/>
  <c r="AD1230" i="1"/>
  <c r="AC1230" i="1"/>
  <c r="AB1230" i="1"/>
  <c r="Z1230" i="1"/>
  <c r="J1230" i="1"/>
  <c r="AL1230" i="1" s="1"/>
  <c r="BJ1229" i="1"/>
  <c r="BF1229" i="1"/>
  <c r="BD1229" i="1"/>
  <c r="AP1229" i="1"/>
  <c r="BI1229" i="1" s="1"/>
  <c r="AG1229" i="1" s="1"/>
  <c r="AO1229" i="1"/>
  <c r="AK1229" i="1"/>
  <c r="AJ1229" i="1"/>
  <c r="AH1229" i="1"/>
  <c r="AE1229" i="1"/>
  <c r="AD1229" i="1"/>
  <c r="AC1229" i="1"/>
  <c r="AB1229" i="1"/>
  <c r="Z1229" i="1"/>
  <c r="J1229" i="1"/>
  <c r="AL1229" i="1" s="1"/>
  <c r="BJ1228" i="1"/>
  <c r="BF1228" i="1"/>
  <c r="BD1228" i="1"/>
  <c r="AP1228" i="1"/>
  <c r="I1228" i="1" s="1"/>
  <c r="AO1228" i="1"/>
  <c r="BH1228" i="1" s="1"/>
  <c r="AF1228" i="1" s="1"/>
  <c r="AK1228" i="1"/>
  <c r="AJ1228" i="1"/>
  <c r="AH1228" i="1"/>
  <c r="AE1228" i="1"/>
  <c r="AD1228" i="1"/>
  <c r="AC1228" i="1"/>
  <c r="AB1228" i="1"/>
  <c r="Z1228" i="1"/>
  <c r="J1228" i="1"/>
  <c r="AL1228" i="1" s="1"/>
  <c r="BJ1227" i="1"/>
  <c r="BF1227" i="1"/>
  <c r="BD1227" i="1"/>
  <c r="AP1227" i="1"/>
  <c r="BI1227" i="1" s="1"/>
  <c r="AG1227" i="1" s="1"/>
  <c r="AO1227" i="1"/>
  <c r="AK1227" i="1"/>
  <c r="AJ1227" i="1"/>
  <c r="AH1227" i="1"/>
  <c r="AE1227" i="1"/>
  <c r="AD1227" i="1"/>
  <c r="AC1227" i="1"/>
  <c r="AB1227" i="1"/>
  <c r="Z1227" i="1"/>
  <c r="J1227" i="1"/>
  <c r="AL1227" i="1" s="1"/>
  <c r="BJ1226" i="1"/>
  <c r="BF1226" i="1"/>
  <c r="BD1226" i="1"/>
  <c r="AP1226" i="1"/>
  <c r="AX1226" i="1" s="1"/>
  <c r="AO1226" i="1"/>
  <c r="BH1226" i="1" s="1"/>
  <c r="AF1226" i="1" s="1"/>
  <c r="AK1226" i="1"/>
  <c r="AJ1226" i="1"/>
  <c r="AH1226" i="1"/>
  <c r="AE1226" i="1"/>
  <c r="AD1226" i="1"/>
  <c r="AC1226" i="1"/>
  <c r="AB1226" i="1"/>
  <c r="Z1226" i="1"/>
  <c r="J1226" i="1"/>
  <c r="AL1226" i="1" s="1"/>
  <c r="BJ1225" i="1"/>
  <c r="BF1225" i="1"/>
  <c r="BD1225" i="1"/>
  <c r="AP1225" i="1"/>
  <c r="BI1225" i="1" s="1"/>
  <c r="AG1225" i="1" s="1"/>
  <c r="AO1225" i="1"/>
  <c r="AK1225" i="1"/>
  <c r="AJ1225" i="1"/>
  <c r="AH1225" i="1"/>
  <c r="AE1225" i="1"/>
  <c r="AD1225" i="1"/>
  <c r="AC1225" i="1"/>
  <c r="AB1225" i="1"/>
  <c r="Z1225" i="1"/>
  <c r="J1225" i="1"/>
  <c r="AL1225" i="1" s="1"/>
  <c r="BJ1222" i="1"/>
  <c r="BF1222" i="1"/>
  <c r="BD1222" i="1"/>
  <c r="AP1222" i="1"/>
  <c r="AO1222" i="1"/>
  <c r="BH1222" i="1" s="1"/>
  <c r="AB1222" i="1" s="1"/>
  <c r="AK1222" i="1"/>
  <c r="AT1221" i="1" s="1"/>
  <c r="AJ1222" i="1"/>
  <c r="AS1221" i="1" s="1"/>
  <c r="AH1222" i="1"/>
  <c r="AG1222" i="1"/>
  <c r="AF1222" i="1"/>
  <c r="AE1222" i="1"/>
  <c r="AD1222" i="1"/>
  <c r="Z1222" i="1"/>
  <c r="J1222" i="1"/>
  <c r="BJ1218" i="1"/>
  <c r="Z1218" i="1" s="1"/>
  <c r="BF1218" i="1"/>
  <c r="BD1218" i="1"/>
  <c r="AP1218" i="1"/>
  <c r="BI1218" i="1" s="1"/>
  <c r="AO1218" i="1"/>
  <c r="H1218" i="1" s="1"/>
  <c r="H1217" i="1" s="1"/>
  <c r="AK1218" i="1"/>
  <c r="AT1217" i="1" s="1"/>
  <c r="AJ1218" i="1"/>
  <c r="AS1217" i="1" s="1"/>
  <c r="AH1218" i="1"/>
  <c r="AG1218" i="1"/>
  <c r="AF1218" i="1"/>
  <c r="AE1218" i="1"/>
  <c r="AD1218" i="1"/>
  <c r="AC1218" i="1"/>
  <c r="AB1218" i="1"/>
  <c r="J1218" i="1"/>
  <c r="BJ1216" i="1"/>
  <c r="BF1216" i="1"/>
  <c r="BD1216" i="1"/>
  <c r="AP1216" i="1"/>
  <c r="AO1216" i="1"/>
  <c r="BH1216" i="1" s="1"/>
  <c r="AB1216" i="1" s="1"/>
  <c r="AK1216" i="1"/>
  <c r="AJ1216" i="1"/>
  <c r="AH1216" i="1"/>
  <c r="AG1216" i="1"/>
  <c r="AF1216" i="1"/>
  <c r="AE1216" i="1"/>
  <c r="AD1216" i="1"/>
  <c r="Z1216" i="1"/>
  <c r="J1216" i="1"/>
  <c r="AL1216" i="1" s="1"/>
  <c r="BJ1215" i="1"/>
  <c r="BF1215" i="1"/>
  <c r="BD1215" i="1"/>
  <c r="AP1215" i="1"/>
  <c r="BI1215" i="1" s="1"/>
  <c r="AC1215" i="1" s="1"/>
  <c r="AO1215" i="1"/>
  <c r="H1215" i="1" s="1"/>
  <c r="AK1215" i="1"/>
  <c r="AJ1215" i="1"/>
  <c r="AH1215" i="1"/>
  <c r="AG1215" i="1"/>
  <c r="AF1215" i="1"/>
  <c r="AE1215" i="1"/>
  <c r="AD1215" i="1"/>
  <c r="Z1215" i="1"/>
  <c r="J1215" i="1"/>
  <c r="AL1215" i="1" s="1"/>
  <c r="BJ1214" i="1"/>
  <c r="BF1214" i="1"/>
  <c r="BD1214" i="1"/>
  <c r="AP1214" i="1"/>
  <c r="I1214" i="1" s="1"/>
  <c r="AO1214" i="1"/>
  <c r="BH1214" i="1" s="1"/>
  <c r="AK1214" i="1"/>
  <c r="AJ1214" i="1"/>
  <c r="AH1214" i="1"/>
  <c r="AG1214" i="1"/>
  <c r="AF1214" i="1"/>
  <c r="AE1214" i="1"/>
  <c r="AD1214" i="1"/>
  <c r="AB1214" i="1"/>
  <c r="Z1214" i="1"/>
  <c r="J1214" i="1"/>
  <c r="AL1214" i="1" s="1"/>
  <c r="BJ1213" i="1"/>
  <c r="BF1213" i="1"/>
  <c r="BD1213" i="1"/>
  <c r="AP1213" i="1"/>
  <c r="AO1213" i="1"/>
  <c r="AK1213" i="1"/>
  <c r="AJ1213" i="1"/>
  <c r="AH1213" i="1"/>
  <c r="AG1213" i="1"/>
  <c r="AF1213" i="1"/>
  <c r="AE1213" i="1"/>
  <c r="AD1213" i="1"/>
  <c r="Z1213" i="1"/>
  <c r="J1213" i="1"/>
  <c r="AL1213" i="1" s="1"/>
  <c r="BJ1212" i="1"/>
  <c r="BF1212" i="1"/>
  <c r="BD1212" i="1"/>
  <c r="AP1212" i="1"/>
  <c r="BI1212" i="1" s="1"/>
  <c r="AC1212" i="1" s="1"/>
  <c r="AO1212" i="1"/>
  <c r="BH1212" i="1" s="1"/>
  <c r="AB1212" i="1" s="1"/>
  <c r="AK1212" i="1"/>
  <c r="AJ1212" i="1"/>
  <c r="AH1212" i="1"/>
  <c r="AG1212" i="1"/>
  <c r="AF1212" i="1"/>
  <c r="AE1212" i="1"/>
  <c r="AD1212" i="1"/>
  <c r="Z1212" i="1"/>
  <c r="J1212" i="1"/>
  <c r="AL1212" i="1" s="1"/>
  <c r="BJ1209" i="1"/>
  <c r="BF1209" i="1"/>
  <c r="BD1209" i="1"/>
  <c r="AP1209" i="1"/>
  <c r="I1209" i="1" s="1"/>
  <c r="AO1209" i="1"/>
  <c r="BH1209" i="1" s="1"/>
  <c r="AB1209" i="1" s="1"/>
  <c r="AK1209" i="1"/>
  <c r="AJ1209" i="1"/>
  <c r="AH1209" i="1"/>
  <c r="AG1209" i="1"/>
  <c r="AF1209" i="1"/>
  <c r="AE1209" i="1"/>
  <c r="AD1209" i="1"/>
  <c r="Z1209" i="1"/>
  <c r="J1209" i="1"/>
  <c r="BJ1208" i="1"/>
  <c r="BF1208" i="1"/>
  <c r="BD1208" i="1"/>
  <c r="AP1208" i="1"/>
  <c r="AO1208" i="1"/>
  <c r="AK1208" i="1"/>
  <c r="AJ1208" i="1"/>
  <c r="AH1208" i="1"/>
  <c r="AG1208" i="1"/>
  <c r="AF1208" i="1"/>
  <c r="AE1208" i="1"/>
  <c r="AD1208" i="1"/>
  <c r="Z1208" i="1"/>
  <c r="J1208" i="1"/>
  <c r="AL1208" i="1" s="1"/>
  <c r="BJ1206" i="1"/>
  <c r="BF1206" i="1"/>
  <c r="BD1206" i="1"/>
  <c r="AP1206" i="1"/>
  <c r="AO1206" i="1"/>
  <c r="AK1206" i="1"/>
  <c r="AJ1206" i="1"/>
  <c r="AH1206" i="1"/>
  <c r="AG1206" i="1"/>
  <c r="AF1206" i="1"/>
  <c r="AE1206" i="1"/>
  <c r="AD1206" i="1"/>
  <c r="Z1206" i="1"/>
  <c r="J1206" i="1"/>
  <c r="AL1206" i="1" s="1"/>
  <c r="BJ1201" i="1"/>
  <c r="BF1201" i="1"/>
  <c r="BD1201" i="1"/>
  <c r="AP1201" i="1"/>
  <c r="BI1201" i="1" s="1"/>
  <c r="AC1201" i="1" s="1"/>
  <c r="AO1201" i="1"/>
  <c r="AW1201" i="1" s="1"/>
  <c r="AK1201" i="1"/>
  <c r="AJ1201" i="1"/>
  <c r="AH1201" i="1"/>
  <c r="AG1201" i="1"/>
  <c r="AF1201" i="1"/>
  <c r="AE1201" i="1"/>
  <c r="AD1201" i="1"/>
  <c r="Z1201" i="1"/>
  <c r="J1201" i="1"/>
  <c r="AL1201" i="1" s="1"/>
  <c r="BJ1200" i="1"/>
  <c r="BF1200" i="1"/>
  <c r="BD1200" i="1"/>
  <c r="AP1200" i="1"/>
  <c r="AO1200" i="1"/>
  <c r="BH1200" i="1" s="1"/>
  <c r="AB1200" i="1" s="1"/>
  <c r="AK1200" i="1"/>
  <c r="AJ1200" i="1"/>
  <c r="AH1200" i="1"/>
  <c r="AG1200" i="1"/>
  <c r="AF1200" i="1"/>
  <c r="AE1200" i="1"/>
  <c r="AD1200" i="1"/>
  <c r="Z1200" i="1"/>
  <c r="J1200" i="1"/>
  <c r="AL1200" i="1" s="1"/>
  <c r="BJ1196" i="1"/>
  <c r="BF1196" i="1"/>
  <c r="BD1196" i="1"/>
  <c r="AP1196" i="1"/>
  <c r="BI1196" i="1" s="1"/>
  <c r="AC1196" i="1" s="1"/>
  <c r="AO1196" i="1"/>
  <c r="AK1196" i="1"/>
  <c r="AJ1196" i="1"/>
  <c r="AH1196" i="1"/>
  <c r="AG1196" i="1"/>
  <c r="AF1196" i="1"/>
  <c r="AE1196" i="1"/>
  <c r="AD1196" i="1"/>
  <c r="Z1196" i="1"/>
  <c r="J1196" i="1"/>
  <c r="AL1196" i="1" s="1"/>
  <c r="BJ1194" i="1"/>
  <c r="BF1194" i="1"/>
  <c r="BD1194" i="1"/>
  <c r="AP1194" i="1"/>
  <c r="AO1194" i="1"/>
  <c r="AK1194" i="1"/>
  <c r="AJ1194" i="1"/>
  <c r="AH1194" i="1"/>
  <c r="AG1194" i="1"/>
  <c r="AF1194" i="1"/>
  <c r="AE1194" i="1"/>
  <c r="AD1194" i="1"/>
  <c r="Z1194" i="1"/>
  <c r="J1194" i="1"/>
  <c r="AL1194" i="1" s="1"/>
  <c r="BJ1190" i="1"/>
  <c r="BF1190" i="1"/>
  <c r="BD1190" i="1"/>
  <c r="AP1190" i="1"/>
  <c r="AO1190" i="1"/>
  <c r="BH1190" i="1" s="1"/>
  <c r="AB1190" i="1" s="1"/>
  <c r="AK1190" i="1"/>
  <c r="AJ1190" i="1"/>
  <c r="AH1190" i="1"/>
  <c r="AG1190" i="1"/>
  <c r="AF1190" i="1"/>
  <c r="AE1190" i="1"/>
  <c r="AD1190" i="1"/>
  <c r="Z1190" i="1"/>
  <c r="J1190" i="1"/>
  <c r="BJ1186" i="1"/>
  <c r="BF1186" i="1"/>
  <c r="BD1186" i="1"/>
  <c r="AP1186" i="1"/>
  <c r="AO1186" i="1"/>
  <c r="BH1186" i="1" s="1"/>
  <c r="AB1186" i="1" s="1"/>
  <c r="AK1186" i="1"/>
  <c r="AT1185" i="1" s="1"/>
  <c r="AJ1186" i="1"/>
  <c r="AS1185" i="1" s="1"/>
  <c r="AH1186" i="1"/>
  <c r="AG1186" i="1"/>
  <c r="AF1186" i="1"/>
  <c r="AE1186" i="1"/>
  <c r="AD1186" i="1"/>
  <c r="Z1186" i="1"/>
  <c r="J1186" i="1"/>
  <c r="J1185" i="1" s="1"/>
  <c r="BJ1182" i="1"/>
  <c r="BF1182" i="1"/>
  <c r="BD1182" i="1"/>
  <c r="AP1182" i="1"/>
  <c r="AO1182" i="1"/>
  <c r="AK1182" i="1"/>
  <c r="AJ1182" i="1"/>
  <c r="AH1182" i="1"/>
  <c r="AG1182" i="1"/>
  <c r="AF1182" i="1"/>
  <c r="AE1182" i="1"/>
  <c r="AD1182" i="1"/>
  <c r="Z1182" i="1"/>
  <c r="J1182" i="1"/>
  <c r="AL1182" i="1" s="1"/>
  <c r="BJ1180" i="1"/>
  <c r="BF1180" i="1"/>
  <c r="BD1180" i="1"/>
  <c r="AP1180" i="1"/>
  <c r="AO1180" i="1"/>
  <c r="AK1180" i="1"/>
  <c r="AJ1180" i="1"/>
  <c r="AH1180" i="1"/>
  <c r="AG1180" i="1"/>
  <c r="AF1180" i="1"/>
  <c r="AE1180" i="1"/>
  <c r="AD1180" i="1"/>
  <c r="Z1180" i="1"/>
  <c r="J1180" i="1"/>
  <c r="AL1180" i="1" s="1"/>
  <c r="BJ1177" i="1"/>
  <c r="BF1177" i="1"/>
  <c r="BD1177" i="1"/>
  <c r="AP1177" i="1"/>
  <c r="BI1177" i="1" s="1"/>
  <c r="AC1177" i="1" s="1"/>
  <c r="AO1177" i="1"/>
  <c r="AK1177" i="1"/>
  <c r="AJ1177" i="1"/>
  <c r="AH1177" i="1"/>
  <c r="AG1177" i="1"/>
  <c r="AF1177" i="1"/>
  <c r="AE1177" i="1"/>
  <c r="AD1177" i="1"/>
  <c r="Z1177" i="1"/>
  <c r="J1177" i="1"/>
  <c r="AL1177" i="1" s="1"/>
  <c r="BJ1175" i="1"/>
  <c r="BF1175" i="1"/>
  <c r="BD1175" i="1"/>
  <c r="AP1175" i="1"/>
  <c r="I1175" i="1" s="1"/>
  <c r="AO1175" i="1"/>
  <c r="AW1175" i="1" s="1"/>
  <c r="AK1175" i="1"/>
  <c r="AJ1175" i="1"/>
  <c r="AH1175" i="1"/>
  <c r="AG1175" i="1"/>
  <c r="AF1175" i="1"/>
  <c r="AE1175" i="1"/>
  <c r="AD1175" i="1"/>
  <c r="Z1175" i="1"/>
  <c r="J1175" i="1"/>
  <c r="AL1175" i="1" s="1"/>
  <c r="BJ1174" i="1"/>
  <c r="BF1174" i="1"/>
  <c r="BD1174" i="1"/>
  <c r="AP1174" i="1"/>
  <c r="AO1174" i="1"/>
  <c r="AK1174" i="1"/>
  <c r="AJ1174" i="1"/>
  <c r="AH1174" i="1"/>
  <c r="AG1174" i="1"/>
  <c r="AF1174" i="1"/>
  <c r="AE1174" i="1"/>
  <c r="AD1174" i="1"/>
  <c r="Z1174" i="1"/>
  <c r="J1174" i="1"/>
  <c r="AL1174" i="1" s="1"/>
  <c r="BJ1173" i="1"/>
  <c r="BF1173" i="1"/>
  <c r="BD1173" i="1"/>
  <c r="AP1173" i="1"/>
  <c r="BI1173" i="1" s="1"/>
  <c r="AC1173" i="1" s="1"/>
  <c r="AO1173" i="1"/>
  <c r="H1173" i="1" s="1"/>
  <c r="AK1173" i="1"/>
  <c r="AJ1173" i="1"/>
  <c r="AH1173" i="1"/>
  <c r="AG1173" i="1"/>
  <c r="AF1173" i="1"/>
  <c r="AE1173" i="1"/>
  <c r="AD1173" i="1"/>
  <c r="Z1173" i="1"/>
  <c r="J1173" i="1"/>
  <c r="AL1173" i="1" s="1"/>
  <c r="BJ1172" i="1"/>
  <c r="BF1172" i="1"/>
  <c r="BD1172" i="1"/>
  <c r="AP1172" i="1"/>
  <c r="I1172" i="1" s="1"/>
  <c r="AO1172" i="1"/>
  <c r="BH1172" i="1" s="1"/>
  <c r="AK1172" i="1"/>
  <c r="AJ1172" i="1"/>
  <c r="AH1172" i="1"/>
  <c r="AG1172" i="1"/>
  <c r="AF1172" i="1"/>
  <c r="AE1172" i="1"/>
  <c r="AD1172" i="1"/>
  <c r="AB1172" i="1"/>
  <c r="Z1172" i="1"/>
  <c r="J1172" i="1"/>
  <c r="AL1172" i="1" s="1"/>
  <c r="BJ1169" i="1"/>
  <c r="BF1169" i="1"/>
  <c r="BD1169" i="1"/>
  <c r="AP1169" i="1"/>
  <c r="AO1169" i="1"/>
  <c r="AK1169" i="1"/>
  <c r="AJ1169" i="1"/>
  <c r="AH1169" i="1"/>
  <c r="AG1169" i="1"/>
  <c r="AF1169" i="1"/>
  <c r="AE1169" i="1"/>
  <c r="AD1169" i="1"/>
  <c r="Z1169" i="1"/>
  <c r="J1169" i="1"/>
  <c r="AL1169" i="1" s="1"/>
  <c r="BJ1166" i="1"/>
  <c r="BF1166" i="1"/>
  <c r="BD1166" i="1"/>
  <c r="AP1166" i="1"/>
  <c r="AO1166" i="1"/>
  <c r="AK1166" i="1"/>
  <c r="AJ1166" i="1"/>
  <c r="AH1166" i="1"/>
  <c r="AG1166" i="1"/>
  <c r="AF1166" i="1"/>
  <c r="AE1166" i="1"/>
  <c r="AD1166" i="1"/>
  <c r="Z1166" i="1"/>
  <c r="J1166" i="1"/>
  <c r="AL1166" i="1" s="1"/>
  <c r="BJ1163" i="1"/>
  <c r="BF1163" i="1"/>
  <c r="BD1163" i="1"/>
  <c r="AP1163" i="1"/>
  <c r="AO1163" i="1"/>
  <c r="H1163" i="1" s="1"/>
  <c r="AK1163" i="1"/>
  <c r="AJ1163" i="1"/>
  <c r="AH1163" i="1"/>
  <c r="AG1163" i="1"/>
  <c r="AF1163" i="1"/>
  <c r="AE1163" i="1"/>
  <c r="AD1163" i="1"/>
  <c r="Z1163" i="1"/>
  <c r="J1163" i="1"/>
  <c r="AL1163" i="1" s="1"/>
  <c r="BJ1161" i="1"/>
  <c r="BF1161" i="1"/>
  <c r="BD1161" i="1"/>
  <c r="AP1161" i="1"/>
  <c r="I1161" i="1" s="1"/>
  <c r="AO1161" i="1"/>
  <c r="BH1161" i="1" s="1"/>
  <c r="AB1161" i="1" s="1"/>
  <c r="AK1161" i="1"/>
  <c r="AJ1161" i="1"/>
  <c r="AH1161" i="1"/>
  <c r="AG1161" i="1"/>
  <c r="AF1161" i="1"/>
  <c r="AE1161" i="1"/>
  <c r="AD1161" i="1"/>
  <c r="Z1161" i="1"/>
  <c r="J1161" i="1"/>
  <c r="AL1161" i="1" s="1"/>
  <c r="BJ1157" i="1"/>
  <c r="BF1157" i="1"/>
  <c r="BD1157" i="1"/>
  <c r="AP1157" i="1"/>
  <c r="AO1157" i="1"/>
  <c r="BH1157" i="1" s="1"/>
  <c r="AF1157" i="1" s="1"/>
  <c r="AK1157" i="1"/>
  <c r="AJ1157" i="1"/>
  <c r="AH1157" i="1"/>
  <c r="AE1157" i="1"/>
  <c r="AD1157" i="1"/>
  <c r="AC1157" i="1"/>
  <c r="AB1157" i="1"/>
  <c r="Z1157" i="1"/>
  <c r="J1157" i="1"/>
  <c r="AL1157" i="1" s="1"/>
  <c r="BJ1156" i="1"/>
  <c r="BF1156" i="1"/>
  <c r="BD1156" i="1"/>
  <c r="AP1156" i="1"/>
  <c r="AO1156" i="1"/>
  <c r="AK1156" i="1"/>
  <c r="AJ1156" i="1"/>
  <c r="AH1156" i="1"/>
  <c r="AE1156" i="1"/>
  <c r="AD1156" i="1"/>
  <c r="AC1156" i="1"/>
  <c r="AB1156" i="1"/>
  <c r="Z1156" i="1"/>
  <c r="J1156" i="1"/>
  <c r="AL1156" i="1" s="1"/>
  <c r="BJ1155" i="1"/>
  <c r="BF1155" i="1"/>
  <c r="BD1155" i="1"/>
  <c r="AP1155" i="1"/>
  <c r="AO1155" i="1"/>
  <c r="AW1155" i="1" s="1"/>
  <c r="AK1155" i="1"/>
  <c r="AJ1155" i="1"/>
  <c r="AH1155" i="1"/>
  <c r="AE1155" i="1"/>
  <c r="AD1155" i="1"/>
  <c r="AC1155" i="1"/>
  <c r="AB1155" i="1"/>
  <c r="Z1155" i="1"/>
  <c r="J1155" i="1"/>
  <c r="AL1155" i="1" s="1"/>
  <c r="BJ1153" i="1"/>
  <c r="BF1153" i="1"/>
  <c r="BD1153" i="1"/>
  <c r="AP1153" i="1"/>
  <c r="AO1153" i="1"/>
  <c r="AK1153" i="1"/>
  <c r="AJ1153" i="1"/>
  <c r="AH1153" i="1"/>
  <c r="AE1153" i="1"/>
  <c r="AD1153" i="1"/>
  <c r="AC1153" i="1"/>
  <c r="AB1153" i="1"/>
  <c r="Z1153" i="1"/>
  <c r="J1153" i="1"/>
  <c r="AL1153" i="1" s="1"/>
  <c r="BJ1151" i="1"/>
  <c r="BF1151" i="1"/>
  <c r="BD1151" i="1"/>
  <c r="AP1151" i="1"/>
  <c r="AO1151" i="1"/>
  <c r="AK1151" i="1"/>
  <c r="AJ1151" i="1"/>
  <c r="AH1151" i="1"/>
  <c r="AE1151" i="1"/>
  <c r="AD1151" i="1"/>
  <c r="AC1151" i="1"/>
  <c r="AB1151" i="1"/>
  <c r="Z1151" i="1"/>
  <c r="J1151" i="1"/>
  <c r="AL1151" i="1" s="1"/>
  <c r="BJ1149" i="1"/>
  <c r="BF1149" i="1"/>
  <c r="BD1149" i="1"/>
  <c r="AP1149" i="1"/>
  <c r="AO1149" i="1"/>
  <c r="AK1149" i="1"/>
  <c r="AJ1149" i="1"/>
  <c r="AH1149" i="1"/>
  <c r="AE1149" i="1"/>
  <c r="AD1149" i="1"/>
  <c r="AC1149" i="1"/>
  <c r="AB1149" i="1"/>
  <c r="Z1149" i="1"/>
  <c r="J1149" i="1"/>
  <c r="AL1149" i="1" s="1"/>
  <c r="BJ1148" i="1"/>
  <c r="BF1148" i="1"/>
  <c r="BD1148" i="1"/>
  <c r="AP1148" i="1"/>
  <c r="I1148" i="1" s="1"/>
  <c r="AO1148" i="1"/>
  <c r="BH1148" i="1" s="1"/>
  <c r="AF1148" i="1" s="1"/>
  <c r="AK1148" i="1"/>
  <c r="AJ1148" i="1"/>
  <c r="AH1148" i="1"/>
  <c r="AE1148" i="1"/>
  <c r="AD1148" i="1"/>
  <c r="AC1148" i="1"/>
  <c r="AB1148" i="1"/>
  <c r="Z1148" i="1"/>
  <c r="J1148" i="1"/>
  <c r="AL1148" i="1" s="1"/>
  <c r="BJ1145" i="1"/>
  <c r="BF1145" i="1"/>
  <c r="BD1145" i="1"/>
  <c r="AP1145" i="1"/>
  <c r="AO1145" i="1"/>
  <c r="H1145" i="1" s="1"/>
  <c r="AK1145" i="1"/>
  <c r="AJ1145" i="1"/>
  <c r="AH1145" i="1"/>
  <c r="AG1145" i="1"/>
  <c r="AF1145" i="1"/>
  <c r="AE1145" i="1"/>
  <c r="AD1145" i="1"/>
  <c r="Z1145" i="1"/>
  <c r="J1145" i="1"/>
  <c r="AL1145" i="1" s="1"/>
  <c r="BJ1143" i="1"/>
  <c r="BF1143" i="1"/>
  <c r="BD1143" i="1"/>
  <c r="AP1143" i="1"/>
  <c r="I1143" i="1" s="1"/>
  <c r="AO1143" i="1"/>
  <c r="BH1143" i="1" s="1"/>
  <c r="AB1143" i="1" s="1"/>
  <c r="AK1143" i="1"/>
  <c r="AJ1143" i="1"/>
  <c r="AH1143" i="1"/>
  <c r="AG1143" i="1"/>
  <c r="AF1143" i="1"/>
  <c r="AE1143" i="1"/>
  <c r="AD1143" i="1"/>
  <c r="Z1143" i="1"/>
  <c r="J1143" i="1"/>
  <c r="BJ1141" i="1"/>
  <c r="BF1141" i="1"/>
  <c r="BD1141" i="1"/>
  <c r="AP1141" i="1"/>
  <c r="AO1141" i="1"/>
  <c r="BH1141" i="1" s="1"/>
  <c r="AB1141" i="1" s="1"/>
  <c r="AK1141" i="1"/>
  <c r="AJ1141" i="1"/>
  <c r="AH1141" i="1"/>
  <c r="AG1141" i="1"/>
  <c r="AF1141" i="1"/>
  <c r="AE1141" i="1"/>
  <c r="AD1141" i="1"/>
  <c r="Z1141" i="1"/>
  <c r="J1141" i="1"/>
  <c r="AL1141" i="1" s="1"/>
  <c r="BJ1139" i="1"/>
  <c r="BF1139" i="1"/>
  <c r="BD1139" i="1"/>
  <c r="AP1139" i="1"/>
  <c r="BI1139" i="1" s="1"/>
  <c r="AC1139" i="1" s="1"/>
  <c r="AO1139" i="1"/>
  <c r="BH1139" i="1" s="1"/>
  <c r="AB1139" i="1" s="1"/>
  <c r="AK1139" i="1"/>
  <c r="AJ1139" i="1"/>
  <c r="AH1139" i="1"/>
  <c r="AG1139" i="1"/>
  <c r="AF1139" i="1"/>
  <c r="AE1139" i="1"/>
  <c r="AD1139" i="1"/>
  <c r="Z1139" i="1"/>
  <c r="J1139" i="1"/>
  <c r="AL1139" i="1" s="1"/>
  <c r="BJ1137" i="1"/>
  <c r="BF1137" i="1"/>
  <c r="BD1137" i="1"/>
  <c r="AP1137" i="1"/>
  <c r="AO1137" i="1"/>
  <c r="AK1137" i="1"/>
  <c r="AJ1137" i="1"/>
  <c r="AH1137" i="1"/>
  <c r="AG1137" i="1"/>
  <c r="AF1137" i="1"/>
  <c r="AE1137" i="1"/>
  <c r="AD1137" i="1"/>
  <c r="Z1137" i="1"/>
  <c r="J1137" i="1"/>
  <c r="AL1137" i="1" s="1"/>
  <c r="BJ1136" i="1"/>
  <c r="BF1136" i="1"/>
  <c r="BD1136" i="1"/>
  <c r="AP1136" i="1"/>
  <c r="AO1136" i="1"/>
  <c r="AW1136" i="1" s="1"/>
  <c r="AK1136" i="1"/>
  <c r="AJ1136" i="1"/>
  <c r="AH1136" i="1"/>
  <c r="AG1136" i="1"/>
  <c r="AF1136" i="1"/>
  <c r="AE1136" i="1"/>
  <c r="AD1136" i="1"/>
  <c r="Z1136" i="1"/>
  <c r="J1136" i="1"/>
  <c r="AL1136" i="1" s="1"/>
  <c r="BJ1134" i="1"/>
  <c r="BF1134" i="1"/>
  <c r="BD1134" i="1"/>
  <c r="AP1134" i="1"/>
  <c r="AO1134" i="1"/>
  <c r="BH1134" i="1" s="1"/>
  <c r="AB1134" i="1" s="1"/>
  <c r="AK1134" i="1"/>
  <c r="AJ1134" i="1"/>
  <c r="AH1134" i="1"/>
  <c r="AG1134" i="1"/>
  <c r="AF1134" i="1"/>
  <c r="AE1134" i="1"/>
  <c r="AD1134" i="1"/>
  <c r="Z1134" i="1"/>
  <c r="J1134" i="1"/>
  <c r="AL1134" i="1" s="1"/>
  <c r="BJ1131" i="1"/>
  <c r="BF1131" i="1"/>
  <c r="BD1131" i="1"/>
  <c r="AP1131" i="1"/>
  <c r="AO1131" i="1"/>
  <c r="AK1131" i="1"/>
  <c r="AJ1131" i="1"/>
  <c r="AH1131" i="1"/>
  <c r="AG1131" i="1"/>
  <c r="AF1131" i="1"/>
  <c r="AC1131" i="1"/>
  <c r="AB1131" i="1"/>
  <c r="Z1131" i="1"/>
  <c r="J1131" i="1"/>
  <c r="AL1131" i="1" s="1"/>
  <c r="BJ1130" i="1"/>
  <c r="BF1130" i="1"/>
  <c r="BD1130" i="1"/>
  <c r="AP1130" i="1"/>
  <c r="AO1130" i="1"/>
  <c r="AK1130" i="1"/>
  <c r="AJ1130" i="1"/>
  <c r="AH1130" i="1"/>
  <c r="AG1130" i="1"/>
  <c r="AF1130" i="1"/>
  <c r="AC1130" i="1"/>
  <c r="AB1130" i="1"/>
  <c r="Z1130" i="1"/>
  <c r="J1130" i="1"/>
  <c r="AL1130" i="1" s="1"/>
  <c r="BJ1127" i="1"/>
  <c r="BF1127" i="1"/>
  <c r="BD1127" i="1"/>
  <c r="AP1127" i="1"/>
  <c r="AO1127" i="1"/>
  <c r="BH1127" i="1" s="1"/>
  <c r="AD1127" i="1" s="1"/>
  <c r="AK1127" i="1"/>
  <c r="AJ1127" i="1"/>
  <c r="AH1127" i="1"/>
  <c r="AG1127" i="1"/>
  <c r="AF1127" i="1"/>
  <c r="AC1127" i="1"/>
  <c r="AB1127" i="1"/>
  <c r="Z1127" i="1"/>
  <c r="J1127" i="1"/>
  <c r="AL1127" i="1" s="1"/>
  <c r="BJ1125" i="1"/>
  <c r="BF1125" i="1"/>
  <c r="BD1125" i="1"/>
  <c r="AP1125" i="1"/>
  <c r="AO1125" i="1"/>
  <c r="AK1125" i="1"/>
  <c r="AJ1125" i="1"/>
  <c r="AH1125" i="1"/>
  <c r="AG1125" i="1"/>
  <c r="AF1125" i="1"/>
  <c r="AC1125" i="1"/>
  <c r="AB1125" i="1"/>
  <c r="Z1125" i="1"/>
  <c r="J1125" i="1"/>
  <c r="AL1125" i="1" s="1"/>
  <c r="BJ1124" i="1"/>
  <c r="BF1124" i="1"/>
  <c r="BD1124" i="1"/>
  <c r="AP1124" i="1"/>
  <c r="AO1124" i="1"/>
  <c r="AK1124" i="1"/>
  <c r="AJ1124" i="1"/>
  <c r="AH1124" i="1"/>
  <c r="AG1124" i="1"/>
  <c r="AF1124" i="1"/>
  <c r="AC1124" i="1"/>
  <c r="AB1124" i="1"/>
  <c r="Z1124" i="1"/>
  <c r="J1124" i="1"/>
  <c r="AL1124" i="1" s="1"/>
  <c r="BJ1120" i="1"/>
  <c r="BF1120" i="1"/>
  <c r="BD1120" i="1"/>
  <c r="AP1120" i="1"/>
  <c r="AO1120" i="1"/>
  <c r="AK1120" i="1"/>
  <c r="AT1119" i="1" s="1"/>
  <c r="AJ1120" i="1"/>
  <c r="AS1119" i="1" s="1"/>
  <c r="AH1120" i="1"/>
  <c r="AG1120" i="1"/>
  <c r="AF1120" i="1"/>
  <c r="AE1120" i="1"/>
  <c r="AD1120" i="1"/>
  <c r="Z1120" i="1"/>
  <c r="J1120" i="1"/>
  <c r="BJ1116" i="1"/>
  <c r="Z1116" i="1" s="1"/>
  <c r="BF1116" i="1"/>
  <c r="BD1116" i="1"/>
  <c r="AP1116" i="1"/>
  <c r="BI1116" i="1" s="1"/>
  <c r="AO1116" i="1"/>
  <c r="AK1116" i="1"/>
  <c r="AJ1116" i="1"/>
  <c r="AH1116" i="1"/>
  <c r="AG1116" i="1"/>
  <c r="AF1116" i="1"/>
  <c r="AE1116" i="1"/>
  <c r="AD1116" i="1"/>
  <c r="AC1116" i="1"/>
  <c r="AB1116" i="1"/>
  <c r="J1116" i="1"/>
  <c r="AL1116" i="1" s="1"/>
  <c r="BJ1111" i="1"/>
  <c r="Z1111" i="1" s="1"/>
  <c r="BF1111" i="1"/>
  <c r="BD1111" i="1"/>
  <c r="AP1111" i="1"/>
  <c r="AO1111" i="1"/>
  <c r="AK1111" i="1"/>
  <c r="AJ1111" i="1"/>
  <c r="AH1111" i="1"/>
  <c r="AG1111" i="1"/>
  <c r="AF1111" i="1"/>
  <c r="AE1111" i="1"/>
  <c r="AD1111" i="1"/>
  <c r="AC1111" i="1"/>
  <c r="AB1111" i="1"/>
  <c r="J1111" i="1"/>
  <c r="AL1111" i="1" s="1"/>
  <c r="BJ1107" i="1"/>
  <c r="Z1107" i="1" s="1"/>
  <c r="BF1107" i="1"/>
  <c r="BD1107" i="1"/>
  <c r="AP1107" i="1"/>
  <c r="BI1107" i="1" s="1"/>
  <c r="AO1107" i="1"/>
  <c r="AK1107" i="1"/>
  <c r="AJ1107" i="1"/>
  <c r="AH1107" i="1"/>
  <c r="AG1107" i="1"/>
  <c r="AF1107" i="1"/>
  <c r="AE1107" i="1"/>
  <c r="AD1107" i="1"/>
  <c r="AC1107" i="1"/>
  <c r="AB1107" i="1"/>
  <c r="J1107" i="1"/>
  <c r="BJ1103" i="1"/>
  <c r="Z1103" i="1" s="1"/>
  <c r="BF1103" i="1"/>
  <c r="BD1103" i="1"/>
  <c r="AP1103" i="1"/>
  <c r="AO1103" i="1"/>
  <c r="AW1103" i="1" s="1"/>
  <c r="AK1103" i="1"/>
  <c r="AJ1103" i="1"/>
  <c r="AH1103" i="1"/>
  <c r="AG1103" i="1"/>
  <c r="AF1103" i="1"/>
  <c r="AE1103" i="1"/>
  <c r="AD1103" i="1"/>
  <c r="AC1103" i="1"/>
  <c r="AB1103" i="1"/>
  <c r="J1103" i="1"/>
  <c r="AL1103" i="1" s="1"/>
  <c r="BJ1099" i="1"/>
  <c r="BF1099" i="1"/>
  <c r="BD1099" i="1"/>
  <c r="AP1099" i="1"/>
  <c r="AO1099" i="1"/>
  <c r="AK1099" i="1"/>
  <c r="AJ1099" i="1"/>
  <c r="AH1099" i="1"/>
  <c r="AG1099" i="1"/>
  <c r="AF1099" i="1"/>
  <c r="AE1099" i="1"/>
  <c r="AD1099" i="1"/>
  <c r="Z1099" i="1"/>
  <c r="J1099" i="1"/>
  <c r="AL1099" i="1" s="1"/>
  <c r="BJ1097" i="1"/>
  <c r="BF1097" i="1"/>
  <c r="BD1097" i="1"/>
  <c r="AP1097" i="1"/>
  <c r="AO1097" i="1"/>
  <c r="AW1097" i="1" s="1"/>
  <c r="AK1097" i="1"/>
  <c r="AJ1097" i="1"/>
  <c r="AH1097" i="1"/>
  <c r="AG1097" i="1"/>
  <c r="AF1097" i="1"/>
  <c r="AE1097" i="1"/>
  <c r="AD1097" i="1"/>
  <c r="Z1097" i="1"/>
  <c r="J1097" i="1"/>
  <c r="AL1097" i="1" s="1"/>
  <c r="BJ1095" i="1"/>
  <c r="BF1095" i="1"/>
  <c r="BD1095" i="1"/>
  <c r="AP1095" i="1"/>
  <c r="AO1095" i="1"/>
  <c r="BH1095" i="1" s="1"/>
  <c r="AF1095" i="1" s="1"/>
  <c r="AK1095" i="1"/>
  <c r="AJ1095" i="1"/>
  <c r="AH1095" i="1"/>
  <c r="AE1095" i="1"/>
  <c r="AD1095" i="1"/>
  <c r="AC1095" i="1"/>
  <c r="AB1095" i="1"/>
  <c r="Z1095" i="1"/>
  <c r="J1095" i="1"/>
  <c r="AL1095" i="1" s="1"/>
  <c r="BJ1094" i="1"/>
  <c r="BF1094" i="1"/>
  <c r="BD1094" i="1"/>
  <c r="AP1094" i="1"/>
  <c r="AO1094" i="1"/>
  <c r="AK1094" i="1"/>
  <c r="AJ1094" i="1"/>
  <c r="AH1094" i="1"/>
  <c r="AG1094" i="1"/>
  <c r="AF1094" i="1"/>
  <c r="AE1094" i="1"/>
  <c r="AD1094" i="1"/>
  <c r="Z1094" i="1"/>
  <c r="J1094" i="1"/>
  <c r="AL1094" i="1" s="1"/>
  <c r="BJ1086" i="1"/>
  <c r="BF1086" i="1"/>
  <c r="BD1086" i="1"/>
  <c r="AP1086" i="1"/>
  <c r="BI1086" i="1" s="1"/>
  <c r="AC1086" i="1" s="1"/>
  <c r="AO1086" i="1"/>
  <c r="H1086" i="1" s="1"/>
  <c r="AK1086" i="1"/>
  <c r="AJ1086" i="1"/>
  <c r="AH1086" i="1"/>
  <c r="AG1086" i="1"/>
  <c r="AF1086" i="1"/>
  <c r="AE1086" i="1"/>
  <c r="AD1086" i="1"/>
  <c r="Z1086" i="1"/>
  <c r="J1086" i="1"/>
  <c r="BJ1080" i="1"/>
  <c r="BF1080" i="1"/>
  <c r="BD1080" i="1"/>
  <c r="AP1080" i="1"/>
  <c r="BI1080" i="1" s="1"/>
  <c r="AC1080" i="1" s="1"/>
  <c r="AO1080" i="1"/>
  <c r="BH1080" i="1" s="1"/>
  <c r="AB1080" i="1" s="1"/>
  <c r="AK1080" i="1"/>
  <c r="AT1079" i="1" s="1"/>
  <c r="AJ1080" i="1"/>
  <c r="AS1079" i="1" s="1"/>
  <c r="AH1080" i="1"/>
  <c r="AG1080" i="1"/>
  <c r="AF1080" i="1"/>
  <c r="AE1080" i="1"/>
  <c r="AD1080" i="1"/>
  <c r="Z1080" i="1"/>
  <c r="J1080" i="1"/>
  <c r="BJ1074" i="1"/>
  <c r="BF1074" i="1"/>
  <c r="BD1074" i="1"/>
  <c r="AP1074" i="1"/>
  <c r="AO1074" i="1"/>
  <c r="AK1074" i="1"/>
  <c r="AJ1074" i="1"/>
  <c r="AH1074" i="1"/>
  <c r="AG1074" i="1"/>
  <c r="AF1074" i="1"/>
  <c r="AE1074" i="1"/>
  <c r="AD1074" i="1"/>
  <c r="Z1074" i="1"/>
  <c r="J1074" i="1"/>
  <c r="AL1074" i="1" s="1"/>
  <c r="BJ1071" i="1"/>
  <c r="BF1071" i="1"/>
  <c r="BD1071" i="1"/>
  <c r="AP1071" i="1"/>
  <c r="BI1071" i="1" s="1"/>
  <c r="AC1071" i="1" s="1"/>
  <c r="AO1071" i="1"/>
  <c r="BH1071" i="1" s="1"/>
  <c r="AB1071" i="1" s="1"/>
  <c r="AK1071" i="1"/>
  <c r="AJ1071" i="1"/>
  <c r="AH1071" i="1"/>
  <c r="AG1071" i="1"/>
  <c r="AF1071" i="1"/>
  <c r="AE1071" i="1"/>
  <c r="AD1071" i="1"/>
  <c r="Z1071" i="1"/>
  <c r="J1071" i="1"/>
  <c r="BJ1066" i="1"/>
  <c r="BF1066" i="1"/>
  <c r="BD1066" i="1"/>
  <c r="AP1066" i="1"/>
  <c r="AX1066" i="1" s="1"/>
  <c r="AO1066" i="1"/>
  <c r="BH1066" i="1" s="1"/>
  <c r="AB1066" i="1" s="1"/>
  <c r="AK1066" i="1"/>
  <c r="AJ1066" i="1"/>
  <c r="AH1066" i="1"/>
  <c r="AG1066" i="1"/>
  <c r="AF1066" i="1"/>
  <c r="AE1066" i="1"/>
  <c r="AD1066" i="1"/>
  <c r="Z1066" i="1"/>
  <c r="J1066" i="1"/>
  <c r="AL1066" i="1" s="1"/>
  <c r="BJ1058" i="1"/>
  <c r="BF1058" i="1"/>
  <c r="BD1058" i="1"/>
  <c r="AP1058" i="1"/>
  <c r="AO1058" i="1"/>
  <c r="AW1058" i="1" s="1"/>
  <c r="AK1058" i="1"/>
  <c r="AJ1058" i="1"/>
  <c r="AH1058" i="1"/>
  <c r="AG1058" i="1"/>
  <c r="AF1058" i="1"/>
  <c r="AE1058" i="1"/>
  <c r="AD1058" i="1"/>
  <c r="Z1058" i="1"/>
  <c r="J1058" i="1"/>
  <c r="AL1058" i="1" s="1"/>
  <c r="BJ1053" i="1"/>
  <c r="BF1053" i="1"/>
  <c r="BD1053" i="1"/>
  <c r="AP1053" i="1"/>
  <c r="BI1053" i="1" s="1"/>
  <c r="AC1053" i="1" s="1"/>
  <c r="AO1053" i="1"/>
  <c r="H1053" i="1" s="1"/>
  <c r="AK1053" i="1"/>
  <c r="AJ1053" i="1"/>
  <c r="AH1053" i="1"/>
  <c r="AG1053" i="1"/>
  <c r="AF1053" i="1"/>
  <c r="AE1053" i="1"/>
  <c r="AD1053" i="1"/>
  <c r="Z1053" i="1"/>
  <c r="J1053" i="1"/>
  <c r="AL1053" i="1" s="1"/>
  <c r="BJ1049" i="1"/>
  <c r="BF1049" i="1"/>
  <c r="BD1049" i="1"/>
  <c r="AP1049" i="1"/>
  <c r="I1049" i="1" s="1"/>
  <c r="AO1049" i="1"/>
  <c r="BH1049" i="1" s="1"/>
  <c r="AK1049" i="1"/>
  <c r="AJ1049" i="1"/>
  <c r="AH1049" i="1"/>
  <c r="AG1049" i="1"/>
  <c r="AF1049" i="1"/>
  <c r="AE1049" i="1"/>
  <c r="AD1049" i="1"/>
  <c r="AB1049" i="1"/>
  <c r="Z1049" i="1"/>
  <c r="J1049" i="1"/>
  <c r="AL1049" i="1" s="1"/>
  <c r="BJ1048" i="1"/>
  <c r="BF1048" i="1"/>
  <c r="BD1048" i="1"/>
  <c r="AP1048" i="1"/>
  <c r="AO1048" i="1"/>
  <c r="AK1048" i="1"/>
  <c r="AJ1048" i="1"/>
  <c r="AH1048" i="1"/>
  <c r="AG1048" i="1"/>
  <c r="AF1048" i="1"/>
  <c r="AE1048" i="1"/>
  <c r="AD1048" i="1"/>
  <c r="Z1048" i="1"/>
  <c r="J1048" i="1"/>
  <c r="AL1048" i="1" s="1"/>
  <c r="BJ1046" i="1"/>
  <c r="BF1046" i="1"/>
  <c r="BD1046" i="1"/>
  <c r="AP1046" i="1"/>
  <c r="BI1046" i="1" s="1"/>
  <c r="AC1046" i="1" s="1"/>
  <c r="AO1046" i="1"/>
  <c r="BH1046" i="1" s="1"/>
  <c r="AB1046" i="1" s="1"/>
  <c r="AK1046" i="1"/>
  <c r="AJ1046" i="1"/>
  <c r="AH1046" i="1"/>
  <c r="AG1046" i="1"/>
  <c r="AF1046" i="1"/>
  <c r="AE1046" i="1"/>
  <c r="AD1046" i="1"/>
  <c r="Z1046" i="1"/>
  <c r="J1046" i="1"/>
  <c r="AL1046" i="1" s="1"/>
  <c r="BJ1044" i="1"/>
  <c r="BF1044" i="1"/>
  <c r="BD1044" i="1"/>
  <c r="AP1044" i="1"/>
  <c r="AO1044" i="1"/>
  <c r="BH1044" i="1" s="1"/>
  <c r="AB1044" i="1" s="1"/>
  <c r="AK1044" i="1"/>
  <c r="AJ1044" i="1"/>
  <c r="AH1044" i="1"/>
  <c r="AG1044" i="1"/>
  <c r="AF1044" i="1"/>
  <c r="AE1044" i="1"/>
  <c r="AD1044" i="1"/>
  <c r="Z1044" i="1"/>
  <c r="J1044" i="1"/>
  <c r="AL1044" i="1" s="1"/>
  <c r="BJ1042" i="1"/>
  <c r="BF1042" i="1"/>
  <c r="BD1042" i="1"/>
  <c r="AP1042" i="1"/>
  <c r="AO1042" i="1"/>
  <c r="AK1042" i="1"/>
  <c r="AJ1042" i="1"/>
  <c r="AH1042" i="1"/>
  <c r="AG1042" i="1"/>
  <c r="AF1042" i="1"/>
  <c r="AE1042" i="1"/>
  <c r="AD1042" i="1"/>
  <c r="Z1042" i="1"/>
  <c r="J1042" i="1"/>
  <c r="AL1042" i="1" s="1"/>
  <c r="BJ1041" i="1"/>
  <c r="BF1041" i="1"/>
  <c r="BD1041" i="1"/>
  <c r="AP1041" i="1"/>
  <c r="AX1041" i="1" s="1"/>
  <c r="AO1041" i="1"/>
  <c r="BH1041" i="1" s="1"/>
  <c r="AB1041" i="1" s="1"/>
  <c r="AK1041" i="1"/>
  <c r="AJ1041" i="1"/>
  <c r="AH1041" i="1"/>
  <c r="AG1041" i="1"/>
  <c r="AF1041" i="1"/>
  <c r="AE1041" i="1"/>
  <c r="AD1041" i="1"/>
  <c r="Z1041" i="1"/>
  <c r="J1041" i="1"/>
  <c r="AL1041" i="1" s="1"/>
  <c r="BJ1038" i="1"/>
  <c r="Z1038" i="1" s="1"/>
  <c r="BF1038" i="1"/>
  <c r="BD1038" i="1"/>
  <c r="AP1038" i="1"/>
  <c r="BI1038" i="1" s="1"/>
  <c r="AO1038" i="1"/>
  <c r="AK1038" i="1"/>
  <c r="AT1037" i="1" s="1"/>
  <c r="AJ1038" i="1"/>
  <c r="AS1037" i="1" s="1"/>
  <c r="AH1038" i="1"/>
  <c r="AG1038" i="1"/>
  <c r="AF1038" i="1"/>
  <c r="AE1038" i="1"/>
  <c r="AD1038" i="1"/>
  <c r="AC1038" i="1"/>
  <c r="AB1038" i="1"/>
  <c r="J1038" i="1"/>
  <c r="BJ1035" i="1"/>
  <c r="BF1035" i="1"/>
  <c r="BD1035" i="1"/>
  <c r="AP1035" i="1"/>
  <c r="BI1035" i="1" s="1"/>
  <c r="AE1035" i="1" s="1"/>
  <c r="AO1035" i="1"/>
  <c r="BH1035" i="1" s="1"/>
  <c r="AD1035" i="1" s="1"/>
  <c r="AK1035" i="1"/>
  <c r="AJ1035" i="1"/>
  <c r="AH1035" i="1"/>
  <c r="AG1035" i="1"/>
  <c r="AF1035" i="1"/>
  <c r="AC1035" i="1"/>
  <c r="AB1035" i="1"/>
  <c r="Z1035" i="1"/>
  <c r="J1035" i="1"/>
  <c r="AL1035" i="1" s="1"/>
  <c r="BJ1034" i="1"/>
  <c r="BF1034" i="1"/>
  <c r="BD1034" i="1"/>
  <c r="AP1034" i="1"/>
  <c r="BI1034" i="1" s="1"/>
  <c r="AE1034" i="1" s="1"/>
  <c r="AO1034" i="1"/>
  <c r="AK1034" i="1"/>
  <c r="AJ1034" i="1"/>
  <c r="AH1034" i="1"/>
  <c r="AG1034" i="1"/>
  <c r="AF1034" i="1"/>
  <c r="AC1034" i="1"/>
  <c r="AB1034" i="1"/>
  <c r="Z1034" i="1"/>
  <c r="J1034" i="1"/>
  <c r="AL1034" i="1" s="1"/>
  <c r="BJ1032" i="1"/>
  <c r="BF1032" i="1"/>
  <c r="BD1032" i="1"/>
  <c r="AP1032" i="1"/>
  <c r="AO1032" i="1"/>
  <c r="AK1032" i="1"/>
  <c r="AJ1032" i="1"/>
  <c r="AH1032" i="1"/>
  <c r="AG1032" i="1"/>
  <c r="AF1032" i="1"/>
  <c r="AC1032" i="1"/>
  <c r="AB1032" i="1"/>
  <c r="Z1032" i="1"/>
  <c r="J1032" i="1"/>
  <c r="BJ1029" i="1"/>
  <c r="BF1029" i="1"/>
  <c r="BD1029" i="1"/>
  <c r="AP1029" i="1"/>
  <c r="AX1029" i="1" s="1"/>
  <c r="AO1029" i="1"/>
  <c r="H1029" i="1" s="1"/>
  <c r="AK1029" i="1"/>
  <c r="AJ1029" i="1"/>
  <c r="AH1029" i="1"/>
  <c r="AG1029" i="1"/>
  <c r="AF1029" i="1"/>
  <c r="AE1029" i="1"/>
  <c r="AD1029" i="1"/>
  <c r="Z1029" i="1"/>
  <c r="J1029" i="1"/>
  <c r="AL1029" i="1" s="1"/>
  <c r="BJ1027" i="1"/>
  <c r="BF1027" i="1"/>
  <c r="BD1027" i="1"/>
  <c r="AP1027" i="1"/>
  <c r="AO1027" i="1"/>
  <c r="BH1027" i="1" s="1"/>
  <c r="AK1027" i="1"/>
  <c r="AJ1027" i="1"/>
  <c r="AH1027" i="1"/>
  <c r="AG1027" i="1"/>
  <c r="AF1027" i="1"/>
  <c r="AE1027" i="1"/>
  <c r="AD1027" i="1"/>
  <c r="AB1027" i="1"/>
  <c r="Z1027" i="1"/>
  <c r="J1027" i="1"/>
  <c r="AL1027" i="1" s="1"/>
  <c r="BJ1024" i="1"/>
  <c r="BF1024" i="1"/>
  <c r="BD1024" i="1"/>
  <c r="AP1024" i="1"/>
  <c r="BI1024" i="1" s="1"/>
  <c r="AC1024" i="1" s="1"/>
  <c r="AO1024" i="1"/>
  <c r="BH1024" i="1" s="1"/>
  <c r="AB1024" i="1" s="1"/>
  <c r="AK1024" i="1"/>
  <c r="AJ1024" i="1"/>
  <c r="AH1024" i="1"/>
  <c r="AG1024" i="1"/>
  <c r="AF1024" i="1"/>
  <c r="AE1024" i="1"/>
  <c r="AD1024" i="1"/>
  <c r="Z1024" i="1"/>
  <c r="J1024" i="1"/>
  <c r="AL1024" i="1" s="1"/>
  <c r="BJ1021" i="1"/>
  <c r="BF1021" i="1"/>
  <c r="BD1021" i="1"/>
  <c r="AP1021" i="1"/>
  <c r="AO1021" i="1"/>
  <c r="BH1021" i="1" s="1"/>
  <c r="AB1021" i="1" s="1"/>
  <c r="AK1021" i="1"/>
  <c r="AJ1021" i="1"/>
  <c r="AH1021" i="1"/>
  <c r="AG1021" i="1"/>
  <c r="AF1021" i="1"/>
  <c r="AE1021" i="1"/>
  <c r="AD1021" i="1"/>
  <c r="Z1021" i="1"/>
  <c r="J1021" i="1"/>
  <c r="AL1021" i="1" s="1"/>
  <c r="BJ1018" i="1"/>
  <c r="BF1018" i="1"/>
  <c r="BD1018" i="1"/>
  <c r="AP1018" i="1"/>
  <c r="AO1018" i="1"/>
  <c r="AK1018" i="1"/>
  <c r="AJ1018" i="1"/>
  <c r="AH1018" i="1"/>
  <c r="AG1018" i="1"/>
  <c r="AF1018" i="1"/>
  <c r="AE1018" i="1"/>
  <c r="AD1018" i="1"/>
  <c r="Z1018" i="1"/>
  <c r="J1018" i="1"/>
  <c r="AL1018" i="1" s="1"/>
  <c r="BJ1015" i="1"/>
  <c r="BF1015" i="1"/>
  <c r="BD1015" i="1"/>
  <c r="AP1015" i="1"/>
  <c r="AO1015" i="1"/>
  <c r="AK1015" i="1"/>
  <c r="AJ1015" i="1"/>
  <c r="AH1015" i="1"/>
  <c r="AG1015" i="1"/>
  <c r="AF1015" i="1"/>
  <c r="AE1015" i="1"/>
  <c r="AD1015" i="1"/>
  <c r="Z1015" i="1"/>
  <c r="J1015" i="1"/>
  <c r="AL1015" i="1" s="1"/>
  <c r="BJ1012" i="1"/>
  <c r="BF1012" i="1"/>
  <c r="BD1012" i="1"/>
  <c r="AP1012" i="1"/>
  <c r="AO1012" i="1"/>
  <c r="AK1012" i="1"/>
  <c r="AJ1012" i="1"/>
  <c r="AH1012" i="1"/>
  <c r="AG1012" i="1"/>
  <c r="AF1012" i="1"/>
  <c r="AE1012" i="1"/>
  <c r="AD1012" i="1"/>
  <c r="Z1012" i="1"/>
  <c r="J1012" i="1"/>
  <c r="AL1012" i="1" s="1"/>
  <c r="BJ1011" i="1"/>
  <c r="BF1011" i="1"/>
  <c r="BD1011" i="1"/>
  <c r="AP1011" i="1"/>
  <c r="BI1011" i="1" s="1"/>
  <c r="AC1011" i="1" s="1"/>
  <c r="AO1011" i="1"/>
  <c r="AK1011" i="1"/>
  <c r="AJ1011" i="1"/>
  <c r="AH1011" i="1"/>
  <c r="AG1011" i="1"/>
  <c r="AF1011" i="1"/>
  <c r="AE1011" i="1"/>
  <c r="AD1011" i="1"/>
  <c r="Z1011" i="1"/>
  <c r="J1011" i="1"/>
  <c r="AL1011" i="1" s="1"/>
  <c r="BJ1002" i="1"/>
  <c r="BF1002" i="1"/>
  <c r="BD1002" i="1"/>
  <c r="AP1002" i="1"/>
  <c r="AO1002" i="1"/>
  <c r="AK1002" i="1"/>
  <c r="AJ1002" i="1"/>
  <c r="AH1002" i="1"/>
  <c r="AG1002" i="1"/>
  <c r="AF1002" i="1"/>
  <c r="AE1002" i="1"/>
  <c r="AD1002" i="1"/>
  <c r="Z1002" i="1"/>
  <c r="J1002" i="1"/>
  <c r="AL1002" i="1" s="1"/>
  <c r="BJ1001" i="1"/>
  <c r="BF1001" i="1"/>
  <c r="BD1001" i="1"/>
  <c r="AP1001" i="1"/>
  <c r="I1001" i="1" s="1"/>
  <c r="AO1001" i="1"/>
  <c r="BH1001" i="1" s="1"/>
  <c r="AK1001" i="1"/>
  <c r="AJ1001" i="1"/>
  <c r="AH1001" i="1"/>
  <c r="AG1001" i="1"/>
  <c r="AF1001" i="1"/>
  <c r="AE1001" i="1"/>
  <c r="AD1001" i="1"/>
  <c r="AB1001" i="1"/>
  <c r="Z1001" i="1"/>
  <c r="J1001" i="1"/>
  <c r="AL1001" i="1" s="1"/>
  <c r="BJ995" i="1"/>
  <c r="BF995" i="1"/>
  <c r="BD995" i="1"/>
  <c r="AP995" i="1"/>
  <c r="AO995" i="1"/>
  <c r="BH995" i="1" s="1"/>
  <c r="AB995" i="1" s="1"/>
  <c r="AK995" i="1"/>
  <c r="AJ995" i="1"/>
  <c r="AH995" i="1"/>
  <c r="AG995" i="1"/>
  <c r="AF995" i="1"/>
  <c r="AE995" i="1"/>
  <c r="AD995" i="1"/>
  <c r="Z995" i="1"/>
  <c r="J995" i="1"/>
  <c r="AL995" i="1" s="1"/>
  <c r="BJ990" i="1"/>
  <c r="BF990" i="1"/>
  <c r="BD990" i="1"/>
  <c r="AP990" i="1"/>
  <c r="AO990" i="1"/>
  <c r="BH990" i="1" s="1"/>
  <c r="AB990" i="1" s="1"/>
  <c r="AK990" i="1"/>
  <c r="AJ990" i="1"/>
  <c r="AH990" i="1"/>
  <c r="AG990" i="1"/>
  <c r="AF990" i="1"/>
  <c r="AE990" i="1"/>
  <c r="AD990" i="1"/>
  <c r="Z990" i="1"/>
  <c r="J990" i="1"/>
  <c r="AL990" i="1" s="1"/>
  <c r="BJ986" i="1"/>
  <c r="BF986" i="1"/>
  <c r="BD986" i="1"/>
  <c r="AP986" i="1"/>
  <c r="AO986" i="1"/>
  <c r="BH986" i="1" s="1"/>
  <c r="AB986" i="1" s="1"/>
  <c r="AK986" i="1"/>
  <c r="AJ986" i="1"/>
  <c r="AH986" i="1"/>
  <c r="AG986" i="1"/>
  <c r="AF986" i="1"/>
  <c r="AE986" i="1"/>
  <c r="AD986" i="1"/>
  <c r="Z986" i="1"/>
  <c r="J986" i="1"/>
  <c r="AL986" i="1" s="1"/>
  <c r="BJ981" i="1"/>
  <c r="BF981" i="1"/>
  <c r="BD981" i="1"/>
  <c r="AP981" i="1"/>
  <c r="AO981" i="1"/>
  <c r="AK981" i="1"/>
  <c r="AJ981" i="1"/>
  <c r="AH981" i="1"/>
  <c r="AG981" i="1"/>
  <c r="AF981" i="1"/>
  <c r="AE981" i="1"/>
  <c r="AD981" i="1"/>
  <c r="Z981" i="1"/>
  <c r="J981" i="1"/>
  <c r="AL981" i="1" s="1"/>
  <c r="BJ976" i="1"/>
  <c r="BF976" i="1"/>
  <c r="BD976" i="1"/>
  <c r="AP976" i="1"/>
  <c r="AX976" i="1" s="1"/>
  <c r="AO976" i="1"/>
  <c r="AK976" i="1"/>
  <c r="AJ976" i="1"/>
  <c r="AH976" i="1"/>
  <c r="AG976" i="1"/>
  <c r="AF976" i="1"/>
  <c r="AE976" i="1"/>
  <c r="AD976" i="1"/>
  <c r="Z976" i="1"/>
  <c r="J976" i="1"/>
  <c r="AL976" i="1" s="1"/>
  <c r="BJ974" i="1"/>
  <c r="BF974" i="1"/>
  <c r="BD974" i="1"/>
  <c r="AP974" i="1"/>
  <c r="AO974" i="1"/>
  <c r="BH974" i="1" s="1"/>
  <c r="AB974" i="1" s="1"/>
  <c r="AK974" i="1"/>
  <c r="AJ974" i="1"/>
  <c r="AH974" i="1"/>
  <c r="AG974" i="1"/>
  <c r="AF974" i="1"/>
  <c r="AE974" i="1"/>
  <c r="AD974" i="1"/>
  <c r="Z974" i="1"/>
  <c r="J974" i="1"/>
  <c r="AL974" i="1" s="1"/>
  <c r="BJ972" i="1"/>
  <c r="BF972" i="1"/>
  <c r="BD972" i="1"/>
  <c r="AP972" i="1"/>
  <c r="BI972" i="1" s="1"/>
  <c r="AC972" i="1" s="1"/>
  <c r="AO972" i="1"/>
  <c r="BH972" i="1" s="1"/>
  <c r="AB972" i="1" s="1"/>
  <c r="AK972" i="1"/>
  <c r="AJ972" i="1"/>
  <c r="AH972" i="1"/>
  <c r="AG972" i="1"/>
  <c r="AF972" i="1"/>
  <c r="AE972" i="1"/>
  <c r="AD972" i="1"/>
  <c r="Z972" i="1"/>
  <c r="J972" i="1"/>
  <c r="AL972" i="1" s="1"/>
  <c r="BJ971" i="1"/>
  <c r="BF971" i="1"/>
  <c r="BD971" i="1"/>
  <c r="AP971" i="1"/>
  <c r="BI971" i="1" s="1"/>
  <c r="AC971" i="1" s="1"/>
  <c r="AO971" i="1"/>
  <c r="AK971" i="1"/>
  <c r="AJ971" i="1"/>
  <c r="AH971" i="1"/>
  <c r="AG971" i="1"/>
  <c r="AF971" i="1"/>
  <c r="AE971" i="1"/>
  <c r="AD971" i="1"/>
  <c r="Z971" i="1"/>
  <c r="J971" i="1"/>
  <c r="AL971" i="1" s="1"/>
  <c r="BJ970" i="1"/>
  <c r="BF970" i="1"/>
  <c r="BD970" i="1"/>
  <c r="AP970" i="1"/>
  <c r="AO970" i="1"/>
  <c r="AK970" i="1"/>
  <c r="AJ970" i="1"/>
  <c r="AH970" i="1"/>
  <c r="AG970" i="1"/>
  <c r="AF970" i="1"/>
  <c r="AE970" i="1"/>
  <c r="AD970" i="1"/>
  <c r="Z970" i="1"/>
  <c r="J970" i="1"/>
  <c r="AL970" i="1" s="1"/>
  <c r="BJ968" i="1"/>
  <c r="BF968" i="1"/>
  <c r="BD968" i="1"/>
  <c r="AP968" i="1"/>
  <c r="BI968" i="1" s="1"/>
  <c r="AC968" i="1" s="1"/>
  <c r="AO968" i="1"/>
  <c r="BH968" i="1" s="1"/>
  <c r="AB968" i="1" s="1"/>
  <c r="AK968" i="1"/>
  <c r="AJ968" i="1"/>
  <c r="AH968" i="1"/>
  <c r="AG968" i="1"/>
  <c r="AF968" i="1"/>
  <c r="AE968" i="1"/>
  <c r="AD968" i="1"/>
  <c r="Z968" i="1"/>
  <c r="J968" i="1"/>
  <c r="AL968" i="1" s="1"/>
  <c r="BJ965" i="1"/>
  <c r="BF965" i="1"/>
  <c r="BD965" i="1"/>
  <c r="AP965" i="1"/>
  <c r="BI965" i="1" s="1"/>
  <c r="AC965" i="1" s="1"/>
  <c r="AO965" i="1"/>
  <c r="AK965" i="1"/>
  <c r="AJ965" i="1"/>
  <c r="AH965" i="1"/>
  <c r="AG965" i="1"/>
  <c r="AF965" i="1"/>
  <c r="AE965" i="1"/>
  <c r="AD965" i="1"/>
  <c r="Z965" i="1"/>
  <c r="J965" i="1"/>
  <c r="AL965" i="1" s="1"/>
  <c r="BJ962" i="1"/>
  <c r="BF962" i="1"/>
  <c r="BD962" i="1"/>
  <c r="AP962" i="1"/>
  <c r="AO962" i="1"/>
  <c r="AW962" i="1" s="1"/>
  <c r="AK962" i="1"/>
  <c r="AJ962" i="1"/>
  <c r="AH962" i="1"/>
  <c r="AG962" i="1"/>
  <c r="AF962" i="1"/>
  <c r="AE962" i="1"/>
  <c r="AD962" i="1"/>
  <c r="Z962" i="1"/>
  <c r="J962" i="1"/>
  <c r="AL962" i="1" s="1"/>
  <c r="BJ959" i="1"/>
  <c r="BF959" i="1"/>
  <c r="BD959" i="1"/>
  <c r="AP959" i="1"/>
  <c r="AO959" i="1"/>
  <c r="BH959" i="1" s="1"/>
  <c r="AB959" i="1" s="1"/>
  <c r="AK959" i="1"/>
  <c r="AJ959" i="1"/>
  <c r="AH959" i="1"/>
  <c r="AG959" i="1"/>
  <c r="AF959" i="1"/>
  <c r="AE959" i="1"/>
  <c r="AD959" i="1"/>
  <c r="Z959" i="1"/>
  <c r="J959" i="1"/>
  <c r="AL959" i="1" s="1"/>
  <c r="BJ958" i="1"/>
  <c r="BF958" i="1"/>
  <c r="BD958" i="1"/>
  <c r="AP958" i="1"/>
  <c r="AO958" i="1"/>
  <c r="AK958" i="1"/>
  <c r="AJ958" i="1"/>
  <c r="AH958" i="1"/>
  <c r="AG958" i="1"/>
  <c r="AF958" i="1"/>
  <c r="AE958" i="1"/>
  <c r="AD958" i="1"/>
  <c r="Z958" i="1"/>
  <c r="J958" i="1"/>
  <c r="AL958" i="1" s="1"/>
  <c r="BJ957" i="1"/>
  <c r="BF957" i="1"/>
  <c r="BD957" i="1"/>
  <c r="AP957" i="1"/>
  <c r="AX957" i="1" s="1"/>
  <c r="AO957" i="1"/>
  <c r="BH957" i="1" s="1"/>
  <c r="AB957" i="1" s="1"/>
  <c r="AK957" i="1"/>
  <c r="AJ957" i="1"/>
  <c r="AH957" i="1"/>
  <c r="AG957" i="1"/>
  <c r="AF957" i="1"/>
  <c r="AE957" i="1"/>
  <c r="AD957" i="1"/>
  <c r="Z957" i="1"/>
  <c r="J957" i="1"/>
  <c r="AL957" i="1" s="1"/>
  <c r="BJ953" i="1"/>
  <c r="BF953" i="1"/>
  <c r="BD953" i="1"/>
  <c r="AP953" i="1"/>
  <c r="BI953" i="1" s="1"/>
  <c r="AC953" i="1" s="1"/>
  <c r="AO953" i="1"/>
  <c r="BH953" i="1" s="1"/>
  <c r="AB953" i="1" s="1"/>
  <c r="AK953" i="1"/>
  <c r="AJ953" i="1"/>
  <c r="AH953" i="1"/>
  <c r="AG953" i="1"/>
  <c r="AF953" i="1"/>
  <c r="AE953" i="1"/>
  <c r="AD953" i="1"/>
  <c r="Z953" i="1"/>
  <c r="J953" i="1"/>
  <c r="AL953" i="1" s="1"/>
  <c r="BJ950" i="1"/>
  <c r="BF950" i="1"/>
  <c r="BD950" i="1"/>
  <c r="AP950" i="1"/>
  <c r="AO950" i="1"/>
  <c r="AK950" i="1"/>
  <c r="AJ950" i="1"/>
  <c r="AH950" i="1"/>
  <c r="AG950" i="1"/>
  <c r="AF950" i="1"/>
  <c r="AE950" i="1"/>
  <c r="AD950" i="1"/>
  <c r="Z950" i="1"/>
  <c r="J950" i="1"/>
  <c r="AL950" i="1" s="1"/>
  <c r="BJ949" i="1"/>
  <c r="BF949" i="1"/>
  <c r="BD949" i="1"/>
  <c r="AP949" i="1"/>
  <c r="BI949" i="1" s="1"/>
  <c r="AC949" i="1" s="1"/>
  <c r="AO949" i="1"/>
  <c r="AK949" i="1"/>
  <c r="AJ949" i="1"/>
  <c r="AH949" i="1"/>
  <c r="AG949" i="1"/>
  <c r="AF949" i="1"/>
  <c r="AE949" i="1"/>
  <c r="AD949" i="1"/>
  <c r="Z949" i="1"/>
  <c r="J949" i="1"/>
  <c r="AL949" i="1" s="1"/>
  <c r="BJ946" i="1"/>
  <c r="BF946" i="1"/>
  <c r="BD946" i="1"/>
  <c r="AP946" i="1"/>
  <c r="BI946" i="1" s="1"/>
  <c r="AC946" i="1" s="1"/>
  <c r="AO946" i="1"/>
  <c r="BH946" i="1" s="1"/>
  <c r="AB946" i="1" s="1"/>
  <c r="AK946" i="1"/>
  <c r="AJ946" i="1"/>
  <c r="AH946" i="1"/>
  <c r="AG946" i="1"/>
  <c r="AF946" i="1"/>
  <c r="AE946" i="1"/>
  <c r="AD946" i="1"/>
  <c r="Z946" i="1"/>
  <c r="J946" i="1"/>
  <c r="AL946" i="1" s="1"/>
  <c r="BJ943" i="1"/>
  <c r="BF943" i="1"/>
  <c r="BD943" i="1"/>
  <c r="AP943" i="1"/>
  <c r="AO943" i="1"/>
  <c r="BH943" i="1" s="1"/>
  <c r="AB943" i="1" s="1"/>
  <c r="AK943" i="1"/>
  <c r="AJ943" i="1"/>
  <c r="AH943" i="1"/>
  <c r="AG943" i="1"/>
  <c r="AF943" i="1"/>
  <c r="AE943" i="1"/>
  <c r="AD943" i="1"/>
  <c r="Z943" i="1"/>
  <c r="J943" i="1"/>
  <c r="AL943" i="1" s="1"/>
  <c r="BJ939" i="1"/>
  <c r="BF939" i="1"/>
  <c r="BD939" i="1"/>
  <c r="AP939" i="1"/>
  <c r="AX939" i="1" s="1"/>
  <c r="AO939" i="1"/>
  <c r="AK939" i="1"/>
  <c r="AJ939" i="1"/>
  <c r="AH939" i="1"/>
  <c r="AG939" i="1"/>
  <c r="AF939" i="1"/>
  <c r="AE939" i="1"/>
  <c r="AD939" i="1"/>
  <c r="Z939" i="1"/>
  <c r="J939" i="1"/>
  <c r="AL939" i="1" s="1"/>
  <c r="BJ938" i="1"/>
  <c r="BF938" i="1"/>
  <c r="BD938" i="1"/>
  <c r="AP938" i="1"/>
  <c r="AO938" i="1"/>
  <c r="AK938" i="1"/>
  <c r="AJ938" i="1"/>
  <c r="AH938" i="1"/>
  <c r="AG938" i="1"/>
  <c r="AF938" i="1"/>
  <c r="AE938" i="1"/>
  <c r="AD938" i="1"/>
  <c r="Z938" i="1"/>
  <c r="J938" i="1"/>
  <c r="AL938" i="1" s="1"/>
  <c r="BJ936" i="1"/>
  <c r="BF936" i="1"/>
  <c r="BD936" i="1"/>
  <c r="AP936" i="1"/>
  <c r="BI936" i="1" s="1"/>
  <c r="AC936" i="1" s="1"/>
  <c r="AO936" i="1"/>
  <c r="AK936" i="1"/>
  <c r="AJ936" i="1"/>
  <c r="AH936" i="1"/>
  <c r="AG936" i="1"/>
  <c r="AF936" i="1"/>
  <c r="AE936" i="1"/>
  <c r="AD936" i="1"/>
  <c r="Z936" i="1"/>
  <c r="J936" i="1"/>
  <c r="AL936" i="1" s="1"/>
  <c r="BJ932" i="1"/>
  <c r="BF932" i="1"/>
  <c r="BD932" i="1"/>
  <c r="AP932" i="1"/>
  <c r="I932" i="1" s="1"/>
  <c r="AO932" i="1"/>
  <c r="BH932" i="1" s="1"/>
  <c r="AB932" i="1" s="1"/>
  <c r="AK932" i="1"/>
  <c r="AJ932" i="1"/>
  <c r="AH932" i="1"/>
  <c r="AG932" i="1"/>
  <c r="AF932" i="1"/>
  <c r="AE932" i="1"/>
  <c r="AD932" i="1"/>
  <c r="Z932" i="1"/>
  <c r="J932" i="1"/>
  <c r="AL932" i="1" s="1"/>
  <c r="BJ929" i="1"/>
  <c r="BF929" i="1"/>
  <c r="BD929" i="1"/>
  <c r="AP929" i="1"/>
  <c r="BI929" i="1" s="1"/>
  <c r="AC929" i="1" s="1"/>
  <c r="AO929" i="1"/>
  <c r="AK929" i="1"/>
  <c r="AJ929" i="1"/>
  <c r="AH929" i="1"/>
  <c r="AG929" i="1"/>
  <c r="AF929" i="1"/>
  <c r="AE929" i="1"/>
  <c r="AD929" i="1"/>
  <c r="Z929" i="1"/>
  <c r="J929" i="1"/>
  <c r="AL929" i="1" s="1"/>
  <c r="BJ924" i="1"/>
  <c r="BF924" i="1"/>
  <c r="BD924" i="1"/>
  <c r="AP924" i="1"/>
  <c r="BI924" i="1" s="1"/>
  <c r="AC924" i="1" s="1"/>
  <c r="AO924" i="1"/>
  <c r="AK924" i="1"/>
  <c r="AJ924" i="1"/>
  <c r="AH924" i="1"/>
  <c r="AG924" i="1"/>
  <c r="AF924" i="1"/>
  <c r="AE924" i="1"/>
  <c r="AD924" i="1"/>
  <c r="Z924" i="1"/>
  <c r="J924" i="1"/>
  <c r="AL924" i="1" s="1"/>
  <c r="BJ923" i="1"/>
  <c r="BF923" i="1"/>
  <c r="BD923" i="1"/>
  <c r="AP923" i="1"/>
  <c r="BI923" i="1" s="1"/>
  <c r="AC923" i="1" s="1"/>
  <c r="AO923" i="1"/>
  <c r="BH923" i="1" s="1"/>
  <c r="AB923" i="1" s="1"/>
  <c r="AK923" i="1"/>
  <c r="AJ923" i="1"/>
  <c r="AH923" i="1"/>
  <c r="AG923" i="1"/>
  <c r="AF923" i="1"/>
  <c r="AE923" i="1"/>
  <c r="AD923" i="1"/>
  <c r="Z923" i="1"/>
  <c r="J923" i="1"/>
  <c r="AL923" i="1" s="1"/>
  <c r="BJ921" i="1"/>
  <c r="BF921" i="1"/>
  <c r="BD921" i="1"/>
  <c r="AP921" i="1"/>
  <c r="AO921" i="1"/>
  <c r="AK921" i="1"/>
  <c r="AJ921" i="1"/>
  <c r="AH921" i="1"/>
  <c r="AG921" i="1"/>
  <c r="AF921" i="1"/>
  <c r="AE921" i="1"/>
  <c r="AD921" i="1"/>
  <c r="Z921" i="1"/>
  <c r="J921" i="1"/>
  <c r="AL921" i="1" s="1"/>
  <c r="BJ918" i="1"/>
  <c r="BF918" i="1"/>
  <c r="BD918" i="1"/>
  <c r="AP918" i="1"/>
  <c r="AX918" i="1" s="1"/>
  <c r="AO918" i="1"/>
  <c r="AK918" i="1"/>
  <c r="AJ918" i="1"/>
  <c r="AH918" i="1"/>
  <c r="AG918" i="1"/>
  <c r="AF918" i="1"/>
  <c r="AE918" i="1"/>
  <c r="AD918" i="1"/>
  <c r="Z918" i="1"/>
  <c r="J918" i="1"/>
  <c r="AL918" i="1" s="1"/>
  <c r="BJ915" i="1"/>
  <c r="BF915" i="1"/>
  <c r="BD915" i="1"/>
  <c r="AP915" i="1"/>
  <c r="AO915" i="1"/>
  <c r="AK915" i="1"/>
  <c r="AJ915" i="1"/>
  <c r="AH915" i="1"/>
  <c r="AG915" i="1"/>
  <c r="AF915" i="1"/>
  <c r="AE915" i="1"/>
  <c r="AD915" i="1"/>
  <c r="Z915" i="1"/>
  <c r="J915" i="1"/>
  <c r="AL915" i="1" s="1"/>
  <c r="BJ913" i="1"/>
  <c r="BF913" i="1"/>
  <c r="BD913" i="1"/>
  <c r="AP913" i="1"/>
  <c r="AO913" i="1"/>
  <c r="H913" i="1" s="1"/>
  <c r="AK913" i="1"/>
  <c r="AJ913" i="1"/>
  <c r="AH913" i="1"/>
  <c r="AG913" i="1"/>
  <c r="AF913" i="1"/>
  <c r="AE913" i="1"/>
  <c r="AD913" i="1"/>
  <c r="Z913" i="1"/>
  <c r="J913" i="1"/>
  <c r="AL913" i="1" s="1"/>
  <c r="BJ912" i="1"/>
  <c r="BF912" i="1"/>
  <c r="BD912" i="1"/>
  <c r="AP912" i="1"/>
  <c r="I912" i="1" s="1"/>
  <c r="AO912" i="1"/>
  <c r="BH912" i="1" s="1"/>
  <c r="AB912" i="1" s="1"/>
  <c r="AK912" i="1"/>
  <c r="AJ912" i="1"/>
  <c r="AH912" i="1"/>
  <c r="AG912" i="1"/>
  <c r="AF912" i="1"/>
  <c r="AE912" i="1"/>
  <c r="AD912" i="1"/>
  <c r="Z912" i="1"/>
  <c r="J912" i="1"/>
  <c r="AL912" i="1" s="1"/>
  <c r="BJ908" i="1"/>
  <c r="BF908" i="1"/>
  <c r="BD908" i="1"/>
  <c r="AP908" i="1"/>
  <c r="AO908" i="1"/>
  <c r="BH908" i="1" s="1"/>
  <c r="AB908" i="1" s="1"/>
  <c r="AK908" i="1"/>
  <c r="AJ908" i="1"/>
  <c r="AH908" i="1"/>
  <c r="AG908" i="1"/>
  <c r="AF908" i="1"/>
  <c r="AE908" i="1"/>
  <c r="AD908" i="1"/>
  <c r="Z908" i="1"/>
  <c r="J908" i="1"/>
  <c r="AL908" i="1" s="1"/>
  <c r="BJ906" i="1"/>
  <c r="BF906" i="1"/>
  <c r="BD906" i="1"/>
  <c r="AP906" i="1"/>
  <c r="BI906" i="1" s="1"/>
  <c r="AC906" i="1" s="1"/>
  <c r="AO906" i="1"/>
  <c r="AK906" i="1"/>
  <c r="AJ906" i="1"/>
  <c r="AH906" i="1"/>
  <c r="AG906" i="1"/>
  <c r="AF906" i="1"/>
  <c r="AE906" i="1"/>
  <c r="AD906" i="1"/>
  <c r="Z906" i="1"/>
  <c r="J906" i="1"/>
  <c r="AL906" i="1" s="1"/>
  <c r="BJ904" i="1"/>
  <c r="BF904" i="1"/>
  <c r="BD904" i="1"/>
  <c r="AP904" i="1"/>
  <c r="BI904" i="1" s="1"/>
  <c r="AC904" i="1" s="1"/>
  <c r="AO904" i="1"/>
  <c r="AK904" i="1"/>
  <c r="AJ904" i="1"/>
  <c r="AH904" i="1"/>
  <c r="AG904" i="1"/>
  <c r="AF904" i="1"/>
  <c r="AE904" i="1"/>
  <c r="AD904" i="1"/>
  <c r="Z904" i="1"/>
  <c r="J904" i="1"/>
  <c r="AL904" i="1" s="1"/>
  <c r="BJ902" i="1"/>
  <c r="BF902" i="1"/>
  <c r="BD902" i="1"/>
  <c r="AP902" i="1"/>
  <c r="AO902" i="1"/>
  <c r="AK902" i="1"/>
  <c r="AJ902" i="1"/>
  <c r="AH902" i="1"/>
  <c r="AG902" i="1"/>
  <c r="AF902" i="1"/>
  <c r="AE902" i="1"/>
  <c r="AD902" i="1"/>
  <c r="Z902" i="1"/>
  <c r="J902" i="1"/>
  <c r="AL902" i="1" s="1"/>
  <c r="BJ901" i="1"/>
  <c r="BF901" i="1"/>
  <c r="BD901" i="1"/>
  <c r="AP901" i="1"/>
  <c r="BI901" i="1" s="1"/>
  <c r="AC901" i="1" s="1"/>
  <c r="AO901" i="1"/>
  <c r="BH901" i="1" s="1"/>
  <c r="AB901" i="1" s="1"/>
  <c r="AK901" i="1"/>
  <c r="AJ901" i="1"/>
  <c r="AH901" i="1"/>
  <c r="AG901" i="1"/>
  <c r="AF901" i="1"/>
  <c r="AE901" i="1"/>
  <c r="AD901" i="1"/>
  <c r="Z901" i="1"/>
  <c r="J901" i="1"/>
  <c r="AL901" i="1" s="1"/>
  <c r="BJ898" i="1"/>
  <c r="BF898" i="1"/>
  <c r="BD898" i="1"/>
  <c r="AP898" i="1"/>
  <c r="AO898" i="1"/>
  <c r="AK898" i="1"/>
  <c r="AJ898" i="1"/>
  <c r="AH898" i="1"/>
  <c r="AG898" i="1"/>
  <c r="AF898" i="1"/>
  <c r="AE898" i="1"/>
  <c r="AD898" i="1"/>
  <c r="Z898" i="1"/>
  <c r="J898" i="1"/>
  <c r="AL898" i="1" s="1"/>
  <c r="BJ896" i="1"/>
  <c r="BF896" i="1"/>
  <c r="BD896" i="1"/>
  <c r="AP896" i="1"/>
  <c r="AX896" i="1" s="1"/>
  <c r="AO896" i="1"/>
  <c r="AK896" i="1"/>
  <c r="AJ896" i="1"/>
  <c r="AH896" i="1"/>
  <c r="AG896" i="1"/>
  <c r="AF896" i="1"/>
  <c r="AE896" i="1"/>
  <c r="AD896" i="1"/>
  <c r="Z896" i="1"/>
  <c r="J896" i="1"/>
  <c r="AL896" i="1" s="1"/>
  <c r="BJ891" i="1"/>
  <c r="BF891" i="1"/>
  <c r="BD891" i="1"/>
  <c r="AP891" i="1"/>
  <c r="BI891" i="1" s="1"/>
  <c r="AC891" i="1" s="1"/>
  <c r="AO891" i="1"/>
  <c r="AW891" i="1" s="1"/>
  <c r="AK891" i="1"/>
  <c r="AJ891" i="1"/>
  <c r="AH891" i="1"/>
  <c r="AG891" i="1"/>
  <c r="AF891" i="1"/>
  <c r="AE891" i="1"/>
  <c r="AD891" i="1"/>
  <c r="Z891" i="1"/>
  <c r="J891" i="1"/>
  <c r="AL891" i="1" s="1"/>
  <c r="BJ889" i="1"/>
  <c r="BF889" i="1"/>
  <c r="BD889" i="1"/>
  <c r="AP889" i="1"/>
  <c r="AO889" i="1"/>
  <c r="BH889" i="1" s="1"/>
  <c r="AK889" i="1"/>
  <c r="AJ889" i="1"/>
  <c r="AH889" i="1"/>
  <c r="AG889" i="1"/>
  <c r="AF889" i="1"/>
  <c r="AE889" i="1"/>
  <c r="AD889" i="1"/>
  <c r="AB889" i="1"/>
  <c r="Z889" i="1"/>
  <c r="J889" i="1"/>
  <c r="AL889" i="1" s="1"/>
  <c r="BJ886" i="1"/>
  <c r="BF886" i="1"/>
  <c r="BD886" i="1"/>
  <c r="AP886" i="1"/>
  <c r="BI886" i="1" s="1"/>
  <c r="AC886" i="1" s="1"/>
  <c r="AO886" i="1"/>
  <c r="AK886" i="1"/>
  <c r="AJ886" i="1"/>
  <c r="AH886" i="1"/>
  <c r="AG886" i="1"/>
  <c r="AF886" i="1"/>
  <c r="AE886" i="1"/>
  <c r="AD886" i="1"/>
  <c r="Z886" i="1"/>
  <c r="J886" i="1"/>
  <c r="AL886" i="1" s="1"/>
  <c r="BJ884" i="1"/>
  <c r="BF884" i="1"/>
  <c r="BD884" i="1"/>
  <c r="AP884" i="1"/>
  <c r="AX884" i="1" s="1"/>
  <c r="AO884" i="1"/>
  <c r="BH884" i="1" s="1"/>
  <c r="AK884" i="1"/>
  <c r="AJ884" i="1"/>
  <c r="AH884" i="1"/>
  <c r="AG884" i="1"/>
  <c r="AF884" i="1"/>
  <c r="AE884" i="1"/>
  <c r="AD884" i="1"/>
  <c r="AB884" i="1"/>
  <c r="Z884" i="1"/>
  <c r="J884" i="1"/>
  <c r="AL884" i="1" s="1"/>
  <c r="BJ883" i="1"/>
  <c r="BF883" i="1"/>
  <c r="BD883" i="1"/>
  <c r="AP883" i="1"/>
  <c r="AO883" i="1"/>
  <c r="AK883" i="1"/>
  <c r="AJ883" i="1"/>
  <c r="AH883" i="1"/>
  <c r="AG883" i="1"/>
  <c r="AF883" i="1"/>
  <c r="AE883" i="1"/>
  <c r="AD883" i="1"/>
  <c r="Z883" i="1"/>
  <c r="J883" i="1"/>
  <c r="AL883" i="1" s="1"/>
  <c r="BJ880" i="1"/>
  <c r="BF880" i="1"/>
  <c r="BD880" i="1"/>
  <c r="AP880" i="1"/>
  <c r="BI880" i="1" s="1"/>
  <c r="AC880" i="1" s="1"/>
  <c r="AO880" i="1"/>
  <c r="AK880" i="1"/>
  <c r="AJ880" i="1"/>
  <c r="AH880" i="1"/>
  <c r="AG880" i="1"/>
  <c r="AF880" i="1"/>
  <c r="AE880" i="1"/>
  <c r="AD880" i="1"/>
  <c r="Z880" i="1"/>
  <c r="J880" i="1"/>
  <c r="BJ877" i="1"/>
  <c r="BF877" i="1"/>
  <c r="BD877" i="1"/>
  <c r="AP877" i="1"/>
  <c r="BI877" i="1" s="1"/>
  <c r="AC877" i="1" s="1"/>
  <c r="AO877" i="1"/>
  <c r="BH877" i="1" s="1"/>
  <c r="AB877" i="1" s="1"/>
  <c r="AK877" i="1"/>
  <c r="AJ877" i="1"/>
  <c r="AH877" i="1"/>
  <c r="AG877" i="1"/>
  <c r="AF877" i="1"/>
  <c r="AE877" i="1"/>
  <c r="AD877" i="1"/>
  <c r="Z877" i="1"/>
  <c r="J877" i="1"/>
  <c r="AL877" i="1" s="1"/>
  <c r="BJ874" i="1"/>
  <c r="BF874" i="1"/>
  <c r="BD874" i="1"/>
  <c r="AP874" i="1"/>
  <c r="BI874" i="1" s="1"/>
  <c r="AC874" i="1" s="1"/>
  <c r="AO874" i="1"/>
  <c r="AK874" i="1"/>
  <c r="AJ874" i="1"/>
  <c r="AH874" i="1"/>
  <c r="AG874" i="1"/>
  <c r="AF874" i="1"/>
  <c r="AE874" i="1"/>
  <c r="AD874" i="1"/>
  <c r="Z874" i="1"/>
  <c r="J874" i="1"/>
  <c r="AL874" i="1" s="1"/>
  <c r="BJ871" i="1"/>
  <c r="BF871" i="1"/>
  <c r="BD871" i="1"/>
  <c r="AP871" i="1"/>
  <c r="AO871" i="1"/>
  <c r="AK871" i="1"/>
  <c r="AJ871" i="1"/>
  <c r="AH871" i="1"/>
  <c r="AG871" i="1"/>
  <c r="AF871" i="1"/>
  <c r="AE871" i="1"/>
  <c r="AD871" i="1"/>
  <c r="Z871" i="1"/>
  <c r="J871" i="1"/>
  <c r="AL871" i="1" s="1"/>
  <c r="BJ866" i="1"/>
  <c r="AH866" i="1" s="1"/>
  <c r="BF866" i="1"/>
  <c r="BD866" i="1"/>
  <c r="AP866" i="1"/>
  <c r="BI866" i="1" s="1"/>
  <c r="AO866" i="1"/>
  <c r="H866" i="1" s="1"/>
  <c r="AK866" i="1"/>
  <c r="AJ866" i="1"/>
  <c r="AG866" i="1"/>
  <c r="AF866" i="1"/>
  <c r="AE866" i="1"/>
  <c r="AD866" i="1"/>
  <c r="AC866" i="1"/>
  <c r="AB866" i="1"/>
  <c r="Z866" i="1"/>
  <c r="J866" i="1"/>
  <c r="AL866" i="1" s="1"/>
  <c r="BJ863" i="1"/>
  <c r="AH863" i="1" s="1"/>
  <c r="BF863" i="1"/>
  <c r="BD863" i="1"/>
  <c r="AP863" i="1"/>
  <c r="I863" i="1" s="1"/>
  <c r="AO863" i="1"/>
  <c r="AK863" i="1"/>
  <c r="AJ863" i="1"/>
  <c r="AS862" i="1" s="1"/>
  <c r="AG863" i="1"/>
  <c r="AF863" i="1"/>
  <c r="AE863" i="1"/>
  <c r="AD863" i="1"/>
  <c r="AC863" i="1"/>
  <c r="AB863" i="1"/>
  <c r="Z863" i="1"/>
  <c r="J863" i="1"/>
  <c r="BJ859" i="1"/>
  <c r="BF859" i="1"/>
  <c r="BD859" i="1"/>
  <c r="AP859" i="1"/>
  <c r="AO859" i="1"/>
  <c r="AK859" i="1"/>
  <c r="AT858" i="1" s="1"/>
  <c r="AJ859" i="1"/>
  <c r="AS858" i="1" s="1"/>
  <c r="AH859" i="1"/>
  <c r="AG859" i="1"/>
  <c r="AF859" i="1"/>
  <c r="AE859" i="1"/>
  <c r="AD859" i="1"/>
  <c r="Z859" i="1"/>
  <c r="J859" i="1"/>
  <c r="AL859" i="1" s="1"/>
  <c r="AU858" i="1" s="1"/>
  <c r="BJ856" i="1"/>
  <c r="BF856" i="1"/>
  <c r="BD856" i="1"/>
  <c r="AP856" i="1"/>
  <c r="AO856" i="1"/>
  <c r="AK856" i="1"/>
  <c r="AJ856" i="1"/>
  <c r="AH856" i="1"/>
  <c r="AG856" i="1"/>
  <c r="AF856" i="1"/>
  <c r="AC856" i="1"/>
  <c r="AB856" i="1"/>
  <c r="Z856" i="1"/>
  <c r="J856" i="1"/>
  <c r="AL856" i="1" s="1"/>
  <c r="BJ840" i="1"/>
  <c r="BF840" i="1"/>
  <c r="BD840" i="1"/>
  <c r="AP840" i="1"/>
  <c r="BI840" i="1" s="1"/>
  <c r="AE840" i="1" s="1"/>
  <c r="AO840" i="1"/>
  <c r="AK840" i="1"/>
  <c r="AJ840" i="1"/>
  <c r="AH840" i="1"/>
  <c r="AG840" i="1"/>
  <c r="AF840" i="1"/>
  <c r="AC840" i="1"/>
  <c r="AB840" i="1"/>
  <c r="Z840" i="1"/>
  <c r="J840" i="1"/>
  <c r="AL840" i="1" s="1"/>
  <c r="BJ838" i="1"/>
  <c r="Z838" i="1" s="1"/>
  <c r="BF838" i="1"/>
  <c r="BD838" i="1"/>
  <c r="AP838" i="1"/>
  <c r="AO838" i="1"/>
  <c r="AK838" i="1"/>
  <c r="AJ838" i="1"/>
  <c r="AH838" i="1"/>
  <c r="AG838" i="1"/>
  <c r="AF838" i="1"/>
  <c r="AE838" i="1"/>
  <c r="AD838" i="1"/>
  <c r="AC838" i="1"/>
  <c r="AB838" i="1"/>
  <c r="J838" i="1"/>
  <c r="AL838" i="1" s="1"/>
  <c r="BJ835" i="1"/>
  <c r="BF835" i="1"/>
  <c r="BD835" i="1"/>
  <c r="AP835" i="1"/>
  <c r="BI835" i="1" s="1"/>
  <c r="AE835" i="1" s="1"/>
  <c r="AO835" i="1"/>
  <c r="H835" i="1" s="1"/>
  <c r="AK835" i="1"/>
  <c r="AJ835" i="1"/>
  <c r="AH835" i="1"/>
  <c r="AG835" i="1"/>
  <c r="AF835" i="1"/>
  <c r="AC835" i="1"/>
  <c r="AB835" i="1"/>
  <c r="Z835" i="1"/>
  <c r="J835" i="1"/>
  <c r="AL835" i="1" s="1"/>
  <c r="BJ833" i="1"/>
  <c r="BF833" i="1"/>
  <c r="BD833" i="1"/>
  <c r="AP833" i="1"/>
  <c r="AO833" i="1"/>
  <c r="AK833" i="1"/>
  <c r="AJ833" i="1"/>
  <c r="AH833" i="1"/>
  <c r="AG833" i="1"/>
  <c r="AF833" i="1"/>
  <c r="AC833" i="1"/>
  <c r="AB833" i="1"/>
  <c r="Z833" i="1"/>
  <c r="J833" i="1"/>
  <c r="AL833" i="1" s="1"/>
  <c r="BJ831" i="1"/>
  <c r="BF831" i="1"/>
  <c r="BD831" i="1"/>
  <c r="AP831" i="1"/>
  <c r="BI831" i="1" s="1"/>
  <c r="AE831" i="1" s="1"/>
  <c r="AO831" i="1"/>
  <c r="AK831" i="1"/>
  <c r="AJ831" i="1"/>
  <c r="AH831" i="1"/>
  <c r="AG831" i="1"/>
  <c r="AF831" i="1"/>
  <c r="AC831" i="1"/>
  <c r="AB831" i="1"/>
  <c r="Z831" i="1"/>
  <c r="J831" i="1"/>
  <c r="AL831" i="1" s="1"/>
  <c r="BJ828" i="1"/>
  <c r="BF828" i="1"/>
  <c r="BD828" i="1"/>
  <c r="AP828" i="1"/>
  <c r="I828" i="1" s="1"/>
  <c r="AO828" i="1"/>
  <c r="AK828" i="1"/>
  <c r="AJ828" i="1"/>
  <c r="AH828" i="1"/>
  <c r="AG828" i="1"/>
  <c r="AF828" i="1"/>
  <c r="AC828" i="1"/>
  <c r="AB828" i="1"/>
  <c r="Z828" i="1"/>
  <c r="J828" i="1"/>
  <c r="AL828" i="1" s="1"/>
  <c r="BJ825" i="1"/>
  <c r="BF825" i="1"/>
  <c r="BD825" i="1"/>
  <c r="AP825" i="1"/>
  <c r="BI825" i="1" s="1"/>
  <c r="AE825" i="1" s="1"/>
  <c r="AO825" i="1"/>
  <c r="AW825" i="1" s="1"/>
  <c r="AK825" i="1"/>
  <c r="AJ825" i="1"/>
  <c r="AH825" i="1"/>
  <c r="AG825" i="1"/>
  <c r="AF825" i="1"/>
  <c r="AC825" i="1"/>
  <c r="AB825" i="1"/>
  <c r="Z825" i="1"/>
  <c r="J825" i="1"/>
  <c r="AL825" i="1" s="1"/>
  <c r="BJ824" i="1"/>
  <c r="BF824" i="1"/>
  <c r="BD824" i="1"/>
  <c r="AP824" i="1"/>
  <c r="AO824" i="1"/>
  <c r="AK824" i="1"/>
  <c r="AJ824" i="1"/>
  <c r="AH824" i="1"/>
  <c r="AG824" i="1"/>
  <c r="AF824" i="1"/>
  <c r="AC824" i="1"/>
  <c r="AB824" i="1"/>
  <c r="Z824" i="1"/>
  <c r="J824" i="1"/>
  <c r="BJ822" i="1"/>
  <c r="BF822" i="1"/>
  <c r="BD822" i="1"/>
  <c r="AP822" i="1"/>
  <c r="BI822" i="1" s="1"/>
  <c r="AE822" i="1" s="1"/>
  <c r="AO822" i="1"/>
  <c r="AW822" i="1" s="1"/>
  <c r="AK822" i="1"/>
  <c r="AJ822" i="1"/>
  <c r="AH822" i="1"/>
  <c r="AG822" i="1"/>
  <c r="AF822" i="1"/>
  <c r="AC822" i="1"/>
  <c r="AB822" i="1"/>
  <c r="Z822" i="1"/>
  <c r="J822" i="1"/>
  <c r="AL822" i="1" s="1"/>
  <c r="BJ821" i="1"/>
  <c r="BF821" i="1"/>
  <c r="BD821" i="1"/>
  <c r="AP821" i="1"/>
  <c r="AO821" i="1"/>
  <c r="AK821" i="1"/>
  <c r="AJ821" i="1"/>
  <c r="AH821" i="1"/>
  <c r="AG821" i="1"/>
  <c r="AF821" i="1"/>
  <c r="AC821" i="1"/>
  <c r="AB821" i="1"/>
  <c r="Z821" i="1"/>
  <c r="J821" i="1"/>
  <c r="AL821" i="1" s="1"/>
  <c r="BJ820" i="1"/>
  <c r="BF820" i="1"/>
  <c r="BD820" i="1"/>
  <c r="AP820" i="1"/>
  <c r="AO820" i="1"/>
  <c r="AK820" i="1"/>
  <c r="AJ820" i="1"/>
  <c r="AH820" i="1"/>
  <c r="AG820" i="1"/>
  <c r="AF820" i="1"/>
  <c r="AC820" i="1"/>
  <c r="AB820" i="1"/>
  <c r="Z820" i="1"/>
  <c r="J820" i="1"/>
  <c r="AL820" i="1" s="1"/>
  <c r="BJ819" i="1"/>
  <c r="BF819" i="1"/>
  <c r="BD819" i="1"/>
  <c r="AP819" i="1"/>
  <c r="AO819" i="1"/>
  <c r="BH819" i="1" s="1"/>
  <c r="AD819" i="1" s="1"/>
  <c r="AK819" i="1"/>
  <c r="AJ819" i="1"/>
  <c r="AH819" i="1"/>
  <c r="AG819" i="1"/>
  <c r="AF819" i="1"/>
  <c r="AC819" i="1"/>
  <c r="AB819" i="1"/>
  <c r="Z819" i="1"/>
  <c r="J819" i="1"/>
  <c r="AL819" i="1" s="1"/>
  <c r="BJ818" i="1"/>
  <c r="BF818" i="1"/>
  <c r="BD818" i="1"/>
  <c r="AP818" i="1"/>
  <c r="AO818" i="1"/>
  <c r="AK818" i="1"/>
  <c r="AJ818" i="1"/>
  <c r="AH818" i="1"/>
  <c r="AG818" i="1"/>
  <c r="AF818" i="1"/>
  <c r="AC818" i="1"/>
  <c r="AB818" i="1"/>
  <c r="Z818" i="1"/>
  <c r="J818" i="1"/>
  <c r="AL818" i="1" s="1"/>
  <c r="BJ817" i="1"/>
  <c r="BF817" i="1"/>
  <c r="BD817" i="1"/>
  <c r="AP817" i="1"/>
  <c r="AO817" i="1"/>
  <c r="AK817" i="1"/>
  <c r="AJ817" i="1"/>
  <c r="AH817" i="1"/>
  <c r="AG817" i="1"/>
  <c r="AF817" i="1"/>
  <c r="AC817" i="1"/>
  <c r="AB817" i="1"/>
  <c r="Z817" i="1"/>
  <c r="J817" i="1"/>
  <c r="AL817" i="1" s="1"/>
  <c r="BJ815" i="1"/>
  <c r="BF815" i="1"/>
  <c r="BD815" i="1"/>
  <c r="AP815" i="1"/>
  <c r="AO815" i="1"/>
  <c r="AK815" i="1"/>
  <c r="AJ815" i="1"/>
  <c r="AH815" i="1"/>
  <c r="AG815" i="1"/>
  <c r="AF815" i="1"/>
  <c r="AC815" i="1"/>
  <c r="AB815" i="1"/>
  <c r="Z815" i="1"/>
  <c r="J815" i="1"/>
  <c r="AL815" i="1" s="1"/>
  <c r="BJ814" i="1"/>
  <c r="BF814" i="1"/>
  <c r="BD814" i="1"/>
  <c r="AP814" i="1"/>
  <c r="AX814" i="1" s="1"/>
  <c r="AO814" i="1"/>
  <c r="AK814" i="1"/>
  <c r="AJ814" i="1"/>
  <c r="AH814" i="1"/>
  <c r="AG814" i="1"/>
  <c r="AF814" i="1"/>
  <c r="AC814" i="1"/>
  <c r="AB814" i="1"/>
  <c r="Z814" i="1"/>
  <c r="J814" i="1"/>
  <c r="AL814" i="1" s="1"/>
  <c r="BJ813" i="1"/>
  <c r="BF813" i="1"/>
  <c r="BD813" i="1"/>
  <c r="AP813" i="1"/>
  <c r="AX813" i="1" s="1"/>
  <c r="AO813" i="1"/>
  <c r="AK813" i="1"/>
  <c r="AJ813" i="1"/>
  <c r="AH813" i="1"/>
  <c r="AG813" i="1"/>
  <c r="AF813" i="1"/>
  <c r="AC813" i="1"/>
  <c r="AB813" i="1"/>
  <c r="Z813" i="1"/>
  <c r="J813" i="1"/>
  <c r="AL813" i="1" s="1"/>
  <c r="BJ812" i="1"/>
  <c r="BF812" i="1"/>
  <c r="BD812" i="1"/>
  <c r="AP812" i="1"/>
  <c r="AO812" i="1"/>
  <c r="AK812" i="1"/>
  <c r="AJ812" i="1"/>
  <c r="AH812" i="1"/>
  <c r="AG812" i="1"/>
  <c r="AF812" i="1"/>
  <c r="AC812" i="1"/>
  <c r="AB812" i="1"/>
  <c r="Z812" i="1"/>
  <c r="J812" i="1"/>
  <c r="AL812" i="1" s="1"/>
  <c r="BJ811" i="1"/>
  <c r="BF811" i="1"/>
  <c r="BD811" i="1"/>
  <c r="AP811" i="1"/>
  <c r="AO811" i="1"/>
  <c r="AK811" i="1"/>
  <c r="AJ811" i="1"/>
  <c r="AH811" i="1"/>
  <c r="AG811" i="1"/>
  <c r="AF811" i="1"/>
  <c r="AC811" i="1"/>
  <c r="AB811" i="1"/>
  <c r="Z811" i="1"/>
  <c r="J811" i="1"/>
  <c r="AL811" i="1" s="1"/>
  <c r="BJ810" i="1"/>
  <c r="BF810" i="1"/>
  <c r="BD810" i="1"/>
  <c r="AP810" i="1"/>
  <c r="BI810" i="1" s="1"/>
  <c r="AE810" i="1" s="1"/>
  <c r="AO810" i="1"/>
  <c r="AK810" i="1"/>
  <c r="AJ810" i="1"/>
  <c r="AH810" i="1"/>
  <c r="AG810" i="1"/>
  <c r="AF810" i="1"/>
  <c r="AC810" i="1"/>
  <c r="AB810" i="1"/>
  <c r="Z810" i="1"/>
  <c r="J810" i="1"/>
  <c r="AL810" i="1" s="1"/>
  <c r="BJ809" i="1"/>
  <c r="BF809" i="1"/>
  <c r="BD809" i="1"/>
  <c r="AP809" i="1"/>
  <c r="AO809" i="1"/>
  <c r="AW809" i="1" s="1"/>
  <c r="AK809" i="1"/>
  <c r="AJ809" i="1"/>
  <c r="AH809" i="1"/>
  <c r="AG809" i="1"/>
  <c r="AF809" i="1"/>
  <c r="AC809" i="1"/>
  <c r="AB809" i="1"/>
  <c r="Z809" i="1"/>
  <c r="J809" i="1"/>
  <c r="AL809" i="1" s="1"/>
  <c r="BJ808" i="1"/>
  <c r="BF808" i="1"/>
  <c r="BD808" i="1"/>
  <c r="AP808" i="1"/>
  <c r="AO808" i="1"/>
  <c r="BH808" i="1" s="1"/>
  <c r="AD808" i="1" s="1"/>
  <c r="AK808" i="1"/>
  <c r="AJ808" i="1"/>
  <c r="AH808" i="1"/>
  <c r="AG808" i="1"/>
  <c r="AF808" i="1"/>
  <c r="AC808" i="1"/>
  <c r="AB808" i="1"/>
  <c r="Z808" i="1"/>
  <c r="J808" i="1"/>
  <c r="AL808" i="1" s="1"/>
  <c r="BJ807" i="1"/>
  <c r="BF807" i="1"/>
  <c r="BD807" i="1"/>
  <c r="AP807" i="1"/>
  <c r="BI807" i="1" s="1"/>
  <c r="AE807" i="1" s="1"/>
  <c r="AO807" i="1"/>
  <c r="H807" i="1" s="1"/>
  <c r="AK807" i="1"/>
  <c r="AJ807" i="1"/>
  <c r="AH807" i="1"/>
  <c r="AG807" i="1"/>
  <c r="AF807" i="1"/>
  <c r="AC807" i="1"/>
  <c r="AB807" i="1"/>
  <c r="Z807" i="1"/>
  <c r="J807" i="1"/>
  <c r="AL807" i="1" s="1"/>
  <c r="BJ806" i="1"/>
  <c r="BF806" i="1"/>
  <c r="BD806" i="1"/>
  <c r="AP806" i="1"/>
  <c r="AO806" i="1"/>
  <c r="BH806" i="1" s="1"/>
  <c r="AD806" i="1" s="1"/>
  <c r="AK806" i="1"/>
  <c r="AJ806" i="1"/>
  <c r="AH806" i="1"/>
  <c r="AG806" i="1"/>
  <c r="AF806" i="1"/>
  <c r="AC806" i="1"/>
  <c r="AB806" i="1"/>
  <c r="Z806" i="1"/>
  <c r="J806" i="1"/>
  <c r="AL806" i="1" s="1"/>
  <c r="BJ805" i="1"/>
  <c r="BF805" i="1"/>
  <c r="BD805" i="1"/>
  <c r="AP805" i="1"/>
  <c r="AO805" i="1"/>
  <c r="AK805" i="1"/>
  <c r="AJ805" i="1"/>
  <c r="AH805" i="1"/>
  <c r="AG805" i="1"/>
  <c r="AF805" i="1"/>
  <c r="AC805" i="1"/>
  <c r="AB805" i="1"/>
  <c r="Z805" i="1"/>
  <c r="J805" i="1"/>
  <c r="AL805" i="1" s="1"/>
  <c r="BJ804" i="1"/>
  <c r="BF804" i="1"/>
  <c r="BD804" i="1"/>
  <c r="AP804" i="1"/>
  <c r="AO804" i="1"/>
  <c r="AK804" i="1"/>
  <c r="AJ804" i="1"/>
  <c r="AH804" i="1"/>
  <c r="AG804" i="1"/>
  <c r="AF804" i="1"/>
  <c r="AC804" i="1"/>
  <c r="AB804" i="1"/>
  <c r="Z804" i="1"/>
  <c r="J804" i="1"/>
  <c r="AL804" i="1" s="1"/>
  <c r="BJ801" i="1"/>
  <c r="BF801" i="1"/>
  <c r="BD801" i="1"/>
  <c r="AP801" i="1"/>
  <c r="AO801" i="1"/>
  <c r="AK801" i="1"/>
  <c r="AJ801" i="1"/>
  <c r="AH801" i="1"/>
  <c r="AG801" i="1"/>
  <c r="AF801" i="1"/>
  <c r="AC801" i="1"/>
  <c r="AB801" i="1"/>
  <c r="Z801" i="1"/>
  <c r="J801" i="1"/>
  <c r="AL801" i="1" s="1"/>
  <c r="BJ800" i="1"/>
  <c r="BF800" i="1"/>
  <c r="BD800" i="1"/>
  <c r="AP800" i="1"/>
  <c r="AO800" i="1"/>
  <c r="AK800" i="1"/>
  <c r="AJ800" i="1"/>
  <c r="AH800" i="1"/>
  <c r="AG800" i="1"/>
  <c r="AF800" i="1"/>
  <c r="AC800" i="1"/>
  <c r="AB800" i="1"/>
  <c r="Z800" i="1"/>
  <c r="J800" i="1"/>
  <c r="AL800" i="1" s="1"/>
  <c r="BJ799" i="1"/>
  <c r="BF799" i="1"/>
  <c r="BD799" i="1"/>
  <c r="AP799" i="1"/>
  <c r="AO799" i="1"/>
  <c r="AK799" i="1"/>
  <c r="AJ799" i="1"/>
  <c r="AH799" i="1"/>
  <c r="AG799" i="1"/>
  <c r="AF799" i="1"/>
  <c r="AC799" i="1"/>
  <c r="AB799" i="1"/>
  <c r="Z799" i="1"/>
  <c r="J799" i="1"/>
  <c r="AL799" i="1" s="1"/>
  <c r="BJ798" i="1"/>
  <c r="BF798" i="1"/>
  <c r="BD798" i="1"/>
  <c r="AP798" i="1"/>
  <c r="AO798" i="1"/>
  <c r="AK798" i="1"/>
  <c r="AJ798" i="1"/>
  <c r="AH798" i="1"/>
  <c r="AG798" i="1"/>
  <c r="AF798" i="1"/>
  <c r="AC798" i="1"/>
  <c r="AB798" i="1"/>
  <c r="Z798" i="1"/>
  <c r="J798" i="1"/>
  <c r="AL798" i="1" s="1"/>
  <c r="BJ797" i="1"/>
  <c r="BF797" i="1"/>
  <c r="BD797" i="1"/>
  <c r="AP797" i="1"/>
  <c r="AO797" i="1"/>
  <c r="AK797" i="1"/>
  <c r="AJ797" i="1"/>
  <c r="AH797" i="1"/>
  <c r="AG797" i="1"/>
  <c r="AF797" i="1"/>
  <c r="AC797" i="1"/>
  <c r="AB797" i="1"/>
  <c r="Z797" i="1"/>
  <c r="J797" i="1"/>
  <c r="AL797" i="1" s="1"/>
  <c r="BJ796" i="1"/>
  <c r="BF796" i="1"/>
  <c r="BD796" i="1"/>
  <c r="AP796" i="1"/>
  <c r="AX796" i="1" s="1"/>
  <c r="AO796" i="1"/>
  <c r="AK796" i="1"/>
  <c r="AJ796" i="1"/>
  <c r="AH796" i="1"/>
  <c r="AG796" i="1"/>
  <c r="AF796" i="1"/>
  <c r="AC796" i="1"/>
  <c r="AB796" i="1"/>
  <c r="Z796" i="1"/>
  <c r="J796" i="1"/>
  <c r="AL796" i="1" s="1"/>
  <c r="BJ795" i="1"/>
  <c r="BF795" i="1"/>
  <c r="BD795" i="1"/>
  <c r="AP795" i="1"/>
  <c r="AX795" i="1" s="1"/>
  <c r="AO795" i="1"/>
  <c r="AK795" i="1"/>
  <c r="AJ795" i="1"/>
  <c r="AH795" i="1"/>
  <c r="AG795" i="1"/>
  <c r="AF795" i="1"/>
  <c r="AC795" i="1"/>
  <c r="AB795" i="1"/>
  <c r="Z795" i="1"/>
  <c r="J795" i="1"/>
  <c r="AL795" i="1" s="1"/>
  <c r="BJ794" i="1"/>
  <c r="BF794" i="1"/>
  <c r="BD794" i="1"/>
  <c r="AP794" i="1"/>
  <c r="BI794" i="1" s="1"/>
  <c r="AE794" i="1" s="1"/>
  <c r="AO794" i="1"/>
  <c r="BH794" i="1" s="1"/>
  <c r="AD794" i="1" s="1"/>
  <c r="AK794" i="1"/>
  <c r="AJ794" i="1"/>
  <c r="AH794" i="1"/>
  <c r="AG794" i="1"/>
  <c r="AF794" i="1"/>
  <c r="AC794" i="1"/>
  <c r="AB794" i="1"/>
  <c r="Z794" i="1"/>
  <c r="J794" i="1"/>
  <c r="AL794" i="1" s="1"/>
  <c r="BJ793" i="1"/>
  <c r="BF793" i="1"/>
  <c r="BD793" i="1"/>
  <c r="AP793" i="1"/>
  <c r="I793" i="1" s="1"/>
  <c r="AO793" i="1"/>
  <c r="H793" i="1" s="1"/>
  <c r="AK793" i="1"/>
  <c r="AJ793" i="1"/>
  <c r="AH793" i="1"/>
  <c r="AG793" i="1"/>
  <c r="AF793" i="1"/>
  <c r="AC793" i="1"/>
  <c r="AB793" i="1"/>
  <c r="Z793" i="1"/>
  <c r="J793" i="1"/>
  <c r="AL793" i="1" s="1"/>
  <c r="BJ792" i="1"/>
  <c r="BF792" i="1"/>
  <c r="BD792" i="1"/>
  <c r="AP792" i="1"/>
  <c r="AO792" i="1"/>
  <c r="AK792" i="1"/>
  <c r="AJ792" i="1"/>
  <c r="AH792" i="1"/>
  <c r="AG792" i="1"/>
  <c r="AF792" i="1"/>
  <c r="AC792" i="1"/>
  <c r="AB792" i="1"/>
  <c r="Z792" i="1"/>
  <c r="J792" i="1"/>
  <c r="AL792" i="1" s="1"/>
  <c r="BJ791" i="1"/>
  <c r="BF791" i="1"/>
  <c r="BD791" i="1"/>
  <c r="AP791" i="1"/>
  <c r="BI791" i="1" s="1"/>
  <c r="AE791" i="1" s="1"/>
  <c r="AO791" i="1"/>
  <c r="H791" i="1" s="1"/>
  <c r="AK791" i="1"/>
  <c r="AJ791" i="1"/>
  <c r="AH791" i="1"/>
  <c r="AG791" i="1"/>
  <c r="AF791" i="1"/>
  <c r="AC791" i="1"/>
  <c r="AB791" i="1"/>
  <c r="Z791" i="1"/>
  <c r="J791" i="1"/>
  <c r="AL791" i="1" s="1"/>
  <c r="BJ790" i="1"/>
  <c r="BF790" i="1"/>
  <c r="BD790" i="1"/>
  <c r="AP790" i="1"/>
  <c r="AO790" i="1"/>
  <c r="BH790" i="1" s="1"/>
  <c r="AD790" i="1" s="1"/>
  <c r="AK790" i="1"/>
  <c r="AJ790" i="1"/>
  <c r="AH790" i="1"/>
  <c r="AG790" i="1"/>
  <c r="AF790" i="1"/>
  <c r="AC790" i="1"/>
  <c r="AB790" i="1"/>
  <c r="Z790" i="1"/>
  <c r="J790" i="1"/>
  <c r="AL790" i="1" s="1"/>
  <c r="BJ789" i="1"/>
  <c r="BF789" i="1"/>
  <c r="BD789" i="1"/>
  <c r="AP789" i="1"/>
  <c r="BI789" i="1" s="1"/>
  <c r="AE789" i="1" s="1"/>
  <c r="AO789" i="1"/>
  <c r="AK789" i="1"/>
  <c r="AJ789" i="1"/>
  <c r="AH789" i="1"/>
  <c r="AG789" i="1"/>
  <c r="AF789" i="1"/>
  <c r="AC789" i="1"/>
  <c r="AB789" i="1"/>
  <c r="Z789" i="1"/>
  <c r="J789" i="1"/>
  <c r="AL789" i="1" s="1"/>
  <c r="BJ788" i="1"/>
  <c r="BF788" i="1"/>
  <c r="BD788" i="1"/>
  <c r="AP788" i="1"/>
  <c r="I788" i="1" s="1"/>
  <c r="AO788" i="1"/>
  <c r="AK788" i="1"/>
  <c r="AJ788" i="1"/>
  <c r="AH788" i="1"/>
  <c r="AG788" i="1"/>
  <c r="AF788" i="1"/>
  <c r="AC788" i="1"/>
  <c r="AB788" i="1"/>
  <c r="Z788" i="1"/>
  <c r="J788" i="1"/>
  <c r="AL788" i="1" s="1"/>
  <c r="BJ787" i="1"/>
  <c r="BF787" i="1"/>
  <c r="BD787" i="1"/>
  <c r="AP787" i="1"/>
  <c r="BI787" i="1" s="1"/>
  <c r="AE787" i="1" s="1"/>
  <c r="AO787" i="1"/>
  <c r="AW787" i="1" s="1"/>
  <c r="AK787" i="1"/>
  <c r="AJ787" i="1"/>
  <c r="AH787" i="1"/>
  <c r="AG787" i="1"/>
  <c r="AF787" i="1"/>
  <c r="AC787" i="1"/>
  <c r="AB787" i="1"/>
  <c r="Z787" i="1"/>
  <c r="J787" i="1"/>
  <c r="AL787" i="1" s="1"/>
  <c r="BJ786" i="1"/>
  <c r="BF786" i="1"/>
  <c r="BD786" i="1"/>
  <c r="AP786" i="1"/>
  <c r="AO786" i="1"/>
  <c r="H786" i="1" s="1"/>
  <c r="AK786" i="1"/>
  <c r="AJ786" i="1"/>
  <c r="AH786" i="1"/>
  <c r="AG786" i="1"/>
  <c r="AF786" i="1"/>
  <c r="AC786" i="1"/>
  <c r="AB786" i="1"/>
  <c r="Z786" i="1"/>
  <c r="J786" i="1"/>
  <c r="AL786" i="1" s="1"/>
  <c r="BJ785" i="1"/>
  <c r="BF785" i="1"/>
  <c r="BD785" i="1"/>
  <c r="AP785" i="1"/>
  <c r="I785" i="1" s="1"/>
  <c r="AO785" i="1"/>
  <c r="BH785" i="1" s="1"/>
  <c r="AD785" i="1" s="1"/>
  <c r="AK785" i="1"/>
  <c r="AJ785" i="1"/>
  <c r="AH785" i="1"/>
  <c r="AG785" i="1"/>
  <c r="AF785" i="1"/>
  <c r="AC785" i="1"/>
  <c r="AB785" i="1"/>
  <c r="Z785" i="1"/>
  <c r="J785" i="1"/>
  <c r="AL785" i="1" s="1"/>
  <c r="BJ784" i="1"/>
  <c r="BF784" i="1"/>
  <c r="BD784" i="1"/>
  <c r="AP784" i="1"/>
  <c r="BI784" i="1" s="1"/>
  <c r="AE784" i="1" s="1"/>
  <c r="AO784" i="1"/>
  <c r="AK784" i="1"/>
  <c r="AJ784" i="1"/>
  <c r="AH784" i="1"/>
  <c r="AG784" i="1"/>
  <c r="AF784" i="1"/>
  <c r="AC784" i="1"/>
  <c r="AB784" i="1"/>
  <c r="Z784" i="1"/>
  <c r="J784" i="1"/>
  <c r="AL784" i="1" s="1"/>
  <c r="BJ783" i="1"/>
  <c r="BF783" i="1"/>
  <c r="BD783" i="1"/>
  <c r="AP783" i="1"/>
  <c r="AO783" i="1"/>
  <c r="AK783" i="1"/>
  <c r="AJ783" i="1"/>
  <c r="AH783" i="1"/>
  <c r="AG783" i="1"/>
  <c r="AF783" i="1"/>
  <c r="AC783" i="1"/>
  <c r="AB783" i="1"/>
  <c r="Z783" i="1"/>
  <c r="J783" i="1"/>
  <c r="AL783" i="1" s="1"/>
  <c r="BJ782" i="1"/>
  <c r="BF782" i="1"/>
  <c r="BD782" i="1"/>
  <c r="AP782" i="1"/>
  <c r="AO782" i="1"/>
  <c r="AK782" i="1"/>
  <c r="AJ782" i="1"/>
  <c r="AH782" i="1"/>
  <c r="AG782" i="1"/>
  <c r="AF782" i="1"/>
  <c r="AC782" i="1"/>
  <c r="AB782" i="1"/>
  <c r="Z782" i="1"/>
  <c r="J782" i="1"/>
  <c r="AL782" i="1" s="1"/>
  <c r="BJ779" i="1"/>
  <c r="BF779" i="1"/>
  <c r="BD779" i="1"/>
  <c r="AP779" i="1"/>
  <c r="AO779" i="1"/>
  <c r="AK779" i="1"/>
  <c r="AJ779" i="1"/>
  <c r="AH779" i="1"/>
  <c r="AG779" i="1"/>
  <c r="AF779" i="1"/>
  <c r="AC779" i="1"/>
  <c r="AB779" i="1"/>
  <c r="Z779" i="1"/>
  <c r="J779" i="1"/>
  <c r="AL779" i="1" s="1"/>
  <c r="BJ778" i="1"/>
  <c r="Z778" i="1" s="1"/>
  <c r="BF778" i="1"/>
  <c r="BD778" i="1"/>
  <c r="AP778" i="1"/>
  <c r="AO778" i="1"/>
  <c r="AW778" i="1" s="1"/>
  <c r="AK778" i="1"/>
  <c r="AJ778" i="1"/>
  <c r="AH778" i="1"/>
  <c r="AG778" i="1"/>
  <c r="AF778" i="1"/>
  <c r="AE778" i="1"/>
  <c r="AD778" i="1"/>
  <c r="AC778" i="1"/>
  <c r="AB778" i="1"/>
  <c r="J778" i="1"/>
  <c r="AL778" i="1" s="1"/>
  <c r="BJ774" i="1"/>
  <c r="BF774" i="1"/>
  <c r="BD774" i="1"/>
  <c r="AP774" i="1"/>
  <c r="BI774" i="1" s="1"/>
  <c r="AE774" i="1" s="1"/>
  <c r="AO774" i="1"/>
  <c r="BH774" i="1" s="1"/>
  <c r="AD774" i="1" s="1"/>
  <c r="AK774" i="1"/>
  <c r="AJ774" i="1"/>
  <c r="AH774" i="1"/>
  <c r="AG774" i="1"/>
  <c r="AF774" i="1"/>
  <c r="AC774" i="1"/>
  <c r="AB774" i="1"/>
  <c r="Z774" i="1"/>
  <c r="J774" i="1"/>
  <c r="AL774" i="1" s="1"/>
  <c r="BJ772" i="1"/>
  <c r="BF772" i="1"/>
  <c r="BD772" i="1"/>
  <c r="AP772" i="1"/>
  <c r="AO772" i="1"/>
  <c r="AK772" i="1"/>
  <c r="AJ772" i="1"/>
  <c r="AH772" i="1"/>
  <c r="AG772" i="1"/>
  <c r="AF772" i="1"/>
  <c r="AC772" i="1"/>
  <c r="AB772" i="1"/>
  <c r="Z772" i="1"/>
  <c r="J772" i="1"/>
  <c r="AL772" i="1" s="1"/>
  <c r="BJ770" i="1"/>
  <c r="BF770" i="1"/>
  <c r="BD770" i="1"/>
  <c r="AP770" i="1"/>
  <c r="AO770" i="1"/>
  <c r="AK770" i="1"/>
  <c r="AJ770" i="1"/>
  <c r="AH770" i="1"/>
  <c r="AG770" i="1"/>
  <c r="AF770" i="1"/>
  <c r="AC770" i="1"/>
  <c r="AB770" i="1"/>
  <c r="Z770" i="1"/>
  <c r="J770" i="1"/>
  <c r="BJ768" i="1"/>
  <c r="BF768" i="1"/>
  <c r="BD768" i="1"/>
  <c r="AP768" i="1"/>
  <c r="BI768" i="1" s="1"/>
  <c r="AE768" i="1" s="1"/>
  <c r="AO768" i="1"/>
  <c r="BH768" i="1" s="1"/>
  <c r="AD768" i="1" s="1"/>
  <c r="AK768" i="1"/>
  <c r="AJ768" i="1"/>
  <c r="AH768" i="1"/>
  <c r="AG768" i="1"/>
  <c r="AF768" i="1"/>
  <c r="AC768" i="1"/>
  <c r="AB768" i="1"/>
  <c r="Z768" i="1"/>
  <c r="J768" i="1"/>
  <c r="AL768" i="1" s="1"/>
  <c r="BJ766" i="1"/>
  <c r="BF766" i="1"/>
  <c r="BD766" i="1"/>
  <c r="AP766" i="1"/>
  <c r="BI766" i="1" s="1"/>
  <c r="AE766" i="1" s="1"/>
  <c r="AO766" i="1"/>
  <c r="BH766" i="1" s="1"/>
  <c r="AD766" i="1" s="1"/>
  <c r="AK766" i="1"/>
  <c r="AJ766" i="1"/>
  <c r="AH766" i="1"/>
  <c r="AG766" i="1"/>
  <c r="AF766" i="1"/>
  <c r="AC766" i="1"/>
  <c r="AB766" i="1"/>
  <c r="Z766" i="1"/>
  <c r="J766" i="1"/>
  <c r="AL766" i="1" s="1"/>
  <c r="BJ764" i="1"/>
  <c r="Z764" i="1" s="1"/>
  <c r="BF764" i="1"/>
  <c r="BD764" i="1"/>
  <c r="AP764" i="1"/>
  <c r="AO764" i="1"/>
  <c r="AK764" i="1"/>
  <c r="AJ764" i="1"/>
  <c r="AH764" i="1"/>
  <c r="AG764" i="1"/>
  <c r="AF764" i="1"/>
  <c r="AE764" i="1"/>
  <c r="AD764" i="1"/>
  <c r="AC764" i="1"/>
  <c r="AB764" i="1"/>
  <c r="J764" i="1"/>
  <c r="AL764" i="1" s="1"/>
  <c r="BJ763" i="1"/>
  <c r="BF763" i="1"/>
  <c r="BD763" i="1"/>
  <c r="AP763" i="1"/>
  <c r="BI763" i="1" s="1"/>
  <c r="AE763" i="1" s="1"/>
  <c r="AO763" i="1"/>
  <c r="AK763" i="1"/>
  <c r="AJ763" i="1"/>
  <c r="AH763" i="1"/>
  <c r="AG763" i="1"/>
  <c r="AF763" i="1"/>
  <c r="AC763" i="1"/>
  <c r="AB763" i="1"/>
  <c r="Z763" i="1"/>
  <c r="J763" i="1"/>
  <c r="AL763" i="1" s="1"/>
  <c r="BJ762" i="1"/>
  <c r="BF762" i="1"/>
  <c r="BD762" i="1"/>
  <c r="AP762" i="1"/>
  <c r="I762" i="1" s="1"/>
  <c r="AO762" i="1"/>
  <c r="BH762" i="1" s="1"/>
  <c r="AD762" i="1" s="1"/>
  <c r="AK762" i="1"/>
  <c r="AJ762" i="1"/>
  <c r="AH762" i="1"/>
  <c r="AG762" i="1"/>
  <c r="AF762" i="1"/>
  <c r="AC762" i="1"/>
  <c r="AB762" i="1"/>
  <c r="Z762" i="1"/>
  <c r="J762" i="1"/>
  <c r="AL762" i="1" s="1"/>
  <c r="BJ761" i="1"/>
  <c r="BF761" i="1"/>
  <c r="BD761" i="1"/>
  <c r="AP761" i="1"/>
  <c r="BI761" i="1" s="1"/>
  <c r="AE761" i="1" s="1"/>
  <c r="AO761" i="1"/>
  <c r="AW761" i="1" s="1"/>
  <c r="AK761" i="1"/>
  <c r="AJ761" i="1"/>
  <c r="AH761" i="1"/>
  <c r="AG761" i="1"/>
  <c r="AF761" i="1"/>
  <c r="AC761" i="1"/>
  <c r="AB761" i="1"/>
  <c r="Z761" i="1"/>
  <c r="J761" i="1"/>
  <c r="AL761" i="1" s="1"/>
  <c r="BJ760" i="1"/>
  <c r="BF760" i="1"/>
  <c r="BD760" i="1"/>
  <c r="AP760" i="1"/>
  <c r="AX760" i="1" s="1"/>
  <c r="AO760" i="1"/>
  <c r="BH760" i="1" s="1"/>
  <c r="AD760" i="1" s="1"/>
  <c r="AK760" i="1"/>
  <c r="AJ760" i="1"/>
  <c r="AH760" i="1"/>
  <c r="AG760" i="1"/>
  <c r="AF760" i="1"/>
  <c r="AC760" i="1"/>
  <c r="AB760" i="1"/>
  <c r="Z760" i="1"/>
  <c r="J760" i="1"/>
  <c r="AL760" i="1" s="1"/>
  <c r="BJ757" i="1"/>
  <c r="BF757" i="1"/>
  <c r="BD757" i="1"/>
  <c r="AP757" i="1"/>
  <c r="AO757" i="1"/>
  <c r="AW757" i="1" s="1"/>
  <c r="AK757" i="1"/>
  <c r="AJ757" i="1"/>
  <c r="AH757" i="1"/>
  <c r="AG757" i="1"/>
  <c r="AF757" i="1"/>
  <c r="AC757" i="1"/>
  <c r="AB757" i="1"/>
  <c r="Z757" i="1"/>
  <c r="J757" i="1"/>
  <c r="BJ754" i="1"/>
  <c r="BF754" i="1"/>
  <c r="BD754" i="1"/>
  <c r="AP754" i="1"/>
  <c r="AO754" i="1"/>
  <c r="AK754" i="1"/>
  <c r="AT753" i="1" s="1"/>
  <c r="AJ754" i="1"/>
  <c r="AH754" i="1"/>
  <c r="AG754" i="1"/>
  <c r="AF754" i="1"/>
  <c r="AC754" i="1"/>
  <c r="AB754" i="1"/>
  <c r="Z754" i="1"/>
  <c r="J754" i="1"/>
  <c r="AL754" i="1" s="1"/>
  <c r="AU753" i="1" s="1"/>
  <c r="AS753" i="1"/>
  <c r="BJ752" i="1"/>
  <c r="Z752" i="1" s="1"/>
  <c r="BF752" i="1"/>
  <c r="BD752" i="1"/>
  <c r="AP752" i="1"/>
  <c r="BI752" i="1" s="1"/>
  <c r="AO752" i="1"/>
  <c r="AW752" i="1" s="1"/>
  <c r="AK752" i="1"/>
  <c r="AJ752" i="1"/>
  <c r="AH752" i="1"/>
  <c r="AG752" i="1"/>
  <c r="AF752" i="1"/>
  <c r="AE752" i="1"/>
  <c r="AD752" i="1"/>
  <c r="AC752" i="1"/>
  <c r="AB752" i="1"/>
  <c r="J752" i="1"/>
  <c r="AL752" i="1" s="1"/>
  <c r="BJ750" i="1"/>
  <c r="BF750" i="1"/>
  <c r="BD750" i="1"/>
  <c r="AP750" i="1"/>
  <c r="AO750" i="1"/>
  <c r="AK750" i="1"/>
  <c r="AJ750" i="1"/>
  <c r="AH750" i="1"/>
  <c r="AG750" i="1"/>
  <c r="AF750" i="1"/>
  <c r="AC750" i="1"/>
  <c r="AB750" i="1"/>
  <c r="Z750" i="1"/>
  <c r="J750" i="1"/>
  <c r="AL750" i="1" s="1"/>
  <c r="BJ749" i="1"/>
  <c r="BF749" i="1"/>
  <c r="BD749" i="1"/>
  <c r="AP749" i="1"/>
  <c r="BI749" i="1" s="1"/>
  <c r="AE749" i="1" s="1"/>
  <c r="AO749" i="1"/>
  <c r="AW749" i="1" s="1"/>
  <c r="AK749" i="1"/>
  <c r="AJ749" i="1"/>
  <c r="AH749" i="1"/>
  <c r="AG749" i="1"/>
  <c r="AF749" i="1"/>
  <c r="AC749" i="1"/>
  <c r="AB749" i="1"/>
  <c r="Z749" i="1"/>
  <c r="J749" i="1"/>
  <c r="AL749" i="1" s="1"/>
  <c r="BJ733" i="1"/>
  <c r="BF733" i="1"/>
  <c r="BD733" i="1"/>
  <c r="AP733" i="1"/>
  <c r="BI733" i="1" s="1"/>
  <c r="AE733" i="1" s="1"/>
  <c r="AO733" i="1"/>
  <c r="AK733" i="1"/>
  <c r="AJ733" i="1"/>
  <c r="AH733" i="1"/>
  <c r="AG733" i="1"/>
  <c r="AF733" i="1"/>
  <c r="AC733" i="1"/>
  <c r="AB733" i="1"/>
  <c r="Z733" i="1"/>
  <c r="J733" i="1"/>
  <c r="AL733" i="1" s="1"/>
  <c r="BJ732" i="1"/>
  <c r="BF732" i="1"/>
  <c r="BD732" i="1"/>
  <c r="AP732" i="1"/>
  <c r="I732" i="1" s="1"/>
  <c r="AO732" i="1"/>
  <c r="AK732" i="1"/>
  <c r="AJ732" i="1"/>
  <c r="AH732" i="1"/>
  <c r="AG732" i="1"/>
  <c r="AF732" i="1"/>
  <c r="AC732" i="1"/>
  <c r="AB732" i="1"/>
  <c r="Z732" i="1"/>
  <c r="J732" i="1"/>
  <c r="AL732" i="1" s="1"/>
  <c r="BJ729" i="1"/>
  <c r="BF729" i="1"/>
  <c r="BD729" i="1"/>
  <c r="AP729" i="1"/>
  <c r="AO729" i="1"/>
  <c r="AK729" i="1"/>
  <c r="AJ729" i="1"/>
  <c r="AH729" i="1"/>
  <c r="AG729" i="1"/>
  <c r="AF729" i="1"/>
  <c r="AC729" i="1"/>
  <c r="AB729" i="1"/>
  <c r="Z729" i="1"/>
  <c r="J729" i="1"/>
  <c r="AL729" i="1" s="1"/>
  <c r="BJ724" i="1"/>
  <c r="BF724" i="1"/>
  <c r="BD724" i="1"/>
  <c r="AP724" i="1"/>
  <c r="BI724" i="1" s="1"/>
  <c r="AE724" i="1" s="1"/>
  <c r="AO724" i="1"/>
  <c r="H724" i="1" s="1"/>
  <c r="AK724" i="1"/>
  <c r="AJ724" i="1"/>
  <c r="AH724" i="1"/>
  <c r="AG724" i="1"/>
  <c r="AF724" i="1"/>
  <c r="AC724" i="1"/>
  <c r="AB724" i="1"/>
  <c r="Z724" i="1"/>
  <c r="J724" i="1"/>
  <c r="AL724" i="1" s="1"/>
  <c r="BJ721" i="1"/>
  <c r="BF721" i="1"/>
  <c r="BD721" i="1"/>
  <c r="AP721" i="1"/>
  <c r="I721" i="1" s="1"/>
  <c r="AO721" i="1"/>
  <c r="AK721" i="1"/>
  <c r="AJ721" i="1"/>
  <c r="AH721" i="1"/>
  <c r="AG721" i="1"/>
  <c r="AF721" i="1"/>
  <c r="AC721" i="1"/>
  <c r="AB721" i="1"/>
  <c r="Z721" i="1"/>
  <c r="J721" i="1"/>
  <c r="BJ717" i="1"/>
  <c r="BF717" i="1"/>
  <c r="BD717" i="1"/>
  <c r="AP717" i="1"/>
  <c r="AO717" i="1"/>
  <c r="AK717" i="1"/>
  <c r="AJ717" i="1"/>
  <c r="AH717" i="1"/>
  <c r="AG717" i="1"/>
  <c r="AF717" i="1"/>
  <c r="AC717" i="1"/>
  <c r="AB717" i="1"/>
  <c r="Z717" i="1"/>
  <c r="J717" i="1"/>
  <c r="AL717" i="1" s="1"/>
  <c r="BJ715" i="1"/>
  <c r="BF715" i="1"/>
  <c r="BD715" i="1"/>
  <c r="AP715" i="1"/>
  <c r="AO715" i="1"/>
  <c r="AK715" i="1"/>
  <c r="AJ715" i="1"/>
  <c r="AH715" i="1"/>
  <c r="AG715" i="1"/>
  <c r="AF715" i="1"/>
  <c r="AC715" i="1"/>
  <c r="AB715" i="1"/>
  <c r="Z715" i="1"/>
  <c r="J715" i="1"/>
  <c r="AL715" i="1" s="1"/>
  <c r="BJ712" i="1"/>
  <c r="BF712" i="1"/>
  <c r="BD712" i="1"/>
  <c r="AP712" i="1"/>
  <c r="AO712" i="1"/>
  <c r="AK712" i="1"/>
  <c r="AJ712" i="1"/>
  <c r="AH712" i="1"/>
  <c r="AG712" i="1"/>
  <c r="AF712" i="1"/>
  <c r="AC712" i="1"/>
  <c r="AB712" i="1"/>
  <c r="Z712" i="1"/>
  <c r="J712" i="1"/>
  <c r="AL712" i="1" s="1"/>
  <c r="BJ709" i="1"/>
  <c r="BF709" i="1"/>
  <c r="BD709" i="1"/>
  <c r="AP709" i="1"/>
  <c r="I709" i="1" s="1"/>
  <c r="AO709" i="1"/>
  <c r="AK709" i="1"/>
  <c r="AJ709" i="1"/>
  <c r="AH709" i="1"/>
  <c r="AG709" i="1"/>
  <c r="AF709" i="1"/>
  <c r="AC709" i="1"/>
  <c r="AB709" i="1"/>
  <c r="Z709" i="1"/>
  <c r="J709" i="1"/>
  <c r="AL709" i="1" s="1"/>
  <c r="BJ707" i="1"/>
  <c r="BF707" i="1"/>
  <c r="BD707" i="1"/>
  <c r="AP707" i="1"/>
  <c r="BI707" i="1" s="1"/>
  <c r="AE707" i="1" s="1"/>
  <c r="AO707" i="1"/>
  <c r="AK707" i="1"/>
  <c r="AJ707" i="1"/>
  <c r="AH707" i="1"/>
  <c r="AG707" i="1"/>
  <c r="AF707" i="1"/>
  <c r="AC707" i="1"/>
  <c r="AB707" i="1"/>
  <c r="Z707" i="1"/>
  <c r="J707" i="1"/>
  <c r="AL707" i="1" s="1"/>
  <c r="BJ705" i="1"/>
  <c r="BF705" i="1"/>
  <c r="BD705" i="1"/>
  <c r="AP705" i="1"/>
  <c r="AO705" i="1"/>
  <c r="AK705" i="1"/>
  <c r="AJ705" i="1"/>
  <c r="AH705" i="1"/>
  <c r="AG705" i="1"/>
  <c r="AF705" i="1"/>
  <c r="AC705" i="1"/>
  <c r="AB705" i="1"/>
  <c r="Z705" i="1"/>
  <c r="J705" i="1"/>
  <c r="AL705" i="1" s="1"/>
  <c r="BJ702" i="1"/>
  <c r="BF702" i="1"/>
  <c r="BD702" i="1"/>
  <c r="AP702" i="1"/>
  <c r="BI702" i="1" s="1"/>
  <c r="AE702" i="1" s="1"/>
  <c r="AO702" i="1"/>
  <c r="BH702" i="1" s="1"/>
  <c r="AD702" i="1" s="1"/>
  <c r="AK702" i="1"/>
  <c r="AJ702" i="1"/>
  <c r="AH702" i="1"/>
  <c r="AG702" i="1"/>
  <c r="AF702" i="1"/>
  <c r="AC702" i="1"/>
  <c r="AB702" i="1"/>
  <c r="Z702" i="1"/>
  <c r="J702" i="1"/>
  <c r="AL702" i="1" s="1"/>
  <c r="BJ698" i="1"/>
  <c r="BF698" i="1"/>
  <c r="BD698" i="1"/>
  <c r="AP698" i="1"/>
  <c r="I698" i="1" s="1"/>
  <c r="AO698" i="1"/>
  <c r="H698" i="1" s="1"/>
  <c r="AK698" i="1"/>
  <c r="AJ698" i="1"/>
  <c r="AH698" i="1"/>
  <c r="AG698" i="1"/>
  <c r="AF698" i="1"/>
  <c r="AC698" i="1"/>
  <c r="AB698" i="1"/>
  <c r="Z698" i="1"/>
  <c r="J698" i="1"/>
  <c r="BJ695" i="1"/>
  <c r="BF695" i="1"/>
  <c r="BD695" i="1"/>
  <c r="AP695" i="1"/>
  <c r="AO695" i="1"/>
  <c r="AK695" i="1"/>
  <c r="AJ695" i="1"/>
  <c r="AH695" i="1"/>
  <c r="AG695" i="1"/>
  <c r="AF695" i="1"/>
  <c r="AC695" i="1"/>
  <c r="AB695" i="1"/>
  <c r="Z695" i="1"/>
  <c r="J695" i="1"/>
  <c r="AL695" i="1" s="1"/>
  <c r="BJ690" i="1"/>
  <c r="BF690" i="1"/>
  <c r="BD690" i="1"/>
  <c r="AP690" i="1"/>
  <c r="AO690" i="1"/>
  <c r="AK690" i="1"/>
  <c r="AJ690" i="1"/>
  <c r="AH690" i="1"/>
  <c r="AG690" i="1"/>
  <c r="AF690" i="1"/>
  <c r="AC690" i="1"/>
  <c r="AB690" i="1"/>
  <c r="Z690" i="1"/>
  <c r="J690" i="1"/>
  <c r="AL690" i="1" s="1"/>
  <c r="BJ687" i="1"/>
  <c r="BF687" i="1"/>
  <c r="BD687" i="1"/>
  <c r="AP687" i="1"/>
  <c r="I687" i="1" s="1"/>
  <c r="AO687" i="1"/>
  <c r="AK687" i="1"/>
  <c r="AJ687" i="1"/>
  <c r="AH687" i="1"/>
  <c r="AG687" i="1"/>
  <c r="AF687" i="1"/>
  <c r="AC687" i="1"/>
  <c r="AB687" i="1"/>
  <c r="Z687" i="1"/>
  <c r="J687" i="1"/>
  <c r="AL687" i="1" s="1"/>
  <c r="BJ684" i="1"/>
  <c r="BF684" i="1"/>
  <c r="BD684" i="1"/>
  <c r="AP684" i="1"/>
  <c r="AO684" i="1"/>
  <c r="AK684" i="1"/>
  <c r="AJ684" i="1"/>
  <c r="AH684" i="1"/>
  <c r="AG684" i="1"/>
  <c r="AF684" i="1"/>
  <c r="AC684" i="1"/>
  <c r="AB684" i="1"/>
  <c r="Z684" i="1"/>
  <c r="J684" i="1"/>
  <c r="AL684" i="1" s="1"/>
  <c r="BJ680" i="1"/>
  <c r="BF680" i="1"/>
  <c r="BD680" i="1"/>
  <c r="AP680" i="1"/>
  <c r="AO680" i="1"/>
  <c r="BH680" i="1" s="1"/>
  <c r="AD680" i="1" s="1"/>
  <c r="AK680" i="1"/>
  <c r="AJ680" i="1"/>
  <c r="AH680" i="1"/>
  <c r="AG680" i="1"/>
  <c r="AF680" i="1"/>
  <c r="AC680" i="1"/>
  <c r="AB680" i="1"/>
  <c r="Z680" i="1"/>
  <c r="J680" i="1"/>
  <c r="AL680" i="1" s="1"/>
  <c r="BJ677" i="1"/>
  <c r="BF677" i="1"/>
  <c r="BD677" i="1"/>
  <c r="AP677" i="1"/>
  <c r="BI677" i="1" s="1"/>
  <c r="AE677" i="1" s="1"/>
  <c r="AO677" i="1"/>
  <c r="BH677" i="1" s="1"/>
  <c r="AD677" i="1" s="1"/>
  <c r="AK677" i="1"/>
  <c r="AJ677" i="1"/>
  <c r="AH677" i="1"/>
  <c r="AG677" i="1"/>
  <c r="AF677" i="1"/>
  <c r="AC677" i="1"/>
  <c r="AB677" i="1"/>
  <c r="Z677" i="1"/>
  <c r="J677" i="1"/>
  <c r="AL677" i="1" s="1"/>
  <c r="BJ673" i="1"/>
  <c r="BF673" i="1"/>
  <c r="BD673" i="1"/>
  <c r="AP673" i="1"/>
  <c r="AO673" i="1"/>
  <c r="BH673" i="1" s="1"/>
  <c r="AD673" i="1" s="1"/>
  <c r="AK673" i="1"/>
  <c r="AT672" i="1" s="1"/>
  <c r="AJ673" i="1"/>
  <c r="AS672" i="1" s="1"/>
  <c r="AH673" i="1"/>
  <c r="AG673" i="1"/>
  <c r="AF673" i="1"/>
  <c r="AC673" i="1"/>
  <c r="AB673" i="1"/>
  <c r="Z673" i="1"/>
  <c r="J673" i="1"/>
  <c r="BJ669" i="1"/>
  <c r="BF669" i="1"/>
  <c r="BD669" i="1"/>
  <c r="AP669" i="1"/>
  <c r="BI669" i="1" s="1"/>
  <c r="AC669" i="1" s="1"/>
  <c r="AO669" i="1"/>
  <c r="BH669" i="1" s="1"/>
  <c r="AB669" i="1" s="1"/>
  <c r="AK669" i="1"/>
  <c r="AJ669" i="1"/>
  <c r="AH669" i="1"/>
  <c r="AG669" i="1"/>
  <c r="AF669" i="1"/>
  <c r="AE669" i="1"/>
  <c r="AD669" i="1"/>
  <c r="Z669" i="1"/>
  <c r="J669" i="1"/>
  <c r="AL669" i="1" s="1"/>
  <c r="BJ665" i="1"/>
  <c r="BF665" i="1"/>
  <c r="BD665" i="1"/>
  <c r="AP665" i="1"/>
  <c r="AO665" i="1"/>
  <c r="AK665" i="1"/>
  <c r="AJ665" i="1"/>
  <c r="AH665" i="1"/>
  <c r="AG665" i="1"/>
  <c r="AF665" i="1"/>
  <c r="AE665" i="1"/>
  <c r="AD665" i="1"/>
  <c r="Z665" i="1"/>
  <c r="J665" i="1"/>
  <c r="AL665" i="1" s="1"/>
  <c r="BJ661" i="1"/>
  <c r="BF661" i="1"/>
  <c r="BD661" i="1"/>
  <c r="AP661" i="1"/>
  <c r="BI661" i="1" s="1"/>
  <c r="AC661" i="1" s="1"/>
  <c r="AO661" i="1"/>
  <c r="BH661" i="1" s="1"/>
  <c r="AB661" i="1" s="1"/>
  <c r="AK661" i="1"/>
  <c r="AJ661" i="1"/>
  <c r="AH661" i="1"/>
  <c r="AG661" i="1"/>
  <c r="AF661" i="1"/>
  <c r="AE661" i="1"/>
  <c r="AD661" i="1"/>
  <c r="Z661" i="1"/>
  <c r="J661" i="1"/>
  <c r="AL661" i="1" s="1"/>
  <c r="BJ657" i="1"/>
  <c r="BF657" i="1"/>
  <c r="BD657" i="1"/>
  <c r="AP657" i="1"/>
  <c r="AO657" i="1"/>
  <c r="AK657" i="1"/>
  <c r="AJ657" i="1"/>
  <c r="AH657" i="1"/>
  <c r="AG657" i="1"/>
  <c r="AF657" i="1"/>
  <c r="AE657" i="1"/>
  <c r="AD657" i="1"/>
  <c r="Z657" i="1"/>
  <c r="J657" i="1"/>
  <c r="AL657" i="1" s="1"/>
  <c r="BJ650" i="1"/>
  <c r="BF650" i="1"/>
  <c r="BD650" i="1"/>
  <c r="AP650" i="1"/>
  <c r="BI650" i="1" s="1"/>
  <c r="AC650" i="1" s="1"/>
  <c r="AO650" i="1"/>
  <c r="BH650" i="1" s="1"/>
  <c r="AB650" i="1" s="1"/>
  <c r="AK650" i="1"/>
  <c r="AJ650" i="1"/>
  <c r="AH650" i="1"/>
  <c r="AG650" i="1"/>
  <c r="AF650" i="1"/>
  <c r="AE650" i="1"/>
  <c r="AD650" i="1"/>
  <c r="Z650" i="1"/>
  <c r="J650" i="1"/>
  <c r="AL650" i="1" s="1"/>
  <c r="BJ648" i="1"/>
  <c r="BF648" i="1"/>
  <c r="BD648" i="1"/>
  <c r="AP648" i="1"/>
  <c r="BI648" i="1" s="1"/>
  <c r="AC648" i="1" s="1"/>
  <c r="AO648" i="1"/>
  <c r="AK648" i="1"/>
  <c r="AJ648" i="1"/>
  <c r="AH648" i="1"/>
  <c r="AG648" i="1"/>
  <c r="AF648" i="1"/>
  <c r="AE648" i="1"/>
  <c r="AD648" i="1"/>
  <c r="Z648" i="1"/>
  <c r="J648" i="1"/>
  <c r="AL648" i="1" s="1"/>
  <c r="BJ646" i="1"/>
  <c r="BF646" i="1"/>
  <c r="BD646" i="1"/>
  <c r="AP646" i="1"/>
  <c r="BI646" i="1" s="1"/>
  <c r="AC646" i="1" s="1"/>
  <c r="AO646" i="1"/>
  <c r="AK646" i="1"/>
  <c r="AJ646" i="1"/>
  <c r="AH646" i="1"/>
  <c r="AG646" i="1"/>
  <c r="AF646" i="1"/>
  <c r="AE646" i="1"/>
  <c r="AD646" i="1"/>
  <c r="Z646" i="1"/>
  <c r="J646" i="1"/>
  <c r="AL646" i="1" s="1"/>
  <c r="BJ645" i="1"/>
  <c r="BF645" i="1"/>
  <c r="BD645" i="1"/>
  <c r="AP645" i="1"/>
  <c r="AO645" i="1"/>
  <c r="AK645" i="1"/>
  <c r="AJ645" i="1"/>
  <c r="AH645" i="1"/>
  <c r="AG645" i="1"/>
  <c r="AF645" i="1"/>
  <c r="AE645" i="1"/>
  <c r="AD645" i="1"/>
  <c r="Z645" i="1"/>
  <c r="J645" i="1"/>
  <c r="AL645" i="1" s="1"/>
  <c r="BJ637" i="1"/>
  <c r="BF637" i="1"/>
  <c r="BD637" i="1"/>
  <c r="AP637" i="1"/>
  <c r="AX637" i="1" s="1"/>
  <c r="AO637" i="1"/>
  <c r="BH637" i="1" s="1"/>
  <c r="AB637" i="1" s="1"/>
  <c r="AK637" i="1"/>
  <c r="AJ637" i="1"/>
  <c r="AH637" i="1"/>
  <c r="AG637" i="1"/>
  <c r="AF637" i="1"/>
  <c r="AE637" i="1"/>
  <c r="AD637" i="1"/>
  <c r="Z637" i="1"/>
  <c r="J637" i="1"/>
  <c r="AL637" i="1" s="1"/>
  <c r="BJ629" i="1"/>
  <c r="BF629" i="1"/>
  <c r="BD629" i="1"/>
  <c r="AP629" i="1"/>
  <c r="AX629" i="1" s="1"/>
  <c r="AO629" i="1"/>
  <c r="BH629" i="1" s="1"/>
  <c r="AB629" i="1" s="1"/>
  <c r="AK629" i="1"/>
  <c r="AJ629" i="1"/>
  <c r="AH629" i="1"/>
  <c r="AG629" i="1"/>
  <c r="AF629" i="1"/>
  <c r="AE629" i="1"/>
  <c r="AD629" i="1"/>
  <c r="Z629" i="1"/>
  <c r="J629" i="1"/>
  <c r="BJ627" i="1"/>
  <c r="BF627" i="1"/>
  <c r="BD627" i="1"/>
  <c r="AP627" i="1"/>
  <c r="AX627" i="1" s="1"/>
  <c r="AO627" i="1"/>
  <c r="BH627" i="1" s="1"/>
  <c r="AB627" i="1" s="1"/>
  <c r="AK627" i="1"/>
  <c r="AJ627" i="1"/>
  <c r="AH627" i="1"/>
  <c r="AG627" i="1"/>
  <c r="AF627" i="1"/>
  <c r="AE627" i="1"/>
  <c r="AD627" i="1"/>
  <c r="Z627" i="1"/>
  <c r="J627" i="1"/>
  <c r="AL627" i="1" s="1"/>
  <c r="BJ625" i="1"/>
  <c r="BF625" i="1"/>
  <c r="BD625" i="1"/>
  <c r="AP625" i="1"/>
  <c r="AO625" i="1"/>
  <c r="H625" i="1" s="1"/>
  <c r="AK625" i="1"/>
  <c r="AJ625" i="1"/>
  <c r="AH625" i="1"/>
  <c r="AG625" i="1"/>
  <c r="AF625" i="1"/>
  <c r="AE625" i="1"/>
  <c r="AD625" i="1"/>
  <c r="Z625" i="1"/>
  <c r="J625" i="1"/>
  <c r="AL625" i="1" s="1"/>
  <c r="BJ622" i="1"/>
  <c r="BF622" i="1"/>
  <c r="BD622" i="1"/>
  <c r="AP622" i="1"/>
  <c r="AO622" i="1"/>
  <c r="AK622" i="1"/>
  <c r="AJ622" i="1"/>
  <c r="AH622" i="1"/>
  <c r="AG622" i="1"/>
  <c r="AF622" i="1"/>
  <c r="AE622" i="1"/>
  <c r="AD622" i="1"/>
  <c r="Z622" i="1"/>
  <c r="J622" i="1"/>
  <c r="AL622" i="1" s="1"/>
  <c r="BJ621" i="1"/>
  <c r="BF621" i="1"/>
  <c r="BD621" i="1"/>
  <c r="AP621" i="1"/>
  <c r="AO621" i="1"/>
  <c r="AK621" i="1"/>
  <c r="AJ621" i="1"/>
  <c r="AH621" i="1"/>
  <c r="AG621" i="1"/>
  <c r="AF621" i="1"/>
  <c r="AE621" i="1"/>
  <c r="AD621" i="1"/>
  <c r="Z621" i="1"/>
  <c r="J621" i="1"/>
  <c r="AL621" i="1" s="1"/>
  <c r="BJ618" i="1"/>
  <c r="BF618" i="1"/>
  <c r="BD618" i="1"/>
  <c r="AP618" i="1"/>
  <c r="AX618" i="1" s="1"/>
  <c r="AO618" i="1"/>
  <c r="AK618" i="1"/>
  <c r="AJ618" i="1"/>
  <c r="AH618" i="1"/>
  <c r="AG618" i="1"/>
  <c r="AF618" i="1"/>
  <c r="AE618" i="1"/>
  <c r="AD618" i="1"/>
  <c r="Z618" i="1"/>
  <c r="J618" i="1"/>
  <c r="AL618" i="1" s="1"/>
  <c r="BJ615" i="1"/>
  <c r="BF615" i="1"/>
  <c r="BD615" i="1"/>
  <c r="AP615" i="1"/>
  <c r="BI615" i="1" s="1"/>
  <c r="AC615" i="1" s="1"/>
  <c r="AO615" i="1"/>
  <c r="BH615" i="1" s="1"/>
  <c r="AB615" i="1" s="1"/>
  <c r="AK615" i="1"/>
  <c r="AJ615" i="1"/>
  <c r="AH615" i="1"/>
  <c r="AG615" i="1"/>
  <c r="AF615" i="1"/>
  <c r="AE615" i="1"/>
  <c r="AD615" i="1"/>
  <c r="Z615" i="1"/>
  <c r="J615" i="1"/>
  <c r="BJ613" i="1"/>
  <c r="BF613" i="1"/>
  <c r="BD613" i="1"/>
  <c r="AP613" i="1"/>
  <c r="BI613" i="1" s="1"/>
  <c r="AC613" i="1" s="1"/>
  <c r="AO613" i="1"/>
  <c r="BH613" i="1" s="1"/>
  <c r="AB613" i="1" s="1"/>
  <c r="AK613" i="1"/>
  <c r="AT612" i="1" s="1"/>
  <c r="AJ613" i="1"/>
  <c r="AS612" i="1" s="1"/>
  <c r="AH613" i="1"/>
  <c r="AG613" i="1"/>
  <c r="AF613" i="1"/>
  <c r="AE613" i="1"/>
  <c r="AD613" i="1"/>
  <c r="Z613" i="1"/>
  <c r="J613" i="1"/>
  <c r="AL613" i="1" s="1"/>
  <c r="AU612" i="1" s="1"/>
  <c r="BJ609" i="1"/>
  <c r="BF609" i="1"/>
  <c r="BD609" i="1"/>
  <c r="AP609" i="1"/>
  <c r="AO609" i="1"/>
  <c r="AK609" i="1"/>
  <c r="AT608" i="1" s="1"/>
  <c r="AJ609" i="1"/>
  <c r="AS608" i="1" s="1"/>
  <c r="AH609" i="1"/>
  <c r="AG609" i="1"/>
  <c r="AF609" i="1"/>
  <c r="AE609" i="1"/>
  <c r="AD609" i="1"/>
  <c r="Z609" i="1"/>
  <c r="J609" i="1"/>
  <c r="AL609" i="1" s="1"/>
  <c r="AU608" i="1" s="1"/>
  <c r="BJ606" i="1"/>
  <c r="BF606" i="1"/>
  <c r="BD606" i="1"/>
  <c r="AP606" i="1"/>
  <c r="AX606" i="1" s="1"/>
  <c r="AO606" i="1"/>
  <c r="AK606" i="1"/>
  <c r="AT605" i="1" s="1"/>
  <c r="AJ606" i="1"/>
  <c r="AS605" i="1" s="1"/>
  <c r="AH606" i="1"/>
  <c r="AG606" i="1"/>
  <c r="AF606" i="1"/>
  <c r="AE606" i="1"/>
  <c r="AD606" i="1"/>
  <c r="Z606" i="1"/>
  <c r="J606" i="1"/>
  <c r="BJ599" i="1"/>
  <c r="BF599" i="1"/>
  <c r="BD599" i="1"/>
  <c r="AP599" i="1"/>
  <c r="BI599" i="1" s="1"/>
  <c r="AC599" i="1" s="1"/>
  <c r="AO599" i="1"/>
  <c r="H599" i="1" s="1"/>
  <c r="H598" i="1" s="1"/>
  <c r="AK599" i="1"/>
  <c r="AT598" i="1" s="1"/>
  <c r="AJ599" i="1"/>
  <c r="AS598" i="1" s="1"/>
  <c r="AH599" i="1"/>
  <c r="AG599" i="1"/>
  <c r="AF599" i="1"/>
  <c r="AE599" i="1"/>
  <c r="AD599" i="1"/>
  <c r="Z599" i="1"/>
  <c r="J599" i="1"/>
  <c r="BJ596" i="1"/>
  <c r="BF596" i="1"/>
  <c r="BD596" i="1"/>
  <c r="AP596" i="1"/>
  <c r="AO596" i="1"/>
  <c r="AK596" i="1"/>
  <c r="AT595" i="1" s="1"/>
  <c r="AJ596" i="1"/>
  <c r="AS595" i="1" s="1"/>
  <c r="AH596" i="1"/>
  <c r="AE596" i="1"/>
  <c r="AD596" i="1"/>
  <c r="AC596" i="1"/>
  <c r="AB596" i="1"/>
  <c r="Z596" i="1"/>
  <c r="J596" i="1"/>
  <c r="BJ594" i="1"/>
  <c r="Z594" i="1" s="1"/>
  <c r="BF594" i="1"/>
  <c r="BD594" i="1"/>
  <c r="AP594" i="1"/>
  <c r="I594" i="1" s="1"/>
  <c r="I593" i="1" s="1"/>
  <c r="AO594" i="1"/>
  <c r="AK594" i="1"/>
  <c r="AT593" i="1" s="1"/>
  <c r="AJ594" i="1"/>
  <c r="AS593" i="1" s="1"/>
  <c r="AH594" i="1"/>
  <c r="AG594" i="1"/>
  <c r="AF594" i="1"/>
  <c r="AE594" i="1"/>
  <c r="AD594" i="1"/>
  <c r="AC594" i="1"/>
  <c r="AB594" i="1"/>
  <c r="J594" i="1"/>
  <c r="BJ589" i="1"/>
  <c r="BF589" i="1"/>
  <c r="BD589" i="1"/>
  <c r="AP589" i="1"/>
  <c r="AO589" i="1"/>
  <c r="AK589" i="1"/>
  <c r="AJ589" i="1"/>
  <c r="AH589" i="1"/>
  <c r="AG589" i="1"/>
  <c r="AF589" i="1"/>
  <c r="AE589" i="1"/>
  <c r="AD589" i="1"/>
  <c r="Z589" i="1"/>
  <c r="J589" i="1"/>
  <c r="AL589" i="1" s="1"/>
  <c r="BJ587" i="1"/>
  <c r="BF587" i="1"/>
  <c r="BD587" i="1"/>
  <c r="AP587" i="1"/>
  <c r="BI587" i="1" s="1"/>
  <c r="AC587" i="1" s="1"/>
  <c r="AO587" i="1"/>
  <c r="H587" i="1" s="1"/>
  <c r="AK587" i="1"/>
  <c r="AJ587" i="1"/>
  <c r="AH587" i="1"/>
  <c r="AG587" i="1"/>
  <c r="AF587" i="1"/>
  <c r="AE587" i="1"/>
  <c r="AD587" i="1"/>
  <c r="Z587" i="1"/>
  <c r="J587" i="1"/>
  <c r="AL587" i="1" s="1"/>
  <c r="BJ584" i="1"/>
  <c r="BF584" i="1"/>
  <c r="BD584" i="1"/>
  <c r="AP584" i="1"/>
  <c r="I584" i="1" s="1"/>
  <c r="AO584" i="1"/>
  <c r="BH584" i="1" s="1"/>
  <c r="AB584" i="1" s="1"/>
  <c r="AK584" i="1"/>
  <c r="AJ584" i="1"/>
  <c r="AH584" i="1"/>
  <c r="AG584" i="1"/>
  <c r="AF584" i="1"/>
  <c r="AE584" i="1"/>
  <c r="AD584" i="1"/>
  <c r="Z584" i="1"/>
  <c r="J584" i="1"/>
  <c r="AL584" i="1" s="1"/>
  <c r="BJ581" i="1"/>
  <c r="BF581" i="1"/>
  <c r="BD581" i="1"/>
  <c r="AP581" i="1"/>
  <c r="AO581" i="1"/>
  <c r="AK581" i="1"/>
  <c r="AJ581" i="1"/>
  <c r="AH581" i="1"/>
  <c r="AG581" i="1"/>
  <c r="AF581" i="1"/>
  <c r="AE581" i="1"/>
  <c r="AD581" i="1"/>
  <c r="Z581" i="1"/>
  <c r="J581" i="1"/>
  <c r="AL581" i="1" s="1"/>
  <c r="BJ579" i="1"/>
  <c r="BF579" i="1"/>
  <c r="BD579" i="1"/>
  <c r="AP579" i="1"/>
  <c r="AO579" i="1"/>
  <c r="BH579" i="1" s="1"/>
  <c r="AB579" i="1" s="1"/>
  <c r="AK579" i="1"/>
  <c r="AJ579" i="1"/>
  <c r="AH579" i="1"/>
  <c r="AG579" i="1"/>
  <c r="AF579" i="1"/>
  <c r="AE579" i="1"/>
  <c r="AD579" i="1"/>
  <c r="Z579" i="1"/>
  <c r="J579" i="1"/>
  <c r="AL579" i="1" s="1"/>
  <c r="BJ577" i="1"/>
  <c r="BF577" i="1"/>
  <c r="BD577" i="1"/>
  <c r="AP577" i="1"/>
  <c r="BI577" i="1" s="1"/>
  <c r="AC577" i="1" s="1"/>
  <c r="AO577" i="1"/>
  <c r="BH577" i="1" s="1"/>
  <c r="AB577" i="1" s="1"/>
  <c r="AK577" i="1"/>
  <c r="AJ577" i="1"/>
  <c r="AH577" i="1"/>
  <c r="AG577" i="1"/>
  <c r="AF577" i="1"/>
  <c r="AE577" i="1"/>
  <c r="AD577" i="1"/>
  <c r="Z577" i="1"/>
  <c r="J577" i="1"/>
  <c r="AL577" i="1" s="1"/>
  <c r="BJ573" i="1"/>
  <c r="BF573" i="1"/>
  <c r="BD573" i="1"/>
  <c r="AP573" i="1"/>
  <c r="BI573" i="1" s="1"/>
  <c r="AC573" i="1" s="1"/>
  <c r="AO573" i="1"/>
  <c r="AK573" i="1"/>
  <c r="AJ573" i="1"/>
  <c r="AH573" i="1"/>
  <c r="AG573" i="1"/>
  <c r="AF573" i="1"/>
  <c r="AE573" i="1"/>
  <c r="AD573" i="1"/>
  <c r="Z573" i="1"/>
  <c r="J573" i="1"/>
  <c r="AL573" i="1" s="1"/>
  <c r="BJ570" i="1"/>
  <c r="BF570" i="1"/>
  <c r="BD570" i="1"/>
  <c r="AP570" i="1"/>
  <c r="AO570" i="1"/>
  <c r="AK570" i="1"/>
  <c r="AJ570" i="1"/>
  <c r="AH570" i="1"/>
  <c r="AG570" i="1"/>
  <c r="AF570" i="1"/>
  <c r="AE570" i="1"/>
  <c r="AD570" i="1"/>
  <c r="Z570" i="1"/>
  <c r="J570" i="1"/>
  <c r="AL570" i="1" s="1"/>
  <c r="BJ565" i="1"/>
  <c r="BF565" i="1"/>
  <c r="BD565" i="1"/>
  <c r="AP565" i="1"/>
  <c r="AO565" i="1"/>
  <c r="AK565" i="1"/>
  <c r="AJ565" i="1"/>
  <c r="AH565" i="1"/>
  <c r="AG565" i="1"/>
  <c r="AF565" i="1"/>
  <c r="AE565" i="1"/>
  <c r="AD565" i="1"/>
  <c r="Z565" i="1"/>
  <c r="J565" i="1"/>
  <c r="AL565" i="1" s="1"/>
  <c r="BJ561" i="1"/>
  <c r="BF561" i="1"/>
  <c r="BD561" i="1"/>
  <c r="AP561" i="1"/>
  <c r="AO561" i="1"/>
  <c r="AK561" i="1"/>
  <c r="AJ561" i="1"/>
  <c r="AH561" i="1"/>
  <c r="AG561" i="1"/>
  <c r="AF561" i="1"/>
  <c r="AE561" i="1"/>
  <c r="AD561" i="1"/>
  <c r="Z561" i="1"/>
  <c r="J561" i="1"/>
  <c r="AL561" i="1" s="1"/>
  <c r="BJ559" i="1"/>
  <c r="BF559" i="1"/>
  <c r="BD559" i="1"/>
  <c r="AP559" i="1"/>
  <c r="BI559" i="1" s="1"/>
  <c r="AC559" i="1" s="1"/>
  <c r="AO559" i="1"/>
  <c r="AK559" i="1"/>
  <c r="AJ559" i="1"/>
  <c r="AH559" i="1"/>
  <c r="AG559" i="1"/>
  <c r="AF559" i="1"/>
  <c r="AE559" i="1"/>
  <c r="AD559" i="1"/>
  <c r="Z559" i="1"/>
  <c r="J559" i="1"/>
  <c r="AL559" i="1" s="1"/>
  <c r="BJ556" i="1"/>
  <c r="BF556" i="1"/>
  <c r="BD556" i="1"/>
  <c r="AP556" i="1"/>
  <c r="AO556" i="1"/>
  <c r="H556" i="1" s="1"/>
  <c r="AK556" i="1"/>
  <c r="AJ556" i="1"/>
  <c r="AH556" i="1"/>
  <c r="AG556" i="1"/>
  <c r="AF556" i="1"/>
  <c r="AE556" i="1"/>
  <c r="AD556" i="1"/>
  <c r="Z556" i="1"/>
  <c r="J556" i="1"/>
  <c r="AL556" i="1" s="1"/>
  <c r="BJ553" i="1"/>
  <c r="BF553" i="1"/>
  <c r="BD553" i="1"/>
  <c r="AP553" i="1"/>
  <c r="AO553" i="1"/>
  <c r="AK553" i="1"/>
  <c r="AJ553" i="1"/>
  <c r="AH553" i="1"/>
  <c r="AG553" i="1"/>
  <c r="AF553" i="1"/>
  <c r="AE553" i="1"/>
  <c r="AD553" i="1"/>
  <c r="Z553" i="1"/>
  <c r="J553" i="1"/>
  <c r="AL553" i="1" s="1"/>
  <c r="BJ551" i="1"/>
  <c r="BF551" i="1"/>
  <c r="BD551" i="1"/>
  <c r="AP551" i="1"/>
  <c r="AX551" i="1" s="1"/>
  <c r="AO551" i="1"/>
  <c r="H551" i="1" s="1"/>
  <c r="AK551" i="1"/>
  <c r="AJ551" i="1"/>
  <c r="AH551" i="1"/>
  <c r="AG551" i="1"/>
  <c r="AF551" i="1"/>
  <c r="AE551" i="1"/>
  <c r="AD551" i="1"/>
  <c r="Z551" i="1"/>
  <c r="J551" i="1"/>
  <c r="AL551" i="1" s="1"/>
  <c r="BJ547" i="1"/>
  <c r="BF547" i="1"/>
  <c r="BD547" i="1"/>
  <c r="AP547" i="1"/>
  <c r="I547" i="1" s="1"/>
  <c r="I546" i="1" s="1"/>
  <c r="AO547" i="1"/>
  <c r="AW547" i="1" s="1"/>
  <c r="AK547" i="1"/>
  <c r="AT546" i="1" s="1"/>
  <c r="AJ547" i="1"/>
  <c r="AS546" i="1" s="1"/>
  <c r="AH547" i="1"/>
  <c r="AG547" i="1"/>
  <c r="AF547" i="1"/>
  <c r="AE547" i="1"/>
  <c r="AD547" i="1"/>
  <c r="Z547" i="1"/>
  <c r="J547" i="1"/>
  <c r="BJ543" i="1"/>
  <c r="BF543" i="1"/>
  <c r="BD543" i="1"/>
  <c r="AP543" i="1"/>
  <c r="I543" i="1" s="1"/>
  <c r="I542" i="1" s="1"/>
  <c r="AO543" i="1"/>
  <c r="AK543" i="1"/>
  <c r="AT542" i="1" s="1"/>
  <c r="AJ543" i="1"/>
  <c r="AS542" i="1" s="1"/>
  <c r="AH543" i="1"/>
  <c r="AG543" i="1"/>
  <c r="AF543" i="1"/>
  <c r="AE543" i="1"/>
  <c r="AD543" i="1"/>
  <c r="Z543" i="1"/>
  <c r="J543" i="1"/>
  <c r="BJ537" i="1"/>
  <c r="BF537" i="1"/>
  <c r="BD537" i="1"/>
  <c r="AP537" i="1"/>
  <c r="BI537" i="1" s="1"/>
  <c r="AC537" i="1" s="1"/>
  <c r="AO537" i="1"/>
  <c r="BH537" i="1" s="1"/>
  <c r="AB537" i="1" s="1"/>
  <c r="AK537" i="1"/>
  <c r="AT536" i="1" s="1"/>
  <c r="AJ537" i="1"/>
  <c r="AS536" i="1" s="1"/>
  <c r="AH537" i="1"/>
  <c r="AG537" i="1"/>
  <c r="AF537" i="1"/>
  <c r="AE537" i="1"/>
  <c r="AD537" i="1"/>
  <c r="Z537" i="1"/>
  <c r="J537" i="1"/>
  <c r="BJ532" i="1"/>
  <c r="BF532" i="1"/>
  <c r="BD532" i="1"/>
  <c r="AP532" i="1"/>
  <c r="AO532" i="1"/>
  <c r="BH532" i="1" s="1"/>
  <c r="AB532" i="1" s="1"/>
  <c r="AK532" i="1"/>
  <c r="AJ532" i="1"/>
  <c r="AH532" i="1"/>
  <c r="AG532" i="1"/>
  <c r="AF532" i="1"/>
  <c r="AE532" i="1"/>
  <c r="AD532" i="1"/>
  <c r="Z532" i="1"/>
  <c r="J532" i="1"/>
  <c r="AL532" i="1" s="1"/>
  <c r="BJ529" i="1"/>
  <c r="BF529" i="1"/>
  <c r="BD529" i="1"/>
  <c r="AP529" i="1"/>
  <c r="AO529" i="1"/>
  <c r="AK529" i="1"/>
  <c r="AJ529" i="1"/>
  <c r="AH529" i="1"/>
  <c r="AG529" i="1"/>
  <c r="AF529" i="1"/>
  <c r="AE529" i="1"/>
  <c r="AD529" i="1"/>
  <c r="Z529" i="1"/>
  <c r="J529" i="1"/>
  <c r="BJ524" i="1"/>
  <c r="BF524" i="1"/>
  <c r="BD524" i="1"/>
  <c r="AP524" i="1"/>
  <c r="AO524" i="1"/>
  <c r="BH524" i="1" s="1"/>
  <c r="AF524" i="1" s="1"/>
  <c r="AK524" i="1"/>
  <c r="AJ524" i="1"/>
  <c r="AH524" i="1"/>
  <c r="AE524" i="1"/>
  <c r="AD524" i="1"/>
  <c r="AC524" i="1"/>
  <c r="AB524" i="1"/>
  <c r="Z524" i="1"/>
  <c r="J524" i="1"/>
  <c r="AL524" i="1" s="1"/>
  <c r="BJ522" i="1"/>
  <c r="BF522" i="1"/>
  <c r="BD522" i="1"/>
  <c r="AP522" i="1"/>
  <c r="BI522" i="1" s="1"/>
  <c r="AG522" i="1" s="1"/>
  <c r="AO522" i="1"/>
  <c r="AK522" i="1"/>
  <c r="AJ522" i="1"/>
  <c r="AH522" i="1"/>
  <c r="AE522" i="1"/>
  <c r="AD522" i="1"/>
  <c r="AC522" i="1"/>
  <c r="AB522" i="1"/>
  <c r="Z522" i="1"/>
  <c r="J522" i="1"/>
  <c r="BJ520" i="1"/>
  <c r="BF520" i="1"/>
  <c r="BD520" i="1"/>
  <c r="AP520" i="1"/>
  <c r="AX520" i="1" s="1"/>
  <c r="AO520" i="1"/>
  <c r="AK520" i="1"/>
  <c r="AJ520" i="1"/>
  <c r="AH520" i="1"/>
  <c r="AE520" i="1"/>
  <c r="AD520" i="1"/>
  <c r="AC520" i="1"/>
  <c r="AB520" i="1"/>
  <c r="Z520" i="1"/>
  <c r="J520" i="1"/>
  <c r="AL520" i="1" s="1"/>
  <c r="BJ518" i="1"/>
  <c r="Z518" i="1" s="1"/>
  <c r="BF518" i="1"/>
  <c r="BD518" i="1"/>
  <c r="AP518" i="1"/>
  <c r="AO518" i="1"/>
  <c r="AW518" i="1" s="1"/>
  <c r="AK518" i="1"/>
  <c r="AT517" i="1" s="1"/>
  <c r="AJ518" i="1"/>
  <c r="AS517" i="1" s="1"/>
  <c r="AH518" i="1"/>
  <c r="AG518" i="1"/>
  <c r="AF518" i="1"/>
  <c r="AE518" i="1"/>
  <c r="AD518" i="1"/>
  <c r="AC518" i="1"/>
  <c r="AB518" i="1"/>
  <c r="J518" i="1"/>
  <c r="J517" i="1" s="1"/>
  <c r="BJ515" i="1"/>
  <c r="BF515" i="1"/>
  <c r="BD515" i="1"/>
  <c r="AP515" i="1"/>
  <c r="AO515" i="1"/>
  <c r="AK515" i="1"/>
  <c r="AT514" i="1" s="1"/>
  <c r="AJ515" i="1"/>
  <c r="AS514" i="1" s="1"/>
  <c r="AH515" i="1"/>
  <c r="AG515" i="1"/>
  <c r="AF515" i="1"/>
  <c r="AE515" i="1"/>
  <c r="AD515" i="1"/>
  <c r="Z515" i="1"/>
  <c r="J515" i="1"/>
  <c r="J514" i="1" s="1"/>
  <c r="BJ512" i="1"/>
  <c r="BF512" i="1"/>
  <c r="BD512" i="1"/>
  <c r="AP512" i="1"/>
  <c r="AO512" i="1"/>
  <c r="AK512" i="1"/>
  <c r="AT511" i="1" s="1"/>
  <c r="AJ512" i="1"/>
  <c r="AS511" i="1" s="1"/>
  <c r="AH512" i="1"/>
  <c r="AG512" i="1"/>
  <c r="AF512" i="1"/>
  <c r="AE512" i="1"/>
  <c r="AD512" i="1"/>
  <c r="Z512" i="1"/>
  <c r="J512" i="1"/>
  <c r="BJ505" i="1"/>
  <c r="BF505" i="1"/>
  <c r="BD505" i="1"/>
  <c r="AP505" i="1"/>
  <c r="BI505" i="1" s="1"/>
  <c r="AC505" i="1" s="1"/>
  <c r="AO505" i="1"/>
  <c r="AW505" i="1" s="1"/>
  <c r="AK505" i="1"/>
  <c r="AJ505" i="1"/>
  <c r="AH505" i="1"/>
  <c r="AG505" i="1"/>
  <c r="AF505" i="1"/>
  <c r="AE505" i="1"/>
  <c r="AD505" i="1"/>
  <c r="Z505" i="1"/>
  <c r="J505" i="1"/>
  <c r="AL505" i="1" s="1"/>
  <c r="BJ504" i="1"/>
  <c r="BF504" i="1"/>
  <c r="BD504" i="1"/>
  <c r="AP504" i="1"/>
  <c r="AO504" i="1"/>
  <c r="BH504" i="1" s="1"/>
  <c r="AB504" i="1" s="1"/>
  <c r="AK504" i="1"/>
  <c r="AJ504" i="1"/>
  <c r="AH504" i="1"/>
  <c r="AG504" i="1"/>
  <c r="AF504" i="1"/>
  <c r="AE504" i="1"/>
  <c r="AD504" i="1"/>
  <c r="Z504" i="1"/>
  <c r="J504" i="1"/>
  <c r="AL504" i="1" s="1"/>
  <c r="BJ503" i="1"/>
  <c r="BF503" i="1"/>
  <c r="BD503" i="1"/>
  <c r="AP503" i="1"/>
  <c r="AO503" i="1"/>
  <c r="AK503" i="1"/>
  <c r="AJ503" i="1"/>
  <c r="AH503" i="1"/>
  <c r="AG503" i="1"/>
  <c r="AF503" i="1"/>
  <c r="AE503" i="1"/>
  <c r="AD503" i="1"/>
  <c r="Z503" i="1"/>
  <c r="J503" i="1"/>
  <c r="AL503" i="1" s="1"/>
  <c r="BJ500" i="1"/>
  <c r="BF500" i="1"/>
  <c r="BD500" i="1"/>
  <c r="AP500" i="1"/>
  <c r="AO500" i="1"/>
  <c r="AK500" i="1"/>
  <c r="AJ500" i="1"/>
  <c r="AH500" i="1"/>
  <c r="AG500" i="1"/>
  <c r="AF500" i="1"/>
  <c r="AE500" i="1"/>
  <c r="AD500" i="1"/>
  <c r="Z500" i="1"/>
  <c r="J500" i="1"/>
  <c r="AL500" i="1" s="1"/>
  <c r="BJ499" i="1"/>
  <c r="BF499" i="1"/>
  <c r="BD499" i="1"/>
  <c r="AP499" i="1"/>
  <c r="AO499" i="1"/>
  <c r="AK499" i="1"/>
  <c r="AJ499" i="1"/>
  <c r="AH499" i="1"/>
  <c r="AG499" i="1"/>
  <c r="AF499" i="1"/>
  <c r="AE499" i="1"/>
  <c r="AD499" i="1"/>
  <c r="Z499" i="1"/>
  <c r="J499" i="1"/>
  <c r="AL499" i="1" s="1"/>
  <c r="BJ496" i="1"/>
  <c r="BF496" i="1"/>
  <c r="BD496" i="1"/>
  <c r="AP496" i="1"/>
  <c r="AO496" i="1"/>
  <c r="AW496" i="1" s="1"/>
  <c r="AK496" i="1"/>
  <c r="AJ496" i="1"/>
  <c r="AH496" i="1"/>
  <c r="AG496" i="1"/>
  <c r="AF496" i="1"/>
  <c r="AE496" i="1"/>
  <c r="AD496" i="1"/>
  <c r="Z496" i="1"/>
  <c r="J496" i="1"/>
  <c r="AL496" i="1" s="1"/>
  <c r="BJ493" i="1"/>
  <c r="BF493" i="1"/>
  <c r="BD493" i="1"/>
  <c r="AP493" i="1"/>
  <c r="AO493" i="1"/>
  <c r="AW493" i="1" s="1"/>
  <c r="AK493" i="1"/>
  <c r="AJ493" i="1"/>
  <c r="AH493" i="1"/>
  <c r="AG493" i="1"/>
  <c r="AF493" i="1"/>
  <c r="AE493" i="1"/>
  <c r="AD493" i="1"/>
  <c r="Z493" i="1"/>
  <c r="J493" i="1"/>
  <c r="AL493" i="1" s="1"/>
  <c r="BJ491" i="1"/>
  <c r="BF491" i="1"/>
  <c r="BD491" i="1"/>
  <c r="AP491" i="1"/>
  <c r="AO491" i="1"/>
  <c r="BH491" i="1" s="1"/>
  <c r="AB491" i="1" s="1"/>
  <c r="AK491" i="1"/>
  <c r="AJ491" i="1"/>
  <c r="AH491" i="1"/>
  <c r="AG491" i="1"/>
  <c r="AF491" i="1"/>
  <c r="AE491" i="1"/>
  <c r="AD491" i="1"/>
  <c r="Z491" i="1"/>
  <c r="J491" i="1"/>
  <c r="AL491" i="1" s="1"/>
  <c r="BJ489" i="1"/>
  <c r="BF489" i="1"/>
  <c r="BD489" i="1"/>
  <c r="AP489" i="1"/>
  <c r="BI489" i="1" s="1"/>
  <c r="AC489" i="1" s="1"/>
  <c r="AO489" i="1"/>
  <c r="BH489" i="1" s="1"/>
  <c r="AB489" i="1" s="1"/>
  <c r="AK489" i="1"/>
  <c r="AJ489" i="1"/>
  <c r="AH489" i="1"/>
  <c r="AG489" i="1"/>
  <c r="AF489" i="1"/>
  <c r="AE489" i="1"/>
  <c r="AD489" i="1"/>
  <c r="Z489" i="1"/>
  <c r="J489" i="1"/>
  <c r="AL489" i="1" s="1"/>
  <c r="BJ485" i="1"/>
  <c r="BF485" i="1"/>
  <c r="BD485" i="1"/>
  <c r="AP485" i="1"/>
  <c r="I485" i="1" s="1"/>
  <c r="AO485" i="1"/>
  <c r="AK485" i="1"/>
  <c r="AJ485" i="1"/>
  <c r="AH485" i="1"/>
  <c r="AG485" i="1"/>
  <c r="AF485" i="1"/>
  <c r="AE485" i="1"/>
  <c r="AD485" i="1"/>
  <c r="Z485" i="1"/>
  <c r="J485" i="1"/>
  <c r="AL485" i="1" s="1"/>
  <c r="BJ483" i="1"/>
  <c r="BF483" i="1"/>
  <c r="BD483" i="1"/>
  <c r="AP483" i="1"/>
  <c r="AO483" i="1"/>
  <c r="AK483" i="1"/>
  <c r="AJ483" i="1"/>
  <c r="AH483" i="1"/>
  <c r="AG483" i="1"/>
  <c r="AF483" i="1"/>
  <c r="AE483" i="1"/>
  <c r="AD483" i="1"/>
  <c r="Z483" i="1"/>
  <c r="J483" i="1"/>
  <c r="AL483" i="1" s="1"/>
  <c r="BJ481" i="1"/>
  <c r="BF481" i="1"/>
  <c r="BD481" i="1"/>
  <c r="AP481" i="1"/>
  <c r="AO481" i="1"/>
  <c r="AK481" i="1"/>
  <c r="AJ481" i="1"/>
  <c r="AH481" i="1"/>
  <c r="AG481" i="1"/>
  <c r="AF481" i="1"/>
  <c r="AE481" i="1"/>
  <c r="AD481" i="1"/>
  <c r="Z481" i="1"/>
  <c r="J481" i="1"/>
  <c r="AL481" i="1" s="1"/>
  <c r="BJ478" i="1"/>
  <c r="BF478" i="1"/>
  <c r="BD478" i="1"/>
  <c r="AP478" i="1"/>
  <c r="AO478" i="1"/>
  <c r="AK478" i="1"/>
  <c r="AJ478" i="1"/>
  <c r="AH478" i="1"/>
  <c r="AG478" i="1"/>
  <c r="AF478" i="1"/>
  <c r="AE478" i="1"/>
  <c r="AD478" i="1"/>
  <c r="Z478" i="1"/>
  <c r="J478" i="1"/>
  <c r="AL478" i="1" s="1"/>
  <c r="BJ475" i="1"/>
  <c r="BF475" i="1"/>
  <c r="BD475" i="1"/>
  <c r="AP475" i="1"/>
  <c r="AO475" i="1"/>
  <c r="AK475" i="1"/>
  <c r="AJ475" i="1"/>
  <c r="AH475" i="1"/>
  <c r="AG475" i="1"/>
  <c r="AF475" i="1"/>
  <c r="AE475" i="1"/>
  <c r="AD475" i="1"/>
  <c r="Z475" i="1"/>
  <c r="J475" i="1"/>
  <c r="BJ472" i="1"/>
  <c r="BF472" i="1"/>
  <c r="BD472" i="1"/>
  <c r="AP472" i="1"/>
  <c r="AO472" i="1"/>
  <c r="BH472" i="1" s="1"/>
  <c r="AD472" i="1" s="1"/>
  <c r="AK472" i="1"/>
  <c r="AJ472" i="1"/>
  <c r="AH472" i="1"/>
  <c r="AG472" i="1"/>
  <c r="AF472" i="1"/>
  <c r="AC472" i="1"/>
  <c r="AB472" i="1"/>
  <c r="Z472" i="1"/>
  <c r="J472" i="1"/>
  <c r="AL472" i="1" s="1"/>
  <c r="BJ468" i="1"/>
  <c r="BF468" i="1"/>
  <c r="BD468" i="1"/>
  <c r="AP468" i="1"/>
  <c r="I468" i="1" s="1"/>
  <c r="AO468" i="1"/>
  <c r="AW468" i="1" s="1"/>
  <c r="AK468" i="1"/>
  <c r="AJ468" i="1"/>
  <c r="AH468" i="1"/>
  <c r="AG468" i="1"/>
  <c r="AF468" i="1"/>
  <c r="AC468" i="1"/>
  <c r="AB468" i="1"/>
  <c r="Z468" i="1"/>
  <c r="J468" i="1"/>
  <c r="BJ465" i="1"/>
  <c r="BF465" i="1"/>
  <c r="BD465" i="1"/>
  <c r="AP465" i="1"/>
  <c r="AO465" i="1"/>
  <c r="AK465" i="1"/>
  <c r="AJ465" i="1"/>
  <c r="AH465" i="1"/>
  <c r="AG465" i="1"/>
  <c r="AF465" i="1"/>
  <c r="AC465" i="1"/>
  <c r="AB465" i="1"/>
  <c r="Z465" i="1"/>
  <c r="J465" i="1"/>
  <c r="AL465" i="1" s="1"/>
  <c r="BJ463" i="1"/>
  <c r="BF463" i="1"/>
  <c r="BD463" i="1"/>
  <c r="AP463" i="1"/>
  <c r="AO463" i="1"/>
  <c r="H463" i="1" s="1"/>
  <c r="AK463" i="1"/>
  <c r="AJ463" i="1"/>
  <c r="AH463" i="1"/>
  <c r="AG463" i="1"/>
  <c r="AF463" i="1"/>
  <c r="AC463" i="1"/>
  <c r="AB463" i="1"/>
  <c r="Z463" i="1"/>
  <c r="J463" i="1"/>
  <c r="BJ460" i="1"/>
  <c r="BF460" i="1"/>
  <c r="BD460" i="1"/>
  <c r="AP460" i="1"/>
  <c r="AO460" i="1"/>
  <c r="AW460" i="1" s="1"/>
  <c r="AK460" i="1"/>
  <c r="AT459" i="1" s="1"/>
  <c r="AJ460" i="1"/>
  <c r="AH460" i="1"/>
  <c r="AG460" i="1"/>
  <c r="AF460" i="1"/>
  <c r="AE460" i="1"/>
  <c r="AD460" i="1"/>
  <c r="Z460" i="1"/>
  <c r="J460" i="1"/>
  <c r="AL460" i="1" s="1"/>
  <c r="AU459" i="1" s="1"/>
  <c r="AS459" i="1"/>
  <c r="BJ456" i="1"/>
  <c r="BF456" i="1"/>
  <c r="BD456" i="1"/>
  <c r="AP456" i="1"/>
  <c r="AO456" i="1"/>
  <c r="AK456" i="1"/>
  <c r="AJ456" i="1"/>
  <c r="AH456" i="1"/>
  <c r="AG456" i="1"/>
  <c r="AF456" i="1"/>
  <c r="AE456" i="1"/>
  <c r="AD456" i="1"/>
  <c r="Z456" i="1"/>
  <c r="J456" i="1"/>
  <c r="AL456" i="1" s="1"/>
  <c r="BJ453" i="1"/>
  <c r="BF453" i="1"/>
  <c r="BD453" i="1"/>
  <c r="AP453" i="1"/>
  <c r="AO453" i="1"/>
  <c r="AW453" i="1" s="1"/>
  <c r="AK453" i="1"/>
  <c r="AJ453" i="1"/>
  <c r="AH453" i="1"/>
  <c r="AG453" i="1"/>
  <c r="AF453" i="1"/>
  <c r="AE453" i="1"/>
  <c r="AD453" i="1"/>
  <c r="Z453" i="1"/>
  <c r="J453" i="1"/>
  <c r="AL453" i="1" s="1"/>
  <c r="BJ450" i="1"/>
  <c r="BF450" i="1"/>
  <c r="BD450" i="1"/>
  <c r="AP450" i="1"/>
  <c r="AX450" i="1" s="1"/>
  <c r="AO450" i="1"/>
  <c r="AK450" i="1"/>
  <c r="AJ450" i="1"/>
  <c r="AH450" i="1"/>
  <c r="AG450" i="1"/>
  <c r="AF450" i="1"/>
  <c r="AE450" i="1"/>
  <c r="AD450" i="1"/>
  <c r="Z450" i="1"/>
  <c r="J450" i="1"/>
  <c r="AL450" i="1" s="1"/>
  <c r="BJ447" i="1"/>
  <c r="BF447" i="1"/>
  <c r="BD447" i="1"/>
  <c r="AP447" i="1"/>
  <c r="AO447" i="1"/>
  <c r="H447" i="1" s="1"/>
  <c r="AK447" i="1"/>
  <c r="AJ447" i="1"/>
  <c r="AH447" i="1"/>
  <c r="AG447" i="1"/>
  <c r="AF447" i="1"/>
  <c r="AE447" i="1"/>
  <c r="AD447" i="1"/>
  <c r="Z447" i="1"/>
  <c r="J447" i="1"/>
  <c r="AL447" i="1" s="1"/>
  <c r="BJ441" i="1"/>
  <c r="BF441" i="1"/>
  <c r="BD441" i="1"/>
  <c r="AP441" i="1"/>
  <c r="AO441" i="1"/>
  <c r="AK441" i="1"/>
  <c r="AJ441" i="1"/>
  <c r="AH441" i="1"/>
  <c r="AG441" i="1"/>
  <c r="AF441" i="1"/>
  <c r="AE441" i="1"/>
  <c r="AD441" i="1"/>
  <c r="Z441" i="1"/>
  <c r="J441" i="1"/>
  <c r="AL441" i="1" s="1"/>
  <c r="BJ437" i="1"/>
  <c r="BF437" i="1"/>
  <c r="BD437" i="1"/>
  <c r="AP437" i="1"/>
  <c r="BI437" i="1" s="1"/>
  <c r="AC437" i="1" s="1"/>
  <c r="AO437" i="1"/>
  <c r="BH437" i="1" s="1"/>
  <c r="AB437" i="1" s="1"/>
  <c r="AK437" i="1"/>
  <c r="AJ437" i="1"/>
  <c r="AH437" i="1"/>
  <c r="AG437" i="1"/>
  <c r="AF437" i="1"/>
  <c r="AE437" i="1"/>
  <c r="AD437" i="1"/>
  <c r="Z437" i="1"/>
  <c r="J437" i="1"/>
  <c r="AL437" i="1" s="1"/>
  <c r="BJ430" i="1"/>
  <c r="BF430" i="1"/>
  <c r="BD430" i="1"/>
  <c r="AP430" i="1"/>
  <c r="BI430" i="1" s="1"/>
  <c r="AC430" i="1" s="1"/>
  <c r="AO430" i="1"/>
  <c r="H430" i="1" s="1"/>
  <c r="AK430" i="1"/>
  <c r="AJ430" i="1"/>
  <c r="AH430" i="1"/>
  <c r="AG430" i="1"/>
  <c r="AF430" i="1"/>
  <c r="AE430" i="1"/>
  <c r="AD430" i="1"/>
  <c r="Z430" i="1"/>
  <c r="J430" i="1"/>
  <c r="AL430" i="1" s="1"/>
  <c r="BJ426" i="1"/>
  <c r="BF426" i="1"/>
  <c r="BD426" i="1"/>
  <c r="AP426" i="1"/>
  <c r="AO426" i="1"/>
  <c r="AK426" i="1"/>
  <c r="AJ426" i="1"/>
  <c r="AH426" i="1"/>
  <c r="AG426" i="1"/>
  <c r="AF426" i="1"/>
  <c r="AE426" i="1"/>
  <c r="AD426" i="1"/>
  <c r="Z426" i="1"/>
  <c r="J426" i="1"/>
  <c r="AL426" i="1" s="1"/>
  <c r="BJ423" i="1"/>
  <c r="BF423" i="1"/>
  <c r="BD423" i="1"/>
  <c r="AP423" i="1"/>
  <c r="BI423" i="1" s="1"/>
  <c r="AC423" i="1" s="1"/>
  <c r="AO423" i="1"/>
  <c r="H423" i="1" s="1"/>
  <c r="AK423" i="1"/>
  <c r="AJ423" i="1"/>
  <c r="AH423" i="1"/>
  <c r="AG423" i="1"/>
  <c r="AF423" i="1"/>
  <c r="AE423" i="1"/>
  <c r="AD423" i="1"/>
  <c r="Z423" i="1"/>
  <c r="J423" i="1"/>
  <c r="AL423" i="1" s="1"/>
  <c r="BJ418" i="1"/>
  <c r="BF418" i="1"/>
  <c r="BD418" i="1"/>
  <c r="AP418" i="1"/>
  <c r="I418" i="1" s="1"/>
  <c r="AO418" i="1"/>
  <c r="AK418" i="1"/>
  <c r="AJ418" i="1"/>
  <c r="AH418" i="1"/>
  <c r="AG418" i="1"/>
  <c r="AF418" i="1"/>
  <c r="AE418" i="1"/>
  <c r="AD418" i="1"/>
  <c r="Z418" i="1"/>
  <c r="J418" i="1"/>
  <c r="BJ414" i="1"/>
  <c r="BF414" i="1"/>
  <c r="BD414" i="1"/>
  <c r="AP414" i="1"/>
  <c r="BI414" i="1" s="1"/>
  <c r="AC414" i="1" s="1"/>
  <c r="AO414" i="1"/>
  <c r="BH414" i="1" s="1"/>
  <c r="AB414" i="1" s="1"/>
  <c r="AK414" i="1"/>
  <c r="AJ414" i="1"/>
  <c r="AH414" i="1"/>
  <c r="AG414" i="1"/>
  <c r="AF414" i="1"/>
  <c r="AE414" i="1"/>
  <c r="AD414" i="1"/>
  <c r="Z414" i="1"/>
  <c r="J414" i="1"/>
  <c r="AL414" i="1" s="1"/>
  <c r="BJ410" i="1"/>
  <c r="BF410" i="1"/>
  <c r="BD410" i="1"/>
  <c r="AP410" i="1"/>
  <c r="AO410" i="1"/>
  <c r="AW410" i="1" s="1"/>
  <c r="AK410" i="1"/>
  <c r="AJ410" i="1"/>
  <c r="AH410" i="1"/>
  <c r="AG410" i="1"/>
  <c r="AF410" i="1"/>
  <c r="AE410" i="1"/>
  <c r="AD410" i="1"/>
  <c r="Z410" i="1"/>
  <c r="J410" i="1"/>
  <c r="AL410" i="1" s="1"/>
  <c r="BJ405" i="1"/>
  <c r="BF405" i="1"/>
  <c r="BD405" i="1"/>
  <c r="AP405" i="1"/>
  <c r="AX405" i="1" s="1"/>
  <c r="AO405" i="1"/>
  <c r="AK405" i="1"/>
  <c r="AJ405" i="1"/>
  <c r="AH405" i="1"/>
  <c r="AG405" i="1"/>
  <c r="AF405" i="1"/>
  <c r="AE405" i="1"/>
  <c r="AD405" i="1"/>
  <c r="Z405" i="1"/>
  <c r="J405" i="1"/>
  <c r="AL405" i="1" s="1"/>
  <c r="BJ400" i="1"/>
  <c r="BF400" i="1"/>
  <c r="BD400" i="1"/>
  <c r="AP400" i="1"/>
  <c r="AX400" i="1" s="1"/>
  <c r="AO400" i="1"/>
  <c r="AK400" i="1"/>
  <c r="AJ400" i="1"/>
  <c r="AH400" i="1"/>
  <c r="AG400" i="1"/>
  <c r="AF400" i="1"/>
  <c r="AE400" i="1"/>
  <c r="AD400" i="1"/>
  <c r="Z400" i="1"/>
  <c r="J400" i="1"/>
  <c r="AL400" i="1" s="1"/>
  <c r="BJ396" i="1"/>
  <c r="BF396" i="1"/>
  <c r="BD396" i="1"/>
  <c r="AP396" i="1"/>
  <c r="AX396" i="1" s="1"/>
  <c r="AO396" i="1"/>
  <c r="AK396" i="1"/>
  <c r="AT395" i="1" s="1"/>
  <c r="AJ396" i="1"/>
  <c r="AS395" i="1" s="1"/>
  <c r="AH396" i="1"/>
  <c r="AG396" i="1"/>
  <c r="AF396" i="1"/>
  <c r="AE396" i="1"/>
  <c r="AD396" i="1"/>
  <c r="Z396" i="1"/>
  <c r="J396" i="1"/>
  <c r="J395" i="1" s="1"/>
  <c r="BJ387" i="1"/>
  <c r="BF387" i="1"/>
  <c r="BD387" i="1"/>
  <c r="AP387" i="1"/>
  <c r="AO387" i="1"/>
  <c r="H387" i="1" s="1"/>
  <c r="H386" i="1" s="1"/>
  <c r="AK387" i="1"/>
  <c r="AT386" i="1" s="1"/>
  <c r="AJ387" i="1"/>
  <c r="AS386" i="1" s="1"/>
  <c r="AH387" i="1"/>
  <c r="AG387" i="1"/>
  <c r="AF387" i="1"/>
  <c r="AE387" i="1"/>
  <c r="AD387" i="1"/>
  <c r="Z387" i="1"/>
  <c r="J387" i="1"/>
  <c r="AL387" i="1" s="1"/>
  <c r="AU386" i="1" s="1"/>
  <c r="BJ383" i="1"/>
  <c r="BF383" i="1"/>
  <c r="BD383" i="1"/>
  <c r="AP383" i="1"/>
  <c r="AO383" i="1"/>
  <c r="AK383" i="1"/>
  <c r="AT382" i="1" s="1"/>
  <c r="AJ383" i="1"/>
  <c r="AS382" i="1" s="1"/>
  <c r="AH383" i="1"/>
  <c r="AG383" i="1"/>
  <c r="AF383" i="1"/>
  <c r="AE383" i="1"/>
  <c r="AD383" i="1"/>
  <c r="Z383" i="1"/>
  <c r="J383" i="1"/>
  <c r="J382" i="1" s="1"/>
  <c r="BJ378" i="1"/>
  <c r="BF378" i="1"/>
  <c r="BD378" i="1"/>
  <c r="AP378" i="1"/>
  <c r="I378" i="1" s="1"/>
  <c r="I377" i="1" s="1"/>
  <c r="AO378" i="1"/>
  <c r="BH378" i="1" s="1"/>
  <c r="AB378" i="1" s="1"/>
  <c r="AK378" i="1"/>
  <c r="AT377" i="1" s="1"/>
  <c r="AJ378" i="1"/>
  <c r="AS377" i="1" s="1"/>
  <c r="AH378" i="1"/>
  <c r="AG378" i="1"/>
  <c r="AF378" i="1"/>
  <c r="AE378" i="1"/>
  <c r="AD378" i="1"/>
  <c r="Z378" i="1"/>
  <c r="J378" i="1"/>
  <c r="J377" i="1" s="1"/>
  <c r="BJ371" i="1"/>
  <c r="BF371" i="1"/>
  <c r="BD371" i="1"/>
  <c r="AP371" i="1"/>
  <c r="BI371" i="1" s="1"/>
  <c r="AC371" i="1" s="1"/>
  <c r="AO371" i="1"/>
  <c r="AK371" i="1"/>
  <c r="AJ371" i="1"/>
  <c r="AH371" i="1"/>
  <c r="AG371" i="1"/>
  <c r="AF371" i="1"/>
  <c r="AE371" i="1"/>
  <c r="AD371" i="1"/>
  <c r="Z371" i="1"/>
  <c r="J371" i="1"/>
  <c r="AL371" i="1" s="1"/>
  <c r="BJ366" i="1"/>
  <c r="BF366" i="1"/>
  <c r="BD366" i="1"/>
  <c r="AP366" i="1"/>
  <c r="AO366" i="1"/>
  <c r="AK366" i="1"/>
  <c r="AJ366" i="1"/>
  <c r="AH366" i="1"/>
  <c r="AG366" i="1"/>
  <c r="AF366" i="1"/>
  <c r="AE366" i="1"/>
  <c r="AD366" i="1"/>
  <c r="Z366" i="1"/>
  <c r="J366" i="1"/>
  <c r="AL366" i="1" s="1"/>
  <c r="BJ363" i="1"/>
  <c r="Z363" i="1" s="1"/>
  <c r="BF363" i="1"/>
  <c r="BD363" i="1"/>
  <c r="AP363" i="1"/>
  <c r="BI363" i="1" s="1"/>
  <c r="AO363" i="1"/>
  <c r="AW363" i="1" s="1"/>
  <c r="AK363" i="1"/>
  <c r="AT362" i="1" s="1"/>
  <c r="AJ363" i="1"/>
  <c r="AS362" i="1" s="1"/>
  <c r="AH363" i="1"/>
  <c r="AG363" i="1"/>
  <c r="AF363" i="1"/>
  <c r="AE363" i="1"/>
  <c r="AD363" i="1"/>
  <c r="AC363" i="1"/>
  <c r="AB363" i="1"/>
  <c r="J363" i="1"/>
  <c r="BJ361" i="1"/>
  <c r="BF361" i="1"/>
  <c r="BD361" i="1"/>
  <c r="AP361" i="1"/>
  <c r="AO361" i="1"/>
  <c r="BH361" i="1" s="1"/>
  <c r="AB361" i="1" s="1"/>
  <c r="AK361" i="1"/>
  <c r="AJ361" i="1"/>
  <c r="AH361" i="1"/>
  <c r="AG361" i="1"/>
  <c r="AF361" i="1"/>
  <c r="AE361" i="1"/>
  <c r="AD361" i="1"/>
  <c r="Z361" i="1"/>
  <c r="J361" i="1"/>
  <c r="AL361" i="1" s="1"/>
  <c r="BJ359" i="1"/>
  <c r="BF359" i="1"/>
  <c r="BD359" i="1"/>
  <c r="AP359" i="1"/>
  <c r="AO359" i="1"/>
  <c r="AW359" i="1" s="1"/>
  <c r="AK359" i="1"/>
  <c r="AJ359" i="1"/>
  <c r="AH359" i="1"/>
  <c r="AG359" i="1"/>
  <c r="AF359" i="1"/>
  <c r="AE359" i="1"/>
  <c r="AD359" i="1"/>
  <c r="Z359" i="1"/>
  <c r="J359" i="1"/>
  <c r="AL359" i="1" s="1"/>
  <c r="BJ358" i="1"/>
  <c r="BF358" i="1"/>
  <c r="BD358" i="1"/>
  <c r="AP358" i="1"/>
  <c r="AX358" i="1" s="1"/>
  <c r="AO358" i="1"/>
  <c r="AW358" i="1" s="1"/>
  <c r="AK358" i="1"/>
  <c r="AJ358" i="1"/>
  <c r="AH358" i="1"/>
  <c r="AG358" i="1"/>
  <c r="AF358" i="1"/>
  <c r="AE358" i="1"/>
  <c r="AD358" i="1"/>
  <c r="Z358" i="1"/>
  <c r="J358" i="1"/>
  <c r="AL358" i="1" s="1"/>
  <c r="BJ357" i="1"/>
  <c r="BF357" i="1"/>
  <c r="BD357" i="1"/>
  <c r="AP357" i="1"/>
  <c r="AO357" i="1"/>
  <c r="AK357" i="1"/>
  <c r="AJ357" i="1"/>
  <c r="AH357" i="1"/>
  <c r="AG357" i="1"/>
  <c r="AF357" i="1"/>
  <c r="AE357" i="1"/>
  <c r="AD357" i="1"/>
  <c r="Z357" i="1"/>
  <c r="J357" i="1"/>
  <c r="AL357" i="1" s="1"/>
  <c r="BJ355" i="1"/>
  <c r="BF355" i="1"/>
  <c r="BD355" i="1"/>
  <c r="AP355" i="1"/>
  <c r="AX355" i="1" s="1"/>
  <c r="AO355" i="1"/>
  <c r="AW355" i="1" s="1"/>
  <c r="AK355" i="1"/>
  <c r="AJ355" i="1"/>
  <c r="AH355" i="1"/>
  <c r="AG355" i="1"/>
  <c r="AF355" i="1"/>
  <c r="AE355" i="1"/>
  <c r="AD355" i="1"/>
  <c r="Z355" i="1"/>
  <c r="J355" i="1"/>
  <c r="AL355" i="1" s="1"/>
  <c r="BJ354" i="1"/>
  <c r="BF354" i="1"/>
  <c r="BD354" i="1"/>
  <c r="AP354" i="1"/>
  <c r="AX354" i="1" s="1"/>
  <c r="AO354" i="1"/>
  <c r="AK354" i="1"/>
  <c r="AJ354" i="1"/>
  <c r="AH354" i="1"/>
  <c r="AG354" i="1"/>
  <c r="AF354" i="1"/>
  <c r="AE354" i="1"/>
  <c r="AD354" i="1"/>
  <c r="Z354" i="1"/>
  <c r="J354" i="1"/>
  <c r="AL354" i="1" s="1"/>
  <c r="BJ353" i="1"/>
  <c r="BF353" i="1"/>
  <c r="BD353" i="1"/>
  <c r="AP353" i="1"/>
  <c r="I353" i="1" s="1"/>
  <c r="AO353" i="1"/>
  <c r="H353" i="1" s="1"/>
  <c r="AK353" i="1"/>
  <c r="AJ353" i="1"/>
  <c r="AH353" i="1"/>
  <c r="AG353" i="1"/>
  <c r="AF353" i="1"/>
  <c r="AE353" i="1"/>
  <c r="AD353" i="1"/>
  <c r="Z353" i="1"/>
  <c r="J353" i="1"/>
  <c r="AL353" i="1" s="1"/>
  <c r="BJ352" i="1"/>
  <c r="BF352" i="1"/>
  <c r="BD352" i="1"/>
  <c r="AP352" i="1"/>
  <c r="AO352" i="1"/>
  <c r="AK352" i="1"/>
  <c r="AJ352" i="1"/>
  <c r="AH352" i="1"/>
  <c r="AG352" i="1"/>
  <c r="AF352" i="1"/>
  <c r="AE352" i="1"/>
  <c r="AD352" i="1"/>
  <c r="Z352" i="1"/>
  <c r="J352" i="1"/>
  <c r="AL352" i="1" s="1"/>
  <c r="BJ349" i="1"/>
  <c r="BF349" i="1"/>
  <c r="BD349" i="1"/>
  <c r="AP349" i="1"/>
  <c r="BI349" i="1" s="1"/>
  <c r="AC349" i="1" s="1"/>
  <c r="AO349" i="1"/>
  <c r="BH349" i="1" s="1"/>
  <c r="AB349" i="1" s="1"/>
  <c r="AK349" i="1"/>
  <c r="AT348" i="1" s="1"/>
  <c r="AJ349" i="1"/>
  <c r="AS348" i="1" s="1"/>
  <c r="AH349" i="1"/>
  <c r="AG349" i="1"/>
  <c r="AF349" i="1"/>
  <c r="AE349" i="1"/>
  <c r="AD349" i="1"/>
  <c r="Z349" i="1"/>
  <c r="J349" i="1"/>
  <c r="BJ346" i="1"/>
  <c r="BF346" i="1"/>
  <c r="BD346" i="1"/>
  <c r="AP346" i="1"/>
  <c r="AO346" i="1"/>
  <c r="BH346" i="1" s="1"/>
  <c r="AB346" i="1" s="1"/>
  <c r="AK346" i="1"/>
  <c r="AJ346" i="1"/>
  <c r="AH346" i="1"/>
  <c r="AG346" i="1"/>
  <c r="AF346" i="1"/>
  <c r="AE346" i="1"/>
  <c r="AD346" i="1"/>
  <c r="Z346" i="1"/>
  <c r="J346" i="1"/>
  <c r="AL346" i="1" s="1"/>
  <c r="BJ344" i="1"/>
  <c r="BF344" i="1"/>
  <c r="BD344" i="1"/>
  <c r="AP344" i="1"/>
  <c r="AO344" i="1"/>
  <c r="AK344" i="1"/>
  <c r="AJ344" i="1"/>
  <c r="AH344" i="1"/>
  <c r="AG344" i="1"/>
  <c r="AF344" i="1"/>
  <c r="AE344" i="1"/>
  <c r="AD344" i="1"/>
  <c r="Z344" i="1"/>
  <c r="J344" i="1"/>
  <c r="AL344" i="1" s="1"/>
  <c r="BJ342" i="1"/>
  <c r="BF342" i="1"/>
  <c r="BD342" i="1"/>
  <c r="AP342" i="1"/>
  <c r="AX342" i="1" s="1"/>
  <c r="AO342" i="1"/>
  <c r="AW342" i="1" s="1"/>
  <c r="AK342" i="1"/>
  <c r="AJ342" i="1"/>
  <c r="AH342" i="1"/>
  <c r="AG342" i="1"/>
  <c r="AF342" i="1"/>
  <c r="AE342" i="1"/>
  <c r="AD342" i="1"/>
  <c r="Z342" i="1"/>
  <c r="J342" i="1"/>
  <c r="BJ340" i="1"/>
  <c r="BF340" i="1"/>
  <c r="BD340" i="1"/>
  <c r="AP340" i="1"/>
  <c r="AX340" i="1" s="1"/>
  <c r="AO340" i="1"/>
  <c r="AK340" i="1"/>
  <c r="AJ340" i="1"/>
  <c r="AH340" i="1"/>
  <c r="AG340" i="1"/>
  <c r="AF340" i="1"/>
  <c r="AE340" i="1"/>
  <c r="AD340" i="1"/>
  <c r="Z340" i="1"/>
  <c r="J340" i="1"/>
  <c r="AL340" i="1" s="1"/>
  <c r="BJ339" i="1"/>
  <c r="BF339" i="1"/>
  <c r="BD339" i="1"/>
  <c r="AP339" i="1"/>
  <c r="AO339" i="1"/>
  <c r="AK339" i="1"/>
  <c r="AJ339" i="1"/>
  <c r="AH339" i="1"/>
  <c r="AG339" i="1"/>
  <c r="AF339" i="1"/>
  <c r="AE339" i="1"/>
  <c r="AD339" i="1"/>
  <c r="Z339" i="1"/>
  <c r="J339" i="1"/>
  <c r="AL339" i="1" s="1"/>
  <c r="BJ338" i="1"/>
  <c r="BF338" i="1"/>
  <c r="BD338" i="1"/>
  <c r="AP338" i="1"/>
  <c r="I338" i="1" s="1"/>
  <c r="AO338" i="1"/>
  <c r="AW338" i="1" s="1"/>
  <c r="AK338" i="1"/>
  <c r="AJ338" i="1"/>
  <c r="AH338" i="1"/>
  <c r="AG338" i="1"/>
  <c r="AF338" i="1"/>
  <c r="AE338" i="1"/>
  <c r="AD338" i="1"/>
  <c r="Z338" i="1"/>
  <c r="J338" i="1"/>
  <c r="AL338" i="1" s="1"/>
  <c r="BJ337" i="1"/>
  <c r="BF337" i="1"/>
  <c r="BD337" i="1"/>
  <c r="AP337" i="1"/>
  <c r="AX337" i="1" s="1"/>
  <c r="AO337" i="1"/>
  <c r="AW337" i="1" s="1"/>
  <c r="AK337" i="1"/>
  <c r="AJ337" i="1"/>
  <c r="AH337" i="1"/>
  <c r="AG337" i="1"/>
  <c r="AF337" i="1"/>
  <c r="AE337" i="1"/>
  <c r="AD337" i="1"/>
  <c r="Z337" i="1"/>
  <c r="J337" i="1"/>
  <c r="AL337" i="1" s="1"/>
  <c r="BJ334" i="1"/>
  <c r="BF334" i="1"/>
  <c r="BD334" i="1"/>
  <c r="AP334" i="1"/>
  <c r="BI334" i="1" s="1"/>
  <c r="AC334" i="1" s="1"/>
  <c r="AO334" i="1"/>
  <c r="AK334" i="1"/>
  <c r="AJ334" i="1"/>
  <c r="AH334" i="1"/>
  <c r="AG334" i="1"/>
  <c r="AF334" i="1"/>
  <c r="AE334" i="1"/>
  <c r="AD334" i="1"/>
  <c r="Z334" i="1"/>
  <c r="J334" i="1"/>
  <c r="AL334" i="1" s="1"/>
  <c r="BJ331" i="1"/>
  <c r="BF331" i="1"/>
  <c r="BD331" i="1"/>
  <c r="AP331" i="1"/>
  <c r="AO331" i="1"/>
  <c r="BH331" i="1" s="1"/>
  <c r="AK331" i="1"/>
  <c r="AJ331" i="1"/>
  <c r="AH331" i="1"/>
  <c r="AG331" i="1"/>
  <c r="AF331" i="1"/>
  <c r="AE331" i="1"/>
  <c r="AD331" i="1"/>
  <c r="AB331" i="1"/>
  <c r="Z331" i="1"/>
  <c r="J331" i="1"/>
  <c r="BJ328" i="1"/>
  <c r="BF328" i="1"/>
  <c r="BD328" i="1"/>
  <c r="AP328" i="1"/>
  <c r="AX328" i="1" s="1"/>
  <c r="AO328" i="1"/>
  <c r="BH328" i="1" s="1"/>
  <c r="AB328" i="1" s="1"/>
  <c r="AK328" i="1"/>
  <c r="AJ328" i="1"/>
  <c r="AH328" i="1"/>
  <c r="AG328" i="1"/>
  <c r="AF328" i="1"/>
  <c r="AE328" i="1"/>
  <c r="AD328" i="1"/>
  <c r="Z328" i="1"/>
  <c r="J328" i="1"/>
  <c r="AL328" i="1" s="1"/>
  <c r="BJ326" i="1"/>
  <c r="BF326" i="1"/>
  <c r="BD326" i="1"/>
  <c r="AP326" i="1"/>
  <c r="BI326" i="1" s="1"/>
  <c r="AC326" i="1" s="1"/>
  <c r="AO326" i="1"/>
  <c r="AW326" i="1" s="1"/>
  <c r="AK326" i="1"/>
  <c r="AJ326" i="1"/>
  <c r="AH326" i="1"/>
  <c r="AG326" i="1"/>
  <c r="AF326" i="1"/>
  <c r="AE326" i="1"/>
  <c r="AD326" i="1"/>
  <c r="Z326" i="1"/>
  <c r="J326" i="1"/>
  <c r="AL326" i="1" s="1"/>
  <c r="BJ323" i="1"/>
  <c r="BF323" i="1"/>
  <c r="BD323" i="1"/>
  <c r="AP323" i="1"/>
  <c r="AX323" i="1" s="1"/>
  <c r="AO323" i="1"/>
  <c r="AK323" i="1"/>
  <c r="AJ323" i="1"/>
  <c r="AH323" i="1"/>
  <c r="AG323" i="1"/>
  <c r="AF323" i="1"/>
  <c r="AE323" i="1"/>
  <c r="AD323" i="1"/>
  <c r="Z323" i="1"/>
  <c r="J323" i="1"/>
  <c r="AL323" i="1" s="1"/>
  <c r="BJ320" i="1"/>
  <c r="BF320" i="1"/>
  <c r="BD320" i="1"/>
  <c r="AP320" i="1"/>
  <c r="AO320" i="1"/>
  <c r="AW320" i="1" s="1"/>
  <c r="AK320" i="1"/>
  <c r="AJ320" i="1"/>
  <c r="AH320" i="1"/>
  <c r="AG320" i="1"/>
  <c r="AF320" i="1"/>
  <c r="AE320" i="1"/>
  <c r="AD320" i="1"/>
  <c r="Z320" i="1"/>
  <c r="J320" i="1"/>
  <c r="AL320" i="1" s="1"/>
  <c r="BJ315" i="1"/>
  <c r="BF315" i="1"/>
  <c r="BD315" i="1"/>
  <c r="AP315" i="1"/>
  <c r="AX315" i="1" s="1"/>
  <c r="AO315" i="1"/>
  <c r="AW315" i="1" s="1"/>
  <c r="AK315" i="1"/>
  <c r="AJ315" i="1"/>
  <c r="AH315" i="1"/>
  <c r="AG315" i="1"/>
  <c r="AF315" i="1"/>
  <c r="AE315" i="1"/>
  <c r="AD315" i="1"/>
  <c r="Z315" i="1"/>
  <c r="J315" i="1"/>
  <c r="BJ312" i="1"/>
  <c r="Z312" i="1" s="1"/>
  <c r="BF312" i="1"/>
  <c r="BD312" i="1"/>
  <c r="AP312" i="1"/>
  <c r="I312" i="1" s="1"/>
  <c r="I311" i="1" s="1"/>
  <c r="AO312" i="1"/>
  <c r="BH312" i="1" s="1"/>
  <c r="AK312" i="1"/>
  <c r="AT311" i="1" s="1"/>
  <c r="AJ312" i="1"/>
  <c r="AS311" i="1" s="1"/>
  <c r="AH312" i="1"/>
  <c r="AG312" i="1"/>
  <c r="AF312" i="1"/>
  <c r="AE312" i="1"/>
  <c r="AD312" i="1"/>
  <c r="AC312" i="1"/>
  <c r="AB312" i="1"/>
  <c r="J312" i="1"/>
  <c r="BJ309" i="1"/>
  <c r="BF309" i="1"/>
  <c r="BD309" i="1"/>
  <c r="AP309" i="1"/>
  <c r="AO309" i="1"/>
  <c r="H309" i="1" s="1"/>
  <c r="AK309" i="1"/>
  <c r="AJ309" i="1"/>
  <c r="AH309" i="1"/>
  <c r="AG309" i="1"/>
  <c r="AF309" i="1"/>
  <c r="AE309" i="1"/>
  <c r="AD309" i="1"/>
  <c r="Z309" i="1"/>
  <c r="J309" i="1"/>
  <c r="AL309" i="1" s="1"/>
  <c r="BJ307" i="1"/>
  <c r="BF307" i="1"/>
  <c r="BD307" i="1"/>
  <c r="AP307" i="1"/>
  <c r="I307" i="1" s="1"/>
  <c r="AO307" i="1"/>
  <c r="AK307" i="1"/>
  <c r="AJ307" i="1"/>
  <c r="AH307" i="1"/>
  <c r="AG307" i="1"/>
  <c r="AF307" i="1"/>
  <c r="AE307" i="1"/>
  <c r="AD307" i="1"/>
  <c r="Z307" i="1"/>
  <c r="J307" i="1"/>
  <c r="BJ303" i="1"/>
  <c r="BF303" i="1"/>
  <c r="BD303" i="1"/>
  <c r="AP303" i="1"/>
  <c r="AO303" i="1"/>
  <c r="AK303" i="1"/>
  <c r="AT302" i="1" s="1"/>
  <c r="AJ303" i="1"/>
  <c r="AS302" i="1" s="1"/>
  <c r="AH303" i="1"/>
  <c r="AG303" i="1"/>
  <c r="AF303" i="1"/>
  <c r="AE303" i="1"/>
  <c r="AD303" i="1"/>
  <c r="Z303" i="1"/>
  <c r="J303" i="1"/>
  <c r="AL303" i="1" s="1"/>
  <c r="AU302" i="1" s="1"/>
  <c r="BJ301" i="1"/>
  <c r="BF301" i="1"/>
  <c r="BD301" i="1"/>
  <c r="AP301" i="1"/>
  <c r="AX301" i="1" s="1"/>
  <c r="AO301" i="1"/>
  <c r="AK301" i="1"/>
  <c r="AJ301" i="1"/>
  <c r="AH301" i="1"/>
  <c r="AG301" i="1"/>
  <c r="AF301" i="1"/>
  <c r="AE301" i="1"/>
  <c r="AD301" i="1"/>
  <c r="Z301" i="1"/>
  <c r="J301" i="1"/>
  <c r="AL301" i="1" s="1"/>
  <c r="BJ300" i="1"/>
  <c r="BF300" i="1"/>
  <c r="BD300" i="1"/>
  <c r="AP300" i="1"/>
  <c r="AX300" i="1" s="1"/>
  <c r="AO300" i="1"/>
  <c r="AK300" i="1"/>
  <c r="AJ300" i="1"/>
  <c r="AH300" i="1"/>
  <c r="AG300" i="1"/>
  <c r="AF300" i="1"/>
  <c r="AE300" i="1"/>
  <c r="AD300" i="1"/>
  <c r="Z300" i="1"/>
  <c r="J300" i="1"/>
  <c r="AL300" i="1" s="1"/>
  <c r="BJ297" i="1"/>
  <c r="BF297" i="1"/>
  <c r="BD297" i="1"/>
  <c r="AP297" i="1"/>
  <c r="I297" i="1" s="1"/>
  <c r="AO297" i="1"/>
  <c r="AK297" i="1"/>
  <c r="AJ297" i="1"/>
  <c r="AH297" i="1"/>
  <c r="AG297" i="1"/>
  <c r="AF297" i="1"/>
  <c r="AE297" i="1"/>
  <c r="AD297" i="1"/>
  <c r="Z297" i="1"/>
  <c r="J297" i="1"/>
  <c r="AL297" i="1" s="1"/>
  <c r="BJ295" i="1"/>
  <c r="BF295" i="1"/>
  <c r="BD295" i="1"/>
  <c r="AP295" i="1"/>
  <c r="BI295" i="1" s="1"/>
  <c r="AC295" i="1" s="1"/>
  <c r="AO295" i="1"/>
  <c r="BH295" i="1" s="1"/>
  <c r="AB295" i="1" s="1"/>
  <c r="AK295" i="1"/>
  <c r="AJ295" i="1"/>
  <c r="AH295" i="1"/>
  <c r="AG295" i="1"/>
  <c r="AF295" i="1"/>
  <c r="AE295" i="1"/>
  <c r="AD295" i="1"/>
  <c r="Z295" i="1"/>
  <c r="J295" i="1"/>
  <c r="AL295" i="1" s="1"/>
  <c r="BJ292" i="1"/>
  <c r="BF292" i="1"/>
  <c r="BD292" i="1"/>
  <c r="AP292" i="1"/>
  <c r="AO292" i="1"/>
  <c r="AK292" i="1"/>
  <c r="AJ292" i="1"/>
  <c r="AH292" i="1"/>
  <c r="AG292" i="1"/>
  <c r="AF292" i="1"/>
  <c r="AE292" i="1"/>
  <c r="AD292" i="1"/>
  <c r="Z292" i="1"/>
  <c r="J292" i="1"/>
  <c r="AL292" i="1" s="1"/>
  <c r="BJ289" i="1"/>
  <c r="BF289" i="1"/>
  <c r="BD289" i="1"/>
  <c r="AP289" i="1"/>
  <c r="BI289" i="1" s="1"/>
  <c r="AC289" i="1" s="1"/>
  <c r="AO289" i="1"/>
  <c r="AK289" i="1"/>
  <c r="AJ289" i="1"/>
  <c r="AH289" i="1"/>
  <c r="AG289" i="1"/>
  <c r="AF289" i="1"/>
  <c r="AE289" i="1"/>
  <c r="AD289" i="1"/>
  <c r="Z289" i="1"/>
  <c r="J289" i="1"/>
  <c r="AL289" i="1" s="1"/>
  <c r="BJ287" i="1"/>
  <c r="BF287" i="1"/>
  <c r="BD287" i="1"/>
  <c r="AP287" i="1"/>
  <c r="BI287" i="1" s="1"/>
  <c r="AC287" i="1" s="1"/>
  <c r="AO287" i="1"/>
  <c r="BH287" i="1" s="1"/>
  <c r="AB287" i="1" s="1"/>
  <c r="AK287" i="1"/>
  <c r="AJ287" i="1"/>
  <c r="AH287" i="1"/>
  <c r="AG287" i="1"/>
  <c r="AF287" i="1"/>
  <c r="AE287" i="1"/>
  <c r="AD287" i="1"/>
  <c r="Z287" i="1"/>
  <c r="J287" i="1"/>
  <c r="AL287" i="1" s="1"/>
  <c r="BJ284" i="1"/>
  <c r="BF284" i="1"/>
  <c r="BD284" i="1"/>
  <c r="AP284" i="1"/>
  <c r="AO284" i="1"/>
  <c r="AW284" i="1" s="1"/>
  <c r="AK284" i="1"/>
  <c r="AJ284" i="1"/>
  <c r="AH284" i="1"/>
  <c r="AG284" i="1"/>
  <c r="AF284" i="1"/>
  <c r="AE284" i="1"/>
  <c r="AD284" i="1"/>
  <c r="Z284" i="1"/>
  <c r="J284" i="1"/>
  <c r="AL284" i="1" s="1"/>
  <c r="BJ281" i="1"/>
  <c r="BF281" i="1"/>
  <c r="BD281" i="1"/>
  <c r="AP281" i="1"/>
  <c r="AX281" i="1" s="1"/>
  <c r="AO281" i="1"/>
  <c r="BH281" i="1" s="1"/>
  <c r="AB281" i="1" s="1"/>
  <c r="AK281" i="1"/>
  <c r="AJ281" i="1"/>
  <c r="AH281" i="1"/>
  <c r="AG281" i="1"/>
  <c r="AF281" i="1"/>
  <c r="AE281" i="1"/>
  <c r="AD281" i="1"/>
  <c r="Z281" i="1"/>
  <c r="J281" i="1"/>
  <c r="AL281" i="1" s="1"/>
  <c r="BJ279" i="1"/>
  <c r="BF279" i="1"/>
  <c r="BD279" i="1"/>
  <c r="AP279" i="1"/>
  <c r="AO279" i="1"/>
  <c r="AW279" i="1" s="1"/>
  <c r="AK279" i="1"/>
  <c r="AJ279" i="1"/>
  <c r="AH279" i="1"/>
  <c r="AG279" i="1"/>
  <c r="AF279" i="1"/>
  <c r="AE279" i="1"/>
  <c r="AD279" i="1"/>
  <c r="Z279" i="1"/>
  <c r="J279" i="1"/>
  <c r="AL279" i="1" s="1"/>
  <c r="BJ278" i="1"/>
  <c r="BF278" i="1"/>
  <c r="BD278" i="1"/>
  <c r="AP278" i="1"/>
  <c r="AX278" i="1" s="1"/>
  <c r="AO278" i="1"/>
  <c r="AK278" i="1"/>
  <c r="AJ278" i="1"/>
  <c r="AH278" i="1"/>
  <c r="AG278" i="1"/>
  <c r="AF278" i="1"/>
  <c r="AE278" i="1"/>
  <c r="AD278" i="1"/>
  <c r="Z278" i="1"/>
  <c r="J278" i="1"/>
  <c r="AL278" i="1" s="1"/>
  <c r="BJ275" i="1"/>
  <c r="BF275" i="1"/>
  <c r="BD275" i="1"/>
  <c r="AP275" i="1"/>
  <c r="AO275" i="1"/>
  <c r="H275" i="1" s="1"/>
  <c r="AK275" i="1"/>
  <c r="AJ275" i="1"/>
  <c r="AH275" i="1"/>
  <c r="AG275" i="1"/>
  <c r="AF275" i="1"/>
  <c r="AE275" i="1"/>
  <c r="AD275" i="1"/>
  <c r="Z275" i="1"/>
  <c r="J275" i="1"/>
  <c r="AL275" i="1" s="1"/>
  <c r="BJ272" i="1"/>
  <c r="BF272" i="1"/>
  <c r="BD272" i="1"/>
  <c r="AP272" i="1"/>
  <c r="I272" i="1" s="1"/>
  <c r="AO272" i="1"/>
  <c r="BH272" i="1" s="1"/>
  <c r="AB272" i="1" s="1"/>
  <c r="AK272" i="1"/>
  <c r="AJ272" i="1"/>
  <c r="AH272" i="1"/>
  <c r="AG272" i="1"/>
  <c r="AF272" i="1"/>
  <c r="AE272" i="1"/>
  <c r="AD272" i="1"/>
  <c r="Z272" i="1"/>
  <c r="J272" i="1"/>
  <c r="AL272" i="1" s="1"/>
  <c r="BJ269" i="1"/>
  <c r="BF269" i="1"/>
  <c r="BD269" i="1"/>
  <c r="AP269" i="1"/>
  <c r="BI269" i="1" s="1"/>
  <c r="AC269" i="1" s="1"/>
  <c r="AO269" i="1"/>
  <c r="AK269" i="1"/>
  <c r="AJ269" i="1"/>
  <c r="AH269" i="1"/>
  <c r="AG269" i="1"/>
  <c r="AF269" i="1"/>
  <c r="AE269" i="1"/>
  <c r="AD269" i="1"/>
  <c r="Z269" i="1"/>
  <c r="J269" i="1"/>
  <c r="AL269" i="1" s="1"/>
  <c r="BJ267" i="1"/>
  <c r="BF267" i="1"/>
  <c r="BD267" i="1"/>
  <c r="AP267" i="1"/>
  <c r="AO267" i="1"/>
  <c r="AW267" i="1" s="1"/>
  <c r="AK267" i="1"/>
  <c r="AJ267" i="1"/>
  <c r="AH267" i="1"/>
  <c r="AG267" i="1"/>
  <c r="AF267" i="1"/>
  <c r="AE267" i="1"/>
  <c r="AD267" i="1"/>
  <c r="Z267" i="1"/>
  <c r="J267" i="1"/>
  <c r="AL267" i="1" s="1"/>
  <c r="BJ265" i="1"/>
  <c r="BF265" i="1"/>
  <c r="BD265" i="1"/>
  <c r="AP265" i="1"/>
  <c r="BI265" i="1" s="1"/>
  <c r="AC265" i="1" s="1"/>
  <c r="AO265" i="1"/>
  <c r="AW265" i="1" s="1"/>
  <c r="AK265" i="1"/>
  <c r="AJ265" i="1"/>
  <c r="AH265" i="1"/>
  <c r="AG265" i="1"/>
  <c r="AF265" i="1"/>
  <c r="AE265" i="1"/>
  <c r="AD265" i="1"/>
  <c r="Z265" i="1"/>
  <c r="J265" i="1"/>
  <c r="AL265" i="1" s="1"/>
  <c r="BJ262" i="1"/>
  <c r="BF262" i="1"/>
  <c r="BD262" i="1"/>
  <c r="AP262" i="1"/>
  <c r="AX262" i="1" s="1"/>
  <c r="AO262" i="1"/>
  <c r="BH262" i="1" s="1"/>
  <c r="AB262" i="1" s="1"/>
  <c r="AK262" i="1"/>
  <c r="AJ262" i="1"/>
  <c r="AH262" i="1"/>
  <c r="AG262" i="1"/>
  <c r="AF262" i="1"/>
  <c r="AE262" i="1"/>
  <c r="AD262" i="1"/>
  <c r="Z262" i="1"/>
  <c r="J262" i="1"/>
  <c r="AL262" i="1" s="1"/>
  <c r="BJ261" i="1"/>
  <c r="BF261" i="1"/>
  <c r="BD261" i="1"/>
  <c r="AP261" i="1"/>
  <c r="AO261" i="1"/>
  <c r="AW261" i="1" s="1"/>
  <c r="AK261" i="1"/>
  <c r="AJ261" i="1"/>
  <c r="AH261" i="1"/>
  <c r="AG261" i="1"/>
  <c r="AF261" i="1"/>
  <c r="AE261" i="1"/>
  <c r="AD261" i="1"/>
  <c r="Z261" i="1"/>
  <c r="J261" i="1"/>
  <c r="AL261" i="1" s="1"/>
  <c r="BJ260" i="1"/>
  <c r="BF260" i="1"/>
  <c r="BD260" i="1"/>
  <c r="AP260" i="1"/>
  <c r="AX260" i="1" s="1"/>
  <c r="AO260" i="1"/>
  <c r="AW260" i="1" s="1"/>
  <c r="AK260" i="1"/>
  <c r="AJ260" i="1"/>
  <c r="AH260" i="1"/>
  <c r="AG260" i="1"/>
  <c r="AF260" i="1"/>
  <c r="AE260" i="1"/>
  <c r="AD260" i="1"/>
  <c r="Z260" i="1"/>
  <c r="J260" i="1"/>
  <c r="AL260" i="1" s="1"/>
  <c r="BJ259" i="1"/>
  <c r="BF259" i="1"/>
  <c r="BD259" i="1"/>
  <c r="AP259" i="1"/>
  <c r="AX259" i="1" s="1"/>
  <c r="AO259" i="1"/>
  <c r="H259" i="1" s="1"/>
  <c r="AK259" i="1"/>
  <c r="AJ259" i="1"/>
  <c r="AH259" i="1"/>
  <c r="AG259" i="1"/>
  <c r="AF259" i="1"/>
  <c r="AE259" i="1"/>
  <c r="AD259" i="1"/>
  <c r="Z259" i="1"/>
  <c r="J259" i="1"/>
  <c r="AL259" i="1" s="1"/>
  <c r="BJ257" i="1"/>
  <c r="BF257" i="1"/>
  <c r="BD257" i="1"/>
  <c r="AP257" i="1"/>
  <c r="I257" i="1" s="1"/>
  <c r="AO257" i="1"/>
  <c r="H257" i="1" s="1"/>
  <c r="AK257" i="1"/>
  <c r="AJ257" i="1"/>
  <c r="AH257" i="1"/>
  <c r="AG257" i="1"/>
  <c r="AF257" i="1"/>
  <c r="AE257" i="1"/>
  <c r="AD257" i="1"/>
  <c r="Z257" i="1"/>
  <c r="J257" i="1"/>
  <c r="BJ254" i="1"/>
  <c r="BF254" i="1"/>
  <c r="BD254" i="1"/>
  <c r="AP254" i="1"/>
  <c r="AX254" i="1" s="1"/>
  <c r="AO254" i="1"/>
  <c r="H254" i="1" s="1"/>
  <c r="AK254" i="1"/>
  <c r="AJ254" i="1"/>
  <c r="AH254" i="1"/>
  <c r="AG254" i="1"/>
  <c r="AF254" i="1"/>
  <c r="AE254" i="1"/>
  <c r="AD254" i="1"/>
  <c r="Z254" i="1"/>
  <c r="J254" i="1"/>
  <c r="AL254" i="1" s="1"/>
  <c r="BJ252" i="1"/>
  <c r="BF252" i="1"/>
  <c r="BD252" i="1"/>
  <c r="AP252" i="1"/>
  <c r="AO252" i="1"/>
  <c r="AK252" i="1"/>
  <c r="AJ252" i="1"/>
  <c r="AH252" i="1"/>
  <c r="AG252" i="1"/>
  <c r="AF252" i="1"/>
  <c r="AE252" i="1"/>
  <c r="AD252" i="1"/>
  <c r="Z252" i="1"/>
  <c r="J252" i="1"/>
  <c r="AL252" i="1" s="1"/>
  <c r="BJ249" i="1"/>
  <c r="BF249" i="1"/>
  <c r="BD249" i="1"/>
  <c r="AP249" i="1"/>
  <c r="BI249" i="1" s="1"/>
  <c r="AC249" i="1" s="1"/>
  <c r="AO249" i="1"/>
  <c r="BH249" i="1" s="1"/>
  <c r="AB249" i="1" s="1"/>
  <c r="AK249" i="1"/>
  <c r="AJ249" i="1"/>
  <c r="AH249" i="1"/>
  <c r="AG249" i="1"/>
  <c r="AF249" i="1"/>
  <c r="AE249" i="1"/>
  <c r="AD249" i="1"/>
  <c r="Z249" i="1"/>
  <c r="J249" i="1"/>
  <c r="AL249" i="1" s="1"/>
  <c r="BJ248" i="1"/>
  <c r="BF248" i="1"/>
  <c r="BD248" i="1"/>
  <c r="AP248" i="1"/>
  <c r="BI248" i="1" s="1"/>
  <c r="AC248" i="1" s="1"/>
  <c r="AO248" i="1"/>
  <c r="BH248" i="1" s="1"/>
  <c r="AB248" i="1" s="1"/>
  <c r="AK248" i="1"/>
  <c r="AJ248" i="1"/>
  <c r="AH248" i="1"/>
  <c r="AG248" i="1"/>
  <c r="AF248" i="1"/>
  <c r="AE248" i="1"/>
  <c r="AD248" i="1"/>
  <c r="Z248" i="1"/>
  <c r="J248" i="1"/>
  <c r="AL248" i="1" s="1"/>
  <c r="BJ247" i="1"/>
  <c r="BF247" i="1"/>
  <c r="BD247" i="1"/>
  <c r="AP247" i="1"/>
  <c r="BI247" i="1" s="1"/>
  <c r="AC247" i="1" s="1"/>
  <c r="AO247" i="1"/>
  <c r="AW247" i="1" s="1"/>
  <c r="AK247" i="1"/>
  <c r="AJ247" i="1"/>
  <c r="AH247" i="1"/>
  <c r="AG247" i="1"/>
  <c r="AF247" i="1"/>
  <c r="AE247" i="1"/>
  <c r="AD247" i="1"/>
  <c r="Z247" i="1"/>
  <c r="J247" i="1"/>
  <c r="AL247" i="1" s="1"/>
  <c r="BJ245" i="1"/>
  <c r="BF245" i="1"/>
  <c r="BD245" i="1"/>
  <c r="AP245" i="1"/>
  <c r="AX245" i="1" s="1"/>
  <c r="AO245" i="1"/>
  <c r="BH245" i="1" s="1"/>
  <c r="AB245" i="1" s="1"/>
  <c r="AK245" i="1"/>
  <c r="AJ245" i="1"/>
  <c r="AH245" i="1"/>
  <c r="AG245" i="1"/>
  <c r="AF245" i="1"/>
  <c r="AE245" i="1"/>
  <c r="AD245" i="1"/>
  <c r="Z245" i="1"/>
  <c r="J245" i="1"/>
  <c r="AL245" i="1" s="1"/>
  <c r="BJ243" i="1"/>
  <c r="BF243" i="1"/>
  <c r="BD243" i="1"/>
  <c r="AP243" i="1"/>
  <c r="BI243" i="1" s="1"/>
  <c r="AC243" i="1" s="1"/>
  <c r="AO243" i="1"/>
  <c r="AW243" i="1" s="1"/>
  <c r="AK243" i="1"/>
  <c r="AJ243" i="1"/>
  <c r="AH243" i="1"/>
  <c r="AG243" i="1"/>
  <c r="AF243" i="1"/>
  <c r="AE243" i="1"/>
  <c r="AD243" i="1"/>
  <c r="Z243" i="1"/>
  <c r="J243" i="1"/>
  <c r="AL243" i="1" s="1"/>
  <c r="BJ241" i="1"/>
  <c r="BF241" i="1"/>
  <c r="BD241" i="1"/>
  <c r="AP241" i="1"/>
  <c r="AX241" i="1" s="1"/>
  <c r="AO241" i="1"/>
  <c r="AK241" i="1"/>
  <c r="AJ241" i="1"/>
  <c r="AH241" i="1"/>
  <c r="AG241" i="1"/>
  <c r="AF241" i="1"/>
  <c r="AE241" i="1"/>
  <c r="AD241" i="1"/>
  <c r="Z241" i="1"/>
  <c r="J241" i="1"/>
  <c r="AL241" i="1" s="1"/>
  <c r="BJ239" i="1"/>
  <c r="BF239" i="1"/>
  <c r="BD239" i="1"/>
  <c r="AP239" i="1"/>
  <c r="AX239" i="1" s="1"/>
  <c r="AO239" i="1"/>
  <c r="H239" i="1" s="1"/>
  <c r="AK239" i="1"/>
  <c r="AJ239" i="1"/>
  <c r="AH239" i="1"/>
  <c r="AG239" i="1"/>
  <c r="AF239" i="1"/>
  <c r="AE239" i="1"/>
  <c r="AD239" i="1"/>
  <c r="Z239" i="1"/>
  <c r="J239" i="1"/>
  <c r="AL239" i="1" s="1"/>
  <c r="BJ237" i="1"/>
  <c r="BF237" i="1"/>
  <c r="BD237" i="1"/>
  <c r="AP237" i="1"/>
  <c r="AO237" i="1"/>
  <c r="AW237" i="1" s="1"/>
  <c r="AK237" i="1"/>
  <c r="AJ237" i="1"/>
  <c r="AH237" i="1"/>
  <c r="AG237" i="1"/>
  <c r="AF237" i="1"/>
  <c r="AE237" i="1"/>
  <c r="AD237" i="1"/>
  <c r="Z237" i="1"/>
  <c r="J237" i="1"/>
  <c r="AL237" i="1" s="1"/>
  <c r="BJ232" i="1"/>
  <c r="BF232" i="1"/>
  <c r="BD232" i="1"/>
  <c r="AP232" i="1"/>
  <c r="BI232" i="1" s="1"/>
  <c r="AC232" i="1" s="1"/>
  <c r="AO232" i="1"/>
  <c r="BH232" i="1" s="1"/>
  <c r="AB232" i="1" s="1"/>
  <c r="AK232" i="1"/>
  <c r="AJ232" i="1"/>
  <c r="AH232" i="1"/>
  <c r="AG232" i="1"/>
  <c r="AF232" i="1"/>
  <c r="AE232" i="1"/>
  <c r="AD232" i="1"/>
  <c r="Z232" i="1"/>
  <c r="J232" i="1"/>
  <c r="AL232" i="1" s="1"/>
  <c r="BJ228" i="1"/>
  <c r="BF228" i="1"/>
  <c r="BD228" i="1"/>
  <c r="AP228" i="1"/>
  <c r="I228" i="1" s="1"/>
  <c r="I227" i="1" s="1"/>
  <c r="AO228" i="1"/>
  <c r="BH228" i="1" s="1"/>
  <c r="AB228" i="1" s="1"/>
  <c r="AK228" i="1"/>
  <c r="AT227" i="1" s="1"/>
  <c r="AJ228" i="1"/>
  <c r="AS227" i="1" s="1"/>
  <c r="AH228" i="1"/>
  <c r="AG228" i="1"/>
  <c r="AF228" i="1"/>
  <c r="AE228" i="1"/>
  <c r="AD228" i="1"/>
  <c r="Z228" i="1"/>
  <c r="J228" i="1"/>
  <c r="BJ225" i="1"/>
  <c r="BF225" i="1"/>
  <c r="BD225" i="1"/>
  <c r="AP225" i="1"/>
  <c r="AX225" i="1" s="1"/>
  <c r="AO225" i="1"/>
  <c r="H225" i="1" s="1"/>
  <c r="AK225" i="1"/>
  <c r="AJ225" i="1"/>
  <c r="AH225" i="1"/>
  <c r="AG225" i="1"/>
  <c r="AF225" i="1"/>
  <c r="AE225" i="1"/>
  <c r="AD225" i="1"/>
  <c r="Z225" i="1"/>
  <c r="J225" i="1"/>
  <c r="AL225" i="1" s="1"/>
  <c r="BJ224" i="1"/>
  <c r="BF224" i="1"/>
  <c r="BD224" i="1"/>
  <c r="AP224" i="1"/>
  <c r="I224" i="1" s="1"/>
  <c r="AO224" i="1"/>
  <c r="BH224" i="1" s="1"/>
  <c r="AB224" i="1" s="1"/>
  <c r="AK224" i="1"/>
  <c r="AJ224" i="1"/>
  <c r="AH224" i="1"/>
  <c r="AG224" i="1"/>
  <c r="AF224" i="1"/>
  <c r="AE224" i="1"/>
  <c r="AD224" i="1"/>
  <c r="Z224" i="1"/>
  <c r="J224" i="1"/>
  <c r="AL224" i="1" s="1"/>
  <c r="BJ221" i="1"/>
  <c r="BF221" i="1"/>
  <c r="BD221" i="1"/>
  <c r="AP221" i="1"/>
  <c r="AO221" i="1"/>
  <c r="AK221" i="1"/>
  <c r="AJ221" i="1"/>
  <c r="AH221" i="1"/>
  <c r="AG221" i="1"/>
  <c r="AF221" i="1"/>
  <c r="AE221" i="1"/>
  <c r="AD221" i="1"/>
  <c r="Z221" i="1"/>
  <c r="J221" i="1"/>
  <c r="AL221" i="1" s="1"/>
  <c r="BJ220" i="1"/>
  <c r="BF220" i="1"/>
  <c r="BD220" i="1"/>
  <c r="AP220" i="1"/>
  <c r="BI220" i="1" s="1"/>
  <c r="AC220" i="1" s="1"/>
  <c r="AO220" i="1"/>
  <c r="BH220" i="1" s="1"/>
  <c r="AB220" i="1" s="1"/>
  <c r="AK220" i="1"/>
  <c r="AJ220" i="1"/>
  <c r="AH220" i="1"/>
  <c r="AG220" i="1"/>
  <c r="AF220" i="1"/>
  <c r="AE220" i="1"/>
  <c r="AD220" i="1"/>
  <c r="Z220" i="1"/>
  <c r="J220" i="1"/>
  <c r="AL220" i="1" s="1"/>
  <c r="BJ219" i="1"/>
  <c r="BF219" i="1"/>
  <c r="BD219" i="1"/>
  <c r="AP219" i="1"/>
  <c r="BI219" i="1" s="1"/>
  <c r="AC219" i="1" s="1"/>
  <c r="AO219" i="1"/>
  <c r="AW219" i="1" s="1"/>
  <c r="AK219" i="1"/>
  <c r="AJ219" i="1"/>
  <c r="AH219" i="1"/>
  <c r="AG219" i="1"/>
  <c r="AF219" i="1"/>
  <c r="AE219" i="1"/>
  <c r="AD219" i="1"/>
  <c r="Z219" i="1"/>
  <c r="J219" i="1"/>
  <c r="AL219" i="1" s="1"/>
  <c r="BJ216" i="1"/>
  <c r="BF216" i="1"/>
  <c r="BD216" i="1"/>
  <c r="AP216" i="1"/>
  <c r="BI216" i="1" s="1"/>
  <c r="AE216" i="1" s="1"/>
  <c r="AO216" i="1"/>
  <c r="AK216" i="1"/>
  <c r="AJ216" i="1"/>
  <c r="AH216" i="1"/>
  <c r="AG216" i="1"/>
  <c r="AF216" i="1"/>
  <c r="AC216" i="1"/>
  <c r="AB216" i="1"/>
  <c r="Z216" i="1"/>
  <c r="J216" i="1"/>
  <c r="AL216" i="1" s="1"/>
  <c r="BJ215" i="1"/>
  <c r="BF215" i="1"/>
  <c r="BD215" i="1"/>
  <c r="AP215" i="1"/>
  <c r="AO215" i="1"/>
  <c r="AW215" i="1" s="1"/>
  <c r="AK215" i="1"/>
  <c r="AJ215" i="1"/>
  <c r="AH215" i="1"/>
  <c r="AG215" i="1"/>
  <c r="AF215" i="1"/>
  <c r="AC215" i="1"/>
  <c r="AB215" i="1"/>
  <c r="Z215" i="1"/>
  <c r="J215" i="1"/>
  <c r="AL215" i="1" s="1"/>
  <c r="BJ212" i="1"/>
  <c r="BF212" i="1"/>
  <c r="BD212" i="1"/>
  <c r="AP212" i="1"/>
  <c r="BI212" i="1" s="1"/>
  <c r="AE212" i="1" s="1"/>
  <c r="AO212" i="1"/>
  <c r="BH212" i="1" s="1"/>
  <c r="AD212" i="1" s="1"/>
  <c r="AK212" i="1"/>
  <c r="AJ212" i="1"/>
  <c r="AH212" i="1"/>
  <c r="AG212" i="1"/>
  <c r="AF212" i="1"/>
  <c r="AC212" i="1"/>
  <c r="AB212" i="1"/>
  <c r="Z212" i="1"/>
  <c r="J212" i="1"/>
  <c r="AL212" i="1" s="1"/>
  <c r="BJ208" i="1"/>
  <c r="BF208" i="1"/>
  <c r="BD208" i="1"/>
  <c r="AP208" i="1"/>
  <c r="BI208" i="1" s="1"/>
  <c r="AE208" i="1" s="1"/>
  <c r="AO208" i="1"/>
  <c r="AW208" i="1" s="1"/>
  <c r="AK208" i="1"/>
  <c r="AJ208" i="1"/>
  <c r="AH208" i="1"/>
  <c r="AG208" i="1"/>
  <c r="AF208" i="1"/>
  <c r="AC208" i="1"/>
  <c r="AB208" i="1"/>
  <c r="Z208" i="1"/>
  <c r="J208" i="1"/>
  <c r="BJ205" i="1"/>
  <c r="BF205" i="1"/>
  <c r="BD205" i="1"/>
  <c r="AP205" i="1"/>
  <c r="BI205" i="1" s="1"/>
  <c r="AE205" i="1" s="1"/>
  <c r="AO205" i="1"/>
  <c r="AK205" i="1"/>
  <c r="AJ205" i="1"/>
  <c r="AH205" i="1"/>
  <c r="AG205" i="1"/>
  <c r="AF205" i="1"/>
  <c r="AC205" i="1"/>
  <c r="AB205" i="1"/>
  <c r="Z205" i="1"/>
  <c r="J205" i="1"/>
  <c r="AL205" i="1" s="1"/>
  <c r="BJ204" i="1"/>
  <c r="BF204" i="1"/>
  <c r="BD204" i="1"/>
  <c r="AP204" i="1"/>
  <c r="AO204" i="1"/>
  <c r="AW204" i="1" s="1"/>
  <c r="AK204" i="1"/>
  <c r="AJ204" i="1"/>
  <c r="AH204" i="1"/>
  <c r="AG204" i="1"/>
  <c r="AF204" i="1"/>
  <c r="AC204" i="1"/>
  <c r="AB204" i="1"/>
  <c r="Z204" i="1"/>
  <c r="J204" i="1"/>
  <c r="BJ200" i="1"/>
  <c r="BF200" i="1"/>
  <c r="BD200" i="1"/>
  <c r="AP200" i="1"/>
  <c r="AO200" i="1"/>
  <c r="BH200" i="1" s="1"/>
  <c r="AD200" i="1" s="1"/>
  <c r="AK200" i="1"/>
  <c r="AJ200" i="1"/>
  <c r="AH200" i="1"/>
  <c r="AG200" i="1"/>
  <c r="AF200" i="1"/>
  <c r="AC200" i="1"/>
  <c r="AB200" i="1"/>
  <c r="Z200" i="1"/>
  <c r="J200" i="1"/>
  <c r="AL200" i="1" s="1"/>
  <c r="BJ196" i="1"/>
  <c r="BF196" i="1"/>
  <c r="BD196" i="1"/>
  <c r="AP196" i="1"/>
  <c r="BI196" i="1" s="1"/>
  <c r="AE196" i="1" s="1"/>
  <c r="AO196" i="1"/>
  <c r="AW196" i="1" s="1"/>
  <c r="AK196" i="1"/>
  <c r="AJ196" i="1"/>
  <c r="AH196" i="1"/>
  <c r="AG196" i="1"/>
  <c r="AF196" i="1"/>
  <c r="AC196" i="1"/>
  <c r="AB196" i="1"/>
  <c r="Z196" i="1"/>
  <c r="J196" i="1"/>
  <c r="AL196" i="1" s="1"/>
  <c r="BJ191" i="1"/>
  <c r="BF191" i="1"/>
  <c r="BD191" i="1"/>
  <c r="AP191" i="1"/>
  <c r="AX191" i="1" s="1"/>
  <c r="AO191" i="1"/>
  <c r="BH191" i="1" s="1"/>
  <c r="AD191" i="1" s="1"/>
  <c r="AK191" i="1"/>
  <c r="AJ191" i="1"/>
  <c r="AH191" i="1"/>
  <c r="AG191" i="1"/>
  <c r="AF191" i="1"/>
  <c r="AC191" i="1"/>
  <c r="AB191" i="1"/>
  <c r="Z191" i="1"/>
  <c r="J191" i="1"/>
  <c r="AL191" i="1" s="1"/>
  <c r="BJ188" i="1"/>
  <c r="BF188" i="1"/>
  <c r="BD188" i="1"/>
  <c r="AP188" i="1"/>
  <c r="BI188" i="1" s="1"/>
  <c r="AE188" i="1" s="1"/>
  <c r="AO188" i="1"/>
  <c r="AW188" i="1" s="1"/>
  <c r="AK188" i="1"/>
  <c r="AJ188" i="1"/>
  <c r="AH188" i="1"/>
  <c r="AG188" i="1"/>
  <c r="AF188" i="1"/>
  <c r="AC188" i="1"/>
  <c r="AB188" i="1"/>
  <c r="Z188" i="1"/>
  <c r="J188" i="1"/>
  <c r="AL188" i="1" s="1"/>
  <c r="BJ185" i="1"/>
  <c r="BF185" i="1"/>
  <c r="BD185" i="1"/>
  <c r="AP185" i="1"/>
  <c r="AX185" i="1" s="1"/>
  <c r="AO185" i="1"/>
  <c r="AK185" i="1"/>
  <c r="AJ185" i="1"/>
  <c r="AH185" i="1"/>
  <c r="AG185" i="1"/>
  <c r="AF185" i="1"/>
  <c r="AC185" i="1"/>
  <c r="AB185" i="1"/>
  <c r="Z185" i="1"/>
  <c r="J185" i="1"/>
  <c r="AL185" i="1" s="1"/>
  <c r="BJ180" i="1"/>
  <c r="BF180" i="1"/>
  <c r="BD180" i="1"/>
  <c r="AP180" i="1"/>
  <c r="AX180" i="1" s="1"/>
  <c r="AO180" i="1"/>
  <c r="H180" i="1" s="1"/>
  <c r="AK180" i="1"/>
  <c r="AJ180" i="1"/>
  <c r="AH180" i="1"/>
  <c r="AG180" i="1"/>
  <c r="AF180" i="1"/>
  <c r="AC180" i="1"/>
  <c r="AB180" i="1"/>
  <c r="Z180" i="1"/>
  <c r="J180" i="1"/>
  <c r="AL180" i="1" s="1"/>
  <c r="BJ176" i="1"/>
  <c r="BF176" i="1"/>
  <c r="BD176" i="1"/>
  <c r="AP176" i="1"/>
  <c r="I176" i="1" s="1"/>
  <c r="AO176" i="1"/>
  <c r="BH176" i="1" s="1"/>
  <c r="AD176" i="1" s="1"/>
  <c r="AK176" i="1"/>
  <c r="AJ176" i="1"/>
  <c r="AH176" i="1"/>
  <c r="AG176" i="1"/>
  <c r="AF176" i="1"/>
  <c r="AC176" i="1"/>
  <c r="AB176" i="1"/>
  <c r="Z176" i="1"/>
  <c r="J176" i="1"/>
  <c r="AL176" i="1" s="1"/>
  <c r="BJ172" i="1"/>
  <c r="BF172" i="1"/>
  <c r="BD172" i="1"/>
  <c r="AP172" i="1"/>
  <c r="AO172" i="1"/>
  <c r="BH172" i="1" s="1"/>
  <c r="AD172" i="1" s="1"/>
  <c r="AK172" i="1"/>
  <c r="AJ172" i="1"/>
  <c r="AH172" i="1"/>
  <c r="AG172" i="1"/>
  <c r="AF172" i="1"/>
  <c r="AC172" i="1"/>
  <c r="AB172" i="1"/>
  <c r="Z172" i="1"/>
  <c r="J172" i="1"/>
  <c r="AL172" i="1" s="1"/>
  <c r="BJ167" i="1"/>
  <c r="BF167" i="1"/>
  <c r="BD167" i="1"/>
  <c r="AP167" i="1"/>
  <c r="BI167" i="1" s="1"/>
  <c r="AE167" i="1" s="1"/>
  <c r="AO167" i="1"/>
  <c r="BH167" i="1" s="1"/>
  <c r="AD167" i="1" s="1"/>
  <c r="AK167" i="1"/>
  <c r="AJ167" i="1"/>
  <c r="AH167" i="1"/>
  <c r="AG167" i="1"/>
  <c r="AF167" i="1"/>
  <c r="AC167" i="1"/>
  <c r="AB167" i="1"/>
  <c r="Z167" i="1"/>
  <c r="J167" i="1"/>
  <c r="AL167" i="1" s="1"/>
  <c r="BJ160" i="1"/>
  <c r="BF160" i="1"/>
  <c r="BD160" i="1"/>
  <c r="AP160" i="1"/>
  <c r="AO160" i="1"/>
  <c r="AK160" i="1"/>
  <c r="AJ160" i="1"/>
  <c r="AH160" i="1"/>
  <c r="AG160" i="1"/>
  <c r="AF160" i="1"/>
  <c r="AE160" i="1"/>
  <c r="AD160" i="1"/>
  <c r="Z160" i="1"/>
  <c r="J160" i="1"/>
  <c r="AL160" i="1" s="1"/>
  <c r="BJ157" i="1"/>
  <c r="BF157" i="1"/>
  <c r="BD157" i="1"/>
  <c r="AP157" i="1"/>
  <c r="AX157" i="1" s="1"/>
  <c r="AO157" i="1"/>
  <c r="BH157" i="1" s="1"/>
  <c r="AB157" i="1" s="1"/>
  <c r="AK157" i="1"/>
  <c r="AJ157" i="1"/>
  <c r="AH157" i="1"/>
  <c r="AG157" i="1"/>
  <c r="AF157" i="1"/>
  <c r="AE157" i="1"/>
  <c r="AD157" i="1"/>
  <c r="Z157" i="1"/>
  <c r="J157" i="1"/>
  <c r="AL157" i="1" s="1"/>
  <c r="BJ156" i="1"/>
  <c r="BF156" i="1"/>
  <c r="BD156" i="1"/>
  <c r="AP156" i="1"/>
  <c r="BI156" i="1" s="1"/>
  <c r="AC156" i="1" s="1"/>
  <c r="AO156" i="1"/>
  <c r="BH156" i="1" s="1"/>
  <c r="AB156" i="1" s="1"/>
  <c r="AK156" i="1"/>
  <c r="AJ156" i="1"/>
  <c r="AH156" i="1"/>
  <c r="AG156" i="1"/>
  <c r="AF156" i="1"/>
  <c r="AE156" i="1"/>
  <c r="AD156" i="1"/>
  <c r="Z156" i="1"/>
  <c r="J156" i="1"/>
  <c r="BJ154" i="1"/>
  <c r="BF154" i="1"/>
  <c r="BD154" i="1"/>
  <c r="AP154" i="1"/>
  <c r="AO154" i="1"/>
  <c r="BH154" i="1" s="1"/>
  <c r="AB154" i="1" s="1"/>
  <c r="AK154" i="1"/>
  <c r="AJ154" i="1"/>
  <c r="AH154" i="1"/>
  <c r="AG154" i="1"/>
  <c r="AF154" i="1"/>
  <c r="AE154" i="1"/>
  <c r="AD154" i="1"/>
  <c r="Z154" i="1"/>
  <c r="J154" i="1"/>
  <c r="AL154" i="1" s="1"/>
  <c r="BJ152" i="1"/>
  <c r="BF152" i="1"/>
  <c r="BD152" i="1"/>
  <c r="AP152" i="1"/>
  <c r="BI152" i="1" s="1"/>
  <c r="AC152" i="1" s="1"/>
  <c r="AO152" i="1"/>
  <c r="AW152" i="1" s="1"/>
  <c r="AK152" i="1"/>
  <c r="AJ152" i="1"/>
  <c r="AH152" i="1"/>
  <c r="AG152" i="1"/>
  <c r="AF152" i="1"/>
  <c r="AE152" i="1"/>
  <c r="AD152" i="1"/>
  <c r="Z152" i="1"/>
  <c r="J152" i="1"/>
  <c r="AL152" i="1" s="1"/>
  <c r="BJ149" i="1"/>
  <c r="BF149" i="1"/>
  <c r="BD149" i="1"/>
  <c r="AP149" i="1"/>
  <c r="AX149" i="1" s="1"/>
  <c r="AO149" i="1"/>
  <c r="H149" i="1" s="1"/>
  <c r="AK149" i="1"/>
  <c r="AJ149" i="1"/>
  <c r="AH149" i="1"/>
  <c r="AG149" i="1"/>
  <c r="AF149" i="1"/>
  <c r="AE149" i="1"/>
  <c r="AD149" i="1"/>
  <c r="Z149" i="1"/>
  <c r="J149" i="1"/>
  <c r="AL149" i="1" s="1"/>
  <c r="BJ146" i="1"/>
  <c r="BF146" i="1"/>
  <c r="BD146" i="1"/>
  <c r="AP146" i="1"/>
  <c r="AO146" i="1"/>
  <c r="AW146" i="1" s="1"/>
  <c r="AK146" i="1"/>
  <c r="AJ146" i="1"/>
  <c r="AH146" i="1"/>
  <c r="AG146" i="1"/>
  <c r="AF146" i="1"/>
  <c r="AE146" i="1"/>
  <c r="AD146" i="1"/>
  <c r="Z146" i="1"/>
  <c r="J146" i="1"/>
  <c r="AL146" i="1" s="1"/>
  <c r="BJ144" i="1"/>
  <c r="BF144" i="1"/>
  <c r="BD144" i="1"/>
  <c r="AP144" i="1"/>
  <c r="AX144" i="1" s="1"/>
  <c r="AO144" i="1"/>
  <c r="AW144" i="1" s="1"/>
  <c r="AK144" i="1"/>
  <c r="AJ144" i="1"/>
  <c r="AH144" i="1"/>
  <c r="AG144" i="1"/>
  <c r="AF144" i="1"/>
  <c r="AE144" i="1"/>
  <c r="AD144" i="1"/>
  <c r="Z144" i="1"/>
  <c r="J144" i="1"/>
  <c r="AL144" i="1" s="1"/>
  <c r="BJ142" i="1"/>
  <c r="BF142" i="1"/>
  <c r="BD142" i="1"/>
  <c r="AP142" i="1"/>
  <c r="AX142" i="1" s="1"/>
  <c r="AO142" i="1"/>
  <c r="H142" i="1" s="1"/>
  <c r="AK142" i="1"/>
  <c r="AJ142" i="1"/>
  <c r="AH142" i="1"/>
  <c r="AG142" i="1"/>
  <c r="AF142" i="1"/>
  <c r="AE142" i="1"/>
  <c r="AD142" i="1"/>
  <c r="Z142" i="1"/>
  <c r="J142" i="1"/>
  <c r="AL142" i="1" s="1"/>
  <c r="BJ139" i="1"/>
  <c r="BF139" i="1"/>
  <c r="BD139" i="1"/>
  <c r="AP139" i="1"/>
  <c r="I139" i="1" s="1"/>
  <c r="AO139" i="1"/>
  <c r="BH139" i="1" s="1"/>
  <c r="AB139" i="1" s="1"/>
  <c r="AK139" i="1"/>
  <c r="AJ139" i="1"/>
  <c r="AH139" i="1"/>
  <c r="AG139" i="1"/>
  <c r="AF139" i="1"/>
  <c r="AE139" i="1"/>
  <c r="AD139" i="1"/>
  <c r="Z139" i="1"/>
  <c r="J139" i="1"/>
  <c r="BJ137" i="1"/>
  <c r="BF137" i="1"/>
  <c r="BD137" i="1"/>
  <c r="AP137" i="1"/>
  <c r="AX137" i="1" s="1"/>
  <c r="AO137" i="1"/>
  <c r="BH137" i="1" s="1"/>
  <c r="AB137" i="1" s="1"/>
  <c r="AK137" i="1"/>
  <c r="AJ137" i="1"/>
  <c r="AH137" i="1"/>
  <c r="AG137" i="1"/>
  <c r="AF137" i="1"/>
  <c r="AE137" i="1"/>
  <c r="AD137" i="1"/>
  <c r="Z137" i="1"/>
  <c r="J137" i="1"/>
  <c r="AL137" i="1" s="1"/>
  <c r="BJ136" i="1"/>
  <c r="BF136" i="1"/>
  <c r="BD136" i="1"/>
  <c r="AP136" i="1"/>
  <c r="I136" i="1" s="1"/>
  <c r="AO136" i="1"/>
  <c r="BH136" i="1" s="1"/>
  <c r="AB136" i="1" s="1"/>
  <c r="AK136" i="1"/>
  <c r="AJ136" i="1"/>
  <c r="AH136" i="1"/>
  <c r="AG136" i="1"/>
  <c r="AF136" i="1"/>
  <c r="AE136" i="1"/>
  <c r="AD136" i="1"/>
  <c r="Z136" i="1"/>
  <c r="J136" i="1"/>
  <c r="AL136" i="1" s="1"/>
  <c r="BJ135" i="1"/>
  <c r="BF135" i="1"/>
  <c r="BD135" i="1"/>
  <c r="AP135" i="1"/>
  <c r="BI135" i="1" s="1"/>
  <c r="AC135" i="1" s="1"/>
  <c r="AO135" i="1"/>
  <c r="AK135" i="1"/>
  <c r="AJ135" i="1"/>
  <c r="AH135" i="1"/>
  <c r="AG135" i="1"/>
  <c r="AF135" i="1"/>
  <c r="AE135" i="1"/>
  <c r="AD135" i="1"/>
  <c r="Z135" i="1"/>
  <c r="J135" i="1"/>
  <c r="AL135" i="1" s="1"/>
  <c r="BJ133" i="1"/>
  <c r="BF133" i="1"/>
  <c r="BD133" i="1"/>
  <c r="AP133" i="1"/>
  <c r="AO133" i="1"/>
  <c r="BH133" i="1" s="1"/>
  <c r="AB133" i="1" s="1"/>
  <c r="AK133" i="1"/>
  <c r="AJ133" i="1"/>
  <c r="AH133" i="1"/>
  <c r="AG133" i="1"/>
  <c r="AF133" i="1"/>
  <c r="AE133" i="1"/>
  <c r="AD133" i="1"/>
  <c r="Z133" i="1"/>
  <c r="J133" i="1"/>
  <c r="AL133" i="1" s="1"/>
  <c r="BJ128" i="1"/>
  <c r="BF128" i="1"/>
  <c r="BD128" i="1"/>
  <c r="AP128" i="1"/>
  <c r="BI128" i="1" s="1"/>
  <c r="AC128" i="1" s="1"/>
  <c r="AO128" i="1"/>
  <c r="H128" i="1" s="1"/>
  <c r="AK128" i="1"/>
  <c r="AJ128" i="1"/>
  <c r="AH128" i="1"/>
  <c r="AG128" i="1"/>
  <c r="AF128" i="1"/>
  <c r="AE128" i="1"/>
  <c r="AD128" i="1"/>
  <c r="Z128" i="1"/>
  <c r="J128" i="1"/>
  <c r="BJ124" i="1"/>
  <c r="BF124" i="1"/>
  <c r="BD124" i="1"/>
  <c r="AP124" i="1"/>
  <c r="AX124" i="1" s="1"/>
  <c r="AO124" i="1"/>
  <c r="AK124" i="1"/>
  <c r="AJ124" i="1"/>
  <c r="AH124" i="1"/>
  <c r="AG124" i="1"/>
  <c r="AF124" i="1"/>
  <c r="AE124" i="1"/>
  <c r="AD124" i="1"/>
  <c r="Z124" i="1"/>
  <c r="J124" i="1"/>
  <c r="AL124" i="1" s="1"/>
  <c r="BJ122" i="1"/>
  <c r="BF122" i="1"/>
  <c r="BD122" i="1"/>
  <c r="AP122" i="1"/>
  <c r="BI122" i="1" s="1"/>
  <c r="AC122" i="1" s="1"/>
  <c r="AO122" i="1"/>
  <c r="BH122" i="1" s="1"/>
  <c r="AB122" i="1" s="1"/>
  <c r="AK122" i="1"/>
  <c r="AJ122" i="1"/>
  <c r="AH122" i="1"/>
  <c r="AG122" i="1"/>
  <c r="AF122" i="1"/>
  <c r="AE122" i="1"/>
  <c r="AD122" i="1"/>
  <c r="Z122" i="1"/>
  <c r="J122" i="1"/>
  <c r="AL122" i="1" s="1"/>
  <c r="BJ121" i="1"/>
  <c r="BF121" i="1"/>
  <c r="BD121" i="1"/>
  <c r="AP121" i="1"/>
  <c r="BI121" i="1" s="1"/>
  <c r="AC121" i="1" s="1"/>
  <c r="AO121" i="1"/>
  <c r="H121" i="1" s="1"/>
  <c r="AK121" i="1"/>
  <c r="AJ121" i="1"/>
  <c r="AH121" i="1"/>
  <c r="AG121" i="1"/>
  <c r="AF121" i="1"/>
  <c r="AE121" i="1"/>
  <c r="AD121" i="1"/>
  <c r="Z121" i="1"/>
  <c r="J121" i="1"/>
  <c r="AL121" i="1" s="1"/>
  <c r="BJ117" i="1"/>
  <c r="BF117" i="1"/>
  <c r="BD117" i="1"/>
  <c r="AP117" i="1"/>
  <c r="AO117" i="1"/>
  <c r="AW117" i="1" s="1"/>
  <c r="AK117" i="1"/>
  <c r="AJ117" i="1"/>
  <c r="AH117" i="1"/>
  <c r="AG117" i="1"/>
  <c r="AF117" i="1"/>
  <c r="AE117" i="1"/>
  <c r="AD117" i="1"/>
  <c r="Z117" i="1"/>
  <c r="J117" i="1"/>
  <c r="AL117" i="1" s="1"/>
  <c r="BJ112" i="1"/>
  <c r="BF112" i="1"/>
  <c r="BD112" i="1"/>
  <c r="AP112" i="1"/>
  <c r="BI112" i="1" s="1"/>
  <c r="AC112" i="1" s="1"/>
  <c r="AO112" i="1"/>
  <c r="AW112" i="1" s="1"/>
  <c r="AK112" i="1"/>
  <c r="AJ112" i="1"/>
  <c r="AH112" i="1"/>
  <c r="AG112" i="1"/>
  <c r="AF112" i="1"/>
  <c r="AE112" i="1"/>
  <c r="AD112" i="1"/>
  <c r="Z112" i="1"/>
  <c r="J112" i="1"/>
  <c r="BJ108" i="1"/>
  <c r="BF108" i="1"/>
  <c r="BD108" i="1"/>
  <c r="AP108" i="1"/>
  <c r="BI108" i="1" s="1"/>
  <c r="AC108" i="1" s="1"/>
  <c r="AO108" i="1"/>
  <c r="BH108" i="1" s="1"/>
  <c r="AB108" i="1" s="1"/>
  <c r="AK108" i="1"/>
  <c r="AT107" i="1" s="1"/>
  <c r="AJ108" i="1"/>
  <c r="AS107" i="1" s="1"/>
  <c r="AH108" i="1"/>
  <c r="AG108" i="1"/>
  <c r="AF108" i="1"/>
  <c r="AE108" i="1"/>
  <c r="AD108" i="1"/>
  <c r="Z108" i="1"/>
  <c r="J108" i="1"/>
  <c r="BJ103" i="1"/>
  <c r="BF103" i="1"/>
  <c r="BD103" i="1"/>
  <c r="AP103" i="1"/>
  <c r="AX103" i="1" s="1"/>
  <c r="AO103" i="1"/>
  <c r="AK103" i="1"/>
  <c r="AT102" i="1" s="1"/>
  <c r="AJ103" i="1"/>
  <c r="AS102" i="1" s="1"/>
  <c r="AH103" i="1"/>
  <c r="AG103" i="1"/>
  <c r="AF103" i="1"/>
  <c r="AE103" i="1"/>
  <c r="AD103" i="1"/>
  <c r="Z103" i="1"/>
  <c r="J103" i="1"/>
  <c r="AL103" i="1" s="1"/>
  <c r="AU102" i="1" s="1"/>
  <c r="BJ100" i="1"/>
  <c r="BF100" i="1"/>
  <c r="BD100" i="1"/>
  <c r="AP100" i="1"/>
  <c r="I100" i="1" s="1"/>
  <c r="AO100" i="1"/>
  <c r="H100" i="1" s="1"/>
  <c r="AK100" i="1"/>
  <c r="AJ100" i="1"/>
  <c r="AH100" i="1"/>
  <c r="AG100" i="1"/>
  <c r="AF100" i="1"/>
  <c r="AE100" i="1"/>
  <c r="AD100" i="1"/>
  <c r="Z100" i="1"/>
  <c r="J100" i="1"/>
  <c r="AL100" i="1" s="1"/>
  <c r="BJ97" i="1"/>
  <c r="BF97" i="1"/>
  <c r="BD97" i="1"/>
  <c r="AP97" i="1"/>
  <c r="BI97" i="1" s="1"/>
  <c r="AC97" i="1" s="1"/>
  <c r="AO97" i="1"/>
  <c r="BH97" i="1" s="1"/>
  <c r="AB97" i="1" s="1"/>
  <c r="AK97" i="1"/>
  <c r="AJ97" i="1"/>
  <c r="AH97" i="1"/>
  <c r="AG97" i="1"/>
  <c r="AF97" i="1"/>
  <c r="AE97" i="1"/>
  <c r="AD97" i="1"/>
  <c r="Z97" i="1"/>
  <c r="J97" i="1"/>
  <c r="AL97" i="1" s="1"/>
  <c r="BJ94" i="1"/>
  <c r="BF94" i="1"/>
  <c r="BD94" i="1"/>
  <c r="AP94" i="1"/>
  <c r="I94" i="1" s="1"/>
  <c r="AO94" i="1"/>
  <c r="AK94" i="1"/>
  <c r="AJ94" i="1"/>
  <c r="AH94" i="1"/>
  <c r="AG94" i="1"/>
  <c r="AF94" i="1"/>
  <c r="AE94" i="1"/>
  <c r="AD94" i="1"/>
  <c r="Z94" i="1"/>
  <c r="J94" i="1"/>
  <c r="AL94" i="1" s="1"/>
  <c r="BJ92" i="1"/>
  <c r="BF92" i="1"/>
  <c r="BD92" i="1"/>
  <c r="AP92" i="1"/>
  <c r="AO92" i="1"/>
  <c r="AK92" i="1"/>
  <c r="AJ92" i="1"/>
  <c r="AH92" i="1"/>
  <c r="AG92" i="1"/>
  <c r="AF92" i="1"/>
  <c r="AE92" i="1"/>
  <c r="AD92" i="1"/>
  <c r="Z92" i="1"/>
  <c r="J92" i="1"/>
  <c r="AL92" i="1" s="1"/>
  <c r="BJ90" i="1"/>
  <c r="BF90" i="1"/>
  <c r="BD90" i="1"/>
  <c r="AP90" i="1"/>
  <c r="AO90" i="1"/>
  <c r="AW90" i="1" s="1"/>
  <c r="AK90" i="1"/>
  <c r="AJ90" i="1"/>
  <c r="AH90" i="1"/>
  <c r="AG90" i="1"/>
  <c r="AF90" i="1"/>
  <c r="AE90" i="1"/>
  <c r="AD90" i="1"/>
  <c r="Z90" i="1"/>
  <c r="J90" i="1"/>
  <c r="AL90" i="1" s="1"/>
  <c r="BJ88" i="1"/>
  <c r="BF88" i="1"/>
  <c r="BD88" i="1"/>
  <c r="AP88" i="1"/>
  <c r="BI88" i="1" s="1"/>
  <c r="AC88" i="1" s="1"/>
  <c r="AO88" i="1"/>
  <c r="BH88" i="1" s="1"/>
  <c r="AB88" i="1" s="1"/>
  <c r="AK88" i="1"/>
  <c r="AJ88" i="1"/>
  <c r="AH88" i="1"/>
  <c r="AG88" i="1"/>
  <c r="AF88" i="1"/>
  <c r="AE88" i="1"/>
  <c r="AD88" i="1"/>
  <c r="Z88" i="1"/>
  <c r="J88" i="1"/>
  <c r="AL88" i="1" s="1"/>
  <c r="BJ86" i="1"/>
  <c r="BF86" i="1"/>
  <c r="BD86" i="1"/>
  <c r="AP86" i="1"/>
  <c r="BI86" i="1" s="1"/>
  <c r="AC86" i="1" s="1"/>
  <c r="AO86" i="1"/>
  <c r="BH86" i="1" s="1"/>
  <c r="AB86" i="1" s="1"/>
  <c r="AK86" i="1"/>
  <c r="AJ86" i="1"/>
  <c r="AH86" i="1"/>
  <c r="AG86" i="1"/>
  <c r="AF86" i="1"/>
  <c r="AE86" i="1"/>
  <c r="AD86" i="1"/>
  <c r="Z86" i="1"/>
  <c r="J86" i="1"/>
  <c r="AL86" i="1" s="1"/>
  <c r="BJ82" i="1"/>
  <c r="BF82" i="1"/>
  <c r="BD82" i="1"/>
  <c r="AP82" i="1"/>
  <c r="I82" i="1" s="1"/>
  <c r="AO82" i="1"/>
  <c r="BH82" i="1" s="1"/>
  <c r="AB82" i="1" s="1"/>
  <c r="AK82" i="1"/>
  <c r="AJ82" i="1"/>
  <c r="AH82" i="1"/>
  <c r="AG82" i="1"/>
  <c r="AF82" i="1"/>
  <c r="AE82" i="1"/>
  <c r="AD82" i="1"/>
  <c r="Z82" i="1"/>
  <c r="J82" i="1"/>
  <c r="AL82" i="1" s="1"/>
  <c r="BJ79" i="1"/>
  <c r="BF79" i="1"/>
  <c r="BD79" i="1"/>
  <c r="AP79" i="1"/>
  <c r="BI79" i="1" s="1"/>
  <c r="AC79" i="1" s="1"/>
  <c r="AO79" i="1"/>
  <c r="AK79" i="1"/>
  <c r="AJ79" i="1"/>
  <c r="AH79" i="1"/>
  <c r="AG79" i="1"/>
  <c r="AF79" i="1"/>
  <c r="AE79" i="1"/>
  <c r="AD79" i="1"/>
  <c r="Z79" i="1"/>
  <c r="J79" i="1"/>
  <c r="AL79" i="1" s="1"/>
  <c r="BJ73" i="1"/>
  <c r="BF73" i="1"/>
  <c r="BD73" i="1"/>
  <c r="AP73" i="1"/>
  <c r="AO73" i="1"/>
  <c r="AK73" i="1"/>
  <c r="AJ73" i="1"/>
  <c r="AH73" i="1"/>
  <c r="AG73" i="1"/>
  <c r="AF73" i="1"/>
  <c r="AE73" i="1"/>
  <c r="AD73" i="1"/>
  <c r="Z73" i="1"/>
  <c r="J73" i="1"/>
  <c r="AL73" i="1" s="1"/>
  <c r="BJ69" i="1"/>
  <c r="BF69" i="1"/>
  <c r="BD69" i="1"/>
  <c r="AP69" i="1"/>
  <c r="AX69" i="1" s="1"/>
  <c r="AO69" i="1"/>
  <c r="AW69" i="1" s="1"/>
  <c r="AK69" i="1"/>
  <c r="AJ69" i="1"/>
  <c r="AH69" i="1"/>
  <c r="AG69" i="1"/>
  <c r="AF69" i="1"/>
  <c r="AE69" i="1"/>
  <c r="AD69" i="1"/>
  <c r="Z69" i="1"/>
  <c r="J69" i="1"/>
  <c r="AL69" i="1" s="1"/>
  <c r="BJ65" i="1"/>
  <c r="BF65" i="1"/>
  <c r="BD65" i="1"/>
  <c r="AP65" i="1"/>
  <c r="AX65" i="1" s="1"/>
  <c r="AO65" i="1"/>
  <c r="AW65" i="1" s="1"/>
  <c r="AK65" i="1"/>
  <c r="AJ65" i="1"/>
  <c r="AH65" i="1"/>
  <c r="AG65" i="1"/>
  <c r="AF65" i="1"/>
  <c r="AE65" i="1"/>
  <c r="AD65" i="1"/>
  <c r="Z65" i="1"/>
  <c r="J65" i="1"/>
  <c r="BJ61" i="1"/>
  <c r="BF61" i="1"/>
  <c r="BD61" i="1"/>
  <c r="AP61" i="1"/>
  <c r="AX61" i="1" s="1"/>
  <c r="AO61" i="1"/>
  <c r="AK61" i="1"/>
  <c r="AJ61" i="1"/>
  <c r="AH61" i="1"/>
  <c r="AG61" i="1"/>
  <c r="AF61" i="1"/>
  <c r="AE61" i="1"/>
  <c r="AD61" i="1"/>
  <c r="Z61" i="1"/>
  <c r="J61" i="1"/>
  <c r="AL61" i="1" s="1"/>
  <c r="BJ58" i="1"/>
  <c r="BF58" i="1"/>
  <c r="BD58" i="1"/>
  <c r="AP58" i="1"/>
  <c r="BI58" i="1" s="1"/>
  <c r="AC58" i="1" s="1"/>
  <c r="AO58" i="1"/>
  <c r="AW58" i="1" s="1"/>
  <c r="AK58" i="1"/>
  <c r="AJ58" i="1"/>
  <c r="AH58" i="1"/>
  <c r="AG58" i="1"/>
  <c r="AF58" i="1"/>
  <c r="AE58" i="1"/>
  <c r="AD58" i="1"/>
  <c r="Z58" i="1"/>
  <c r="J58" i="1"/>
  <c r="AL58" i="1" s="1"/>
  <c r="BJ57" i="1"/>
  <c r="BF57" i="1"/>
  <c r="BD57" i="1"/>
  <c r="AP57" i="1"/>
  <c r="AX57" i="1" s="1"/>
  <c r="AO57" i="1"/>
  <c r="AW57" i="1" s="1"/>
  <c r="AK57" i="1"/>
  <c r="AJ57" i="1"/>
  <c r="AH57" i="1"/>
  <c r="AG57" i="1"/>
  <c r="AF57" i="1"/>
  <c r="AE57" i="1"/>
  <c r="AD57" i="1"/>
  <c r="Z57" i="1"/>
  <c r="J57" i="1"/>
  <c r="AL57" i="1" s="1"/>
  <c r="BJ56" i="1"/>
  <c r="BF56" i="1"/>
  <c r="BD56" i="1"/>
  <c r="AP56" i="1"/>
  <c r="AX56" i="1" s="1"/>
  <c r="AO56" i="1"/>
  <c r="H56" i="1" s="1"/>
  <c r="AK56" i="1"/>
  <c r="AJ56" i="1"/>
  <c r="AH56" i="1"/>
  <c r="AG56" i="1"/>
  <c r="AF56" i="1"/>
  <c r="AE56" i="1"/>
  <c r="AD56" i="1"/>
  <c r="Z56" i="1"/>
  <c r="J56" i="1"/>
  <c r="AL56" i="1" s="1"/>
  <c r="BJ54" i="1"/>
  <c r="BF54" i="1"/>
  <c r="BD54" i="1"/>
  <c r="AP54" i="1"/>
  <c r="I54" i="1" s="1"/>
  <c r="AO54" i="1"/>
  <c r="BH54" i="1" s="1"/>
  <c r="AB54" i="1" s="1"/>
  <c r="AK54" i="1"/>
  <c r="AJ54" i="1"/>
  <c r="AH54" i="1"/>
  <c r="AG54" i="1"/>
  <c r="AF54" i="1"/>
  <c r="AE54" i="1"/>
  <c r="AD54" i="1"/>
  <c r="Z54" i="1"/>
  <c r="J54" i="1"/>
  <c r="AL54" i="1" s="1"/>
  <c r="BJ48" i="1"/>
  <c r="BF48" i="1"/>
  <c r="BD48" i="1"/>
  <c r="AP48" i="1"/>
  <c r="BI48" i="1" s="1"/>
  <c r="AC48" i="1" s="1"/>
  <c r="AO48" i="1"/>
  <c r="BH48" i="1" s="1"/>
  <c r="AB48" i="1" s="1"/>
  <c r="AK48" i="1"/>
  <c r="AJ48" i="1"/>
  <c r="AH48" i="1"/>
  <c r="AG48" i="1"/>
  <c r="AF48" i="1"/>
  <c r="AE48" i="1"/>
  <c r="AD48" i="1"/>
  <c r="Z48" i="1"/>
  <c r="J48" i="1"/>
  <c r="AL48" i="1" s="1"/>
  <c r="BJ44" i="1"/>
  <c r="BF44" i="1"/>
  <c r="BD44" i="1"/>
  <c r="AP44" i="1"/>
  <c r="BI44" i="1" s="1"/>
  <c r="AC44" i="1" s="1"/>
  <c r="AO44" i="1"/>
  <c r="BH44" i="1" s="1"/>
  <c r="AB44" i="1" s="1"/>
  <c r="AK44" i="1"/>
  <c r="AJ44" i="1"/>
  <c r="AH44" i="1"/>
  <c r="AG44" i="1"/>
  <c r="AF44" i="1"/>
  <c r="AE44" i="1"/>
  <c r="AD44" i="1"/>
  <c r="Z44" i="1"/>
  <c r="J44" i="1"/>
  <c r="AL44" i="1" s="1"/>
  <c r="BJ40" i="1"/>
  <c r="BF40" i="1"/>
  <c r="BD40" i="1"/>
  <c r="AP40" i="1"/>
  <c r="BI40" i="1" s="1"/>
  <c r="AC40" i="1" s="1"/>
  <c r="AO40" i="1"/>
  <c r="BH40" i="1" s="1"/>
  <c r="AB40" i="1" s="1"/>
  <c r="AK40" i="1"/>
  <c r="AJ40" i="1"/>
  <c r="AH40" i="1"/>
  <c r="AG40" i="1"/>
  <c r="AF40" i="1"/>
  <c r="AE40" i="1"/>
  <c r="AD40" i="1"/>
  <c r="Z40" i="1"/>
  <c r="J40" i="1"/>
  <c r="AL40" i="1" s="1"/>
  <c r="BJ35" i="1"/>
  <c r="BF35" i="1"/>
  <c r="BD35" i="1"/>
  <c r="AP35" i="1"/>
  <c r="BI35" i="1" s="1"/>
  <c r="AC35" i="1" s="1"/>
  <c r="AO35" i="1"/>
  <c r="BH35" i="1" s="1"/>
  <c r="AB35" i="1" s="1"/>
  <c r="AK35" i="1"/>
  <c r="AJ35" i="1"/>
  <c r="AH35" i="1"/>
  <c r="AG35" i="1"/>
  <c r="AF35" i="1"/>
  <c r="AE35" i="1"/>
  <c r="AD35" i="1"/>
  <c r="Z35" i="1"/>
  <c r="J35" i="1"/>
  <c r="AL35" i="1" s="1"/>
  <c r="BJ32" i="1"/>
  <c r="BF32" i="1"/>
  <c r="BD32" i="1"/>
  <c r="AP32" i="1"/>
  <c r="BI32" i="1" s="1"/>
  <c r="AC32" i="1" s="1"/>
  <c r="AO32" i="1"/>
  <c r="BH32" i="1" s="1"/>
  <c r="AB32" i="1" s="1"/>
  <c r="AK32" i="1"/>
  <c r="AJ32" i="1"/>
  <c r="AH32" i="1"/>
  <c r="AG32" i="1"/>
  <c r="AF32" i="1"/>
  <c r="AE32" i="1"/>
  <c r="AD32" i="1"/>
  <c r="Z32" i="1"/>
  <c r="J32" i="1"/>
  <c r="AL32" i="1" s="1"/>
  <c r="BJ24" i="1"/>
  <c r="BF24" i="1"/>
  <c r="BD24" i="1"/>
  <c r="AP24" i="1"/>
  <c r="BI24" i="1" s="1"/>
  <c r="AC24" i="1" s="1"/>
  <c r="AO24" i="1"/>
  <c r="BH24" i="1" s="1"/>
  <c r="AB24" i="1" s="1"/>
  <c r="AK24" i="1"/>
  <c r="AJ24" i="1"/>
  <c r="AH24" i="1"/>
  <c r="AG24" i="1"/>
  <c r="AF24" i="1"/>
  <c r="AE24" i="1"/>
  <c r="AD24" i="1"/>
  <c r="Z24" i="1"/>
  <c r="J24" i="1"/>
  <c r="AL24" i="1" s="1"/>
  <c r="BJ20" i="1"/>
  <c r="BF20" i="1"/>
  <c r="BD20" i="1"/>
  <c r="AP20" i="1"/>
  <c r="BI20" i="1" s="1"/>
  <c r="AC20" i="1" s="1"/>
  <c r="AO20" i="1"/>
  <c r="AW20" i="1" s="1"/>
  <c r="AK20" i="1"/>
  <c r="AJ20" i="1"/>
  <c r="AH20" i="1"/>
  <c r="AG20" i="1"/>
  <c r="AF20" i="1"/>
  <c r="AE20" i="1"/>
  <c r="AD20" i="1"/>
  <c r="Z20" i="1"/>
  <c r="J20" i="1"/>
  <c r="BJ14" i="1"/>
  <c r="BF14" i="1"/>
  <c r="BD14" i="1"/>
  <c r="AP14" i="1"/>
  <c r="AX14" i="1" s="1"/>
  <c r="AO14" i="1"/>
  <c r="BH14" i="1" s="1"/>
  <c r="AB14" i="1" s="1"/>
  <c r="AK14" i="1"/>
  <c r="AJ14" i="1"/>
  <c r="AH14" i="1"/>
  <c r="AG14" i="1"/>
  <c r="AF14" i="1"/>
  <c r="AE14" i="1"/>
  <c r="AD14" i="1"/>
  <c r="Z14" i="1"/>
  <c r="J14" i="1"/>
  <c r="AL14" i="1" s="1"/>
  <c r="AU1" i="1"/>
  <c r="AT1" i="1"/>
  <c r="AS1" i="1"/>
  <c r="I1218" i="1" l="1"/>
  <c r="I1217" i="1" s="1"/>
  <c r="AX774" i="1"/>
  <c r="AS306" i="1"/>
  <c r="AW200" i="1"/>
  <c r="J207" i="1"/>
  <c r="I349" i="1"/>
  <c r="I348" i="1" s="1"/>
  <c r="H346" i="1"/>
  <c r="I97" i="1"/>
  <c r="I96" i="1" s="1"/>
  <c r="J386" i="1"/>
  <c r="AX418" i="1"/>
  <c r="AW760" i="1"/>
  <c r="BC760" i="1" s="1"/>
  <c r="AW785" i="1"/>
  <c r="AW835" i="1"/>
  <c r="BI760" i="1"/>
  <c r="AE760" i="1" s="1"/>
  <c r="I1071" i="1"/>
  <c r="AX1173" i="1"/>
  <c r="AU1176" i="1"/>
  <c r="AT1199" i="1"/>
  <c r="AS207" i="1"/>
  <c r="BI594" i="1"/>
  <c r="H819" i="1"/>
  <c r="H1230" i="1"/>
  <c r="I1241" i="1"/>
  <c r="AX1299" i="1"/>
  <c r="I1310" i="1"/>
  <c r="I1324" i="1"/>
  <c r="AS34" i="1"/>
  <c r="AT294" i="1"/>
  <c r="AS314" i="1"/>
  <c r="H760" i="1"/>
  <c r="AW1071" i="1"/>
  <c r="H1175" i="1"/>
  <c r="I79" i="1"/>
  <c r="AT528" i="1"/>
  <c r="H901" i="1"/>
  <c r="BI627" i="1"/>
  <c r="AC627" i="1" s="1"/>
  <c r="AX1266" i="1"/>
  <c r="AV1266" i="1" s="1"/>
  <c r="AX1306" i="1"/>
  <c r="AX1310" i="1"/>
  <c r="AX594" i="1"/>
  <c r="AW613" i="1"/>
  <c r="I766" i="1"/>
  <c r="H1071" i="1"/>
  <c r="AW172" i="1"/>
  <c r="I205" i="1"/>
  <c r="AW249" i="1"/>
  <c r="AW532" i="1"/>
  <c r="AV532" i="1" s="1"/>
  <c r="BI543" i="1"/>
  <c r="AC543" i="1" s="1"/>
  <c r="AW637" i="1"/>
  <c r="BC637" i="1" s="1"/>
  <c r="BH752" i="1"/>
  <c r="I760" i="1"/>
  <c r="AX787" i="1"/>
  <c r="BC787" i="1" s="1"/>
  <c r="AX822" i="1"/>
  <c r="AV822" i="1" s="1"/>
  <c r="AW1216" i="1"/>
  <c r="I1283" i="1"/>
  <c r="AW167" i="1"/>
  <c r="AX248" i="1"/>
  <c r="I522" i="1"/>
  <c r="AX766" i="1"/>
  <c r="AW768" i="1"/>
  <c r="I880" i="1"/>
  <c r="AX886" i="1"/>
  <c r="H995" i="1"/>
  <c r="I1066" i="1"/>
  <c r="AW1277" i="1"/>
  <c r="I1301" i="1"/>
  <c r="H518" i="1"/>
  <c r="H517" i="1" s="1"/>
  <c r="I520" i="1"/>
  <c r="BH724" i="1"/>
  <c r="AD724" i="1" s="1"/>
  <c r="AX762" i="1"/>
  <c r="AX763" i="1"/>
  <c r="I794" i="1"/>
  <c r="BH835" i="1"/>
  <c r="AD835" i="1" s="1"/>
  <c r="H877" i="1"/>
  <c r="AT879" i="1"/>
  <c r="AT1070" i="1"/>
  <c r="I1212" i="1"/>
  <c r="I1296" i="1"/>
  <c r="I835" i="1"/>
  <c r="J839" i="1"/>
  <c r="AU1199" i="1"/>
  <c r="H491" i="1"/>
  <c r="I724" i="1"/>
  <c r="H822" i="1"/>
  <c r="H1216" i="1"/>
  <c r="AW1268" i="1"/>
  <c r="AX176" i="1"/>
  <c r="AX196" i="1"/>
  <c r="AV196" i="1" s="1"/>
  <c r="AX423" i="1"/>
  <c r="AX543" i="1"/>
  <c r="H889" i="1"/>
  <c r="AW901" i="1"/>
  <c r="AW995" i="1"/>
  <c r="I1225" i="1"/>
  <c r="I1273" i="1"/>
  <c r="AW1284" i="1"/>
  <c r="BI1287" i="1"/>
  <c r="AG1287" i="1" s="1"/>
  <c r="J1323" i="1"/>
  <c r="AT519" i="1"/>
  <c r="AW1148" i="1"/>
  <c r="AW1299" i="1"/>
  <c r="BH69" i="1"/>
  <c r="AB69" i="1" s="1"/>
  <c r="H122" i="1"/>
  <c r="AW232" i="1"/>
  <c r="H248" i="1"/>
  <c r="BH259" i="1"/>
  <c r="AB259" i="1" s="1"/>
  <c r="AX437" i="1"/>
  <c r="H637" i="1"/>
  <c r="H761" i="1"/>
  <c r="I874" i="1"/>
  <c r="I877" i="1"/>
  <c r="I901" i="1"/>
  <c r="AX901" i="1"/>
  <c r="AX972" i="1"/>
  <c r="AX1080" i="1"/>
  <c r="AW1145" i="1"/>
  <c r="AW1200" i="1"/>
  <c r="AT1323" i="1"/>
  <c r="AW702" i="1"/>
  <c r="AX749" i="1"/>
  <c r="AV749" i="1" s="1"/>
  <c r="AW220" i="1"/>
  <c r="BI257" i="1"/>
  <c r="AC257" i="1" s="1"/>
  <c r="AW272" i="1"/>
  <c r="H532" i="1"/>
  <c r="I627" i="1"/>
  <c r="I637" i="1"/>
  <c r="AU649" i="1"/>
  <c r="AT649" i="1"/>
  <c r="H785" i="1"/>
  <c r="I1053" i="1"/>
  <c r="AW1190" i="1"/>
  <c r="H1268" i="1"/>
  <c r="H1269" i="1"/>
  <c r="AX1290" i="1"/>
  <c r="H44" i="1"/>
  <c r="BH468" i="1"/>
  <c r="AD468" i="1" s="1"/>
  <c r="I613" i="1"/>
  <c r="I612" i="1" s="1"/>
  <c r="BI732" i="1"/>
  <c r="AE732" i="1" s="1"/>
  <c r="I929" i="1"/>
  <c r="H957" i="1"/>
  <c r="AX1024" i="1"/>
  <c r="BH1175" i="1"/>
  <c r="AB1175" i="1" s="1"/>
  <c r="H1200" i="1"/>
  <c r="I1284" i="1"/>
  <c r="H1296" i="1"/>
  <c r="J1314" i="1"/>
  <c r="H1322" i="1"/>
  <c r="H1321" i="1" s="1"/>
  <c r="AX208" i="1"/>
  <c r="BC208" i="1" s="1"/>
  <c r="AW212" i="1"/>
  <c r="AX613" i="1"/>
  <c r="H40" i="1"/>
  <c r="H212" i="1"/>
  <c r="BC260" i="1"/>
  <c r="I749" i="1"/>
  <c r="I814" i="1"/>
  <c r="AW1095" i="1"/>
  <c r="H1103" i="1"/>
  <c r="J1199" i="1"/>
  <c r="H1256" i="1"/>
  <c r="AX1287" i="1"/>
  <c r="BC1287" i="1" s="1"/>
  <c r="H35" i="1"/>
  <c r="H88" i="1"/>
  <c r="AS356" i="1"/>
  <c r="H437" i="1"/>
  <c r="I669" i="1"/>
  <c r="I1080" i="1"/>
  <c r="I1079" i="1" s="1"/>
  <c r="I35" i="1"/>
  <c r="I40" i="1"/>
  <c r="AU96" i="1"/>
  <c r="AT96" i="1"/>
  <c r="H136" i="1"/>
  <c r="H220" i="1"/>
  <c r="I247" i="1"/>
  <c r="I248" i="1"/>
  <c r="I254" i="1"/>
  <c r="AT306" i="1"/>
  <c r="I414" i="1"/>
  <c r="I489" i="1"/>
  <c r="AL518" i="1"/>
  <c r="AU517" i="1" s="1"/>
  <c r="AX547" i="1"/>
  <c r="BC547" i="1" s="1"/>
  <c r="I559" i="1"/>
  <c r="AW584" i="1"/>
  <c r="AW587" i="1"/>
  <c r="AX599" i="1"/>
  <c r="AX615" i="1"/>
  <c r="AX702" i="1"/>
  <c r="AX768" i="1"/>
  <c r="H774" i="1"/>
  <c r="AX825" i="1"/>
  <c r="BC825" i="1" s="1"/>
  <c r="AT839" i="1"/>
  <c r="H959" i="1"/>
  <c r="I972" i="1"/>
  <c r="H974" i="1"/>
  <c r="AW1029" i="1"/>
  <c r="AV1029" i="1" s="1"/>
  <c r="H1041" i="1"/>
  <c r="AX1086" i="1"/>
  <c r="H1127" i="1"/>
  <c r="AW1141" i="1"/>
  <c r="AX1172" i="1"/>
  <c r="AL1186" i="1"/>
  <c r="AU1185" i="1" s="1"/>
  <c r="I1243" i="1"/>
  <c r="AW1279" i="1"/>
  <c r="BC1279" i="1" s="1"/>
  <c r="BI1283" i="1"/>
  <c r="AG1283" i="1" s="1"/>
  <c r="I1290" i="1"/>
  <c r="I1292" i="1"/>
  <c r="H1297" i="1"/>
  <c r="H1299" i="1"/>
  <c r="AW1328" i="1"/>
  <c r="I112" i="1"/>
  <c r="AS111" i="1"/>
  <c r="AW121" i="1"/>
  <c r="AW180" i="1"/>
  <c r="BC180" i="1" s="1"/>
  <c r="I196" i="1"/>
  <c r="H200" i="1"/>
  <c r="I249" i="1"/>
  <c r="BH275" i="1"/>
  <c r="AB275" i="1" s="1"/>
  <c r="I295" i="1"/>
  <c r="BH355" i="1"/>
  <c r="AB355" i="1" s="1"/>
  <c r="AW423" i="1"/>
  <c r="AT462" i="1"/>
  <c r="AX584" i="1"/>
  <c r="AX587" i="1"/>
  <c r="BI606" i="1"/>
  <c r="AC606" i="1" s="1"/>
  <c r="H613" i="1"/>
  <c r="H612" i="1" s="1"/>
  <c r="AW627" i="1"/>
  <c r="AV627" i="1" s="1"/>
  <c r="AW629" i="1"/>
  <c r="BC629" i="1" s="1"/>
  <c r="I774" i="1"/>
  <c r="I791" i="1"/>
  <c r="H953" i="1"/>
  <c r="AW1027" i="1"/>
  <c r="AW1218" i="1"/>
  <c r="BH1278" i="1"/>
  <c r="AF1278" i="1" s="1"/>
  <c r="BH1284" i="1"/>
  <c r="AF1284" i="1" s="1"/>
  <c r="I1306" i="1"/>
  <c r="AT1085" i="1"/>
  <c r="BI1276" i="1"/>
  <c r="AG1276" i="1" s="1"/>
  <c r="AT13" i="1"/>
  <c r="AX265" i="1"/>
  <c r="H272" i="1"/>
  <c r="AX349" i="1"/>
  <c r="H355" i="1"/>
  <c r="J356" i="1"/>
  <c r="AL378" i="1"/>
  <c r="AU377" i="1" s="1"/>
  <c r="AS528" i="1"/>
  <c r="I537" i="1"/>
  <c r="I536" i="1" s="1"/>
  <c r="H584" i="1"/>
  <c r="I615" i="1"/>
  <c r="H702" i="1"/>
  <c r="AX724" i="1"/>
  <c r="AX784" i="1"/>
  <c r="AX793" i="1"/>
  <c r="BH866" i="1"/>
  <c r="BH891" i="1"/>
  <c r="AB891" i="1" s="1"/>
  <c r="AW1035" i="1"/>
  <c r="I1046" i="1"/>
  <c r="AX1053" i="1"/>
  <c r="AV1053" i="1" s="1"/>
  <c r="AW1161" i="1"/>
  <c r="AW1163" i="1"/>
  <c r="H1172" i="1"/>
  <c r="AW1186" i="1"/>
  <c r="I1215" i="1"/>
  <c r="AW1230" i="1"/>
  <c r="H1239" i="1"/>
  <c r="AW1258" i="1"/>
  <c r="AW1271" i="1"/>
  <c r="AX1273" i="1"/>
  <c r="H1278" i="1"/>
  <c r="I1279" i="1"/>
  <c r="I1315" i="1"/>
  <c r="AT333" i="1"/>
  <c r="H82" i="1"/>
  <c r="J85" i="1"/>
  <c r="I128" i="1"/>
  <c r="AV144" i="1"/>
  <c r="AX167" i="1"/>
  <c r="H287" i="1"/>
  <c r="I289" i="1"/>
  <c r="I354" i="1"/>
  <c r="AW491" i="1"/>
  <c r="AX505" i="1"/>
  <c r="BC505" i="1" s="1"/>
  <c r="H627" i="1"/>
  <c r="AT756" i="1"/>
  <c r="I825" i="1"/>
  <c r="J858" i="1"/>
  <c r="AW913" i="1"/>
  <c r="AW959" i="1"/>
  <c r="AW974" i="1"/>
  <c r="AT1031" i="1"/>
  <c r="AX1035" i="1"/>
  <c r="H1080" i="1"/>
  <c r="H1079" i="1" s="1"/>
  <c r="AX1161" i="1"/>
  <c r="I1226" i="1"/>
  <c r="I1233" i="1"/>
  <c r="AW1289" i="1"/>
  <c r="H86" i="1"/>
  <c r="H524" i="1"/>
  <c r="H806" i="1"/>
  <c r="AS839" i="1"/>
  <c r="H1222" i="1"/>
  <c r="H1221" i="1" s="1"/>
  <c r="AU85" i="1"/>
  <c r="AT85" i="1"/>
  <c r="H97" i="1"/>
  <c r="H96" i="1" s="1"/>
  <c r="I122" i="1"/>
  <c r="AW156" i="1"/>
  <c r="AW157" i="1"/>
  <c r="AV157" i="1" s="1"/>
  <c r="I208" i="1"/>
  <c r="AX220" i="1"/>
  <c r="AX232" i="1"/>
  <c r="AX249" i="1"/>
  <c r="I259" i="1"/>
  <c r="AW275" i="1"/>
  <c r="H349" i="1"/>
  <c r="H348" i="1" s="1"/>
  <c r="AV355" i="1"/>
  <c r="AW437" i="1"/>
  <c r="I505" i="1"/>
  <c r="I784" i="1"/>
  <c r="BI785" i="1"/>
  <c r="AE785" i="1" s="1"/>
  <c r="AW819" i="1"/>
  <c r="AX953" i="1"/>
  <c r="AW957" i="1"/>
  <c r="AV957" i="1" s="1"/>
  <c r="AS1070" i="1"/>
  <c r="H1186" i="1"/>
  <c r="H1185" i="1" s="1"/>
  <c r="BH289" i="1"/>
  <c r="AB289" i="1" s="1"/>
  <c r="H289" i="1"/>
  <c r="BH307" i="1"/>
  <c r="AB307" i="1" s="1"/>
  <c r="H307" i="1"/>
  <c r="H306" i="1" s="1"/>
  <c r="AX309" i="1"/>
  <c r="I309" i="1"/>
  <c r="I306" i="1" s="1"/>
  <c r="AS341" i="1"/>
  <c r="BI383" i="1"/>
  <c r="AC383" i="1" s="1"/>
  <c r="AX383" i="1"/>
  <c r="AX532" i="1"/>
  <c r="I532" i="1"/>
  <c r="BH687" i="1"/>
  <c r="AD687" i="1" s="1"/>
  <c r="H687" i="1"/>
  <c r="AW687" i="1"/>
  <c r="BH707" i="1"/>
  <c r="AD707" i="1" s="1"/>
  <c r="H707" i="1"/>
  <c r="AW707" i="1"/>
  <c r="AX709" i="1"/>
  <c r="BH791" i="1"/>
  <c r="AD791" i="1" s="1"/>
  <c r="I801" i="1"/>
  <c r="BI801" i="1"/>
  <c r="AE801" i="1" s="1"/>
  <c r="I808" i="1"/>
  <c r="BI808" i="1"/>
  <c r="AE808" i="1" s="1"/>
  <c r="AX808" i="1"/>
  <c r="BH929" i="1"/>
  <c r="AB929" i="1" s="1"/>
  <c r="H929" i="1"/>
  <c r="AW929" i="1"/>
  <c r="BH1011" i="1"/>
  <c r="AB1011" i="1" s="1"/>
  <c r="H1011" i="1"/>
  <c r="I1027" i="1"/>
  <c r="AX1027" i="1"/>
  <c r="BI1145" i="1"/>
  <c r="AC1145" i="1" s="1"/>
  <c r="I1145" i="1"/>
  <c r="AX1145" i="1"/>
  <c r="AS1224" i="1"/>
  <c r="AW1249" i="1"/>
  <c r="BH1249" i="1"/>
  <c r="AF1249" i="1" s="1"/>
  <c r="H1249" i="1"/>
  <c r="I212" i="1"/>
  <c r="AX257" i="1"/>
  <c r="AW312" i="1"/>
  <c r="BI331" i="1"/>
  <c r="AC331" i="1" s="1"/>
  <c r="I331" i="1"/>
  <c r="AW334" i="1"/>
  <c r="H334" i="1"/>
  <c r="AX378" i="1"/>
  <c r="H478" i="1"/>
  <c r="AW478" i="1"/>
  <c r="H489" i="1"/>
  <c r="AS519" i="1"/>
  <c r="AS649" i="1"/>
  <c r="BI665" i="1"/>
  <c r="AC665" i="1" s="1"/>
  <c r="I665" i="1"/>
  <c r="AX665" i="1"/>
  <c r="BH800" i="1"/>
  <c r="AD800" i="1" s="1"/>
  <c r="H800" i="1"/>
  <c r="AW800" i="1"/>
  <c r="BH811" i="1"/>
  <c r="AD811" i="1" s="1"/>
  <c r="H811" i="1"/>
  <c r="AW811" i="1"/>
  <c r="BI913" i="1"/>
  <c r="AC913" i="1" s="1"/>
  <c r="I913" i="1"/>
  <c r="AX913" i="1"/>
  <c r="BI1249" i="1"/>
  <c r="AG1249" i="1" s="1"/>
  <c r="I1249" i="1"/>
  <c r="H1316" i="1"/>
  <c r="AW1316" i="1"/>
  <c r="AW559" i="1"/>
  <c r="BH559" i="1"/>
  <c r="AB559" i="1" s="1"/>
  <c r="BH801" i="1"/>
  <c r="AD801" i="1" s="1"/>
  <c r="H801" i="1"/>
  <c r="I1124" i="1"/>
  <c r="AX1124" i="1"/>
  <c r="AX1134" i="1"/>
  <c r="I1134" i="1"/>
  <c r="BI1134" i="1"/>
  <c r="AC1134" i="1" s="1"/>
  <c r="BI1328" i="1"/>
  <c r="I1328" i="1"/>
  <c r="I1327" i="1" s="1"/>
  <c r="AS89" i="1"/>
  <c r="AX136" i="1"/>
  <c r="AX156" i="1"/>
  <c r="I69" i="1"/>
  <c r="I86" i="1"/>
  <c r="I88" i="1"/>
  <c r="AX112" i="1"/>
  <c r="AV112" i="1" s="1"/>
  <c r="AW139" i="1"/>
  <c r="AL208" i="1"/>
  <c r="AU207" i="1" s="1"/>
  <c r="I216" i="1"/>
  <c r="I219" i="1"/>
  <c r="AX40" i="1"/>
  <c r="AW44" i="1"/>
  <c r="BH121" i="1"/>
  <c r="AB121" i="1" s="1"/>
  <c r="AW122" i="1"/>
  <c r="AX139" i="1"/>
  <c r="H156" i="1"/>
  <c r="BI176" i="1"/>
  <c r="AE176" i="1" s="1"/>
  <c r="AX205" i="1"/>
  <c r="I220" i="1"/>
  <c r="H224" i="1"/>
  <c r="I225" i="1"/>
  <c r="H232" i="1"/>
  <c r="I239" i="1"/>
  <c r="AX247" i="1"/>
  <c r="AV247" i="1" s="1"/>
  <c r="I265" i="1"/>
  <c r="I269" i="1"/>
  <c r="AW287" i="1"/>
  <c r="AW289" i="1"/>
  <c r="AW307" i="1"/>
  <c r="AX331" i="1"/>
  <c r="I340" i="1"/>
  <c r="I430" i="1"/>
  <c r="I437" i="1"/>
  <c r="AW463" i="1"/>
  <c r="BH463" i="1"/>
  <c r="AD463" i="1" s="1"/>
  <c r="BH551" i="1"/>
  <c r="AB551" i="1" s="1"/>
  <c r="AW551" i="1"/>
  <c r="AV551" i="1" s="1"/>
  <c r="H606" i="1"/>
  <c r="H605" i="1" s="1"/>
  <c r="AW606" i="1"/>
  <c r="BC606" i="1" s="1"/>
  <c r="I648" i="1"/>
  <c r="BH684" i="1"/>
  <c r="AD684" i="1" s="1"/>
  <c r="H684" i="1"/>
  <c r="AX687" i="1"/>
  <c r="BH705" i="1"/>
  <c r="AD705" i="1" s="1"/>
  <c r="H705" i="1"/>
  <c r="AW705" i="1"/>
  <c r="BH757" i="1"/>
  <c r="AD757" i="1" s="1"/>
  <c r="H757" i="1"/>
  <c r="BI800" i="1"/>
  <c r="AE800" i="1" s="1"/>
  <c r="I800" i="1"/>
  <c r="BI818" i="1"/>
  <c r="AE818" i="1" s="1"/>
  <c r="I818" i="1"/>
  <c r="BH1116" i="1"/>
  <c r="H1116" i="1"/>
  <c r="AW1116" i="1"/>
  <c r="AX1143" i="1"/>
  <c r="BH1206" i="1"/>
  <c r="AB1206" i="1" s="1"/>
  <c r="H1206" i="1"/>
  <c r="BI1254" i="1"/>
  <c r="AG1254" i="1" s="1"/>
  <c r="I1254" i="1"/>
  <c r="AX1269" i="1"/>
  <c r="BC1269" i="1" s="1"/>
  <c r="I500" i="1"/>
  <c r="AX500" i="1"/>
  <c r="H690" i="1"/>
  <c r="AW690" i="1"/>
  <c r="BH1250" i="1"/>
  <c r="AF1250" i="1" s="1"/>
  <c r="H1250" i="1"/>
  <c r="AW1250" i="1"/>
  <c r="AX32" i="1"/>
  <c r="AS214" i="1"/>
  <c r="H108" i="1"/>
  <c r="H107" i="1" s="1"/>
  <c r="AX122" i="1"/>
  <c r="BI136" i="1"/>
  <c r="AC136" i="1" s="1"/>
  <c r="I156" i="1"/>
  <c r="H167" i="1"/>
  <c r="H176" i="1"/>
  <c r="H228" i="1"/>
  <c r="H227" i="1" s="1"/>
  <c r="I232" i="1"/>
  <c r="AX289" i="1"/>
  <c r="AX303" i="1"/>
  <c r="I303" i="1"/>
  <c r="I302" i="1" s="1"/>
  <c r="BI342" i="1"/>
  <c r="AC342" i="1" s="1"/>
  <c r="I342" i="1"/>
  <c r="I463" i="1"/>
  <c r="AX463" i="1"/>
  <c r="AW475" i="1"/>
  <c r="H475" i="1"/>
  <c r="BH475" i="1"/>
  <c r="AB475" i="1" s="1"/>
  <c r="BH505" i="1"/>
  <c r="AB505" i="1" s="1"/>
  <c r="H505" i="1"/>
  <c r="BI551" i="1"/>
  <c r="AC551" i="1" s="1"/>
  <c r="I551" i="1"/>
  <c r="BH581" i="1"/>
  <c r="AB581" i="1" s="1"/>
  <c r="H581" i="1"/>
  <c r="AW581" i="1"/>
  <c r="BH618" i="1"/>
  <c r="AB618" i="1" s="1"/>
  <c r="H618" i="1"/>
  <c r="AW618" i="1"/>
  <c r="AV618" i="1" s="1"/>
  <c r="BI684" i="1"/>
  <c r="AE684" i="1" s="1"/>
  <c r="I684" i="1"/>
  <c r="AX684" i="1"/>
  <c r="BI705" i="1"/>
  <c r="AE705" i="1" s="1"/>
  <c r="I705" i="1"/>
  <c r="BI757" i="1"/>
  <c r="AE757" i="1" s="1"/>
  <c r="AX757" i="1"/>
  <c r="BC757" i="1" s="1"/>
  <c r="BH793" i="1"/>
  <c r="AD793" i="1" s="1"/>
  <c r="AW793" i="1"/>
  <c r="BH810" i="1"/>
  <c r="AD810" i="1" s="1"/>
  <c r="H810" i="1"/>
  <c r="AX818" i="1"/>
  <c r="BI908" i="1"/>
  <c r="AC908" i="1" s="1"/>
  <c r="I908" i="1"/>
  <c r="AX912" i="1"/>
  <c r="AX959" i="1"/>
  <c r="I959" i="1"/>
  <c r="BI959" i="1"/>
  <c r="AC959" i="1" s="1"/>
  <c r="BH1151" i="1"/>
  <c r="AF1151" i="1" s="1"/>
  <c r="H1151" i="1"/>
  <c r="AW1151" i="1"/>
  <c r="AX1206" i="1"/>
  <c r="I1206" i="1"/>
  <c r="BH1225" i="1"/>
  <c r="AF1225" i="1" s="1"/>
  <c r="H1225" i="1"/>
  <c r="AW1225" i="1"/>
  <c r="BH1233" i="1"/>
  <c r="AF1233" i="1" s="1"/>
  <c r="H1233" i="1"/>
  <c r="BH1253" i="1"/>
  <c r="AF1253" i="1" s="1"/>
  <c r="H1253" i="1"/>
  <c r="I32" i="1"/>
  <c r="J34" i="1"/>
  <c r="BH144" i="1"/>
  <c r="AB144" i="1" s="1"/>
  <c r="H312" i="1"/>
  <c r="H311" i="1" s="1"/>
  <c r="AX460" i="1"/>
  <c r="BI460" i="1"/>
  <c r="AC460" i="1" s="1"/>
  <c r="BI581" i="1"/>
  <c r="AC581" i="1" s="1"/>
  <c r="I581" i="1"/>
  <c r="H594" i="1"/>
  <c r="H593" i="1" s="1"/>
  <c r="AW594" i="1"/>
  <c r="AW815" i="1"/>
  <c r="BH815" i="1"/>
  <c r="AD815" i="1" s="1"/>
  <c r="AW1015" i="1"/>
  <c r="H1015" i="1"/>
  <c r="BH1015" i="1"/>
  <c r="AB1015" i="1" s="1"/>
  <c r="H1125" i="1"/>
  <c r="AW1125" i="1"/>
  <c r="BI1151" i="1"/>
  <c r="AG1151" i="1" s="1"/>
  <c r="I1151" i="1"/>
  <c r="AX1151" i="1"/>
  <c r="BI1232" i="1"/>
  <c r="AG1232" i="1" s="1"/>
  <c r="I1232" i="1"/>
  <c r="BH297" i="1"/>
  <c r="AB297" i="1" s="1"/>
  <c r="AW297" i="1"/>
  <c r="I518" i="1"/>
  <c r="I517" i="1" s="1"/>
  <c r="AX518" i="1"/>
  <c r="AV518" i="1" s="1"/>
  <c r="BH787" i="1"/>
  <c r="AD787" i="1" s="1"/>
  <c r="AX88" i="1"/>
  <c r="H133" i="1"/>
  <c r="I135" i="1"/>
  <c r="I137" i="1"/>
  <c r="H139" i="1"/>
  <c r="AS138" i="1"/>
  <c r="AX216" i="1"/>
  <c r="AX219" i="1"/>
  <c r="AV219" i="1" s="1"/>
  <c r="I287" i="1"/>
  <c r="H295" i="1"/>
  <c r="H297" i="1"/>
  <c r="H315" i="1"/>
  <c r="AW323" i="1"/>
  <c r="BC323" i="1" s="1"/>
  <c r="H323" i="1"/>
  <c r="I383" i="1"/>
  <c r="I382" i="1" s="1"/>
  <c r="BI456" i="1"/>
  <c r="AC456" i="1" s="1"/>
  <c r="I456" i="1"/>
  <c r="AT467" i="1"/>
  <c r="BI485" i="1"/>
  <c r="AC485" i="1" s="1"/>
  <c r="AX485" i="1"/>
  <c r="BI491" i="1"/>
  <c r="AC491" i="1" s="1"/>
  <c r="I491" i="1"/>
  <c r="AX491" i="1"/>
  <c r="H669" i="1"/>
  <c r="AX715" i="1"/>
  <c r="I715" i="1"/>
  <c r="BI715" i="1"/>
  <c r="AE715" i="1" s="1"/>
  <c r="H787" i="1"/>
  <c r="H804" i="1"/>
  <c r="BH804" i="1"/>
  <c r="AD804" i="1" s="1"/>
  <c r="AW804" i="1"/>
  <c r="BI805" i="1"/>
  <c r="AE805" i="1" s="1"/>
  <c r="I805" i="1"/>
  <c r="AX805" i="1"/>
  <c r="H936" i="1"/>
  <c r="AW936" i="1"/>
  <c r="BI995" i="1"/>
  <c r="AC995" i="1" s="1"/>
  <c r="I995" i="1"/>
  <c r="AX995" i="1"/>
  <c r="AX1095" i="1"/>
  <c r="BI1095" i="1"/>
  <c r="AG1095" i="1" s="1"/>
  <c r="I1095" i="1"/>
  <c r="BI1125" i="1"/>
  <c r="AE1125" i="1" s="1"/>
  <c r="I1125" i="1"/>
  <c r="AX1125" i="1"/>
  <c r="BI1163" i="1"/>
  <c r="AC1163" i="1" s="1"/>
  <c r="I1163" i="1"/>
  <c r="I1160" i="1" s="1"/>
  <c r="AX1163" i="1"/>
  <c r="AX1186" i="1"/>
  <c r="I1186" i="1"/>
  <c r="I1185" i="1" s="1"/>
  <c r="AX1232" i="1"/>
  <c r="AX1297" i="1"/>
  <c r="BH1319" i="1"/>
  <c r="H1319" i="1"/>
  <c r="AW1319" i="1"/>
  <c r="BH337" i="1"/>
  <c r="AB337" i="1" s="1"/>
  <c r="H337" i="1"/>
  <c r="I108" i="1"/>
  <c r="I107" i="1" s="1"/>
  <c r="H112" i="1"/>
  <c r="I300" i="1"/>
  <c r="AU356" i="1"/>
  <c r="H559" i="1"/>
  <c r="BI618" i="1"/>
  <c r="AC618" i="1" s="1"/>
  <c r="I618" i="1"/>
  <c r="AS43" i="1"/>
  <c r="AS127" i="1"/>
  <c r="AS203" i="1"/>
  <c r="AX212" i="1"/>
  <c r="AW224" i="1"/>
  <c r="AX272" i="1"/>
  <c r="AS294" i="1"/>
  <c r="H300" i="1"/>
  <c r="BH300" i="1"/>
  <c r="AB300" i="1" s="1"/>
  <c r="AW300" i="1"/>
  <c r="J314" i="1"/>
  <c r="BH338" i="1"/>
  <c r="AB338" i="1" s="1"/>
  <c r="H338" i="1"/>
  <c r="BH418" i="1"/>
  <c r="AB418" i="1" s="1"/>
  <c r="H418" i="1"/>
  <c r="AX472" i="1"/>
  <c r="BI472" i="1"/>
  <c r="AE472" i="1" s="1"/>
  <c r="I472" i="1"/>
  <c r="I467" i="1" s="1"/>
  <c r="J612" i="1"/>
  <c r="H709" i="1"/>
  <c r="AW709" i="1"/>
  <c r="I790" i="1"/>
  <c r="BI790" i="1"/>
  <c r="AE790" i="1" s="1"/>
  <c r="AX790" i="1"/>
  <c r="BI813" i="1"/>
  <c r="AE813" i="1" s="1"/>
  <c r="I813" i="1"/>
  <c r="BH814" i="1"/>
  <c r="AD814" i="1" s="1"/>
  <c r="H814" i="1"/>
  <c r="BH1012" i="1"/>
  <c r="AB1012" i="1" s="1"/>
  <c r="H1012" i="1"/>
  <c r="AW1012" i="1"/>
  <c r="BH1124" i="1"/>
  <c r="AD1124" i="1" s="1"/>
  <c r="H1124" i="1"/>
  <c r="AX1260" i="1"/>
  <c r="I1260" i="1"/>
  <c r="AU1323" i="1"/>
  <c r="BI721" i="1"/>
  <c r="AE721" i="1" s="1"/>
  <c r="BH761" i="1"/>
  <c r="AD761" i="1" s="1"/>
  <c r="I822" i="1"/>
  <c r="I953" i="1"/>
  <c r="I1139" i="1"/>
  <c r="BI1264" i="1"/>
  <c r="AG1264" i="1" s="1"/>
  <c r="AX1309" i="1"/>
  <c r="AX810" i="1"/>
  <c r="BH822" i="1"/>
  <c r="AD822" i="1" s="1"/>
  <c r="H825" i="1"/>
  <c r="I840" i="1"/>
  <c r="AT862" i="1"/>
  <c r="H908" i="1"/>
  <c r="AX932" i="1"/>
  <c r="I968" i="1"/>
  <c r="AX1011" i="1"/>
  <c r="I1024" i="1"/>
  <c r="H1035" i="1"/>
  <c r="I1086" i="1"/>
  <c r="H1095" i="1"/>
  <c r="H1141" i="1"/>
  <c r="H1161" i="1"/>
  <c r="H1160" i="1" s="1"/>
  <c r="BH1218" i="1"/>
  <c r="AX1233" i="1"/>
  <c r="BH1254" i="1"/>
  <c r="AF1254" i="1" s="1"/>
  <c r="I1264" i="1"/>
  <c r="I1278" i="1"/>
  <c r="I1285" i="1"/>
  <c r="I371" i="1"/>
  <c r="AS365" i="1"/>
  <c r="H378" i="1"/>
  <c r="H377" i="1" s="1"/>
  <c r="I423" i="1"/>
  <c r="AS614" i="1"/>
  <c r="J753" i="1"/>
  <c r="AX874" i="1"/>
  <c r="AX880" i="1"/>
  <c r="AW884" i="1"/>
  <c r="AV884" i="1" s="1"/>
  <c r="H912" i="1"/>
  <c r="AX936" i="1"/>
  <c r="I949" i="1"/>
  <c r="AW972" i="1"/>
  <c r="AW1001" i="1"/>
  <c r="H1027" i="1"/>
  <c r="I1034" i="1"/>
  <c r="I1035" i="1"/>
  <c r="AX1049" i="1"/>
  <c r="AW1053" i="1"/>
  <c r="AX1116" i="1"/>
  <c r="AW1127" i="1"/>
  <c r="H1143" i="1"/>
  <c r="AW1214" i="1"/>
  <c r="AW1215" i="1"/>
  <c r="AX1225" i="1"/>
  <c r="I1229" i="1"/>
  <c r="AX1241" i="1"/>
  <c r="AW1242" i="1"/>
  <c r="AX1243" i="1"/>
  <c r="H1258" i="1"/>
  <c r="H1266" i="1"/>
  <c r="H1275" i="1"/>
  <c r="BI1298" i="1"/>
  <c r="I1308" i="1"/>
  <c r="AX1311" i="1"/>
  <c r="I1316" i="1"/>
  <c r="AT322" i="1"/>
  <c r="AS333" i="1"/>
  <c r="BI354" i="1"/>
  <c r="AC354" i="1" s="1"/>
  <c r="J459" i="1"/>
  <c r="H468" i="1"/>
  <c r="AX669" i="1"/>
  <c r="H768" i="1"/>
  <c r="AX791" i="1"/>
  <c r="BI814" i="1"/>
  <c r="AE814" i="1" s="1"/>
  <c r="AT823" i="1"/>
  <c r="I1116" i="1"/>
  <c r="AT1160" i="1"/>
  <c r="I1298" i="1"/>
  <c r="AS1123" i="1"/>
  <c r="BI520" i="1"/>
  <c r="AG520" i="1" s="1"/>
  <c r="AW698" i="1"/>
  <c r="AX721" i="1"/>
  <c r="AX794" i="1"/>
  <c r="I810" i="1"/>
  <c r="AX840" i="1"/>
  <c r="H884" i="1"/>
  <c r="BI884" i="1"/>
  <c r="AC884" i="1" s="1"/>
  <c r="AX906" i="1"/>
  <c r="I936" i="1"/>
  <c r="AW953" i="1"/>
  <c r="H972" i="1"/>
  <c r="H1001" i="1"/>
  <c r="I1011" i="1"/>
  <c r="H1049" i="1"/>
  <c r="AX1071" i="1"/>
  <c r="AW1086" i="1"/>
  <c r="AT1123" i="1"/>
  <c r="AW1172" i="1"/>
  <c r="AW1173" i="1"/>
  <c r="H1214" i="1"/>
  <c r="BH1215" i="1"/>
  <c r="AB1215" i="1" s="1"/>
  <c r="BH1243" i="1"/>
  <c r="AF1243" i="1" s="1"/>
  <c r="AW1264" i="1"/>
  <c r="BI1292" i="1"/>
  <c r="AG1292" i="1" s="1"/>
  <c r="I1299" i="1"/>
  <c r="I1311" i="1"/>
  <c r="AW1322" i="1"/>
  <c r="AS1323" i="1"/>
  <c r="I441" i="1"/>
  <c r="AX441" i="1"/>
  <c r="AL512" i="1"/>
  <c r="AU511" i="1" s="1"/>
  <c r="J511" i="1"/>
  <c r="BH732" i="1"/>
  <c r="AD732" i="1" s="1"/>
  <c r="H732" i="1"/>
  <c r="AW732" i="1"/>
  <c r="BH339" i="1"/>
  <c r="AB339" i="1" s="1"/>
  <c r="H339" i="1"/>
  <c r="AW339" i="1"/>
  <c r="BI361" i="1"/>
  <c r="AC361" i="1" s="1"/>
  <c r="I361" i="1"/>
  <c r="H371" i="1"/>
  <c r="AW371" i="1"/>
  <c r="BI1058" i="1"/>
  <c r="AC1058" i="1" s="1"/>
  <c r="I1058" i="1"/>
  <c r="AX1058" i="1"/>
  <c r="BC1058" i="1" s="1"/>
  <c r="AW54" i="1"/>
  <c r="BH252" i="1"/>
  <c r="AB252" i="1" s="1"/>
  <c r="H252" i="1"/>
  <c r="AW252" i="1"/>
  <c r="BH970" i="1"/>
  <c r="AB970" i="1" s="1"/>
  <c r="H970" i="1"/>
  <c r="AW970" i="1"/>
  <c r="BH1311" i="1"/>
  <c r="H1311" i="1"/>
  <c r="AW1311" i="1"/>
  <c r="AW24" i="1"/>
  <c r="AU34" i="1"/>
  <c r="AT34" i="1"/>
  <c r="J43" i="1"/>
  <c r="AX54" i="1"/>
  <c r="AW56" i="1"/>
  <c r="BC56" i="1" s="1"/>
  <c r="AS60" i="1"/>
  <c r="BH94" i="1"/>
  <c r="AB94" i="1" s="1"/>
  <c r="H94" i="1"/>
  <c r="AW94" i="1"/>
  <c r="AS96" i="1"/>
  <c r="BH103" i="1"/>
  <c r="AB103" i="1" s="1"/>
  <c r="H103" i="1"/>
  <c r="H102" i="1" s="1"/>
  <c r="AL108" i="1"/>
  <c r="AU107" i="1" s="1"/>
  <c r="J107" i="1"/>
  <c r="BH128" i="1"/>
  <c r="AB128" i="1" s="1"/>
  <c r="AW128" i="1"/>
  <c r="AT148" i="1"/>
  <c r="J148" i="1"/>
  <c r="AL156" i="1"/>
  <c r="AU148" i="1" s="1"/>
  <c r="J203" i="1"/>
  <c r="AT203" i="1"/>
  <c r="BH205" i="1"/>
  <c r="AD205" i="1" s="1"/>
  <c r="H205" i="1"/>
  <c r="AW205" i="1"/>
  <c r="I237" i="1"/>
  <c r="BI237" i="1"/>
  <c r="AC237" i="1" s="1"/>
  <c r="AX237" i="1"/>
  <c r="AV237" i="1" s="1"/>
  <c r="I252" i="1"/>
  <c r="BI252" i="1"/>
  <c r="AC252" i="1" s="1"/>
  <c r="AX252" i="1"/>
  <c r="BI284" i="1"/>
  <c r="AC284" i="1" s="1"/>
  <c r="I284" i="1"/>
  <c r="AX284" i="1"/>
  <c r="AV284" i="1" s="1"/>
  <c r="AX312" i="1"/>
  <c r="I344" i="1"/>
  <c r="AX344" i="1"/>
  <c r="AX346" i="1"/>
  <c r="BI346" i="1"/>
  <c r="AC346" i="1" s="1"/>
  <c r="I346" i="1"/>
  <c r="BH352" i="1"/>
  <c r="AB352" i="1" s="1"/>
  <c r="H352" i="1"/>
  <c r="BH353" i="1"/>
  <c r="AB353" i="1" s="1"/>
  <c r="AW353" i="1"/>
  <c r="BC358" i="1"/>
  <c r="I366" i="1"/>
  <c r="AX366" i="1"/>
  <c r="AL383" i="1"/>
  <c r="AU382" i="1" s="1"/>
  <c r="AT399" i="1"/>
  <c r="AS467" i="1"/>
  <c r="BH529" i="1"/>
  <c r="AB529" i="1" s="1"/>
  <c r="H529" i="1"/>
  <c r="BI680" i="1"/>
  <c r="AE680" i="1" s="1"/>
  <c r="I680" i="1"/>
  <c r="AX680" i="1"/>
  <c r="I690" i="1"/>
  <c r="AX690" i="1"/>
  <c r="BI764" i="1"/>
  <c r="I764" i="1"/>
  <c r="AX764" i="1"/>
  <c r="BH770" i="1"/>
  <c r="AD770" i="1" s="1"/>
  <c r="H770" i="1"/>
  <c r="AW770" i="1"/>
  <c r="AX778" i="1"/>
  <c r="BC778" i="1" s="1"/>
  <c r="BI778" i="1"/>
  <c r="I778" i="1"/>
  <c r="I833" i="1"/>
  <c r="BI833" i="1"/>
  <c r="AE833" i="1" s="1"/>
  <c r="AX833" i="1"/>
  <c r="BH838" i="1"/>
  <c r="AW838" i="1"/>
  <c r="H838" i="1"/>
  <c r="BI856" i="1"/>
  <c r="AE856" i="1" s="1"/>
  <c r="I856" i="1"/>
  <c r="AX856" i="1"/>
  <c r="AS885" i="1"/>
  <c r="BI950" i="1"/>
  <c r="AC950" i="1" s="1"/>
  <c r="I950" i="1"/>
  <c r="AX950" i="1"/>
  <c r="H515" i="1"/>
  <c r="H514" i="1" s="1"/>
  <c r="AW515" i="1"/>
  <c r="BH621" i="1"/>
  <c r="AB621" i="1" s="1"/>
  <c r="H621" i="1"/>
  <c r="BI792" i="1"/>
  <c r="AE792" i="1" s="1"/>
  <c r="I792" i="1"/>
  <c r="AX792" i="1"/>
  <c r="BH796" i="1"/>
  <c r="AD796" i="1" s="1"/>
  <c r="H796" i="1"/>
  <c r="H805" i="1"/>
  <c r="AW805" i="1"/>
  <c r="BH805" i="1"/>
  <c r="AD805" i="1" s="1"/>
  <c r="BH124" i="1"/>
  <c r="AB124" i="1" s="1"/>
  <c r="H124" i="1"/>
  <c r="AW124" i="1"/>
  <c r="BC124" i="1" s="1"/>
  <c r="AW241" i="1"/>
  <c r="BC241" i="1" s="1"/>
  <c r="H241" i="1"/>
  <c r="AL315" i="1"/>
  <c r="AU314" i="1" s="1"/>
  <c r="AU365" i="1"/>
  <c r="AX48" i="1"/>
  <c r="BI124" i="1"/>
  <c r="AC124" i="1" s="1"/>
  <c r="I124" i="1"/>
  <c r="BH344" i="1"/>
  <c r="AB344" i="1" s="1"/>
  <c r="H344" i="1"/>
  <c r="AW344" i="1"/>
  <c r="I695" i="1"/>
  <c r="AX695" i="1"/>
  <c r="BH950" i="1"/>
  <c r="AB950" i="1" s="1"/>
  <c r="H950" i="1"/>
  <c r="AW950" i="1"/>
  <c r="BH79" i="1"/>
  <c r="AB79" i="1" s="1"/>
  <c r="H79" i="1"/>
  <c r="BH100" i="1"/>
  <c r="AB100" i="1" s="1"/>
  <c r="AW100" i="1"/>
  <c r="AX338" i="1"/>
  <c r="AV338" i="1" s="1"/>
  <c r="AW346" i="1"/>
  <c r="BI352" i="1"/>
  <c r="AC352" i="1" s="1"/>
  <c r="I352" i="1"/>
  <c r="AX352" i="1"/>
  <c r="H357" i="1"/>
  <c r="BH357" i="1"/>
  <c r="AB357" i="1" s="1"/>
  <c r="AL468" i="1"/>
  <c r="AU467" i="1" s="1"/>
  <c r="J467" i="1"/>
  <c r="BI529" i="1"/>
  <c r="AC529" i="1" s="1"/>
  <c r="I529" i="1"/>
  <c r="AX529" i="1"/>
  <c r="J536" i="1"/>
  <c r="AL537" i="1"/>
  <c r="AU536" i="1" s="1"/>
  <c r="BI579" i="1"/>
  <c r="AC579" i="1" s="1"/>
  <c r="I579" i="1"/>
  <c r="AX579" i="1"/>
  <c r="BI657" i="1"/>
  <c r="AC657" i="1" s="1"/>
  <c r="I657" i="1"/>
  <c r="BH820" i="1"/>
  <c r="AD820" i="1" s="1"/>
  <c r="H820" i="1"/>
  <c r="AW820" i="1"/>
  <c r="H824" i="1"/>
  <c r="BH824" i="1"/>
  <c r="AD824" i="1" s="1"/>
  <c r="AW824" i="1"/>
  <c r="BH828" i="1"/>
  <c r="AD828" i="1" s="1"/>
  <c r="H828" i="1"/>
  <c r="AW828" i="1"/>
  <c r="BH918" i="1"/>
  <c r="AB918" i="1" s="1"/>
  <c r="H918" i="1"/>
  <c r="AW918" i="1"/>
  <c r="BC918" i="1" s="1"/>
  <c r="BH1174" i="1"/>
  <c r="AB1174" i="1" s="1"/>
  <c r="H1174" i="1"/>
  <c r="AW1174" i="1"/>
  <c r="BH1180" i="1"/>
  <c r="AB1180" i="1" s="1"/>
  <c r="H1180" i="1"/>
  <c r="AW1180" i="1"/>
  <c r="AX750" i="1"/>
  <c r="I750" i="1"/>
  <c r="J1102" i="1"/>
  <c r="AL1107" i="1"/>
  <c r="AU1102" i="1" s="1"/>
  <c r="BI221" i="1"/>
  <c r="AC221" i="1" s="1"/>
  <c r="I221" i="1"/>
  <c r="AX221" i="1"/>
  <c r="BI504" i="1"/>
  <c r="AC504" i="1" s="1"/>
  <c r="AX504" i="1"/>
  <c r="I504" i="1"/>
  <c r="BH609" i="1"/>
  <c r="AB609" i="1" s="1"/>
  <c r="H609" i="1"/>
  <c r="H608" i="1" s="1"/>
  <c r="AW609" i="1"/>
  <c r="BH237" i="1"/>
  <c r="AB237" i="1" s="1"/>
  <c r="H237" i="1"/>
  <c r="AW500" i="1"/>
  <c r="BH500" i="1"/>
  <c r="AB500" i="1" s="1"/>
  <c r="H500" i="1"/>
  <c r="BI512" i="1"/>
  <c r="AC512" i="1" s="1"/>
  <c r="I512" i="1"/>
  <c r="I511" i="1" s="1"/>
  <c r="AX512" i="1"/>
  <c r="AU839" i="1"/>
  <c r="BH1074" i="1"/>
  <c r="AB1074" i="1" s="1"/>
  <c r="H1074" i="1"/>
  <c r="AW1074" i="1"/>
  <c r="I14" i="1"/>
  <c r="AW73" i="1"/>
  <c r="H73" i="1"/>
  <c r="J89" i="1"/>
  <c r="BH135" i="1"/>
  <c r="AB135" i="1" s="1"/>
  <c r="H135" i="1"/>
  <c r="I20" i="1"/>
  <c r="I44" i="1"/>
  <c r="H48" i="1"/>
  <c r="BI73" i="1"/>
  <c r="AC73" i="1" s="1"/>
  <c r="I73" i="1"/>
  <c r="BH92" i="1"/>
  <c r="AB92" i="1" s="1"/>
  <c r="H92" i="1"/>
  <c r="AX94" i="1"/>
  <c r="BH117" i="1"/>
  <c r="AB117" i="1" s="1"/>
  <c r="H117" i="1"/>
  <c r="BI133" i="1"/>
  <c r="AC133" i="1" s="1"/>
  <c r="I133" i="1"/>
  <c r="AX133" i="1"/>
  <c r="H137" i="1"/>
  <c r="AW137" i="1"/>
  <c r="BC137" i="1" s="1"/>
  <c r="BI154" i="1"/>
  <c r="AC154" i="1" s="1"/>
  <c r="I154" i="1"/>
  <c r="AX154" i="1"/>
  <c r="BH160" i="1"/>
  <c r="AB160" i="1" s="1"/>
  <c r="H160" i="1"/>
  <c r="AW160" i="1"/>
  <c r="BI172" i="1"/>
  <c r="AE172" i="1" s="1"/>
  <c r="I172" i="1"/>
  <c r="AX172" i="1"/>
  <c r="BI200" i="1"/>
  <c r="AE200" i="1" s="1"/>
  <c r="I200" i="1"/>
  <c r="BI204" i="1"/>
  <c r="AE204" i="1" s="1"/>
  <c r="I204" i="1"/>
  <c r="AX204" i="1"/>
  <c r="BC204" i="1" s="1"/>
  <c r="BH292" i="1"/>
  <c r="AB292" i="1" s="1"/>
  <c r="H292" i="1"/>
  <c r="J322" i="1"/>
  <c r="AL331" i="1"/>
  <c r="AU322" i="1" s="1"/>
  <c r="AW352" i="1"/>
  <c r="AX357" i="1"/>
  <c r="BI357" i="1"/>
  <c r="AC357" i="1" s="1"/>
  <c r="I357" i="1"/>
  <c r="AT429" i="1"/>
  <c r="AW481" i="1"/>
  <c r="BH481" i="1"/>
  <c r="AB481" i="1" s="1"/>
  <c r="H481" i="1"/>
  <c r="H483" i="1"/>
  <c r="AW483" i="1"/>
  <c r="AW529" i="1"/>
  <c r="AU569" i="1"/>
  <c r="AX657" i="1"/>
  <c r="BH813" i="1"/>
  <c r="AD813" i="1" s="1"/>
  <c r="H813" i="1"/>
  <c r="AW813" i="1"/>
  <c r="AV813" i="1" s="1"/>
  <c r="I820" i="1"/>
  <c r="BI820" i="1"/>
  <c r="AE820" i="1" s="1"/>
  <c r="AX820" i="1"/>
  <c r="AW902" i="1"/>
  <c r="H902" i="1"/>
  <c r="BH915" i="1"/>
  <c r="AB915" i="1" s="1"/>
  <c r="H915" i="1"/>
  <c r="AW915" i="1"/>
  <c r="BI1169" i="1"/>
  <c r="AC1169" i="1" s="1"/>
  <c r="I1169" i="1"/>
  <c r="AX1169" i="1"/>
  <c r="BI1174" i="1"/>
  <c r="AC1174" i="1" s="1"/>
  <c r="I1174" i="1"/>
  <c r="AX1174" i="1"/>
  <c r="J1221" i="1"/>
  <c r="AL1222" i="1"/>
  <c r="AU1221" i="1" s="1"/>
  <c r="BH340" i="1"/>
  <c r="AB340" i="1" s="1"/>
  <c r="AW340" i="1"/>
  <c r="AV340" i="1" s="1"/>
  <c r="AW797" i="1"/>
  <c r="H797" i="1"/>
  <c r="BH797" i="1"/>
  <c r="AD797" i="1" s="1"/>
  <c r="AX1153" i="1"/>
  <c r="BI1153" i="1"/>
  <c r="AG1153" i="1" s="1"/>
  <c r="I1153" i="1"/>
  <c r="BH695" i="1"/>
  <c r="AD695" i="1" s="1"/>
  <c r="H695" i="1"/>
  <c r="AW695" i="1"/>
  <c r="BI1319" i="1"/>
  <c r="I1319" i="1"/>
  <c r="AX20" i="1"/>
  <c r="AV20" i="1" s="1"/>
  <c r="BI339" i="1"/>
  <c r="AC339" i="1" s="1"/>
  <c r="I339" i="1"/>
  <c r="AX339" i="1"/>
  <c r="AT351" i="1"/>
  <c r="AW621" i="1"/>
  <c r="BH856" i="1"/>
  <c r="AD856" i="1" s="1"/>
  <c r="H856" i="1"/>
  <c r="AW856" i="1"/>
  <c r="BI103" i="1"/>
  <c r="AC103" i="1" s="1"/>
  <c r="I103" i="1"/>
  <c r="I102" i="1" s="1"/>
  <c r="J13" i="1"/>
  <c r="H24" i="1"/>
  <c r="AW35" i="1"/>
  <c r="AT43" i="1"/>
  <c r="I48" i="1"/>
  <c r="H54" i="1"/>
  <c r="AX73" i="1"/>
  <c r="AW79" i="1"/>
  <c r="BI82" i="1"/>
  <c r="AC82" i="1" s="1"/>
  <c r="AX82" i="1"/>
  <c r="BH90" i="1"/>
  <c r="AB90" i="1" s="1"/>
  <c r="H90" i="1"/>
  <c r="BI92" i="1"/>
  <c r="AC92" i="1" s="1"/>
  <c r="I92" i="1"/>
  <c r="AX92" i="1"/>
  <c r="BI117" i="1"/>
  <c r="AC117" i="1" s="1"/>
  <c r="I117" i="1"/>
  <c r="AW133" i="1"/>
  <c r="AW135" i="1"/>
  <c r="BI157" i="1"/>
  <c r="AC157" i="1" s="1"/>
  <c r="I157" i="1"/>
  <c r="BI160" i="1"/>
  <c r="AC160" i="1" s="1"/>
  <c r="I160" i="1"/>
  <c r="AX160" i="1"/>
  <c r="AW185" i="1"/>
  <c r="AV185" i="1" s="1"/>
  <c r="H185" i="1"/>
  <c r="AU214" i="1"/>
  <c r="BH216" i="1"/>
  <c r="AD216" i="1" s="1"/>
  <c r="H216" i="1"/>
  <c r="AW216" i="1"/>
  <c r="BH267" i="1"/>
  <c r="AB267" i="1" s="1"/>
  <c r="H267" i="1"/>
  <c r="BH269" i="1"/>
  <c r="AB269" i="1" s="1"/>
  <c r="H269" i="1"/>
  <c r="AW269" i="1"/>
  <c r="AX275" i="1"/>
  <c r="I275" i="1"/>
  <c r="AW278" i="1"/>
  <c r="BC278" i="1" s="1"/>
  <c r="H278" i="1"/>
  <c r="I292" i="1"/>
  <c r="BI292" i="1"/>
  <c r="AC292" i="1" s="1"/>
  <c r="AX292" i="1"/>
  <c r="AW301" i="1"/>
  <c r="H301" i="1"/>
  <c r="H303" i="1"/>
  <c r="H302" i="1" s="1"/>
  <c r="AW303" i="1"/>
  <c r="AS322" i="1"/>
  <c r="BI344" i="1"/>
  <c r="AC344" i="1" s="1"/>
  <c r="AW405" i="1"/>
  <c r="BH405" i="1"/>
  <c r="AB405" i="1" s="1"/>
  <c r="H405" i="1"/>
  <c r="BH426" i="1"/>
  <c r="AB426" i="1" s="1"/>
  <c r="H426" i="1"/>
  <c r="AW426" i="1"/>
  <c r="AW450" i="1"/>
  <c r="AV450" i="1" s="1"/>
  <c r="BH450" i="1"/>
  <c r="AB450" i="1" s="1"/>
  <c r="H450" i="1"/>
  <c r="AX465" i="1"/>
  <c r="I465" i="1"/>
  <c r="BI465" i="1"/>
  <c r="AE465" i="1" s="1"/>
  <c r="I481" i="1"/>
  <c r="AX481" i="1"/>
  <c r="BH493" i="1"/>
  <c r="AB493" i="1" s="1"/>
  <c r="H493" i="1"/>
  <c r="I496" i="1"/>
  <c r="BI496" i="1"/>
  <c r="AC496" i="1" s="1"/>
  <c r="BH570" i="1"/>
  <c r="AB570" i="1" s="1"/>
  <c r="H570" i="1"/>
  <c r="AW570" i="1"/>
  <c r="BI673" i="1"/>
  <c r="AE673" i="1" s="1"/>
  <c r="I673" i="1"/>
  <c r="I672" i="1" s="1"/>
  <c r="AX673" i="1"/>
  <c r="H809" i="1"/>
  <c r="BH809" i="1"/>
  <c r="AD809" i="1" s="1"/>
  <c r="BI819" i="1"/>
  <c r="AE819" i="1" s="1"/>
  <c r="I819" i="1"/>
  <c r="AX819" i="1"/>
  <c r="BH1166" i="1"/>
  <c r="AB1166" i="1" s="1"/>
  <c r="H1166" i="1"/>
  <c r="AW1166" i="1"/>
  <c r="BI215" i="1"/>
  <c r="AE215" i="1" s="1"/>
  <c r="I215" i="1"/>
  <c r="AX215" i="1"/>
  <c r="AV215" i="1" s="1"/>
  <c r="BH221" i="1"/>
  <c r="AB221" i="1" s="1"/>
  <c r="H221" i="1"/>
  <c r="AW221" i="1"/>
  <c r="BH257" i="1"/>
  <c r="AB257" i="1" s="1"/>
  <c r="AW257" i="1"/>
  <c r="BH596" i="1"/>
  <c r="AF596" i="1" s="1"/>
  <c r="H596" i="1"/>
  <c r="H595" i="1" s="1"/>
  <c r="AW596" i="1"/>
  <c r="I621" i="1"/>
  <c r="AX621" i="1"/>
  <c r="BI795" i="1"/>
  <c r="AE795" i="1" s="1"/>
  <c r="I795" i="1"/>
  <c r="AX361" i="1"/>
  <c r="BH366" i="1"/>
  <c r="AB366" i="1" s="1"/>
  <c r="H366" i="1"/>
  <c r="AW366" i="1"/>
  <c r="H503" i="1"/>
  <c r="AW503" i="1"/>
  <c r="I596" i="1"/>
  <c r="I595" i="1" s="1"/>
  <c r="AX596" i="1"/>
  <c r="I609" i="1"/>
  <c r="I608" i="1" s="1"/>
  <c r="AX609" i="1"/>
  <c r="AW796" i="1"/>
  <c r="BC796" i="1" s="1"/>
  <c r="H821" i="1"/>
  <c r="BH821" i="1"/>
  <c r="AD821" i="1" s="1"/>
  <c r="AW821" i="1"/>
  <c r="H20" i="1"/>
  <c r="AL20" i="1"/>
  <c r="AU13" i="1" s="1"/>
  <c r="I24" i="1"/>
  <c r="H32" i="1"/>
  <c r="I56" i="1"/>
  <c r="H57" i="1"/>
  <c r="AW61" i="1"/>
  <c r="AV61" i="1" s="1"/>
  <c r="H61" i="1"/>
  <c r="BI90" i="1"/>
  <c r="AC90" i="1" s="1"/>
  <c r="I90" i="1"/>
  <c r="AX200" i="1"/>
  <c r="AV200" i="1" s="1"/>
  <c r="BI267" i="1"/>
  <c r="AC267" i="1" s="1"/>
  <c r="I267" i="1"/>
  <c r="AX267" i="1"/>
  <c r="AV267" i="1" s="1"/>
  <c r="AW292" i="1"/>
  <c r="AT314" i="1"/>
  <c r="J333" i="1"/>
  <c r="J362" i="1"/>
  <c r="AL363" i="1"/>
  <c r="AU362" i="1" s="1"/>
  <c r="AW396" i="1"/>
  <c r="BH396" i="1"/>
  <c r="AB396" i="1" s="1"/>
  <c r="H396" i="1"/>
  <c r="H395" i="1" s="1"/>
  <c r="H400" i="1"/>
  <c r="AW400" i="1"/>
  <c r="BC400" i="1" s="1"/>
  <c r="BI426" i="1"/>
  <c r="AC426" i="1" s="1"/>
  <c r="I426" i="1"/>
  <c r="AX426" i="1"/>
  <c r="BH441" i="1"/>
  <c r="AB441" i="1" s="1"/>
  <c r="H441" i="1"/>
  <c r="AW441" i="1"/>
  <c r="AX496" i="1"/>
  <c r="AV496" i="1" s="1"/>
  <c r="AL515" i="1"/>
  <c r="AU514" i="1" s="1"/>
  <c r="BH750" i="1"/>
  <c r="AD750" i="1" s="1"/>
  <c r="H750" i="1"/>
  <c r="AW750" i="1"/>
  <c r="BI804" i="1"/>
  <c r="AE804" i="1" s="1"/>
  <c r="I804" i="1"/>
  <c r="BI809" i="1"/>
  <c r="AE809" i="1" s="1"/>
  <c r="I809" i="1"/>
  <c r="AX809" i="1"/>
  <c r="BC809" i="1" s="1"/>
  <c r="I812" i="1"/>
  <c r="BI812" i="1"/>
  <c r="AE812" i="1" s="1"/>
  <c r="AX812" i="1"/>
  <c r="I1166" i="1"/>
  <c r="AX1166" i="1"/>
  <c r="AS85" i="1"/>
  <c r="J127" i="1"/>
  <c r="H157" i="1"/>
  <c r="I167" i="1"/>
  <c r="I180" i="1"/>
  <c r="BH180" i="1"/>
  <c r="AD180" i="1" s="1"/>
  <c r="AS231" i="1"/>
  <c r="H249" i="1"/>
  <c r="H260" i="1"/>
  <c r="AT256" i="1"/>
  <c r="BI272" i="1"/>
  <c r="AC272" i="1" s="1"/>
  <c r="BC315" i="1"/>
  <c r="BI337" i="1"/>
  <c r="AC337" i="1" s="1"/>
  <c r="J341" i="1"/>
  <c r="BH589" i="1"/>
  <c r="AB589" i="1" s="1"/>
  <c r="H589" i="1"/>
  <c r="BH729" i="1"/>
  <c r="AD729" i="1" s="1"/>
  <c r="H729" i="1"/>
  <c r="BI838" i="1"/>
  <c r="AX838" i="1"/>
  <c r="I838" i="1"/>
  <c r="BH871" i="1"/>
  <c r="AB871" i="1" s="1"/>
  <c r="H871" i="1"/>
  <c r="BI915" i="1"/>
  <c r="AC915" i="1" s="1"/>
  <c r="I915" i="1"/>
  <c r="AX915" i="1"/>
  <c r="AW1290" i="1"/>
  <c r="H1290" i="1"/>
  <c r="H172" i="1"/>
  <c r="H537" i="1"/>
  <c r="H536" i="1" s="1"/>
  <c r="AW537" i="1"/>
  <c r="BH553" i="1"/>
  <c r="AB553" i="1" s="1"/>
  <c r="H553" i="1"/>
  <c r="AX556" i="1"/>
  <c r="BI556" i="1"/>
  <c r="AC556" i="1" s="1"/>
  <c r="BH561" i="1"/>
  <c r="AB561" i="1" s="1"/>
  <c r="H561" i="1"/>
  <c r="BI589" i="1"/>
  <c r="AC589" i="1" s="1"/>
  <c r="I589" i="1"/>
  <c r="AX589" i="1"/>
  <c r="BI712" i="1"/>
  <c r="AE712" i="1" s="1"/>
  <c r="I712" i="1"/>
  <c r="BH715" i="1"/>
  <c r="AD715" i="1" s="1"/>
  <c r="H715" i="1"/>
  <c r="AW715" i="1"/>
  <c r="BI729" i="1"/>
  <c r="AE729" i="1" s="1"/>
  <c r="I729" i="1"/>
  <c r="AX729" i="1"/>
  <c r="BI859" i="1"/>
  <c r="AC859" i="1" s="1"/>
  <c r="I859" i="1"/>
  <c r="I858" i="1" s="1"/>
  <c r="I871" i="1"/>
  <c r="BI871" i="1"/>
  <c r="AC871" i="1" s="1"/>
  <c r="AX871" i="1"/>
  <c r="BH883" i="1"/>
  <c r="AB883" i="1" s="1"/>
  <c r="AW883" i="1"/>
  <c r="H883" i="1"/>
  <c r="BI1021" i="1"/>
  <c r="AC1021" i="1" s="1"/>
  <c r="I1021" i="1"/>
  <c r="H1034" i="1"/>
  <c r="AW1034" i="1"/>
  <c r="H1247" i="1"/>
  <c r="BH1247" i="1"/>
  <c r="AF1247" i="1" s="1"/>
  <c r="AW1247" i="1"/>
  <c r="AX1277" i="1"/>
  <c r="BI1277" i="1"/>
  <c r="AG1277" i="1" s="1"/>
  <c r="I1277" i="1"/>
  <c r="AW108" i="1"/>
  <c r="J111" i="1"/>
  <c r="AT111" i="1"/>
  <c r="AX121" i="1"/>
  <c r="AW176" i="1"/>
  <c r="AL342" i="1"/>
  <c r="AU341" i="1" s="1"/>
  <c r="AX353" i="1"/>
  <c r="AX371" i="1"/>
  <c r="AX414" i="1"/>
  <c r="AW430" i="1"/>
  <c r="AX456" i="1"/>
  <c r="AS462" i="1"/>
  <c r="AX468" i="1"/>
  <c r="BC468" i="1" s="1"/>
  <c r="AW489" i="1"/>
  <c r="I553" i="1"/>
  <c r="AX553" i="1"/>
  <c r="AW556" i="1"/>
  <c r="AX561" i="1"/>
  <c r="I561" i="1"/>
  <c r="AW589" i="1"/>
  <c r="AX712" i="1"/>
  <c r="AW729" i="1"/>
  <c r="BI783" i="1"/>
  <c r="AE783" i="1" s="1"/>
  <c r="I783" i="1"/>
  <c r="BH784" i="1"/>
  <c r="AD784" i="1" s="1"/>
  <c r="H784" i="1"/>
  <c r="AW784" i="1"/>
  <c r="AX859" i="1"/>
  <c r="AW871" i="1"/>
  <c r="BI883" i="1"/>
  <c r="AC883" i="1" s="1"/>
  <c r="AX883" i="1"/>
  <c r="I883" i="1"/>
  <c r="AU885" i="1"/>
  <c r="BI990" i="1"/>
  <c r="AC990" i="1" s="1"/>
  <c r="I990" i="1"/>
  <c r="AX990" i="1"/>
  <c r="AX1021" i="1"/>
  <c r="BH1032" i="1"/>
  <c r="AD1032" i="1" s="1"/>
  <c r="H1032" i="1"/>
  <c r="AW1032" i="1"/>
  <c r="AW1245" i="1"/>
  <c r="BH1245" i="1"/>
  <c r="AF1245" i="1" s="1"/>
  <c r="BH1273" i="1"/>
  <c r="AB1273" i="1" s="1"/>
  <c r="H1273" i="1"/>
  <c r="AW1273" i="1"/>
  <c r="I1281" i="1"/>
  <c r="AX1281" i="1"/>
  <c r="J60" i="1"/>
  <c r="AT60" i="1"/>
  <c r="AX97" i="1"/>
  <c r="AL112" i="1"/>
  <c r="AU111" i="1" s="1"/>
  <c r="AT138" i="1"/>
  <c r="AS148" i="1"/>
  <c r="AS218" i="1"/>
  <c r="AW228" i="1"/>
  <c r="AW248" i="1"/>
  <c r="AW259" i="1"/>
  <c r="BC259" i="1" s="1"/>
  <c r="AX269" i="1"/>
  <c r="AX287" i="1"/>
  <c r="AW295" i="1"/>
  <c r="AX307" i="1"/>
  <c r="AW309" i="1"/>
  <c r="AV309" i="1" s="1"/>
  <c r="AX334" i="1"/>
  <c r="AS351" i="1"/>
  <c r="AT356" i="1"/>
  <c r="AW418" i="1"/>
  <c r="AX430" i="1"/>
  <c r="BC460" i="1"/>
  <c r="AT474" i="1"/>
  <c r="AX489" i="1"/>
  <c r="BH547" i="1"/>
  <c r="AB547" i="1" s="1"/>
  <c r="H547" i="1"/>
  <c r="H546" i="1" s="1"/>
  <c r="AW553" i="1"/>
  <c r="AW561" i="1"/>
  <c r="BI625" i="1"/>
  <c r="AC625" i="1" s="1"/>
  <c r="I625" i="1"/>
  <c r="AX625" i="1"/>
  <c r="BI629" i="1"/>
  <c r="AC629" i="1" s="1"/>
  <c r="I629" i="1"/>
  <c r="AT628" i="1"/>
  <c r="AT660" i="1"/>
  <c r="AT676" i="1"/>
  <c r="BH754" i="1"/>
  <c r="AD754" i="1" s="1"/>
  <c r="H754" i="1"/>
  <c r="H753" i="1" s="1"/>
  <c r="AW754" i="1"/>
  <c r="H766" i="1"/>
  <c r="AW766" i="1"/>
  <c r="AX783" i="1"/>
  <c r="BH886" i="1"/>
  <c r="AB886" i="1" s="1"/>
  <c r="H886" i="1"/>
  <c r="AW886" i="1"/>
  <c r="H898" i="1"/>
  <c r="BH898" i="1"/>
  <c r="AB898" i="1" s="1"/>
  <c r="AW898" i="1"/>
  <c r="BI1111" i="1"/>
  <c r="I1111" i="1"/>
  <c r="AX1111" i="1"/>
  <c r="AW1182" i="1"/>
  <c r="H1182" i="1"/>
  <c r="BH1182" i="1"/>
  <c r="AB1182" i="1" s="1"/>
  <c r="BH1213" i="1"/>
  <c r="AB1213" i="1" s="1"/>
  <c r="H1213" i="1"/>
  <c r="AW1213" i="1"/>
  <c r="AX1234" i="1"/>
  <c r="AV1234" i="1" s="1"/>
  <c r="BI1234" i="1"/>
  <c r="AG1234" i="1" s="1"/>
  <c r="I1234" i="1"/>
  <c r="BI1252" i="1"/>
  <c r="AC1252" i="1" s="1"/>
  <c r="I1252" i="1"/>
  <c r="AX1252" i="1"/>
  <c r="AX1271" i="1"/>
  <c r="BI1271" i="1"/>
  <c r="AG1271" i="1" s="1"/>
  <c r="I1271" i="1"/>
  <c r="AW86" i="1"/>
  <c r="AT89" i="1"/>
  <c r="AX100" i="1"/>
  <c r="I121" i="1"/>
  <c r="AX128" i="1"/>
  <c r="BC144" i="1"/>
  <c r="J214" i="1"/>
  <c r="AT214" i="1"/>
  <c r="AX295" i="1"/>
  <c r="I334" i="1"/>
  <c r="AV337" i="1"/>
  <c r="BI340" i="1"/>
  <c r="AC340" i="1" s="1"/>
  <c r="AW349" i="1"/>
  <c r="AU351" i="1"/>
  <c r="AW378" i="1"/>
  <c r="AW387" i="1"/>
  <c r="AL396" i="1"/>
  <c r="AU395" i="1" s="1"/>
  <c r="H622" i="1"/>
  <c r="AW622" i="1"/>
  <c r="AU660" i="1"/>
  <c r="AT694" i="1"/>
  <c r="AS704" i="1"/>
  <c r="AX754" i="1"/>
  <c r="BI754" i="1"/>
  <c r="AE754" i="1" s="1"/>
  <c r="I754" i="1"/>
  <c r="I753" i="1" s="1"/>
  <c r="BH764" i="1"/>
  <c r="H764" i="1"/>
  <c r="AW764" i="1"/>
  <c r="I772" i="1"/>
  <c r="BI772" i="1"/>
  <c r="AE772" i="1" s="1"/>
  <c r="AX772" i="1"/>
  <c r="BH778" i="1"/>
  <c r="H778" i="1"/>
  <c r="AW779" i="1"/>
  <c r="BH779" i="1"/>
  <c r="AD779" i="1" s="1"/>
  <c r="BH788" i="1"/>
  <c r="AD788" i="1" s="1"/>
  <c r="H788" i="1"/>
  <c r="AW788" i="1"/>
  <c r="BH792" i="1"/>
  <c r="AD792" i="1" s="1"/>
  <c r="H792" i="1"/>
  <c r="AW792" i="1"/>
  <c r="BI799" i="1"/>
  <c r="AE799" i="1" s="1"/>
  <c r="I799" i="1"/>
  <c r="AX799" i="1"/>
  <c r="I896" i="1"/>
  <c r="BI896" i="1"/>
  <c r="AC896" i="1" s="1"/>
  <c r="BI898" i="1"/>
  <c r="AC898" i="1" s="1"/>
  <c r="I898" i="1"/>
  <c r="AX898" i="1"/>
  <c r="BH971" i="1"/>
  <c r="AB971" i="1" s="1"/>
  <c r="H971" i="1"/>
  <c r="AW971" i="1"/>
  <c r="H1120" i="1"/>
  <c r="H1119" i="1" s="1"/>
  <c r="AW1120" i="1"/>
  <c r="AS569" i="1"/>
  <c r="I599" i="1"/>
  <c r="I598" i="1" s="1"/>
  <c r="J649" i="1"/>
  <c r="BH709" i="1"/>
  <c r="AD709" i="1" s="1"/>
  <c r="I757" i="1"/>
  <c r="AS756" i="1"/>
  <c r="I768" i="1"/>
  <c r="I787" i="1"/>
  <c r="BH825" i="1"/>
  <c r="AD825" i="1" s="1"/>
  <c r="BI970" i="1"/>
  <c r="AC970" i="1" s="1"/>
  <c r="I970" i="1"/>
  <c r="H1002" i="1"/>
  <c r="AW1002" i="1"/>
  <c r="BI1029" i="1"/>
  <c r="AC1029" i="1" s="1"/>
  <c r="I1029" i="1"/>
  <c r="I1032" i="1"/>
  <c r="AX1032" i="1"/>
  <c r="H1038" i="1"/>
  <c r="H1037" i="1" s="1"/>
  <c r="AW1038" i="1"/>
  <c r="BI1120" i="1"/>
  <c r="AC1120" i="1" s="1"/>
  <c r="I1120" i="1"/>
  <c r="I1119" i="1" s="1"/>
  <c r="AX1120" i="1"/>
  <c r="AW1131" i="1"/>
  <c r="H1131" i="1"/>
  <c r="BI1141" i="1"/>
  <c r="AC1141" i="1" s="1"/>
  <c r="AX1141" i="1"/>
  <c r="I1141" i="1"/>
  <c r="AW1177" i="1"/>
  <c r="H1177" i="1"/>
  <c r="AX1180" i="1"/>
  <c r="AV1180" i="1" s="1"/>
  <c r="BI1180" i="1"/>
  <c r="AC1180" i="1" s="1"/>
  <c r="I1180" i="1"/>
  <c r="AW1196" i="1"/>
  <c r="H1196" i="1"/>
  <c r="BH1196" i="1"/>
  <c r="AB1196" i="1" s="1"/>
  <c r="BI1213" i="1"/>
  <c r="AC1213" i="1" s="1"/>
  <c r="I1213" i="1"/>
  <c r="AX1213" i="1"/>
  <c r="BH1244" i="1"/>
  <c r="AF1244" i="1" s="1"/>
  <c r="AW1244" i="1"/>
  <c r="H1244" i="1"/>
  <c r="AW1295" i="1"/>
  <c r="BH1295" i="1"/>
  <c r="H1295" i="1"/>
  <c r="AS1314" i="1"/>
  <c r="BH1317" i="1"/>
  <c r="H1317" i="1"/>
  <c r="AW1317" i="1"/>
  <c r="AV1317" i="1" s="1"/>
  <c r="H1326" i="1"/>
  <c r="AW1326" i="1"/>
  <c r="BC1326" i="1" s="1"/>
  <c r="BH518" i="1"/>
  <c r="AT614" i="1"/>
  <c r="H629" i="1"/>
  <c r="I702" i="1"/>
  <c r="I763" i="1"/>
  <c r="AS879" i="1"/>
  <c r="BI974" i="1"/>
  <c r="AC974" i="1" s="1"/>
  <c r="I974" i="1"/>
  <c r="BH976" i="1"/>
  <c r="AB976" i="1" s="1"/>
  <c r="H976" i="1"/>
  <c r="AW976" i="1"/>
  <c r="BC976" i="1" s="1"/>
  <c r="BI1002" i="1"/>
  <c r="AC1002" i="1" s="1"/>
  <c r="I1002" i="1"/>
  <c r="AX1002" i="1"/>
  <c r="BI1127" i="1"/>
  <c r="AE1127" i="1" s="1"/>
  <c r="I1127" i="1"/>
  <c r="BH1130" i="1"/>
  <c r="AD1130" i="1" s="1"/>
  <c r="H1130" i="1"/>
  <c r="AW1130" i="1"/>
  <c r="H1149" i="1"/>
  <c r="AW1149" i="1"/>
  <c r="AW1237" i="1"/>
  <c r="H1237" i="1"/>
  <c r="BI1242" i="1"/>
  <c r="AG1242" i="1" s="1"/>
  <c r="I1242" i="1"/>
  <c r="AX1242" i="1"/>
  <c r="AX1244" i="1"/>
  <c r="BI1244" i="1"/>
  <c r="AG1244" i="1" s="1"/>
  <c r="I1244" i="1"/>
  <c r="BI1295" i="1"/>
  <c r="I1295" i="1"/>
  <c r="AX1295" i="1"/>
  <c r="BH1301" i="1"/>
  <c r="H1301" i="1"/>
  <c r="AW1301" i="1"/>
  <c r="BC1301" i="1" s="1"/>
  <c r="AX522" i="1"/>
  <c r="AX537" i="1"/>
  <c r="AX648" i="1"/>
  <c r="AS660" i="1"/>
  <c r="BH938" i="1"/>
  <c r="AB938" i="1" s="1"/>
  <c r="H938" i="1"/>
  <c r="BH939" i="1"/>
  <c r="AB939" i="1" s="1"/>
  <c r="H939" i="1"/>
  <c r="AW939" i="1"/>
  <c r="BH958" i="1"/>
  <c r="AB958" i="1" s="1"/>
  <c r="H958" i="1"/>
  <c r="AW958" i="1"/>
  <c r="BH1048" i="1"/>
  <c r="AB1048" i="1" s="1"/>
  <c r="H1048" i="1"/>
  <c r="BH1094" i="1"/>
  <c r="AB1094" i="1" s="1"/>
  <c r="H1094" i="1"/>
  <c r="BI1149" i="1"/>
  <c r="AG1149" i="1" s="1"/>
  <c r="I1149" i="1"/>
  <c r="AX1149" i="1"/>
  <c r="BI1157" i="1"/>
  <c r="AG1157" i="1" s="1"/>
  <c r="I1157" i="1"/>
  <c r="AX1157" i="1"/>
  <c r="BI1190" i="1"/>
  <c r="AC1190" i="1" s="1"/>
  <c r="I1190" i="1"/>
  <c r="BH1194" i="1"/>
  <c r="AB1194" i="1" s="1"/>
  <c r="H1194" i="1"/>
  <c r="AW1194" i="1"/>
  <c r="BI1216" i="1"/>
  <c r="AC1216" i="1" s="1"/>
  <c r="I1216" i="1"/>
  <c r="AW524" i="1"/>
  <c r="AX559" i="1"/>
  <c r="AX581" i="1"/>
  <c r="J660" i="1"/>
  <c r="AW669" i="1"/>
  <c r="BC669" i="1" s="1"/>
  <c r="AW684" i="1"/>
  <c r="BC684" i="1" s="1"/>
  <c r="AX698" i="1"/>
  <c r="AX705" i="1"/>
  <c r="AW724" i="1"/>
  <c r="AX732" i="1"/>
  <c r="H752" i="1"/>
  <c r="AW774" i="1"/>
  <c r="AV774" i="1" s="1"/>
  <c r="AX785" i="1"/>
  <c r="BC785" i="1" s="1"/>
  <c r="AW786" i="1"/>
  <c r="AW791" i="1"/>
  <c r="AX800" i="1"/>
  <c r="AW801" i="1"/>
  <c r="AX835" i="1"/>
  <c r="AW866" i="1"/>
  <c r="AU870" i="1"/>
  <c r="AS870" i="1"/>
  <c r="AW877" i="1"/>
  <c r="I886" i="1"/>
  <c r="BI938" i="1"/>
  <c r="AC938" i="1" s="1"/>
  <c r="I938" i="1"/>
  <c r="AX938" i="1"/>
  <c r="BI957" i="1"/>
  <c r="AC957" i="1" s="1"/>
  <c r="I957" i="1"/>
  <c r="BI958" i="1"/>
  <c r="AC958" i="1" s="1"/>
  <c r="I958" i="1"/>
  <c r="AX958" i="1"/>
  <c r="AX974" i="1"/>
  <c r="AX1001" i="1"/>
  <c r="BI1048" i="1"/>
  <c r="AC1048" i="1" s="1"/>
  <c r="I1048" i="1"/>
  <c r="AX1048" i="1"/>
  <c r="BI1094" i="1"/>
  <c r="AC1094" i="1" s="1"/>
  <c r="I1094" i="1"/>
  <c r="AX1094" i="1"/>
  <c r="AX1127" i="1"/>
  <c r="BI1230" i="1"/>
  <c r="AG1230" i="1" s="1"/>
  <c r="AX1230" i="1"/>
  <c r="BC1230" i="1" s="1"/>
  <c r="I1230" i="1"/>
  <c r="BH1231" i="1"/>
  <c r="AF1231" i="1" s="1"/>
  <c r="AW1231" i="1"/>
  <c r="AS1251" i="1"/>
  <c r="BH1315" i="1"/>
  <c r="AW1315" i="1"/>
  <c r="H1315" i="1"/>
  <c r="AS628" i="1"/>
  <c r="AS694" i="1"/>
  <c r="AX801" i="1"/>
  <c r="AW806" i="1"/>
  <c r="AW810" i="1"/>
  <c r="AW814" i="1"/>
  <c r="BC814" i="1" s="1"/>
  <c r="I866" i="1"/>
  <c r="I862" i="1" s="1"/>
  <c r="AX866" i="1"/>
  <c r="AT870" i="1"/>
  <c r="AX877" i="1"/>
  <c r="AW889" i="1"/>
  <c r="I906" i="1"/>
  <c r="AW908" i="1"/>
  <c r="AW938" i="1"/>
  <c r="AW1048" i="1"/>
  <c r="BH1058" i="1"/>
  <c r="AB1058" i="1" s="1"/>
  <c r="H1058" i="1"/>
  <c r="AW1094" i="1"/>
  <c r="AX1148" i="1"/>
  <c r="BH1153" i="1"/>
  <c r="AF1153" i="1" s="1"/>
  <c r="H1153" i="1"/>
  <c r="AW1153" i="1"/>
  <c r="H1169" i="1"/>
  <c r="AW1169" i="1"/>
  <c r="BH1177" i="1"/>
  <c r="AB1177" i="1" s="1"/>
  <c r="AX1190" i="1"/>
  <c r="AX1200" i="1"/>
  <c r="BI1200" i="1"/>
  <c r="AC1200" i="1" s="1"/>
  <c r="I1200" i="1"/>
  <c r="AX1216" i="1"/>
  <c r="BH1234" i="1"/>
  <c r="AF1234" i="1" s="1"/>
  <c r="H1234" i="1"/>
  <c r="AW1235" i="1"/>
  <c r="H1235" i="1"/>
  <c r="H1298" i="1"/>
  <c r="AW1298" i="1"/>
  <c r="AV1298" i="1" s="1"/>
  <c r="BH1308" i="1"/>
  <c r="H1308" i="1"/>
  <c r="AW1308" i="1"/>
  <c r="AX1328" i="1"/>
  <c r="I1258" i="1"/>
  <c r="AX1258" i="1"/>
  <c r="BH1269" i="1"/>
  <c r="AF1269" i="1" s="1"/>
  <c r="I1275" i="1"/>
  <c r="H1279" i="1"/>
  <c r="AX1284" i="1"/>
  <c r="BI1285" i="1"/>
  <c r="AG1285" i="1" s="1"/>
  <c r="BH1287" i="1"/>
  <c r="AF1287" i="1" s="1"/>
  <c r="H932" i="1"/>
  <c r="AS1085" i="1"/>
  <c r="AT1102" i="1"/>
  <c r="F35" i="3"/>
  <c r="I35" i="3" s="1"/>
  <c r="AX924" i="1"/>
  <c r="AU1040" i="1"/>
  <c r="J1147" i="1"/>
  <c r="AT1171" i="1"/>
  <c r="I1173" i="1"/>
  <c r="H1190" i="1"/>
  <c r="AW1253" i="1"/>
  <c r="AV1253" i="1" s="1"/>
  <c r="AX1254" i="1"/>
  <c r="AV1254" i="1" s="1"/>
  <c r="I1266" i="1"/>
  <c r="BH1266" i="1"/>
  <c r="AF1266" i="1" s="1"/>
  <c r="H1281" i="1"/>
  <c r="BH1289" i="1"/>
  <c r="AF1289" i="1" s="1"/>
  <c r="AX971" i="1"/>
  <c r="AW1011" i="1"/>
  <c r="AW1024" i="1"/>
  <c r="AX1034" i="1"/>
  <c r="AX1038" i="1"/>
  <c r="AW1049" i="1"/>
  <c r="AW1066" i="1"/>
  <c r="AV1066" i="1" s="1"/>
  <c r="AW1080" i="1"/>
  <c r="AW1124" i="1"/>
  <c r="AW1134" i="1"/>
  <c r="AX1139" i="1"/>
  <c r="AW1143" i="1"/>
  <c r="H1148" i="1"/>
  <c r="AW1222" i="1"/>
  <c r="AX1237" i="1"/>
  <c r="AW1243" i="1"/>
  <c r="AW1256" i="1"/>
  <c r="AW1260" i="1"/>
  <c r="AX1278" i="1"/>
  <c r="AV1278" i="1" s="1"/>
  <c r="AW1283" i="1"/>
  <c r="BC1283" i="1" s="1"/>
  <c r="AW1292" i="1"/>
  <c r="BC1292" i="1" s="1"/>
  <c r="I1326" i="1"/>
  <c r="I1038" i="1"/>
  <c r="I1037" i="1" s="1"/>
  <c r="I1177" i="1"/>
  <c r="AX1177" i="1"/>
  <c r="AT1176" i="1"/>
  <c r="AS1199" i="1"/>
  <c r="H1226" i="1"/>
  <c r="AW1226" i="1"/>
  <c r="AX1229" i="1"/>
  <c r="AX1249" i="1"/>
  <c r="BI1262" i="1"/>
  <c r="AG1262" i="1" s="1"/>
  <c r="AV1264" i="1"/>
  <c r="BH1281" i="1"/>
  <c r="AF1281" i="1" s="1"/>
  <c r="AL1322" i="1"/>
  <c r="AU1321" i="1" s="1"/>
  <c r="I924" i="1"/>
  <c r="AX949" i="1"/>
  <c r="AX968" i="1"/>
  <c r="I971" i="1"/>
  <c r="H1024" i="1"/>
  <c r="AW1041" i="1"/>
  <c r="AX1046" i="1"/>
  <c r="H1066" i="1"/>
  <c r="H1134" i="1"/>
  <c r="AT1165" i="1"/>
  <c r="J1176" i="1"/>
  <c r="AS1176" i="1"/>
  <c r="AT1189" i="1"/>
  <c r="AS1189" i="1"/>
  <c r="AW1206" i="1"/>
  <c r="AX1212" i="1"/>
  <c r="AX1215" i="1"/>
  <c r="AX1218" i="1"/>
  <c r="BC1218" i="1" s="1"/>
  <c r="AW1233" i="1"/>
  <c r="I1237" i="1"/>
  <c r="AW1239" i="1"/>
  <c r="I1253" i="1"/>
  <c r="H1260" i="1"/>
  <c r="I1268" i="1"/>
  <c r="AW1275" i="1"/>
  <c r="H1285" i="1"/>
  <c r="AW1285" i="1"/>
  <c r="BC1285" i="1" s="1"/>
  <c r="H1292" i="1"/>
  <c r="AW1296" i="1"/>
  <c r="AT1294" i="1"/>
  <c r="H1309" i="1"/>
  <c r="AW1310" i="1"/>
  <c r="AT1314" i="1"/>
  <c r="AX1316" i="1"/>
  <c r="BC1316" i="1" s="1"/>
  <c r="H1324" i="1"/>
  <c r="AW1324" i="1"/>
  <c r="BC57" i="1"/>
  <c r="AV57" i="1"/>
  <c r="AU43" i="1"/>
  <c r="BC65" i="1"/>
  <c r="AV65" i="1"/>
  <c r="AV69" i="1"/>
  <c r="BC69" i="1"/>
  <c r="AU89" i="1"/>
  <c r="C21" i="2"/>
  <c r="C27" i="2"/>
  <c r="BI54" i="1"/>
  <c r="AC54" i="1" s="1"/>
  <c r="BH56" i="1"/>
  <c r="AB56" i="1" s="1"/>
  <c r="BI94" i="1"/>
  <c r="AC94" i="1" s="1"/>
  <c r="BI100" i="1"/>
  <c r="AC100" i="1" s="1"/>
  <c r="BI142" i="1"/>
  <c r="AC142" i="1" s="1"/>
  <c r="AT218" i="1"/>
  <c r="BH225" i="1"/>
  <c r="AB225" i="1" s="1"/>
  <c r="BI297" i="1"/>
  <c r="AC297" i="1" s="1"/>
  <c r="J348" i="1"/>
  <c r="AL349" i="1"/>
  <c r="AU348" i="1" s="1"/>
  <c r="J399" i="1"/>
  <c r="AL418" i="1"/>
  <c r="AU399" i="1" s="1"/>
  <c r="AX447" i="1"/>
  <c r="I447" i="1"/>
  <c r="BI447" i="1"/>
  <c r="AC447" i="1" s="1"/>
  <c r="AW456" i="1"/>
  <c r="H456" i="1"/>
  <c r="BH456" i="1"/>
  <c r="AB456" i="1" s="1"/>
  <c r="AX515" i="1"/>
  <c r="I515" i="1"/>
  <c r="I514" i="1" s="1"/>
  <c r="BI515" i="1"/>
  <c r="AC515" i="1" s="1"/>
  <c r="AL594" i="1"/>
  <c r="AU593" i="1" s="1"/>
  <c r="J593" i="1"/>
  <c r="C28" i="2"/>
  <c r="F28" i="2" s="1"/>
  <c r="AX24" i="1"/>
  <c r="AW32" i="1"/>
  <c r="AX35" i="1"/>
  <c r="AW40" i="1"/>
  <c r="AX44" i="1"/>
  <c r="AV44" i="1" s="1"/>
  <c r="AW48" i="1"/>
  <c r="BI56" i="1"/>
  <c r="AC56" i="1" s="1"/>
  <c r="BH57" i="1"/>
  <c r="AB57" i="1" s="1"/>
  <c r="BH61" i="1"/>
  <c r="AB61" i="1" s="1"/>
  <c r="AL65" i="1"/>
  <c r="AU60" i="1" s="1"/>
  <c r="AX79" i="1"/>
  <c r="AW82" i="1"/>
  <c r="AX86" i="1"/>
  <c r="AW88" i="1"/>
  <c r="AX90" i="1"/>
  <c r="AV90" i="1" s="1"/>
  <c r="AW92" i="1"/>
  <c r="AW97" i="1"/>
  <c r="AW103" i="1"/>
  <c r="AX108" i="1"/>
  <c r="AX117" i="1"/>
  <c r="AV117" i="1" s="1"/>
  <c r="AL204" i="1"/>
  <c r="AU203" i="1" s="1"/>
  <c r="AU218" i="1"/>
  <c r="AS256" i="1"/>
  <c r="AW262" i="1"/>
  <c r="H262" i="1"/>
  <c r="AW281" i="1"/>
  <c r="H281" i="1"/>
  <c r="AL307" i="1"/>
  <c r="AU306" i="1" s="1"/>
  <c r="J306" i="1"/>
  <c r="H354" i="1"/>
  <c r="AW354" i="1"/>
  <c r="BH354" i="1"/>
  <c r="AB354" i="1" s="1"/>
  <c r="AS13" i="1"/>
  <c r="BI57" i="1"/>
  <c r="AC57" i="1" s="1"/>
  <c r="BH58" i="1"/>
  <c r="AB58" i="1" s="1"/>
  <c r="BI61" i="1"/>
  <c r="AC61" i="1" s="1"/>
  <c r="BH65" i="1"/>
  <c r="AB65" i="1" s="1"/>
  <c r="H144" i="1"/>
  <c r="AX146" i="1"/>
  <c r="BC146" i="1" s="1"/>
  <c r="I146" i="1"/>
  <c r="J166" i="1"/>
  <c r="AX228" i="1"/>
  <c r="AU231" i="1"/>
  <c r="AT231" i="1"/>
  <c r="AW239" i="1"/>
  <c r="AW254" i="1"/>
  <c r="AL257" i="1"/>
  <c r="AU256" i="1" s="1"/>
  <c r="J256" i="1"/>
  <c r="AV260" i="1"/>
  <c r="AX261" i="1"/>
  <c r="AV261" i="1" s="1"/>
  <c r="I261" i="1"/>
  <c r="AX279" i="1"/>
  <c r="BC279" i="1" s="1"/>
  <c r="I279" i="1"/>
  <c r="AW191" i="1"/>
  <c r="H191" i="1"/>
  <c r="AV342" i="1"/>
  <c r="BC342" i="1"/>
  <c r="BI14" i="1"/>
  <c r="AC14" i="1" s="1"/>
  <c r="BH20" i="1"/>
  <c r="AB20" i="1" s="1"/>
  <c r="I57" i="1"/>
  <c r="H58" i="1"/>
  <c r="I61" i="1"/>
  <c r="H65" i="1"/>
  <c r="BI69" i="1"/>
  <c r="AC69" i="1" s="1"/>
  <c r="BH73" i="1"/>
  <c r="AB73" i="1" s="1"/>
  <c r="J96" i="1"/>
  <c r="J102" i="1"/>
  <c r="BH112" i="1"/>
  <c r="AB112" i="1" s="1"/>
  <c r="AT127" i="1"/>
  <c r="AW142" i="1"/>
  <c r="AS166" i="1"/>
  <c r="AX224" i="1"/>
  <c r="AW245" i="1"/>
  <c r="H245" i="1"/>
  <c r="AV265" i="1"/>
  <c r="BC265" i="1"/>
  <c r="AL312" i="1"/>
  <c r="AU311" i="1" s="1"/>
  <c r="J311" i="1"/>
  <c r="AX320" i="1"/>
  <c r="AV320" i="1" s="1"/>
  <c r="I320" i="1"/>
  <c r="AX478" i="1"/>
  <c r="BI478" i="1"/>
  <c r="AC478" i="1" s="1"/>
  <c r="I478" i="1"/>
  <c r="J528" i="1"/>
  <c r="AL529" i="1"/>
  <c r="AU528" i="1" s="1"/>
  <c r="J672" i="1"/>
  <c r="AL673" i="1"/>
  <c r="AU672" i="1" s="1"/>
  <c r="H14" i="1"/>
  <c r="I58" i="1"/>
  <c r="I65" i="1"/>
  <c r="H69" i="1"/>
  <c r="AL128" i="1"/>
  <c r="AU127" i="1" s="1"/>
  <c r="AL139" i="1"/>
  <c r="AU138" i="1" s="1"/>
  <c r="J138" i="1"/>
  <c r="BI139" i="1"/>
  <c r="AC139" i="1" s="1"/>
  <c r="BI146" i="1"/>
  <c r="AC146" i="1" s="1"/>
  <c r="AW149" i="1"/>
  <c r="BH149" i="1"/>
  <c r="AB149" i="1" s="1"/>
  <c r="AU166" i="1"/>
  <c r="AT166" i="1"/>
  <c r="AT207" i="1"/>
  <c r="AW225" i="1"/>
  <c r="BI228" i="1"/>
  <c r="AC228" i="1" s="1"/>
  <c r="BH239" i="1"/>
  <c r="AB239" i="1" s="1"/>
  <c r="AX243" i="1"/>
  <c r="AV243" i="1" s="1"/>
  <c r="I243" i="1"/>
  <c r="BH254" i="1"/>
  <c r="AB254" i="1" s="1"/>
  <c r="BI261" i="1"/>
  <c r="AC261" i="1" s="1"/>
  <c r="BI279" i="1"/>
  <c r="AC279" i="1" s="1"/>
  <c r="AX297" i="1"/>
  <c r="AV315" i="1"/>
  <c r="AW328" i="1"/>
  <c r="H328" i="1"/>
  <c r="BC337" i="1"/>
  <c r="AT341" i="1"/>
  <c r="BI65" i="1"/>
  <c r="AC65" i="1" s="1"/>
  <c r="AW14" i="1"/>
  <c r="AX58" i="1"/>
  <c r="BC58" i="1" s="1"/>
  <c r="AL228" i="1"/>
  <c r="AU227" i="1" s="1"/>
  <c r="J227" i="1"/>
  <c r="AU294" i="1"/>
  <c r="BC300" i="1"/>
  <c r="AV300" i="1"/>
  <c r="AX326" i="1"/>
  <c r="BC326" i="1" s="1"/>
  <c r="I326" i="1"/>
  <c r="AX499" i="1"/>
  <c r="BI499" i="1"/>
  <c r="AC499" i="1" s="1"/>
  <c r="I499" i="1"/>
  <c r="AX188" i="1"/>
  <c r="BC188" i="1" s="1"/>
  <c r="I188" i="1"/>
  <c r="C20" i="2"/>
  <c r="BI137" i="1"/>
  <c r="AC137" i="1" s="1"/>
  <c r="I142" i="1"/>
  <c r="BH142" i="1"/>
  <c r="AB142" i="1" s="1"/>
  <c r="AX152" i="1"/>
  <c r="BC152" i="1" s="1"/>
  <c r="I152" i="1"/>
  <c r="AW154" i="1"/>
  <c r="H154" i="1"/>
  <c r="AV208" i="1"/>
  <c r="J218" i="1"/>
  <c r="BI224" i="1"/>
  <c r="AC224" i="1" s="1"/>
  <c r="BI320" i="1"/>
  <c r="AC320" i="1" s="1"/>
  <c r="BH303" i="1"/>
  <c r="AB303" i="1" s="1"/>
  <c r="BI307" i="1"/>
  <c r="AC307" i="1" s="1"/>
  <c r="BH309" i="1"/>
  <c r="AB309" i="1" s="1"/>
  <c r="BI312" i="1"/>
  <c r="AU333" i="1"/>
  <c r="BI338" i="1"/>
  <c r="AC338" i="1" s="1"/>
  <c r="H465" i="1"/>
  <c r="H462" i="1" s="1"/>
  <c r="AW465" i="1"/>
  <c r="AX483" i="1"/>
  <c r="I483" i="1"/>
  <c r="BI483" i="1"/>
  <c r="AC483" i="1" s="1"/>
  <c r="BI180" i="1"/>
  <c r="AE180" i="1" s="1"/>
  <c r="BH185" i="1"/>
  <c r="AD185" i="1" s="1"/>
  <c r="BI225" i="1"/>
  <c r="AC225" i="1" s="1"/>
  <c r="BI239" i="1"/>
  <c r="AC239" i="1" s="1"/>
  <c r="BH241" i="1"/>
  <c r="AB241" i="1" s="1"/>
  <c r="BI254" i="1"/>
  <c r="AC254" i="1" s="1"/>
  <c r="BI259" i="1"/>
  <c r="AC259" i="1" s="1"/>
  <c r="BH260" i="1"/>
  <c r="AB260" i="1" s="1"/>
  <c r="BI275" i="1"/>
  <c r="AC275" i="1" s="1"/>
  <c r="BH278" i="1"/>
  <c r="AB278" i="1" s="1"/>
  <c r="BI300" i="1"/>
  <c r="AC300" i="1" s="1"/>
  <c r="BH301" i="1"/>
  <c r="AB301" i="1" s="1"/>
  <c r="BI303" i="1"/>
  <c r="AC303" i="1" s="1"/>
  <c r="BI309" i="1"/>
  <c r="AC309" i="1" s="1"/>
  <c r="BH315" i="1"/>
  <c r="AB315" i="1" s="1"/>
  <c r="BH323" i="1"/>
  <c r="AB323" i="1" s="1"/>
  <c r="BH334" i="1"/>
  <c r="AB334" i="1" s="1"/>
  <c r="AW383" i="1"/>
  <c r="H383" i="1"/>
  <c r="H382" i="1" s="1"/>
  <c r="AX387" i="1"/>
  <c r="I387" i="1"/>
  <c r="I386" i="1" s="1"/>
  <c r="AX410" i="1"/>
  <c r="AV410" i="1" s="1"/>
  <c r="I410" i="1"/>
  <c r="I475" i="1"/>
  <c r="AX475" i="1"/>
  <c r="AW485" i="1"/>
  <c r="H485" i="1"/>
  <c r="AX493" i="1"/>
  <c r="BC493" i="1" s="1"/>
  <c r="BI493" i="1"/>
  <c r="AC493" i="1" s="1"/>
  <c r="I493" i="1"/>
  <c r="AW573" i="1"/>
  <c r="H573" i="1"/>
  <c r="BH573" i="1"/>
  <c r="AB573" i="1" s="1"/>
  <c r="AX135" i="1"/>
  <c r="AW136" i="1"/>
  <c r="BI144" i="1"/>
  <c r="AC144" i="1" s="1"/>
  <c r="BH146" i="1"/>
  <c r="AB146" i="1" s="1"/>
  <c r="BI149" i="1"/>
  <c r="AC149" i="1" s="1"/>
  <c r="BH152" i="1"/>
  <c r="AB152" i="1" s="1"/>
  <c r="BI185" i="1"/>
  <c r="AE185" i="1" s="1"/>
  <c r="BH188" i="1"/>
  <c r="AD188" i="1" s="1"/>
  <c r="BI241" i="1"/>
  <c r="AC241" i="1" s="1"/>
  <c r="BH243" i="1"/>
  <c r="AB243" i="1" s="1"/>
  <c r="BI260" i="1"/>
  <c r="AC260" i="1" s="1"/>
  <c r="BH261" i="1"/>
  <c r="AB261" i="1" s="1"/>
  <c r="BI278" i="1"/>
  <c r="AC278" i="1" s="1"/>
  <c r="BH279" i="1"/>
  <c r="AB279" i="1" s="1"/>
  <c r="BI301" i="1"/>
  <c r="AC301" i="1" s="1"/>
  <c r="BI315" i="1"/>
  <c r="AC315" i="1" s="1"/>
  <c r="BH320" i="1"/>
  <c r="AB320" i="1" s="1"/>
  <c r="BI323" i="1"/>
  <c r="AC323" i="1" s="1"/>
  <c r="BH326" i="1"/>
  <c r="AB326" i="1" s="1"/>
  <c r="H340" i="1"/>
  <c r="AV358" i="1"/>
  <c r="AW414" i="1"/>
  <c r="H414" i="1"/>
  <c r="AX453" i="1"/>
  <c r="BC453" i="1" s="1"/>
  <c r="I453" i="1"/>
  <c r="H499" i="1"/>
  <c r="BH499" i="1"/>
  <c r="AB499" i="1" s="1"/>
  <c r="AW499" i="1"/>
  <c r="AX570" i="1"/>
  <c r="BI570" i="1"/>
  <c r="AC570" i="1" s="1"/>
  <c r="I570" i="1"/>
  <c r="J614" i="1"/>
  <c r="AL615" i="1"/>
  <c r="AU614" i="1" s="1"/>
  <c r="I144" i="1"/>
  <c r="H146" i="1"/>
  <c r="I149" i="1"/>
  <c r="H152" i="1"/>
  <c r="I185" i="1"/>
  <c r="H188" i="1"/>
  <c r="BI191" i="1"/>
  <c r="AE191" i="1" s="1"/>
  <c r="BH196" i="1"/>
  <c r="AD196" i="1" s="1"/>
  <c r="BH204" i="1"/>
  <c r="AD204" i="1" s="1"/>
  <c r="BH208" i="1"/>
  <c r="AD208" i="1" s="1"/>
  <c r="BH215" i="1"/>
  <c r="AD215" i="1" s="1"/>
  <c r="BH219" i="1"/>
  <c r="AB219" i="1" s="1"/>
  <c r="J231" i="1"/>
  <c r="I241" i="1"/>
  <c r="H243" i="1"/>
  <c r="BI245" i="1"/>
  <c r="AC245" i="1" s="1"/>
  <c r="BH247" i="1"/>
  <c r="AB247" i="1" s="1"/>
  <c r="I260" i="1"/>
  <c r="H261" i="1"/>
  <c r="BI262" i="1"/>
  <c r="AC262" i="1" s="1"/>
  <c r="BH265" i="1"/>
  <c r="AB265" i="1" s="1"/>
  <c r="I278" i="1"/>
  <c r="H279" i="1"/>
  <c r="BI281" i="1"/>
  <c r="AC281" i="1" s="1"/>
  <c r="BH284" i="1"/>
  <c r="AB284" i="1" s="1"/>
  <c r="J294" i="1"/>
  <c r="I301" i="1"/>
  <c r="I315" i="1"/>
  <c r="H320" i="1"/>
  <c r="I323" i="1"/>
  <c r="H326" i="1"/>
  <c r="BI328" i="1"/>
  <c r="AC328" i="1" s="1"/>
  <c r="I337" i="1"/>
  <c r="BH342" i="1"/>
  <c r="AB342" i="1" s="1"/>
  <c r="H358" i="1"/>
  <c r="AX359" i="1"/>
  <c r="BC359" i="1" s="1"/>
  <c r="I359" i="1"/>
  <c r="BI410" i="1"/>
  <c r="AC410" i="1" s="1"/>
  <c r="AW447" i="1"/>
  <c r="AV460" i="1"/>
  <c r="AL463" i="1"/>
  <c r="AU462" i="1" s="1"/>
  <c r="J462" i="1"/>
  <c r="BH465" i="1"/>
  <c r="AD465" i="1" s="1"/>
  <c r="H657" i="1"/>
  <c r="AW657" i="1"/>
  <c r="BH657" i="1"/>
  <c r="AB657" i="1" s="1"/>
  <c r="BH358" i="1"/>
  <c r="AB358" i="1" s="1"/>
  <c r="AW361" i="1"/>
  <c r="H361" i="1"/>
  <c r="AX363" i="1"/>
  <c r="BC363" i="1" s="1"/>
  <c r="I363" i="1"/>
  <c r="I362" i="1" s="1"/>
  <c r="BI387" i="1"/>
  <c r="AC387" i="1" s="1"/>
  <c r="J429" i="1"/>
  <c r="BI441" i="1"/>
  <c r="AC441" i="1" s="1"/>
  <c r="BI453" i="1"/>
  <c r="AC453" i="1" s="1"/>
  <c r="BI475" i="1"/>
  <c r="AC475" i="1" s="1"/>
  <c r="BH496" i="1"/>
  <c r="AB496" i="1" s="1"/>
  <c r="H880" i="1"/>
  <c r="AW880" i="1"/>
  <c r="BH880" i="1"/>
  <c r="AB880" i="1" s="1"/>
  <c r="AX889" i="1"/>
  <c r="I889" i="1"/>
  <c r="BI889" i="1"/>
  <c r="AC889" i="1" s="1"/>
  <c r="I191" i="1"/>
  <c r="H196" i="1"/>
  <c r="H204" i="1"/>
  <c r="H208" i="1"/>
  <c r="H215" i="1"/>
  <c r="H219" i="1"/>
  <c r="I245" i="1"/>
  <c r="H247" i="1"/>
  <c r="I262" i="1"/>
  <c r="H265" i="1"/>
  <c r="I281" i="1"/>
  <c r="H284" i="1"/>
  <c r="J302" i="1"/>
  <c r="I328" i="1"/>
  <c r="H331" i="1"/>
  <c r="BI353" i="1"/>
  <c r="AC353" i="1" s="1"/>
  <c r="AW357" i="1"/>
  <c r="J365" i="1"/>
  <c r="I400" i="1"/>
  <c r="AS399" i="1"/>
  <c r="BH400" i="1"/>
  <c r="AB400" i="1" s="1"/>
  <c r="H460" i="1"/>
  <c r="H459" i="1" s="1"/>
  <c r="BH485" i="1"/>
  <c r="AB485" i="1" s="1"/>
  <c r="H496" i="1"/>
  <c r="AW512" i="1"/>
  <c r="H512" i="1"/>
  <c r="H511" i="1" s="1"/>
  <c r="BH512" i="1"/>
  <c r="AB512" i="1" s="1"/>
  <c r="AW522" i="1"/>
  <c r="BH522" i="1"/>
  <c r="AF522" i="1" s="1"/>
  <c r="H522" i="1"/>
  <c r="AW331" i="1"/>
  <c r="H342" i="1"/>
  <c r="BC355" i="1"/>
  <c r="BI359" i="1"/>
  <c r="AC359" i="1" s="1"/>
  <c r="AT365" i="1"/>
  <c r="BH383" i="1"/>
  <c r="AB383" i="1" s="1"/>
  <c r="BI400" i="1"/>
  <c r="AC400" i="1" s="1"/>
  <c r="AU429" i="1"/>
  <c r="AS429" i="1"/>
  <c r="BH447" i="1"/>
  <c r="AB447" i="1" s="1"/>
  <c r="BH460" i="1"/>
  <c r="AB460" i="1" s="1"/>
  <c r="H472" i="1"/>
  <c r="AW472" i="1"/>
  <c r="AL475" i="1"/>
  <c r="AU474" i="1" s="1"/>
  <c r="J474" i="1"/>
  <c r="AW646" i="1"/>
  <c r="H646" i="1"/>
  <c r="BH646" i="1"/>
  <c r="AB646" i="1" s="1"/>
  <c r="AL698" i="1"/>
  <c r="AU694" i="1" s="1"/>
  <c r="J694" i="1"/>
  <c r="H812" i="1"/>
  <c r="AW812" i="1"/>
  <c r="BH812" i="1"/>
  <c r="AD812" i="1" s="1"/>
  <c r="BI355" i="1"/>
  <c r="AC355" i="1" s="1"/>
  <c r="BI358" i="1"/>
  <c r="AC358" i="1" s="1"/>
  <c r="BH359" i="1"/>
  <c r="AB359" i="1" s="1"/>
  <c r="BH363" i="1"/>
  <c r="BH387" i="1"/>
  <c r="AB387" i="1" s="1"/>
  <c r="BI396" i="1"/>
  <c r="AC396" i="1" s="1"/>
  <c r="BI405" i="1"/>
  <c r="AC405" i="1" s="1"/>
  <c r="BH410" i="1"/>
  <c r="AB410" i="1" s="1"/>
  <c r="BI450" i="1"/>
  <c r="AC450" i="1" s="1"/>
  <c r="BH453" i="1"/>
  <c r="AB453" i="1" s="1"/>
  <c r="AX503" i="1"/>
  <c r="I503" i="1"/>
  <c r="I556" i="1"/>
  <c r="I811" i="1"/>
  <c r="AX811" i="1"/>
  <c r="BI811" i="1"/>
  <c r="AE811" i="1" s="1"/>
  <c r="J351" i="1"/>
  <c r="I355" i="1"/>
  <c r="I358" i="1"/>
  <c r="H359" i="1"/>
  <c r="H363" i="1"/>
  <c r="H362" i="1" s="1"/>
  <c r="I396" i="1"/>
  <c r="I395" i="1" s="1"/>
  <c r="I405" i="1"/>
  <c r="H410" i="1"/>
  <c r="I450" i="1"/>
  <c r="H453" i="1"/>
  <c r="I460" i="1"/>
  <c r="I459" i="1" s="1"/>
  <c r="BI463" i="1"/>
  <c r="AE463" i="1" s="1"/>
  <c r="BI468" i="1"/>
  <c r="AE468" i="1" s="1"/>
  <c r="AS474" i="1"/>
  <c r="BH478" i="1"/>
  <c r="AB478" i="1" s="1"/>
  <c r="AW504" i="1"/>
  <c r="H504" i="1"/>
  <c r="AS550" i="1"/>
  <c r="I606" i="1"/>
  <c r="I605" i="1" s="1"/>
  <c r="AW645" i="1"/>
  <c r="BH645" i="1"/>
  <c r="AB645" i="1" s="1"/>
  <c r="H645" i="1"/>
  <c r="AL770" i="1"/>
  <c r="AU765" i="1" s="1"/>
  <c r="J765" i="1"/>
  <c r="H874" i="1"/>
  <c r="AW874" i="1"/>
  <c r="BH874" i="1"/>
  <c r="AB874" i="1" s="1"/>
  <c r="AW1042" i="1"/>
  <c r="BH1042" i="1"/>
  <c r="AB1042" i="1" s="1"/>
  <c r="H1042" i="1"/>
  <c r="I1044" i="1"/>
  <c r="AX1044" i="1"/>
  <c r="BI1044" i="1"/>
  <c r="AC1044" i="1" s="1"/>
  <c r="BI366" i="1"/>
  <c r="AC366" i="1" s="1"/>
  <c r="BH371" i="1"/>
  <c r="AB371" i="1" s="1"/>
  <c r="BI378" i="1"/>
  <c r="AC378" i="1" s="1"/>
  <c r="BI418" i="1"/>
  <c r="AC418" i="1" s="1"/>
  <c r="BH423" i="1"/>
  <c r="AB423" i="1" s="1"/>
  <c r="BH430" i="1"/>
  <c r="AB430" i="1" s="1"/>
  <c r="BH520" i="1"/>
  <c r="AF520" i="1" s="1"/>
  <c r="H520" i="1"/>
  <c r="BI524" i="1"/>
  <c r="AG524" i="1" s="1"/>
  <c r="AX524" i="1"/>
  <c r="I524" i="1"/>
  <c r="H543" i="1"/>
  <c r="H542" i="1" s="1"/>
  <c r="BH543" i="1"/>
  <c r="AB543" i="1" s="1"/>
  <c r="AW543" i="1"/>
  <c r="AW565" i="1"/>
  <c r="BH565" i="1"/>
  <c r="AB565" i="1" s="1"/>
  <c r="H565" i="1"/>
  <c r="H579" i="1"/>
  <c r="AW579" i="1"/>
  <c r="AL596" i="1"/>
  <c r="AU595" i="1" s="1"/>
  <c r="J595" i="1"/>
  <c r="AW599" i="1"/>
  <c r="BH599" i="1"/>
  <c r="AB599" i="1" s="1"/>
  <c r="AL606" i="1"/>
  <c r="AU605" i="1" s="1"/>
  <c r="J605" i="1"/>
  <c r="AX645" i="1"/>
  <c r="I645" i="1"/>
  <c r="BI645" i="1"/>
  <c r="AC645" i="1" s="1"/>
  <c r="H648" i="1"/>
  <c r="AW648" i="1"/>
  <c r="BH648" i="1"/>
  <c r="AB648" i="1" s="1"/>
  <c r="H665" i="1"/>
  <c r="AW665" i="1"/>
  <c r="BH665" i="1"/>
  <c r="AB665" i="1" s="1"/>
  <c r="I707" i="1"/>
  <c r="AX707" i="1"/>
  <c r="AX717" i="1"/>
  <c r="I717" i="1"/>
  <c r="BI717" i="1"/>
  <c r="AE717" i="1" s="1"/>
  <c r="AT765" i="1"/>
  <c r="H772" i="1"/>
  <c r="AW772" i="1"/>
  <c r="BH772" i="1"/>
  <c r="AD772" i="1" s="1"/>
  <c r="H794" i="1"/>
  <c r="AW794" i="1"/>
  <c r="AL547" i="1"/>
  <c r="AU546" i="1" s="1"/>
  <c r="J546" i="1"/>
  <c r="AU550" i="1"/>
  <c r="AX565" i="1"/>
  <c r="I565" i="1"/>
  <c r="BI565" i="1"/>
  <c r="AC565" i="1" s="1"/>
  <c r="BI622" i="1"/>
  <c r="AC622" i="1" s="1"/>
  <c r="I622" i="1"/>
  <c r="AX622" i="1"/>
  <c r="AU676" i="1"/>
  <c r="I770" i="1"/>
  <c r="AX770" i="1"/>
  <c r="BI770" i="1"/>
  <c r="AE770" i="1" s="1"/>
  <c r="AW921" i="1"/>
  <c r="H921" i="1"/>
  <c r="BH921" i="1"/>
  <c r="AB921" i="1" s="1"/>
  <c r="AX1015" i="1"/>
  <c r="AV1015" i="1" s="1"/>
  <c r="I1015" i="1"/>
  <c r="BI1015" i="1"/>
  <c r="AC1015" i="1" s="1"/>
  <c r="BI503" i="1"/>
  <c r="AC503" i="1" s="1"/>
  <c r="AW520" i="1"/>
  <c r="AL522" i="1"/>
  <c r="AU519" i="1" s="1"/>
  <c r="J519" i="1"/>
  <c r="AW625" i="1"/>
  <c r="BH625" i="1"/>
  <c r="AB625" i="1" s="1"/>
  <c r="I677" i="1"/>
  <c r="AX677" i="1"/>
  <c r="BH712" i="1"/>
  <c r="AD712" i="1" s="1"/>
  <c r="H712" i="1"/>
  <c r="AW712" i="1"/>
  <c r="AS765" i="1"/>
  <c r="AL1032" i="1"/>
  <c r="AU1031" i="1" s="1"/>
  <c r="J1031" i="1"/>
  <c r="BI481" i="1"/>
  <c r="AC481" i="1" s="1"/>
  <c r="BH483" i="1"/>
  <c r="AB483" i="1" s="1"/>
  <c r="BI500" i="1"/>
  <c r="AC500" i="1" s="1"/>
  <c r="BH503" i="1"/>
  <c r="AB503" i="1" s="1"/>
  <c r="BH515" i="1"/>
  <c r="AB515" i="1" s="1"/>
  <c r="BI518" i="1"/>
  <c r="BI532" i="1"/>
  <c r="AC532" i="1" s="1"/>
  <c r="AL543" i="1"/>
  <c r="AU542" i="1" s="1"/>
  <c r="J542" i="1"/>
  <c r="AT550" i="1"/>
  <c r="BI561" i="1"/>
  <c r="AC561" i="1" s="1"/>
  <c r="J598" i="1"/>
  <c r="AL599" i="1"/>
  <c r="AU598" i="1" s="1"/>
  <c r="BI637" i="1"/>
  <c r="AC637" i="1" s="1"/>
  <c r="AW677" i="1"/>
  <c r="H677" i="1"/>
  <c r="H763" i="1"/>
  <c r="AW763" i="1"/>
  <c r="BH763" i="1"/>
  <c r="AD763" i="1" s="1"/>
  <c r="AS823" i="1"/>
  <c r="AW863" i="1"/>
  <c r="H863" i="1"/>
  <c r="H862" i="1" s="1"/>
  <c r="BH863" i="1"/>
  <c r="J550" i="1"/>
  <c r="AX573" i="1"/>
  <c r="I573" i="1"/>
  <c r="I587" i="1"/>
  <c r="H615" i="1"/>
  <c r="AW615" i="1"/>
  <c r="I646" i="1"/>
  <c r="AX646" i="1"/>
  <c r="H673" i="1"/>
  <c r="H672" i="1" s="1"/>
  <c r="AW673" i="1"/>
  <c r="BI690" i="1"/>
  <c r="AE690" i="1" s="1"/>
  <c r="BI698" i="1"/>
  <c r="AE698" i="1" s="1"/>
  <c r="J704" i="1"/>
  <c r="AL721" i="1"/>
  <c r="AU704" i="1" s="1"/>
  <c r="H733" i="1"/>
  <c r="AW733" i="1"/>
  <c r="BH733" i="1"/>
  <c r="AD733" i="1" s="1"/>
  <c r="AX806" i="1"/>
  <c r="BI806" i="1"/>
  <c r="AE806" i="1" s="1"/>
  <c r="I806" i="1"/>
  <c r="I821" i="1"/>
  <c r="AX821" i="1"/>
  <c r="BI821" i="1"/>
  <c r="AE821" i="1" s="1"/>
  <c r="H840" i="1"/>
  <c r="AW840" i="1"/>
  <c r="BH840" i="1"/>
  <c r="AD840" i="1" s="1"/>
  <c r="AX943" i="1"/>
  <c r="I943" i="1"/>
  <c r="BI943" i="1"/>
  <c r="AC943" i="1" s="1"/>
  <c r="AL1120" i="1"/>
  <c r="AU1119" i="1" s="1"/>
  <c r="J1119" i="1"/>
  <c r="AT569" i="1"/>
  <c r="J608" i="1"/>
  <c r="J628" i="1"/>
  <c r="AL629" i="1"/>
  <c r="AU628" i="1" s="1"/>
  <c r="AW650" i="1"/>
  <c r="H650" i="1"/>
  <c r="AW661" i="1"/>
  <c r="H661" i="1"/>
  <c r="AX733" i="1"/>
  <c r="I733" i="1"/>
  <c r="J756" i="1"/>
  <c r="AL757" i="1"/>
  <c r="AU756" i="1" s="1"/>
  <c r="I786" i="1"/>
  <c r="AX786" i="1"/>
  <c r="BI786" i="1"/>
  <c r="AE786" i="1" s="1"/>
  <c r="AX788" i="1"/>
  <c r="BI788" i="1"/>
  <c r="AE788" i="1" s="1"/>
  <c r="AW789" i="1"/>
  <c r="BH789" i="1"/>
  <c r="AD789" i="1" s="1"/>
  <c r="H789" i="1"/>
  <c r="AW798" i="1"/>
  <c r="H798" i="1"/>
  <c r="BH798" i="1"/>
  <c r="AD798" i="1" s="1"/>
  <c r="H799" i="1"/>
  <c r="BH799" i="1"/>
  <c r="AD799" i="1" s="1"/>
  <c r="AW799" i="1"/>
  <c r="AW807" i="1"/>
  <c r="BH807" i="1"/>
  <c r="AD807" i="1" s="1"/>
  <c r="AX815" i="1"/>
  <c r="I815" i="1"/>
  <c r="BI815" i="1"/>
  <c r="AE815" i="1" s="1"/>
  <c r="H818" i="1"/>
  <c r="AW818" i="1"/>
  <c r="BH818" i="1"/>
  <c r="AD818" i="1" s="1"/>
  <c r="I824" i="1"/>
  <c r="AX824" i="1"/>
  <c r="BI824" i="1"/>
  <c r="AE824" i="1" s="1"/>
  <c r="J870" i="1"/>
  <c r="AT885" i="1"/>
  <c r="AW577" i="1"/>
  <c r="H577" i="1"/>
  <c r="I650" i="1"/>
  <c r="AX650" i="1"/>
  <c r="I661" i="1"/>
  <c r="AX661" i="1"/>
  <c r="J676" i="1"/>
  <c r="H680" i="1"/>
  <c r="AW680" i="1"/>
  <c r="AW721" i="1"/>
  <c r="H721" i="1"/>
  <c r="BH721" i="1"/>
  <c r="AD721" i="1" s="1"/>
  <c r="AX779" i="1"/>
  <c r="I779" i="1"/>
  <c r="BI779" i="1"/>
  <c r="AE779" i="1" s="1"/>
  <c r="H783" i="1"/>
  <c r="AW783" i="1"/>
  <c r="BH783" i="1"/>
  <c r="AD783" i="1" s="1"/>
  <c r="I798" i="1"/>
  <c r="AX798" i="1"/>
  <c r="BI798" i="1"/>
  <c r="AE798" i="1" s="1"/>
  <c r="I817" i="1"/>
  <c r="BI817" i="1"/>
  <c r="AE817" i="1" s="1"/>
  <c r="AX817" i="1"/>
  <c r="AX828" i="1"/>
  <c r="BI828" i="1"/>
  <c r="AE828" i="1" s="1"/>
  <c r="AW831" i="1"/>
  <c r="BH831" i="1"/>
  <c r="AD831" i="1" s="1"/>
  <c r="H831" i="1"/>
  <c r="H859" i="1"/>
  <c r="H858" i="1" s="1"/>
  <c r="BH859" i="1"/>
  <c r="AB859" i="1" s="1"/>
  <c r="AW859" i="1"/>
  <c r="BC886" i="1"/>
  <c r="I577" i="1"/>
  <c r="AX577" i="1"/>
  <c r="J569" i="1"/>
  <c r="AS676" i="1"/>
  <c r="AW717" i="1"/>
  <c r="H717" i="1"/>
  <c r="BH717" i="1"/>
  <c r="AD717" i="1" s="1"/>
  <c r="I782" i="1"/>
  <c r="BI782" i="1"/>
  <c r="AE782" i="1" s="1"/>
  <c r="AX782" i="1"/>
  <c r="AW795" i="1"/>
  <c r="H795" i="1"/>
  <c r="BH795" i="1"/>
  <c r="AD795" i="1" s="1"/>
  <c r="J862" i="1"/>
  <c r="AL863" i="1"/>
  <c r="AU862" i="1" s="1"/>
  <c r="BI547" i="1"/>
  <c r="AC547" i="1" s="1"/>
  <c r="BI553" i="1"/>
  <c r="AC553" i="1" s="1"/>
  <c r="BH556" i="1"/>
  <c r="AB556" i="1" s="1"/>
  <c r="BI584" i="1"/>
  <c r="AC584" i="1" s="1"/>
  <c r="BH587" i="1"/>
  <c r="AB587" i="1" s="1"/>
  <c r="BH594" i="1"/>
  <c r="BI596" i="1"/>
  <c r="AG596" i="1" s="1"/>
  <c r="BH606" i="1"/>
  <c r="AB606" i="1" s="1"/>
  <c r="BI609" i="1"/>
  <c r="AC609" i="1" s="1"/>
  <c r="BI621" i="1"/>
  <c r="AC621" i="1" s="1"/>
  <c r="BH622" i="1"/>
  <c r="AB622" i="1" s="1"/>
  <c r="BI687" i="1"/>
  <c r="AE687" i="1" s="1"/>
  <c r="BH690" i="1"/>
  <c r="AD690" i="1" s="1"/>
  <c r="BI695" i="1"/>
  <c r="AE695" i="1" s="1"/>
  <c r="BH698" i="1"/>
  <c r="AD698" i="1" s="1"/>
  <c r="AW782" i="1"/>
  <c r="H782" i="1"/>
  <c r="BI796" i="1"/>
  <c r="AE796" i="1" s="1"/>
  <c r="AX797" i="1"/>
  <c r="I797" i="1"/>
  <c r="AW817" i="1"/>
  <c r="H817" i="1"/>
  <c r="AL824" i="1"/>
  <c r="AU823" i="1" s="1"/>
  <c r="J823" i="1"/>
  <c r="AX1012" i="1"/>
  <c r="BI1012" i="1"/>
  <c r="AC1012" i="1" s="1"/>
  <c r="I1012" i="1"/>
  <c r="AW1137" i="1"/>
  <c r="H1137" i="1"/>
  <c r="BH1137" i="1"/>
  <c r="AB1137" i="1" s="1"/>
  <c r="AX1208" i="1"/>
  <c r="I1208" i="1"/>
  <c r="BI1208" i="1"/>
  <c r="AC1208" i="1" s="1"/>
  <c r="AW1156" i="1"/>
  <c r="H1156" i="1"/>
  <c r="BH1156" i="1"/>
  <c r="AF1156" i="1" s="1"/>
  <c r="BI709" i="1"/>
  <c r="AE709" i="1" s="1"/>
  <c r="BH749" i="1"/>
  <c r="AD749" i="1" s="1"/>
  <c r="BH786" i="1"/>
  <c r="AD786" i="1" s="1"/>
  <c r="AW790" i="1"/>
  <c r="H790" i="1"/>
  <c r="AX804" i="1"/>
  <c r="AX807" i="1"/>
  <c r="I807" i="1"/>
  <c r="AW833" i="1"/>
  <c r="H833" i="1"/>
  <c r="AW896" i="1"/>
  <c r="H896" i="1"/>
  <c r="BI902" i="1"/>
  <c r="AC902" i="1" s="1"/>
  <c r="AX902" i="1"/>
  <c r="I902" i="1"/>
  <c r="AW904" i="1"/>
  <c r="H904" i="1"/>
  <c r="BH904" i="1"/>
  <c r="AB904" i="1" s="1"/>
  <c r="AW965" i="1"/>
  <c r="H965" i="1"/>
  <c r="BH965" i="1"/>
  <c r="AB965" i="1" s="1"/>
  <c r="AW981" i="1"/>
  <c r="BH981" i="1"/>
  <c r="AB981" i="1" s="1"/>
  <c r="H981" i="1"/>
  <c r="I986" i="1"/>
  <c r="AX986" i="1"/>
  <c r="I1018" i="1"/>
  <c r="AX1018" i="1"/>
  <c r="BI1018" i="1"/>
  <c r="AC1018" i="1" s="1"/>
  <c r="AX1155" i="1"/>
  <c r="AV1155" i="1" s="1"/>
  <c r="I1155" i="1"/>
  <c r="BI1155" i="1"/>
  <c r="AG1155" i="1" s="1"/>
  <c r="I1156" i="1"/>
  <c r="AX1156" i="1"/>
  <c r="BI1156" i="1"/>
  <c r="AG1156" i="1" s="1"/>
  <c r="AW1252" i="1"/>
  <c r="H1252" i="1"/>
  <c r="BH1252" i="1"/>
  <c r="AB1252" i="1" s="1"/>
  <c r="AX761" i="1"/>
  <c r="I761" i="1"/>
  <c r="AX863" i="1"/>
  <c r="AL880" i="1"/>
  <c r="AU879" i="1" s="1"/>
  <c r="J879" i="1"/>
  <c r="I884" i="1"/>
  <c r="J885" i="1"/>
  <c r="H891" i="1"/>
  <c r="I904" i="1"/>
  <c r="AX904" i="1"/>
  <c r="AW943" i="1"/>
  <c r="H943" i="1"/>
  <c r="I965" i="1"/>
  <c r="AX965" i="1"/>
  <c r="AX981" i="1"/>
  <c r="I981" i="1"/>
  <c r="BI981" i="1"/>
  <c r="AC981" i="1" s="1"/>
  <c r="H990" i="1"/>
  <c r="AW990" i="1"/>
  <c r="AS1031" i="1"/>
  <c r="AX1074" i="1"/>
  <c r="BC1074" i="1" s="1"/>
  <c r="I1074" i="1"/>
  <c r="BI1074" i="1"/>
  <c r="AC1074" i="1" s="1"/>
  <c r="AT704" i="1"/>
  <c r="H749" i="1"/>
  <c r="BI762" i="1"/>
  <c r="AE762" i="1" s="1"/>
  <c r="H779" i="1"/>
  <c r="BH782" i="1"/>
  <c r="AD782" i="1" s="1"/>
  <c r="AX789" i="1"/>
  <c r="I789" i="1"/>
  <c r="I796" i="1"/>
  <c r="BI797" i="1"/>
  <c r="AE797" i="1" s="1"/>
  <c r="AW808" i="1"/>
  <c r="H808" i="1"/>
  <c r="H815" i="1"/>
  <c r="BH817" i="1"/>
  <c r="AD817" i="1" s="1"/>
  <c r="AX831" i="1"/>
  <c r="I831" i="1"/>
  <c r="AX921" i="1"/>
  <c r="I921" i="1"/>
  <c r="BI921" i="1"/>
  <c r="AC921" i="1" s="1"/>
  <c r="BH962" i="1"/>
  <c r="AB962" i="1" s="1"/>
  <c r="BI986" i="1"/>
  <c r="AC986" i="1" s="1"/>
  <c r="AX1042" i="1"/>
  <c r="I1042" i="1"/>
  <c r="BI1042" i="1"/>
  <c r="AC1042" i="1" s="1"/>
  <c r="H1046" i="1"/>
  <c r="AW1046" i="1"/>
  <c r="AS1040" i="1"/>
  <c r="AT1133" i="1"/>
  <c r="H1229" i="1"/>
  <c r="AW1229" i="1"/>
  <c r="BH1229" i="1"/>
  <c r="AF1229" i="1" s="1"/>
  <c r="BI750" i="1"/>
  <c r="AE750" i="1" s="1"/>
  <c r="AX752" i="1"/>
  <c r="I752" i="1"/>
  <c r="AW762" i="1"/>
  <c r="H762" i="1"/>
  <c r="BI793" i="1"/>
  <c r="AE793" i="1" s="1"/>
  <c r="BH833" i="1"/>
  <c r="AD833" i="1" s="1"/>
  <c r="BI863" i="1"/>
  <c r="AX891" i="1"/>
  <c r="I891" i="1"/>
  <c r="BH896" i="1"/>
  <c r="AB896" i="1" s="1"/>
  <c r="AV918" i="1"/>
  <c r="H962" i="1"/>
  <c r="AX1130" i="1"/>
  <c r="BI1130" i="1"/>
  <c r="AE1130" i="1" s="1"/>
  <c r="I1130" i="1"/>
  <c r="AX962" i="1"/>
  <c r="BC962" i="1" s="1"/>
  <c r="I962" i="1"/>
  <c r="AW1099" i="1"/>
  <c r="H1099" i="1"/>
  <c r="BH1099" i="1"/>
  <c r="AB1099" i="1" s="1"/>
  <c r="I1137" i="1"/>
  <c r="AX1137" i="1"/>
  <c r="BI1137" i="1"/>
  <c r="AC1137" i="1" s="1"/>
  <c r="H1236" i="1"/>
  <c r="BH1236" i="1"/>
  <c r="AF1236" i="1" s="1"/>
  <c r="AW1236" i="1"/>
  <c r="H906" i="1"/>
  <c r="AW906" i="1"/>
  <c r="H924" i="1"/>
  <c r="AW924" i="1"/>
  <c r="H949" i="1"/>
  <c r="AW949" i="1"/>
  <c r="AW1018" i="1"/>
  <c r="H1018" i="1"/>
  <c r="I1099" i="1"/>
  <c r="AX1099" i="1"/>
  <c r="BI1099" i="1"/>
  <c r="AC1099" i="1" s="1"/>
  <c r="AW1208" i="1"/>
  <c r="BH1208" i="1"/>
  <c r="AB1208" i="1" s="1"/>
  <c r="H1208" i="1"/>
  <c r="BH902" i="1"/>
  <c r="AB902" i="1" s="1"/>
  <c r="I918" i="1"/>
  <c r="AW923" i="1"/>
  <c r="H923" i="1"/>
  <c r="I939" i="1"/>
  <c r="AW946" i="1"/>
  <c r="H946" i="1"/>
  <c r="BI962" i="1"/>
  <c r="AC962" i="1" s="1"/>
  <c r="I976" i="1"/>
  <c r="BH1018" i="1"/>
  <c r="AB1018" i="1" s="1"/>
  <c r="H1021" i="1"/>
  <c r="AW1021" i="1"/>
  <c r="AL1038" i="1"/>
  <c r="AU1037" i="1" s="1"/>
  <c r="J1037" i="1"/>
  <c r="I1041" i="1"/>
  <c r="AW1107" i="1"/>
  <c r="H1107" i="1"/>
  <c r="BH1107" i="1"/>
  <c r="AX1239" i="1"/>
  <c r="BI1239" i="1"/>
  <c r="AG1239" i="1" s="1"/>
  <c r="I1239" i="1"/>
  <c r="BH906" i="1"/>
  <c r="AB906" i="1" s="1"/>
  <c r="BI918" i="1"/>
  <c r="AC918" i="1" s="1"/>
  <c r="I923" i="1"/>
  <c r="AX923" i="1"/>
  <c r="BH924" i="1"/>
  <c r="AB924" i="1" s="1"/>
  <c r="BI939" i="1"/>
  <c r="AC939" i="1" s="1"/>
  <c r="I946" i="1"/>
  <c r="AX946" i="1"/>
  <c r="BH949" i="1"/>
  <c r="AB949" i="1" s="1"/>
  <c r="H968" i="1"/>
  <c r="AW968" i="1"/>
  <c r="BI976" i="1"/>
  <c r="AC976" i="1" s="1"/>
  <c r="AW986" i="1"/>
  <c r="H986" i="1"/>
  <c r="AT1040" i="1"/>
  <c r="BI1041" i="1"/>
  <c r="AC1041" i="1" s="1"/>
  <c r="AW1044" i="1"/>
  <c r="H1044" i="1"/>
  <c r="J1040" i="1"/>
  <c r="BC1066" i="1"/>
  <c r="J1070" i="1"/>
  <c r="AL1071" i="1"/>
  <c r="AU1070" i="1" s="1"/>
  <c r="AL1086" i="1"/>
  <c r="AU1085" i="1" s="1"/>
  <c r="J1085" i="1"/>
  <c r="AL1218" i="1"/>
  <c r="AU1217" i="1" s="1"/>
  <c r="J1217" i="1"/>
  <c r="BI912" i="1"/>
  <c r="AC912" i="1" s="1"/>
  <c r="BH913" i="1"/>
  <c r="AB913" i="1" s="1"/>
  <c r="BI932" i="1"/>
  <c r="AC932" i="1" s="1"/>
  <c r="BH936" i="1"/>
  <c r="AB936" i="1" s="1"/>
  <c r="BI1001" i="1"/>
  <c r="AC1001" i="1" s="1"/>
  <c r="BH1002" i="1"/>
  <c r="AB1002" i="1" s="1"/>
  <c r="BI1027" i="1"/>
  <c r="AC1027" i="1" s="1"/>
  <c r="BH1029" i="1"/>
  <c r="AB1029" i="1" s="1"/>
  <c r="BI1032" i="1"/>
  <c r="AE1032" i="1" s="1"/>
  <c r="BH1034" i="1"/>
  <c r="AD1034" i="1" s="1"/>
  <c r="BH1038" i="1"/>
  <c r="BI1049" i="1"/>
  <c r="AC1049" i="1" s="1"/>
  <c r="BH1053" i="1"/>
  <c r="AB1053" i="1" s="1"/>
  <c r="H1139" i="1"/>
  <c r="AW1139" i="1"/>
  <c r="H1111" i="1"/>
  <c r="AW1111" i="1"/>
  <c r="AU1123" i="1"/>
  <c r="AU1160" i="1"/>
  <c r="AS1160" i="1"/>
  <c r="AU1165" i="1"/>
  <c r="AS1165" i="1"/>
  <c r="AU1171" i="1"/>
  <c r="AS1171" i="1"/>
  <c r="J1189" i="1"/>
  <c r="AL1190" i="1"/>
  <c r="AU1189" i="1" s="1"/>
  <c r="AX1289" i="1"/>
  <c r="AV1289" i="1" s="1"/>
  <c r="I1289" i="1"/>
  <c r="BI1289" i="1"/>
  <c r="AG1289" i="1" s="1"/>
  <c r="AX908" i="1"/>
  <c r="AW912" i="1"/>
  <c r="AX929" i="1"/>
  <c r="BC929" i="1" s="1"/>
  <c r="AW932" i="1"/>
  <c r="AX970" i="1"/>
  <c r="AX1097" i="1"/>
  <c r="AV1097" i="1" s="1"/>
  <c r="I1097" i="1"/>
  <c r="AX1103" i="1"/>
  <c r="AV1103" i="1" s="1"/>
  <c r="I1103" i="1"/>
  <c r="AX1131" i="1"/>
  <c r="I1131" i="1"/>
  <c r="AX1136" i="1"/>
  <c r="AV1136" i="1" s="1"/>
  <c r="I1136" i="1"/>
  <c r="AL1209" i="1"/>
  <c r="AU1205" i="1" s="1"/>
  <c r="J1205" i="1"/>
  <c r="AW1227" i="1"/>
  <c r="H1227" i="1"/>
  <c r="I1231" i="1"/>
  <c r="AX1231" i="1"/>
  <c r="AL1278" i="1"/>
  <c r="AU1251" i="1" s="1"/>
  <c r="J1251" i="1"/>
  <c r="BI1066" i="1"/>
  <c r="AC1066" i="1" s="1"/>
  <c r="H1097" i="1"/>
  <c r="BH1097" i="1"/>
  <c r="AB1097" i="1" s="1"/>
  <c r="AS1102" i="1"/>
  <c r="BH1103" i="1"/>
  <c r="I1107" i="1"/>
  <c r="AX1107" i="1"/>
  <c r="BH1111" i="1"/>
  <c r="BH1131" i="1"/>
  <c r="AD1131" i="1" s="1"/>
  <c r="H1136" i="1"/>
  <c r="AS1133" i="1"/>
  <c r="BH1136" i="1"/>
  <c r="AB1136" i="1" s="1"/>
  <c r="AS1147" i="1"/>
  <c r="H1155" i="1"/>
  <c r="H1157" i="1"/>
  <c r="AW1157" i="1"/>
  <c r="AX1175" i="1"/>
  <c r="BC1175" i="1" s="1"/>
  <c r="BI1175" i="1"/>
  <c r="AC1175" i="1" s="1"/>
  <c r="AX1194" i="1"/>
  <c r="BI1194" i="1"/>
  <c r="AC1194" i="1" s="1"/>
  <c r="I1194" i="1"/>
  <c r="H1212" i="1"/>
  <c r="AW1212" i="1"/>
  <c r="AX1222" i="1"/>
  <c r="I1222" i="1"/>
  <c r="I1221" i="1" s="1"/>
  <c r="BI1222" i="1"/>
  <c r="AC1222" i="1" s="1"/>
  <c r="BH1227" i="1"/>
  <c r="AF1227" i="1" s="1"/>
  <c r="BI1231" i="1"/>
  <c r="AG1231" i="1" s="1"/>
  <c r="I1236" i="1"/>
  <c r="AX1236" i="1"/>
  <c r="BI1236" i="1"/>
  <c r="AG1236" i="1" s="1"/>
  <c r="J1079" i="1"/>
  <c r="AL1080" i="1"/>
  <c r="AU1079" i="1" s="1"/>
  <c r="BI1097" i="1"/>
  <c r="AC1097" i="1" s="1"/>
  <c r="BI1103" i="1"/>
  <c r="J1123" i="1"/>
  <c r="BI1131" i="1"/>
  <c r="AE1131" i="1" s="1"/>
  <c r="BI1136" i="1"/>
  <c r="AC1136" i="1" s="1"/>
  <c r="AL1143" i="1"/>
  <c r="AU1133" i="1" s="1"/>
  <c r="J1133" i="1"/>
  <c r="AU1147" i="1"/>
  <c r="AT1147" i="1"/>
  <c r="BH1155" i="1"/>
  <c r="AF1155" i="1" s="1"/>
  <c r="J1160" i="1"/>
  <c r="J1165" i="1"/>
  <c r="J1171" i="1"/>
  <c r="AX1247" i="1"/>
  <c r="BI1247" i="1"/>
  <c r="AG1247" i="1" s="1"/>
  <c r="I1247" i="1"/>
  <c r="BH1086" i="1"/>
  <c r="AB1086" i="1" s="1"/>
  <c r="BH1120" i="1"/>
  <c r="AB1120" i="1" s="1"/>
  <c r="BI1124" i="1"/>
  <c r="AE1124" i="1" s="1"/>
  <c r="BH1125" i="1"/>
  <c r="AD1125" i="1" s="1"/>
  <c r="BI1143" i="1"/>
  <c r="AC1143" i="1" s="1"/>
  <c r="BH1145" i="1"/>
  <c r="AB1145" i="1" s="1"/>
  <c r="BI1148" i="1"/>
  <c r="AG1148" i="1" s="1"/>
  <c r="BH1149" i="1"/>
  <c r="AF1149" i="1" s="1"/>
  <c r="BI1161" i="1"/>
  <c r="AC1161" i="1" s="1"/>
  <c r="BH1163" i="1"/>
  <c r="AB1163" i="1" s="1"/>
  <c r="BI1166" i="1"/>
  <c r="AC1166" i="1" s="1"/>
  <c r="BH1169" i="1"/>
  <c r="AB1169" i="1" s="1"/>
  <c r="BI1172" i="1"/>
  <c r="AC1172" i="1" s="1"/>
  <c r="BH1173" i="1"/>
  <c r="AB1173" i="1" s="1"/>
  <c r="AX1182" i="1"/>
  <c r="I1182" i="1"/>
  <c r="AW1209" i="1"/>
  <c r="H1209" i="1"/>
  <c r="AW1228" i="1"/>
  <c r="H1228" i="1"/>
  <c r="AW1276" i="1"/>
  <c r="BH1276" i="1"/>
  <c r="AF1276" i="1" s="1"/>
  <c r="H1276" i="1"/>
  <c r="AX1302" i="1"/>
  <c r="AV1302" i="1" s="1"/>
  <c r="I1302" i="1"/>
  <c r="BI1302" i="1"/>
  <c r="AS1205" i="1"/>
  <c r="I1245" i="1"/>
  <c r="AX1245" i="1"/>
  <c r="BI1245" i="1"/>
  <c r="AG1245" i="1" s="1"/>
  <c r="AX1250" i="1"/>
  <c r="I1250" i="1"/>
  <c r="BI1250" i="1"/>
  <c r="AG1250" i="1" s="1"/>
  <c r="AU1314" i="1"/>
  <c r="AX1201" i="1"/>
  <c r="I1201" i="1"/>
  <c r="AX1209" i="1"/>
  <c r="AX1214" i="1"/>
  <c r="AU1224" i="1"/>
  <c r="AX1228" i="1"/>
  <c r="AW1232" i="1"/>
  <c r="AX1235" i="1"/>
  <c r="I1235" i="1"/>
  <c r="AW1241" i="1"/>
  <c r="H1241" i="1"/>
  <c r="BH1241" i="1"/>
  <c r="AF1241" i="1" s="1"/>
  <c r="I1256" i="1"/>
  <c r="AX1256" i="1"/>
  <c r="BI1256" i="1"/>
  <c r="AG1256" i="1" s="1"/>
  <c r="AW1262" i="1"/>
  <c r="BH1262" i="1"/>
  <c r="AF1262" i="1" s="1"/>
  <c r="H1262" i="1"/>
  <c r="AL1295" i="1"/>
  <c r="AU1294" i="1" s="1"/>
  <c r="J1294" i="1"/>
  <c r="BI1182" i="1"/>
  <c r="AC1182" i="1" s="1"/>
  <c r="BI1186" i="1"/>
  <c r="AC1186" i="1" s="1"/>
  <c r="H1201" i="1"/>
  <c r="BI1209" i="1"/>
  <c r="AC1209" i="1" s="1"/>
  <c r="BI1214" i="1"/>
  <c r="AC1214" i="1" s="1"/>
  <c r="AX1227" i="1"/>
  <c r="I1227" i="1"/>
  <c r="BI1228" i="1"/>
  <c r="AG1228" i="1" s="1"/>
  <c r="AW1318" i="1"/>
  <c r="H1318" i="1"/>
  <c r="BH1318" i="1"/>
  <c r="AX1196" i="1"/>
  <c r="I1196" i="1"/>
  <c r="BH1201" i="1"/>
  <c r="AB1201" i="1" s="1"/>
  <c r="AT1205" i="1"/>
  <c r="BI1206" i="1"/>
  <c r="AC1206" i="1" s="1"/>
  <c r="J1224" i="1"/>
  <c r="AT1224" i="1"/>
  <c r="BI1226" i="1"/>
  <c r="AG1226" i="1" s="1"/>
  <c r="BH1232" i="1"/>
  <c r="AF1232" i="1" s="1"/>
  <c r="BH1235" i="1"/>
  <c r="AF1235" i="1" s="1"/>
  <c r="AT1251" i="1"/>
  <c r="BC1264" i="1"/>
  <c r="AS1294" i="1"/>
  <c r="F38" i="3"/>
  <c r="I38" i="3" s="1"/>
  <c r="AL1328" i="1"/>
  <c r="AU1327" i="1" s="1"/>
  <c r="J1327" i="1"/>
  <c r="J1312" i="1" s="1"/>
  <c r="H1254" i="1"/>
  <c r="BI1268" i="1"/>
  <c r="AG1268" i="1" s="1"/>
  <c r="BI1279" i="1"/>
  <c r="AG1279" i="1" s="1"/>
  <c r="H1287" i="1"/>
  <c r="BI1296" i="1"/>
  <c r="H1306" i="1"/>
  <c r="AW1306" i="1"/>
  <c r="I1317" i="1"/>
  <c r="BI1301" i="1"/>
  <c r="BI1317" i="1"/>
  <c r="AV1268" i="1"/>
  <c r="AV1279" i="1"/>
  <c r="BH1290" i="1"/>
  <c r="AF1290" i="1" s="1"/>
  <c r="AV1296" i="1"/>
  <c r="AW1304" i="1"/>
  <c r="H1304" i="1"/>
  <c r="H1245" i="1"/>
  <c r="BI1253" i="1"/>
  <c r="AG1253" i="1" s="1"/>
  <c r="BI1260" i="1"/>
  <c r="AG1260" i="1" s="1"/>
  <c r="AX1262" i="1"/>
  <c r="BH1264" i="1"/>
  <c r="AF1264" i="1" s="1"/>
  <c r="BC1268" i="1"/>
  <c r="BI1275" i="1"/>
  <c r="AG1275" i="1" s="1"/>
  <c r="AX1276" i="1"/>
  <c r="BH1277" i="1"/>
  <c r="AF1277" i="1" s="1"/>
  <c r="BC1296" i="1"/>
  <c r="H1302" i="1"/>
  <c r="BH1302" i="1"/>
  <c r="I1304" i="1"/>
  <c r="AX1304" i="1"/>
  <c r="BH1306" i="1"/>
  <c r="F22" i="2"/>
  <c r="I14" i="2"/>
  <c r="I22" i="2" s="1"/>
  <c r="I27" i="3"/>
  <c r="F29" i="3" s="1"/>
  <c r="BI1269" i="1"/>
  <c r="AG1269" i="1" s="1"/>
  <c r="BH1271" i="1"/>
  <c r="AF1271" i="1" s="1"/>
  <c r="BI1281" i="1"/>
  <c r="AG1281" i="1" s="1"/>
  <c r="BH1283" i="1"/>
  <c r="AF1283" i="1" s="1"/>
  <c r="BI1297" i="1"/>
  <c r="BH1298" i="1"/>
  <c r="BI1309" i="1"/>
  <c r="BH1310" i="1"/>
  <c r="BH1316" i="1"/>
  <c r="AX1318" i="1"/>
  <c r="BH1326" i="1"/>
  <c r="BH1328" i="1"/>
  <c r="AW1297" i="1"/>
  <c r="AX1308" i="1"/>
  <c r="AW1309" i="1"/>
  <c r="AX1315" i="1"/>
  <c r="AX1319" i="1"/>
  <c r="AX1322" i="1"/>
  <c r="AX1324" i="1"/>
  <c r="BI1318" i="1"/>
  <c r="AV835" i="1" l="1"/>
  <c r="AV959" i="1"/>
  <c r="I660" i="1"/>
  <c r="AV1250" i="1"/>
  <c r="AV684" i="1"/>
  <c r="BC822" i="1"/>
  <c r="AV491" i="1"/>
  <c r="BC112" i="1"/>
  <c r="I528" i="1"/>
  <c r="BC437" i="1"/>
  <c r="BC786" i="1"/>
  <c r="BC974" i="1"/>
  <c r="BC705" i="1"/>
  <c r="BC1172" i="1"/>
  <c r="BC953" i="1"/>
  <c r="AV622" i="1"/>
  <c r="I351" i="1"/>
  <c r="AV56" i="1"/>
  <c r="I462" i="1"/>
  <c r="AV124" i="1"/>
  <c r="AV819" i="1"/>
  <c r="BC1035" i="1"/>
  <c r="AV423" i="1"/>
  <c r="BC1011" i="1"/>
  <c r="BC1277" i="1"/>
  <c r="AV1035" i="1"/>
  <c r="AV1287" i="1"/>
  <c r="BC819" i="1"/>
  <c r="BC61" i="1"/>
  <c r="AV821" i="1"/>
  <c r="H218" i="1"/>
  <c r="BC1328" i="1"/>
  <c r="AV724" i="1"/>
  <c r="AV637" i="1"/>
  <c r="H351" i="1"/>
  <c r="H207" i="1"/>
  <c r="AV953" i="1"/>
  <c r="BC749" i="1"/>
  <c r="BC594" i="1"/>
  <c r="BC463" i="1"/>
  <c r="BC1161" i="1"/>
  <c r="BC167" i="1"/>
  <c r="BC423" i="1"/>
  <c r="BC1190" i="1"/>
  <c r="AV824" i="1"/>
  <c r="AV248" i="1"/>
  <c r="BC1173" i="1"/>
  <c r="BC1253" i="1"/>
  <c r="AV1120" i="1"/>
  <c r="AV346" i="1"/>
  <c r="I207" i="1"/>
  <c r="BC1278" i="1"/>
  <c r="H1171" i="1"/>
  <c r="AV766" i="1"/>
  <c r="BC970" i="1"/>
  <c r="AV760" i="1"/>
  <c r="I519" i="1"/>
  <c r="AV387" i="1"/>
  <c r="AV1001" i="1"/>
  <c r="BC529" i="1"/>
  <c r="BC73" i="1"/>
  <c r="BC205" i="1"/>
  <c r="AV784" i="1"/>
  <c r="BC804" i="1"/>
  <c r="AV1161" i="1"/>
  <c r="I1323" i="1"/>
  <c r="BC418" i="1"/>
  <c r="BC1299" i="1"/>
  <c r="BC995" i="1"/>
  <c r="BC959" i="1"/>
  <c r="BC1319" i="1"/>
  <c r="AV1163" i="1"/>
  <c r="AV793" i="1"/>
  <c r="H214" i="1"/>
  <c r="AV570" i="1"/>
  <c r="AV995" i="1"/>
  <c r="AV220" i="1"/>
  <c r="AV180" i="1"/>
  <c r="AV547" i="1"/>
  <c r="AV972" i="1"/>
  <c r="BC272" i="1"/>
  <c r="AV437" i="1"/>
  <c r="H1070" i="1"/>
  <c r="BC1153" i="1"/>
  <c r="AV1299" i="1"/>
  <c r="I203" i="1"/>
  <c r="AV698" i="1"/>
  <c r="BC1266" i="1"/>
  <c r="I649" i="1"/>
  <c r="BC1086" i="1"/>
  <c r="AV212" i="1"/>
  <c r="AV936" i="1"/>
  <c r="BC122" i="1"/>
  <c r="H839" i="1"/>
  <c r="BC515" i="1"/>
  <c r="AV1200" i="1"/>
  <c r="I85" i="1"/>
  <c r="AV587" i="1"/>
  <c r="BC532" i="1"/>
  <c r="AV1071" i="1"/>
  <c r="BC788" i="1"/>
  <c r="BC1094" i="1"/>
  <c r="AV613" i="1"/>
  <c r="AV886" i="1"/>
  <c r="BC249" i="1"/>
  <c r="BC1324" i="1"/>
  <c r="AV785" i="1"/>
  <c r="BC784" i="1"/>
  <c r="BC618" i="1"/>
  <c r="AV1124" i="1"/>
  <c r="BC1290" i="1"/>
  <c r="BC1071" i="1"/>
  <c r="AV709" i="1"/>
  <c r="BC185" i="1"/>
  <c r="AV1141" i="1"/>
  <c r="AV1086" i="1"/>
  <c r="BC1233" i="1"/>
  <c r="AV1243" i="1"/>
  <c r="AV594" i="1"/>
  <c r="AV216" i="1"/>
  <c r="AV1027" i="1"/>
  <c r="AV1273" i="1"/>
  <c r="AV1145" i="1"/>
  <c r="BC901" i="1"/>
  <c r="I1070" i="1"/>
  <c r="BC491" i="1"/>
  <c r="BC587" i="1"/>
  <c r="BC200" i="1"/>
  <c r="I218" i="1"/>
  <c r="AV249" i="1"/>
  <c r="BC1151" i="1"/>
  <c r="AV156" i="1"/>
  <c r="AV1271" i="1"/>
  <c r="BC972" i="1"/>
  <c r="I676" i="1"/>
  <c r="BC1310" i="1"/>
  <c r="BC1216" i="1"/>
  <c r="AV1127" i="1"/>
  <c r="AV800" i="1"/>
  <c r="BC176" i="1"/>
  <c r="BC1239" i="1"/>
  <c r="AV778" i="1"/>
  <c r="AV889" i="1"/>
  <c r="AV108" i="1"/>
  <c r="AV1094" i="1"/>
  <c r="AV791" i="1"/>
  <c r="AV1242" i="1"/>
  <c r="AV463" i="1"/>
  <c r="AV815" i="1"/>
  <c r="BC613" i="1"/>
  <c r="AV287" i="1"/>
  <c r="AV323" i="1"/>
  <c r="BC1317" i="1"/>
  <c r="BC1254" i="1"/>
  <c r="BC1242" i="1"/>
  <c r="AV1153" i="1"/>
  <c r="AV1012" i="1"/>
  <c r="AV606" i="1"/>
  <c r="AV796" i="1"/>
  <c r="AV259" i="1"/>
  <c r="BC1029" i="1"/>
  <c r="BC1271" i="1"/>
  <c r="H85" i="1"/>
  <c r="BC1234" i="1"/>
  <c r="AV908" i="1"/>
  <c r="BC766" i="1"/>
  <c r="BC1145" i="1"/>
  <c r="BC957" i="1"/>
  <c r="AV475" i="1"/>
  <c r="AV224" i="1"/>
  <c r="AV1148" i="1"/>
  <c r="AV750" i="1"/>
  <c r="AV1151" i="1"/>
  <c r="BC232" i="1"/>
  <c r="AV167" i="1"/>
  <c r="AV787" i="1"/>
  <c r="BC1163" i="1"/>
  <c r="BC1095" i="1"/>
  <c r="H34" i="1"/>
  <c r="BC702" i="1"/>
  <c r="H314" i="1"/>
  <c r="BC157" i="1"/>
  <c r="AV1190" i="1"/>
  <c r="BC824" i="1"/>
  <c r="BC791" i="1"/>
  <c r="BC936" i="1"/>
  <c r="AV629" i="1"/>
  <c r="AV505" i="1"/>
  <c r="BC284" i="1"/>
  <c r="BC1080" i="1"/>
  <c r="BC1273" i="1"/>
  <c r="BC821" i="1"/>
  <c r="AV172" i="1"/>
  <c r="I45" i="3"/>
  <c r="I24" i="2" s="1"/>
  <c r="BC86" i="1"/>
  <c r="BC1237" i="1"/>
  <c r="BC1038" i="1"/>
  <c r="BC121" i="1"/>
  <c r="H528" i="1"/>
  <c r="AV272" i="1"/>
  <c r="BC257" i="1"/>
  <c r="BC750" i="1"/>
  <c r="H341" i="1"/>
  <c r="AV205" i="1"/>
  <c r="BC754" i="1"/>
  <c r="I839" i="1"/>
  <c r="AV702" i="1"/>
  <c r="H1199" i="1"/>
  <c r="H649" i="1"/>
  <c r="BC196" i="1"/>
  <c r="AV278" i="1"/>
  <c r="BC915" i="1"/>
  <c r="BC793" i="1"/>
  <c r="AV901" i="1"/>
  <c r="BC1322" i="1"/>
  <c r="AV241" i="1"/>
  <c r="BC1141" i="1"/>
  <c r="AV73" i="1"/>
  <c r="AV232" i="1"/>
  <c r="BC1225" i="1"/>
  <c r="BC503" i="1"/>
  <c r="BC212" i="1"/>
  <c r="AV1284" i="1"/>
  <c r="AV1326" i="1"/>
  <c r="I294" i="1"/>
  <c r="BC216" i="1"/>
  <c r="BC220" i="1"/>
  <c r="BC366" i="1"/>
  <c r="BC1174" i="1"/>
  <c r="AV94" i="1"/>
  <c r="AV768" i="1"/>
  <c r="I1205" i="1"/>
  <c r="I1031" i="1"/>
  <c r="BC813" i="1"/>
  <c r="AV898" i="1"/>
  <c r="I870" i="1"/>
  <c r="BC1258" i="1"/>
  <c r="BC958" i="1"/>
  <c r="AV54" i="1"/>
  <c r="BC1155" i="1"/>
  <c r="BC475" i="1"/>
  <c r="I34" i="1"/>
  <c r="AV1322" i="1"/>
  <c r="H823" i="1"/>
  <c r="BC1148" i="1"/>
  <c r="BC801" i="1"/>
  <c r="AV729" i="1"/>
  <c r="I1294" i="1"/>
  <c r="I1199" i="1"/>
  <c r="BC690" i="1"/>
  <c r="I214" i="1"/>
  <c r="BC1186" i="1"/>
  <c r="AV584" i="1"/>
  <c r="BC24" i="1"/>
  <c r="BC252" i="1"/>
  <c r="AV371" i="1"/>
  <c r="H294" i="1"/>
  <c r="AV1116" i="1"/>
  <c r="H231" i="1"/>
  <c r="BC1200" i="1"/>
  <c r="I1171" i="1"/>
  <c r="AV1194" i="1"/>
  <c r="BC774" i="1"/>
  <c r="AV137" i="1"/>
  <c r="AV1269" i="1"/>
  <c r="AV334" i="1"/>
  <c r="BC430" i="1"/>
  <c r="AV871" i="1"/>
  <c r="AV805" i="1"/>
  <c r="BC297" i="1"/>
  <c r="H1133" i="1"/>
  <c r="H1085" i="1"/>
  <c r="BC1012" i="1"/>
  <c r="AV976" i="1"/>
  <c r="BC627" i="1"/>
  <c r="BC496" i="1"/>
  <c r="AV1249" i="1"/>
  <c r="AV1260" i="1"/>
  <c r="BC1134" i="1"/>
  <c r="BC518" i="1"/>
  <c r="AV1295" i="1"/>
  <c r="AV489" i="1"/>
  <c r="BC309" i="1"/>
  <c r="AV556" i="1"/>
  <c r="AV1186" i="1"/>
  <c r="AV1172" i="1"/>
  <c r="BC303" i="1"/>
  <c r="AV122" i="1"/>
  <c r="AV913" i="1"/>
  <c r="BC1027" i="1"/>
  <c r="AV1258" i="1"/>
  <c r="AV1237" i="1"/>
  <c r="BC1002" i="1"/>
  <c r="BC779" i="1"/>
  <c r="AV307" i="1"/>
  <c r="BC1053" i="1"/>
  <c r="AV581" i="1"/>
  <c r="AV500" i="1"/>
  <c r="AV687" i="1"/>
  <c r="BC1243" i="1"/>
  <c r="AV1149" i="1"/>
  <c r="AV441" i="1"/>
  <c r="BC275" i="1"/>
  <c r="H127" i="1"/>
  <c r="BC828" i="1"/>
  <c r="BC820" i="1"/>
  <c r="AV669" i="1"/>
  <c r="BC570" i="1"/>
  <c r="AV1308" i="1"/>
  <c r="AV866" i="1"/>
  <c r="AV553" i="1"/>
  <c r="BC292" i="1"/>
  <c r="AV344" i="1"/>
  <c r="AV1215" i="1"/>
  <c r="H1123" i="1"/>
  <c r="I823" i="1"/>
  <c r="H1314" i="1"/>
  <c r="BC551" i="1"/>
  <c r="AV1247" i="1"/>
  <c r="H694" i="1"/>
  <c r="AV825" i="1"/>
  <c r="BC353" i="1"/>
  <c r="I341" i="1"/>
  <c r="BC559" i="1"/>
  <c r="AV339" i="1"/>
  <c r="BC346" i="1"/>
  <c r="BC768" i="1"/>
  <c r="BC156" i="1"/>
  <c r="BC584" i="1"/>
  <c r="AV1290" i="1"/>
  <c r="BC1256" i="1"/>
  <c r="AV757" i="1"/>
  <c r="BC866" i="1"/>
  <c r="I1251" i="1"/>
  <c r="AV139" i="1"/>
  <c r="I1314" i="1"/>
  <c r="I1176" i="1"/>
  <c r="I1133" i="1"/>
  <c r="AV1134" i="1"/>
  <c r="BC1260" i="1"/>
  <c r="BC1124" i="1"/>
  <c r="BC835" i="1"/>
  <c r="AV690" i="1"/>
  <c r="BC805" i="1"/>
  <c r="H467" i="1"/>
  <c r="AV297" i="1"/>
  <c r="BC248" i="1"/>
  <c r="H43" i="1"/>
  <c r="AV430" i="1"/>
  <c r="AV228" i="1"/>
  <c r="H138" i="1"/>
  <c r="BC20" i="1"/>
  <c r="AV524" i="1"/>
  <c r="I111" i="1"/>
  <c r="AV1169" i="1"/>
  <c r="AV820" i="1"/>
  <c r="AV529" i="1"/>
  <c r="AV133" i="1"/>
  <c r="AV312" i="1"/>
  <c r="H569" i="1"/>
  <c r="H614" i="1"/>
  <c r="H399" i="1"/>
  <c r="AV35" i="1"/>
  <c r="AV715" i="1"/>
  <c r="AV1174" i="1"/>
  <c r="BC100" i="1"/>
  <c r="BC338" i="1"/>
  <c r="H1147" i="1"/>
  <c r="AV1095" i="1"/>
  <c r="H1102" i="1"/>
  <c r="AV1130" i="1"/>
  <c r="BC913" i="1"/>
  <c r="BC1149" i="1"/>
  <c r="AV1080" i="1"/>
  <c r="AV828" i="1"/>
  <c r="AV786" i="1"/>
  <c r="BC871" i="1"/>
  <c r="AV814" i="1"/>
  <c r="BC581" i="1"/>
  <c r="AV915" i="1"/>
  <c r="BC441" i="1"/>
  <c r="AV121" i="1"/>
  <c r="BC243" i="1"/>
  <c r="BC219" i="1"/>
  <c r="BC139" i="1"/>
  <c r="J313" i="1"/>
  <c r="BC1222" i="1"/>
  <c r="BC1049" i="1"/>
  <c r="BC698" i="1"/>
  <c r="H1176" i="1"/>
  <c r="I89" i="1"/>
  <c r="AV596" i="1"/>
  <c r="AV257" i="1"/>
  <c r="BC1166" i="1"/>
  <c r="BC79" i="1"/>
  <c r="I127" i="1"/>
  <c r="BC687" i="1"/>
  <c r="H1205" i="1"/>
  <c r="AV1239" i="1"/>
  <c r="H756" i="1"/>
  <c r="BC884" i="1"/>
  <c r="AV779" i="1"/>
  <c r="BC938" i="1"/>
  <c r="AV1032" i="1"/>
  <c r="H1294" i="1"/>
  <c r="BC247" i="1"/>
  <c r="AV303" i="1"/>
  <c r="AV1301" i="1"/>
  <c r="AV378" i="1"/>
  <c r="AV1230" i="1"/>
  <c r="AV561" i="1"/>
  <c r="BC556" i="1"/>
  <c r="I13" i="1"/>
  <c r="AV289" i="1"/>
  <c r="BC289" i="1"/>
  <c r="I1085" i="1"/>
  <c r="BC334" i="1"/>
  <c r="AV609" i="1"/>
  <c r="I1189" i="1"/>
  <c r="AV1011" i="1"/>
  <c r="AV1310" i="1"/>
  <c r="AV1245" i="1"/>
  <c r="AV1173" i="1"/>
  <c r="AV1131" i="1"/>
  <c r="BC1215" i="1"/>
  <c r="AV1216" i="1"/>
  <c r="BC709" i="1"/>
  <c r="BC898" i="1"/>
  <c r="BC622" i="1"/>
  <c r="AV515" i="1"/>
  <c r="BC215" i="1"/>
  <c r="BC267" i="1"/>
  <c r="BC1143" i="1"/>
  <c r="BC971" i="1"/>
  <c r="BC764" i="1"/>
  <c r="AV589" i="1"/>
  <c r="AV621" i="1"/>
  <c r="AV1225" i="1"/>
  <c r="BC1116" i="1"/>
  <c r="BC1249" i="1"/>
  <c r="BC1308" i="1"/>
  <c r="BC715" i="1"/>
  <c r="I356" i="1"/>
  <c r="AV503" i="1"/>
  <c r="BC478" i="1"/>
  <c r="I429" i="1"/>
  <c r="BC537" i="1"/>
  <c r="BC1284" i="1"/>
  <c r="H1189" i="1"/>
  <c r="BC500" i="1"/>
  <c r="I365" i="1"/>
  <c r="AV1125" i="1"/>
  <c r="BC1125" i="1"/>
  <c r="H13" i="1"/>
  <c r="BC340" i="1"/>
  <c r="BC261" i="1"/>
  <c r="BC287" i="1"/>
  <c r="AV1275" i="1"/>
  <c r="BC1275" i="1"/>
  <c r="AV958" i="1"/>
  <c r="BC349" i="1"/>
  <c r="AV349" i="1"/>
  <c r="BC1213" i="1"/>
  <c r="AV1213" i="1"/>
  <c r="AV1277" i="1"/>
  <c r="H1031" i="1"/>
  <c r="BC553" i="1"/>
  <c r="AV1233" i="1"/>
  <c r="AV352" i="1"/>
  <c r="BC352" i="1"/>
  <c r="J1329" i="1"/>
  <c r="BC405" i="1"/>
  <c r="AV405" i="1"/>
  <c r="BC160" i="1"/>
  <c r="AV160" i="1"/>
  <c r="AV810" i="1"/>
  <c r="BC810" i="1"/>
  <c r="BC883" i="1"/>
  <c r="AV883" i="1"/>
  <c r="BC1311" i="1"/>
  <c r="AV1311" i="1"/>
  <c r="I756" i="1"/>
  <c r="BC1032" i="1"/>
  <c r="BC561" i="1"/>
  <c r="BC524" i="1"/>
  <c r="BC729" i="1"/>
  <c r="BC378" i="1"/>
  <c r="C16" i="2"/>
  <c r="BC483" i="1"/>
  <c r="BC1315" i="1"/>
  <c r="AV1328" i="1"/>
  <c r="AV1316" i="1"/>
  <c r="H1224" i="1"/>
  <c r="BC1015" i="1"/>
  <c r="AV938" i="1"/>
  <c r="I879" i="1"/>
  <c r="BC800" i="1"/>
  <c r="AV1058" i="1"/>
  <c r="H660" i="1"/>
  <c r="AV809" i="1"/>
  <c r="AV764" i="1"/>
  <c r="AV468" i="1"/>
  <c r="H550" i="1"/>
  <c r="C19" i="2"/>
  <c r="I550" i="1"/>
  <c r="AV801" i="1"/>
  <c r="H474" i="1"/>
  <c r="BC371" i="1"/>
  <c r="I166" i="1"/>
  <c r="AV493" i="1"/>
  <c r="H333" i="1"/>
  <c r="BC133" i="1"/>
  <c r="H60" i="1"/>
  <c r="BC117" i="1"/>
  <c r="BC44" i="1"/>
  <c r="AV100" i="1"/>
  <c r="AV79" i="1"/>
  <c r="AV1024" i="1"/>
  <c r="BC1024" i="1"/>
  <c r="BC1298" i="1"/>
  <c r="BC877" i="1"/>
  <c r="AV877" i="1"/>
  <c r="BC1244" i="1"/>
  <c r="AV1244" i="1"/>
  <c r="BC792" i="1"/>
  <c r="AV792" i="1"/>
  <c r="AV353" i="1"/>
  <c r="BC221" i="1"/>
  <c r="AV221" i="1"/>
  <c r="BC426" i="1"/>
  <c r="AV426" i="1"/>
  <c r="BC856" i="1"/>
  <c r="AV856" i="1"/>
  <c r="H111" i="1"/>
  <c r="I694" i="1"/>
  <c r="BC54" i="1"/>
  <c r="I765" i="1"/>
  <c r="BC1136" i="1"/>
  <c r="I399" i="1"/>
  <c r="I231" i="1"/>
  <c r="BC1247" i="1"/>
  <c r="BC1127" i="1"/>
  <c r="I885" i="1"/>
  <c r="BC724" i="1"/>
  <c r="H885" i="1"/>
  <c r="I614" i="1"/>
  <c r="H356" i="1"/>
  <c r="H203" i="1"/>
  <c r="H879" i="1"/>
  <c r="I314" i="1"/>
  <c r="H148" i="1"/>
  <c r="BC320" i="1"/>
  <c r="BC108" i="1"/>
  <c r="BC228" i="1"/>
  <c r="BC1206" i="1"/>
  <c r="AV1206" i="1"/>
  <c r="BC1226" i="1"/>
  <c r="AV1226" i="1"/>
  <c r="AV1143" i="1"/>
  <c r="BC939" i="1"/>
  <c r="AV939" i="1"/>
  <c r="AV705" i="1"/>
  <c r="AV754" i="1"/>
  <c r="AV1034" i="1"/>
  <c r="BC1034" i="1"/>
  <c r="AV1166" i="1"/>
  <c r="BC344" i="1"/>
  <c r="BC339" i="1"/>
  <c r="C17" i="2"/>
  <c r="C18" i="2"/>
  <c r="H256" i="1"/>
  <c r="AV537" i="1"/>
  <c r="AV400" i="1"/>
  <c r="H704" i="1"/>
  <c r="BC1001" i="1"/>
  <c r="AV1038" i="1"/>
  <c r="AV1222" i="1"/>
  <c r="BC908" i="1"/>
  <c r="AV1285" i="1"/>
  <c r="AV1002" i="1"/>
  <c r="H166" i="1"/>
  <c r="BC1169" i="1"/>
  <c r="AV418" i="1"/>
  <c r="BC589" i="1"/>
  <c r="AV559" i="1"/>
  <c r="I1165" i="1"/>
  <c r="BC396" i="1"/>
  <c r="AV396" i="1"/>
  <c r="BC596" i="1"/>
  <c r="BC481" i="1"/>
  <c r="AV481" i="1"/>
  <c r="BC1180" i="1"/>
  <c r="BC1295" i="1"/>
  <c r="BC1302" i="1"/>
  <c r="AV1256" i="1"/>
  <c r="AV1175" i="1"/>
  <c r="BC1289" i="1"/>
  <c r="AV806" i="1"/>
  <c r="H870" i="1"/>
  <c r="H429" i="1"/>
  <c r="AV974" i="1"/>
  <c r="BC450" i="1"/>
  <c r="I256" i="1"/>
  <c r="BC410" i="1"/>
  <c r="AV275" i="1"/>
  <c r="BC224" i="1"/>
  <c r="AV326" i="1"/>
  <c r="I43" i="1"/>
  <c r="AV204" i="1"/>
  <c r="AV24" i="1"/>
  <c r="BC1041" i="1"/>
  <c r="AV1041" i="1"/>
  <c r="AV1218" i="1"/>
  <c r="H1165" i="1"/>
  <c r="AV1048" i="1"/>
  <c r="BC1048" i="1"/>
  <c r="BC1120" i="1"/>
  <c r="AV176" i="1"/>
  <c r="BC307" i="1"/>
  <c r="H365" i="1"/>
  <c r="BC301" i="1"/>
  <c r="AV301" i="1"/>
  <c r="BC269" i="1"/>
  <c r="AV269" i="1"/>
  <c r="BC621" i="1"/>
  <c r="H89" i="1"/>
  <c r="BC838" i="1"/>
  <c r="AV838" i="1"/>
  <c r="AV366" i="1"/>
  <c r="BC237" i="1"/>
  <c r="I1123" i="1"/>
  <c r="H322" i="1"/>
  <c r="H1251" i="1"/>
  <c r="H628" i="1"/>
  <c r="AV1049" i="1"/>
  <c r="AV971" i="1"/>
  <c r="AV1292" i="1"/>
  <c r="AV1283" i="1"/>
  <c r="I1224" i="1"/>
  <c r="J1313" i="1"/>
  <c r="J1220" i="1"/>
  <c r="H1040" i="1"/>
  <c r="I628" i="1"/>
  <c r="BC489" i="1"/>
  <c r="I333" i="1"/>
  <c r="I138" i="1"/>
  <c r="C14" i="2"/>
  <c r="H1323" i="1"/>
  <c r="H1313" i="1" s="1"/>
  <c r="BC1177" i="1"/>
  <c r="AV1177" i="1"/>
  <c r="AV295" i="1"/>
  <c r="BC295" i="1"/>
  <c r="BC1281" i="1"/>
  <c r="AV1281" i="1"/>
  <c r="BC172" i="1"/>
  <c r="BC609" i="1"/>
  <c r="AV292" i="1"/>
  <c r="BC695" i="1"/>
  <c r="AV695" i="1"/>
  <c r="AV950" i="1"/>
  <c r="BC950" i="1"/>
  <c r="BC312" i="1"/>
  <c r="AV252" i="1"/>
  <c r="AV128" i="1"/>
  <c r="BC128" i="1"/>
  <c r="BC94" i="1"/>
  <c r="BC732" i="1"/>
  <c r="AV732" i="1"/>
  <c r="AV986" i="1"/>
  <c r="BC986" i="1"/>
  <c r="BC1042" i="1"/>
  <c r="AV1042" i="1"/>
  <c r="AV1309" i="1"/>
  <c r="BC1309" i="1"/>
  <c r="AV1304" i="1"/>
  <c r="BC1304" i="1"/>
  <c r="AV1227" i="1"/>
  <c r="BC1227" i="1"/>
  <c r="BC806" i="1"/>
  <c r="BC761" i="1"/>
  <c r="AV761" i="1"/>
  <c r="AV962" i="1"/>
  <c r="AV902" i="1"/>
  <c r="BC902" i="1"/>
  <c r="AV833" i="1"/>
  <c r="BC833" i="1"/>
  <c r="AV804" i="1"/>
  <c r="AV783" i="1"/>
  <c r="BC783" i="1"/>
  <c r="AV807" i="1"/>
  <c r="BC807" i="1"/>
  <c r="AV673" i="1"/>
  <c r="BC673" i="1"/>
  <c r="AV677" i="1"/>
  <c r="BC677" i="1"/>
  <c r="H765" i="1"/>
  <c r="BC645" i="1"/>
  <c r="AV645" i="1"/>
  <c r="AV1074" i="1"/>
  <c r="BC357" i="1"/>
  <c r="AV357" i="1"/>
  <c r="AV478" i="1"/>
  <c r="AV363" i="1"/>
  <c r="BC499" i="1"/>
  <c r="AV499" i="1"/>
  <c r="BC136" i="1"/>
  <c r="AV136" i="1"/>
  <c r="AV453" i="1"/>
  <c r="AV152" i="1"/>
  <c r="C15" i="2"/>
  <c r="BC92" i="1"/>
  <c r="AV92" i="1"/>
  <c r="J12" i="1"/>
  <c r="AV577" i="1"/>
  <c r="BC577" i="1"/>
  <c r="BC1241" i="1"/>
  <c r="AV1241" i="1"/>
  <c r="AV1228" i="1"/>
  <c r="BC1228" i="1"/>
  <c r="AV1157" i="1"/>
  <c r="BC1157" i="1"/>
  <c r="AV912" i="1"/>
  <c r="BC912" i="1"/>
  <c r="AV970" i="1"/>
  <c r="AV906" i="1"/>
  <c r="BC906" i="1"/>
  <c r="I1147" i="1"/>
  <c r="AV799" i="1"/>
  <c r="BC799" i="1"/>
  <c r="AV789" i="1"/>
  <c r="BC789" i="1"/>
  <c r="AV650" i="1"/>
  <c r="BC650" i="1"/>
  <c r="AV733" i="1"/>
  <c r="BC733" i="1"/>
  <c r="AV665" i="1"/>
  <c r="BC665" i="1"/>
  <c r="AV579" i="1"/>
  <c r="BC579" i="1"/>
  <c r="AV331" i="1"/>
  <c r="BC331" i="1"/>
  <c r="AV361" i="1"/>
  <c r="BC361" i="1"/>
  <c r="AV414" i="1"/>
  <c r="BC414" i="1"/>
  <c r="AV135" i="1"/>
  <c r="BC135" i="1"/>
  <c r="AV383" i="1"/>
  <c r="BC383" i="1"/>
  <c r="AV359" i="1"/>
  <c r="BC225" i="1"/>
  <c r="AV225" i="1"/>
  <c r="AV245" i="1"/>
  <c r="BC245" i="1"/>
  <c r="AV191" i="1"/>
  <c r="BC191" i="1"/>
  <c r="BC254" i="1"/>
  <c r="AV254" i="1"/>
  <c r="AV456" i="1"/>
  <c r="BC456" i="1"/>
  <c r="AV86" i="1"/>
  <c r="BC1196" i="1"/>
  <c r="AV1196" i="1"/>
  <c r="J1159" i="1"/>
  <c r="BC1130" i="1"/>
  <c r="AV1212" i="1"/>
  <c r="BC1212" i="1"/>
  <c r="AV1111" i="1"/>
  <c r="BC1111" i="1"/>
  <c r="BC889" i="1"/>
  <c r="AV1297" i="1"/>
  <c r="BC1297" i="1"/>
  <c r="AV1306" i="1"/>
  <c r="BC1306" i="1"/>
  <c r="BC1194" i="1"/>
  <c r="BC1235" i="1"/>
  <c r="AV1235" i="1"/>
  <c r="AV1201" i="1"/>
  <c r="BC1201" i="1"/>
  <c r="AV1209" i="1"/>
  <c r="BC1209" i="1"/>
  <c r="I1102" i="1"/>
  <c r="J1039" i="1"/>
  <c r="I1040" i="1"/>
  <c r="AV782" i="1"/>
  <c r="BC782" i="1"/>
  <c r="BC717" i="1"/>
  <c r="AV717" i="1"/>
  <c r="AV1324" i="1"/>
  <c r="AV859" i="1"/>
  <c r="BC859" i="1"/>
  <c r="AV680" i="1"/>
  <c r="BC680" i="1"/>
  <c r="AV818" i="1"/>
  <c r="BC818" i="1"/>
  <c r="BC625" i="1"/>
  <c r="AV625" i="1"/>
  <c r="AV812" i="1"/>
  <c r="BC812" i="1"/>
  <c r="AV512" i="1"/>
  <c r="BC512" i="1"/>
  <c r="I322" i="1"/>
  <c r="I569" i="1"/>
  <c r="BC387" i="1"/>
  <c r="BC142" i="1"/>
  <c r="AV142" i="1"/>
  <c r="BC239" i="1"/>
  <c r="AV239" i="1"/>
  <c r="BC88" i="1"/>
  <c r="AV88" i="1"/>
  <c r="AV763" i="1"/>
  <c r="BC763" i="1"/>
  <c r="AV794" i="1"/>
  <c r="BC794" i="1"/>
  <c r="AV472" i="1"/>
  <c r="BC472" i="1"/>
  <c r="AV14" i="1"/>
  <c r="BC14" i="1"/>
  <c r="BC149" i="1"/>
  <c r="AV149" i="1"/>
  <c r="AV281" i="1"/>
  <c r="BC281" i="1"/>
  <c r="BC48" i="1"/>
  <c r="AV48" i="1"/>
  <c r="AV1315" i="1"/>
  <c r="BC1250" i="1"/>
  <c r="AV1232" i="1"/>
  <c r="BC1232" i="1"/>
  <c r="BC1182" i="1"/>
  <c r="AV1182" i="1"/>
  <c r="BC1097" i="1"/>
  <c r="AV1139" i="1"/>
  <c r="BC1139" i="1"/>
  <c r="AV1044" i="1"/>
  <c r="BC1044" i="1"/>
  <c r="AV946" i="1"/>
  <c r="BC946" i="1"/>
  <c r="BC1208" i="1"/>
  <c r="AV1208" i="1"/>
  <c r="AV1018" i="1"/>
  <c r="BC1018" i="1"/>
  <c r="AV1099" i="1"/>
  <c r="BC1099" i="1"/>
  <c r="AV762" i="1"/>
  <c r="BC762" i="1"/>
  <c r="BC1252" i="1"/>
  <c r="AV1252" i="1"/>
  <c r="BC981" i="1"/>
  <c r="AV981" i="1"/>
  <c r="BC795" i="1"/>
  <c r="AV795" i="1"/>
  <c r="AV1319" i="1"/>
  <c r="AV788" i="1"/>
  <c r="BC815" i="1"/>
  <c r="AV863" i="1"/>
  <c r="BC863" i="1"/>
  <c r="BC712" i="1"/>
  <c r="AV712" i="1"/>
  <c r="BC921" i="1"/>
  <c r="AV921" i="1"/>
  <c r="AV648" i="1"/>
  <c r="BC648" i="1"/>
  <c r="BC599" i="1"/>
  <c r="AV599" i="1"/>
  <c r="H519" i="1"/>
  <c r="BC811" i="1"/>
  <c r="AV811" i="1"/>
  <c r="AV483" i="1"/>
  <c r="AV646" i="1"/>
  <c r="BC646" i="1"/>
  <c r="AV657" i="1"/>
  <c r="BC657" i="1"/>
  <c r="AV465" i="1"/>
  <c r="BC465" i="1"/>
  <c r="I60" i="1"/>
  <c r="AV188" i="1"/>
  <c r="BC90" i="1"/>
  <c r="BC354" i="1"/>
  <c r="AV354" i="1"/>
  <c r="AV279" i="1"/>
  <c r="AV103" i="1"/>
  <c r="BC103" i="1"/>
  <c r="BC82" i="1"/>
  <c r="AV82" i="1"/>
  <c r="AV58" i="1"/>
  <c r="AV1229" i="1"/>
  <c r="BC1229" i="1"/>
  <c r="BC1245" i="1"/>
  <c r="AV1231" i="1"/>
  <c r="BC1231" i="1"/>
  <c r="AV968" i="1"/>
  <c r="BC968" i="1"/>
  <c r="AV1021" i="1"/>
  <c r="BC1021" i="1"/>
  <c r="AV949" i="1"/>
  <c r="BC949" i="1"/>
  <c r="AV891" i="1"/>
  <c r="BC891" i="1"/>
  <c r="AV817" i="1"/>
  <c r="BC817" i="1"/>
  <c r="BC565" i="1"/>
  <c r="AV565" i="1"/>
  <c r="AV874" i="1"/>
  <c r="BC874" i="1"/>
  <c r="AV880" i="1"/>
  <c r="BC880" i="1"/>
  <c r="I148" i="1"/>
  <c r="AV485" i="1"/>
  <c r="BC485" i="1"/>
  <c r="AV154" i="1"/>
  <c r="BC154" i="1"/>
  <c r="BC35" i="1"/>
  <c r="AV146" i="1"/>
  <c r="BC40" i="1"/>
  <c r="AV40" i="1"/>
  <c r="BC1103" i="1"/>
  <c r="AV1236" i="1"/>
  <c r="BC1236" i="1"/>
  <c r="AV1137" i="1"/>
  <c r="BC1137" i="1"/>
  <c r="J869" i="1"/>
  <c r="J597" i="1"/>
  <c r="AV1318" i="1"/>
  <c r="BC1318" i="1"/>
  <c r="BC1276" i="1"/>
  <c r="AV1276" i="1"/>
  <c r="AV990" i="1"/>
  <c r="BC990" i="1"/>
  <c r="BC943" i="1"/>
  <c r="AV943" i="1"/>
  <c r="AV904" i="1"/>
  <c r="BC904" i="1"/>
  <c r="AV790" i="1"/>
  <c r="BC790" i="1"/>
  <c r="AV798" i="1"/>
  <c r="BC798" i="1"/>
  <c r="AV615" i="1"/>
  <c r="BC615" i="1"/>
  <c r="AV520" i="1"/>
  <c r="BC520" i="1"/>
  <c r="BC770" i="1"/>
  <c r="AV770" i="1"/>
  <c r="AV707" i="1"/>
  <c r="BC707" i="1"/>
  <c r="AV543" i="1"/>
  <c r="BC543" i="1"/>
  <c r="BC447" i="1"/>
  <c r="AV447" i="1"/>
  <c r="BC573" i="1"/>
  <c r="AV573" i="1"/>
  <c r="AV328" i="1"/>
  <c r="BC328" i="1"/>
  <c r="J527" i="1"/>
  <c r="BC97" i="1"/>
  <c r="AV97" i="1"/>
  <c r="AV896" i="1"/>
  <c r="BC896" i="1"/>
  <c r="BC1262" i="1"/>
  <c r="AV1262" i="1"/>
  <c r="AV1214" i="1"/>
  <c r="BC1214" i="1"/>
  <c r="AV932" i="1"/>
  <c r="BC932" i="1"/>
  <c r="BC1131" i="1"/>
  <c r="AV1107" i="1"/>
  <c r="BC1107" i="1"/>
  <c r="AV923" i="1"/>
  <c r="BC923" i="1"/>
  <c r="AV924" i="1"/>
  <c r="BC924" i="1"/>
  <c r="AV929" i="1"/>
  <c r="AV752" i="1"/>
  <c r="BC752" i="1"/>
  <c r="AV1046" i="1"/>
  <c r="BC1046" i="1"/>
  <c r="AV808" i="1"/>
  <c r="BC808" i="1"/>
  <c r="AV965" i="1"/>
  <c r="BC965" i="1"/>
  <c r="AV1156" i="1"/>
  <c r="BC1156" i="1"/>
  <c r="BC797" i="1"/>
  <c r="AV797" i="1"/>
  <c r="AV831" i="1"/>
  <c r="BC831" i="1"/>
  <c r="AV721" i="1"/>
  <c r="BC721" i="1"/>
  <c r="AV661" i="1"/>
  <c r="BC661" i="1"/>
  <c r="J1118" i="1"/>
  <c r="AV840" i="1"/>
  <c r="BC840" i="1"/>
  <c r="H676" i="1"/>
  <c r="AV772" i="1"/>
  <c r="BC772" i="1"/>
  <c r="I704" i="1"/>
  <c r="AV504" i="1"/>
  <c r="BC504" i="1"/>
  <c r="BC522" i="1"/>
  <c r="AV522" i="1"/>
  <c r="J364" i="1"/>
  <c r="I474" i="1"/>
  <c r="C29" i="2"/>
  <c r="F29" i="2" s="1"/>
  <c r="AV262" i="1"/>
  <c r="BC262" i="1"/>
  <c r="BC32" i="1"/>
  <c r="AV32" i="1"/>
  <c r="I1312" i="1" l="1"/>
  <c r="I1313" i="1"/>
  <c r="I1220" i="1"/>
  <c r="H1039" i="1"/>
  <c r="H1118" i="1"/>
  <c r="H1220" i="1"/>
  <c r="H869" i="1"/>
  <c r="H527" i="1"/>
  <c r="C22" i="2"/>
  <c r="I12" i="1"/>
  <c r="I527" i="1"/>
  <c r="H1159" i="1"/>
  <c r="I313" i="1"/>
  <c r="H364" i="1"/>
  <c r="H1312" i="1"/>
  <c r="H313" i="1"/>
  <c r="H12" i="1"/>
  <c r="I1159" i="1"/>
  <c r="I869" i="1"/>
  <c r="I597" i="1"/>
  <c r="I1118" i="1"/>
  <c r="I364" i="1"/>
  <c r="H597" i="1"/>
  <c r="I28" i="2"/>
  <c r="I29" i="2" s="1"/>
  <c r="I1039" i="1"/>
</calcChain>
</file>

<file path=xl/sharedStrings.xml><?xml version="1.0" encoding="utf-8"?>
<sst xmlns="http://schemas.openxmlformats.org/spreadsheetml/2006/main" count="8258" uniqueCount="2474">
  <si>
    <t>Slepý stavební rozpočet</t>
  </si>
  <si>
    <t>Název stavby:</t>
  </si>
  <si>
    <t xml:space="preserve">Regenerace návsi Ketkovice - 1. ETAPA	</t>
  </si>
  <si>
    <t>Doba výstavby:</t>
  </si>
  <si>
    <t xml:space="preserve"> </t>
  </si>
  <si>
    <t>Objednatel:</t>
  </si>
  <si>
    <t>Obec Ketkovice, Ketkovice 87, 664 91 Ivančice</t>
  </si>
  <si>
    <t>Druh stavby:</t>
  </si>
  <si>
    <t xml:space="preserve">veřejné prostranství	</t>
  </si>
  <si>
    <t>Začátek výstavby:</t>
  </si>
  <si>
    <t>06.03.2025</t>
  </si>
  <si>
    <t>Projektant:</t>
  </si>
  <si>
    <t>Atelier V8 s.r.o., Vez Zmolách 10, 675 73 Kralice</t>
  </si>
  <si>
    <t>Lokalita:</t>
  </si>
  <si>
    <t>Ketkovice</t>
  </si>
  <si>
    <t>Konec výstavby:</t>
  </si>
  <si>
    <t>Zhotovitel:</t>
  </si>
  <si>
    <t> </t>
  </si>
  <si>
    <t>JKSO:</t>
  </si>
  <si>
    <t>823</t>
  </si>
  <si>
    <t>Zpracováno dne:</t>
  </si>
  <si>
    <t>Zpracoval:</t>
  </si>
  <si>
    <t>Č</t>
  </si>
  <si>
    <t>Kód</t>
  </si>
  <si>
    <t>Zkrácený popis / Varianta</t>
  </si>
  <si>
    <t>MJ</t>
  </si>
  <si>
    <t>Množství</t>
  </si>
  <si>
    <t>Cena/MJ</t>
  </si>
  <si>
    <t>Náklady (Kč)</t>
  </si>
  <si>
    <t>Cenová</t>
  </si>
  <si>
    <t>ISWORK</t>
  </si>
  <si>
    <t>GROUPCODE</t>
  </si>
  <si>
    <t>VATTAX</t>
  </si>
  <si>
    <t>Rozměry</t>
  </si>
  <si>
    <t>(Kč)</t>
  </si>
  <si>
    <t>Dodávka</t>
  </si>
  <si>
    <t>Montáž</t>
  </si>
  <si>
    <t>Celkem</t>
  </si>
  <si>
    <t>soustava</t>
  </si>
  <si>
    <t>Přesuny</t>
  </si>
  <si>
    <t>Typ skupiny</t>
  </si>
  <si>
    <t>HSV mat</t>
  </si>
  <si>
    <t>HSV prac</t>
  </si>
  <si>
    <t>PSV mat</t>
  </si>
  <si>
    <t>PSV prac</t>
  </si>
  <si>
    <t>Mont mat</t>
  </si>
  <si>
    <t>Mont prac</t>
  </si>
  <si>
    <t>Ostatní mat.</t>
  </si>
  <si>
    <t>MAT</t>
  </si>
  <si>
    <t>WORK</t>
  </si>
  <si>
    <t>CELK</t>
  </si>
  <si>
    <t/>
  </si>
  <si>
    <t>Vodní nádrž</t>
  </si>
  <si>
    <t>13</t>
  </si>
  <si>
    <t>Hloubené vykopávky</t>
  </si>
  <si>
    <t>SO01</t>
  </si>
  <si>
    <t>1</t>
  </si>
  <si>
    <t>132201211R00</t>
  </si>
  <si>
    <t>Hloubení rýh š.do 200 cm hor.3 do 100 m3,STROJNĚ</t>
  </si>
  <si>
    <t>m3</t>
  </si>
  <si>
    <t>RTS I / 2024</t>
  </si>
  <si>
    <t>13_</t>
  </si>
  <si>
    <t>SO01_1_</t>
  </si>
  <si>
    <t>SO01_</t>
  </si>
  <si>
    <t>89,6</t>
  </si>
  <si>
    <t>stoka dešťová kanalizace uzna</t>
  </si>
  <si>
    <t>31,2</t>
  </si>
  <si>
    <t>napojení jezírka na zatrubněný potok</t>
  </si>
  <si>
    <t>RTS komentář:</t>
  </si>
  <si>
    <t>Položka obsahuje hloubení rýh traktorbagrem,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</si>
  <si>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Poznámka:</t>
  </si>
  <si>
    <t>Úseky 1 - 4 (14,3m+4,6m+48,1m+5m), odečet 29 m neuznatelný výkop
Šířka výkopu 1,2 m, hloubka výkopu 1,7 - 0,13. Odebrání svrchních a podkladních vrstev komunikací a zpevněných ploch je oceněno samostatně</t>
  </si>
  <si>
    <t>Dokumentace:</t>
  </si>
  <si>
    <t>výkres D1.1.1.06, D1.1.1.09,</t>
  </si>
  <si>
    <t>2</t>
  </si>
  <si>
    <t>132201219R00</t>
  </si>
  <si>
    <t>Přípl.za lepivost,hloubení rýh 200cm,hor.3,STROJNĚ</t>
  </si>
  <si>
    <t>kanal uzna</t>
  </si>
  <si>
    <t>13*2*1,2</t>
  </si>
  <si>
    <t>Do měrných jednotek se udává poměrné množství zeminy, které ulpí v nářadí a o které je snížen celkový výkon stroje</t>
  </si>
  <si>
    <t>3</t>
  </si>
  <si>
    <t>131201112R00</t>
  </si>
  <si>
    <t>Hloubení nezapaž. jam hor.3 do 1000 m3, STROJNĚ</t>
  </si>
  <si>
    <t>0,8*58,6*1,5</t>
  </si>
  <si>
    <t>vnější opěrné zdi jezera</t>
  </si>
  <si>
    <t>22</t>
  </si>
  <si>
    <t>jímky</t>
  </si>
  <si>
    <t>0,8*44*2</t>
  </si>
  <si>
    <t>vnitřní opěrné zdi jezera</t>
  </si>
  <si>
    <t>120*1,4</t>
  </si>
  <si>
    <t>hluboká část</t>
  </si>
  <si>
    <t>8*1,5</t>
  </si>
  <si>
    <t>šachta</t>
  </si>
  <si>
    <t>Položka obsahuje hloubení jámy, naložení výkopku na dopravní prostředek pro svislé, nebo vodorovné přemístění, popř. přemístění výkopku do 3 m (po povrchu území), případné zajištění rypadel polštáři, udržování pracoviště a ochranu výkopiště proti stékání srážkové vody z okolního terénu i s jejím odvodněním, nebo odvedením, přesekání a odstranění kořenů ve výkopišti, odstranění napadávek, urovnání dna výkopu</t>
  </si>
  <si>
    <t>Od výkopu je odečtena mocnost demolované asfaltové plochy</t>
  </si>
  <si>
    <t>4</t>
  </si>
  <si>
    <t>131201119R00</t>
  </si>
  <si>
    <t>Příplatek za lepivost - hloubení nezap.jam v hor.3</t>
  </si>
  <si>
    <t>15</t>
  </si>
  <si>
    <t>Roubení</t>
  </si>
  <si>
    <t>5</t>
  </si>
  <si>
    <t>151101101R00</t>
  </si>
  <si>
    <t>Pažení a rozepření stěn rýh - příložné - hl.do 2 m</t>
  </si>
  <si>
    <t>m2</t>
  </si>
  <si>
    <t>15_</t>
  </si>
  <si>
    <t>Varianta:</t>
  </si>
  <si>
    <t>pro část výkopů rýh o hloubce nad 1,3 m</t>
  </si>
  <si>
    <t>52,7*1,7</t>
  </si>
  <si>
    <t>Stoka PP DN 250</t>
  </si>
  <si>
    <t>13*2</t>
  </si>
  <si>
    <t>Stoka PP DN 300</t>
  </si>
  <si>
    <t>Odstranění pažení a rozepření se oceňuje samostatně.</t>
  </si>
  <si>
    <t>6</t>
  </si>
  <si>
    <t>151101111R00</t>
  </si>
  <si>
    <t>Odstranění pažení stěn rýh - příložné - hl. do 2 m</t>
  </si>
  <si>
    <t>10,5*2</t>
  </si>
  <si>
    <t>16</t>
  </si>
  <si>
    <t>Přemístění výkopku</t>
  </si>
  <si>
    <t>7</t>
  </si>
  <si>
    <t>162301101R00</t>
  </si>
  <si>
    <t>Vodorovné přemístění výkopku z hor.1-4 do 500 m</t>
  </si>
  <si>
    <t>16_</t>
  </si>
  <si>
    <t>10,5*1,2*1,7</t>
  </si>
  <si>
    <t>pro zásyp odpadního potrubí</t>
  </si>
  <si>
    <t>43*1,2*0,8</t>
  </si>
  <si>
    <t>pro zásyp dešťové kanalizace</t>
  </si>
  <si>
    <t>přemístění výkopku pro zásypy deštové kanalizace</t>
  </si>
  <si>
    <t>8</t>
  </si>
  <si>
    <t>161101101R00</t>
  </si>
  <si>
    <t>Svislé přemístění výkopku z hor.1-4 do 2,5 m</t>
  </si>
  <si>
    <t>18,8</t>
  </si>
  <si>
    <t>kanalizace nad výkopy 1 m</t>
  </si>
  <si>
    <t>75</t>
  </si>
  <si>
    <t>výkopy u jezera a šachet nad 1m</t>
  </si>
  <si>
    <t>odpadní kanalizace výkopy nad 1 m</t>
  </si>
  <si>
    <t>10</t>
  </si>
  <si>
    <t>výkopy jímky</t>
  </si>
  <si>
    <t xml:space="preserve">Platí pro hloubky výkopu od 1 do 2,5 m. Při hloubce do 1 m se svislé přemístění neoceňuje.  Tabulka pro určení podílu svislého přemístění výkopku. Číselná hodnota uvedená v tabulce udává procento z celkového objemu výkopávky, pro něž se oceňuje svislé přemístění výkopku.  a) hloubení jam objemu do 100 m3  100 %  objemu do 1000 m3  8 % objemu do 10000 m3  3 %  objemu nad 10000 m3  2 %  b) hloubení rýh š. do 60 cm bez ohledu na objem  100 %  c) hloubení rýh š. do 200 cm objemu do 100 m3  100 % objemu nad 100 m3  50 %  d) hloubení zářezů objemu do 1000 m3  neoceňuje se objemu do 10000 m3  neoceňuje se objemu nad 10000 m3  neoceňuje se  </t>
  </si>
  <si>
    <t>9</t>
  </si>
  <si>
    <t>162601102R00</t>
  </si>
  <si>
    <t>Vodorovné přemístění výkopku z hor.1-4 do 5000 m</t>
  </si>
  <si>
    <t>342,72+120,8-254,3</t>
  </si>
  <si>
    <t>bez zeminy pro svahování a zpětný zásyp a neuzna kanal</t>
  </si>
  <si>
    <t>162701105R00</t>
  </si>
  <si>
    <t>Vodorovné přemístění výkopku z hor.1-4 do 10000 m</t>
  </si>
  <si>
    <t>11</t>
  </si>
  <si>
    <t>167101102R00</t>
  </si>
  <si>
    <t>Nakládání výkopku z hor. 1 ÷ 4 v množství nad 100 m3</t>
  </si>
  <si>
    <t>12</t>
  </si>
  <si>
    <t>199000002R00</t>
  </si>
  <si>
    <t>Poplatek za skládku horniny 1- 4, č. dle katal. odpadů 17 05 04</t>
  </si>
  <si>
    <t xml:space="preserve">1 m3 zeminy tř. 3 váží 1,83 t 1 m3 zeminy tř. 4 váží 1,95 </t>
  </si>
  <si>
    <t>17</t>
  </si>
  <si>
    <t>Konstrukce ze zemin</t>
  </si>
  <si>
    <t>175101101R00</t>
  </si>
  <si>
    <t>Obsyp potrubí bez prohození sypaniny</t>
  </si>
  <si>
    <t>17_</t>
  </si>
  <si>
    <t>43*1,2*0,4</t>
  </si>
  <si>
    <t>dešťová kanalizace</t>
  </si>
  <si>
    <t>10,3*1,2*0,45</t>
  </si>
  <si>
    <t>odpadní kanalizace</t>
  </si>
  <si>
    <t>Je-li pro obsyp použit jiný materiál než vytěžená sypanina, oceňuje se ve specifikaci. Ztratné se doporučuje ve výši 1%.</t>
  </si>
  <si>
    <t>14</t>
  </si>
  <si>
    <t>174101101R00</t>
  </si>
  <si>
    <t>Zásyp jam, rýh, šachet se zhutněním</t>
  </si>
  <si>
    <t>43*1,2*0,6</t>
  </si>
  <si>
    <t>stoka PP 250</t>
  </si>
  <si>
    <t>13*1,2*1,5</t>
  </si>
  <si>
    <t>stoka PP 300</t>
  </si>
  <si>
    <t>Položka obsahuje strojní přemístění materiálu pro zásyp ze vzdálenosti do 10 m od okraje zásypu.</t>
  </si>
  <si>
    <t>171101103R00</t>
  </si>
  <si>
    <t>Uložení sypaniny do násypů zhutněných na 100% PS</t>
  </si>
  <si>
    <t>91*0,5/2</t>
  </si>
  <si>
    <t>svahování pozvolné části</t>
  </si>
  <si>
    <t>47*1</t>
  </si>
  <si>
    <t>zásyp po demolici schodiště</t>
  </si>
  <si>
    <t>Položka se používá pro násypy z hornin soudržných.</t>
  </si>
  <si>
    <t>171201201R00</t>
  </si>
  <si>
    <t>Uložení sypaniny na skl.-sypanina na výšku přes 2m</t>
  </si>
  <si>
    <t>skládka zeminy pro terénní úpravy v rámci areálu staveniště</t>
  </si>
  <si>
    <t>91*0,5*2</t>
  </si>
  <si>
    <t>svahování</t>
  </si>
  <si>
    <t>(8+44+58,6)*0,4*1,5</t>
  </si>
  <si>
    <t>zásyp zdí</t>
  </si>
  <si>
    <t>Položka se nepoužívá pro prosté vysypání zeminy na skládku. To je zahrnuto v ceně odvozu. Položka neobsahuje náklady na získání skládek ani na poplatky za skládku.</t>
  </si>
  <si>
    <t>18</t>
  </si>
  <si>
    <t>899711122R00</t>
  </si>
  <si>
    <t>Fólie výstražná z PVC šedá, šířka 30 cm</t>
  </si>
  <si>
    <t>m</t>
  </si>
  <si>
    <t>s nápisem kanalizace - materiál + uložení</t>
  </si>
  <si>
    <t>45+11</t>
  </si>
  <si>
    <t>Povrchové úpravy terénu</t>
  </si>
  <si>
    <t>19</t>
  </si>
  <si>
    <t>180802112R00</t>
  </si>
  <si>
    <t>Květinová skalka zakrytá kameny do 50 %</t>
  </si>
  <si>
    <t>18_</t>
  </si>
  <si>
    <t>90</t>
  </si>
  <si>
    <t>osazení balvanů výběrových do jezírka</t>
  </si>
  <si>
    <t>20</t>
  </si>
  <si>
    <t>58380758</t>
  </si>
  <si>
    <t>Kámen lomový balvany pro fontánu a soliery</t>
  </si>
  <si>
    <t>t</t>
  </si>
  <si>
    <t>21</t>
  </si>
  <si>
    <t>Úprava podloží a základové spáry</t>
  </si>
  <si>
    <t>212571111R00</t>
  </si>
  <si>
    <t>Výplň odvodňov. trativodů štěrkopískem tříděným</t>
  </si>
  <si>
    <t>21_</t>
  </si>
  <si>
    <t>SO01_2_</t>
  </si>
  <si>
    <t>71,0*(0,7+0,3)/2*0,2</t>
  </si>
  <si>
    <t>odv. drenáž</t>
  </si>
  <si>
    <t>212753116R00</t>
  </si>
  <si>
    <t>Montáž ohebné dren. trubky do rýhy DN 160,bez lože</t>
  </si>
  <si>
    <t>odvodňovací drenáž DN160 : 71,0</t>
  </si>
  <si>
    <t>23</t>
  </si>
  <si>
    <t>212971110R00</t>
  </si>
  <si>
    <t>Opláštění trativodů z geotext., do sklonu 1:2,5</t>
  </si>
  <si>
    <t>71,0*1,8</t>
  </si>
  <si>
    <t>24</t>
  </si>
  <si>
    <t>Studny</t>
  </si>
  <si>
    <t>247681114R01</t>
  </si>
  <si>
    <t>Těsnění studny se zhutněním z jílu</t>
  </si>
  <si>
    <t>24_</t>
  </si>
  <si>
    <t>vytvoření jílové uzávěry tl. 5 cm na substrátu pro vodní rostliny</t>
  </si>
  <si>
    <t>(173+26)*0,05</t>
  </si>
  <si>
    <t>25</t>
  </si>
  <si>
    <t>58125110</t>
  </si>
  <si>
    <t>Zemina jílovinová surová GE</t>
  </si>
  <si>
    <t>10*2,5</t>
  </si>
  <si>
    <t>pro těsnící vrstvu substrátu u jezírka</t>
  </si>
  <si>
    <t>27</t>
  </si>
  <si>
    <t>Základy</t>
  </si>
  <si>
    <t>26</t>
  </si>
  <si>
    <t>271571111R00</t>
  </si>
  <si>
    <t>Polštář základu ze štěrkopísku tříděného</t>
  </si>
  <si>
    <t>27_</t>
  </si>
  <si>
    <t>58,6*1*0,3</t>
  </si>
  <si>
    <t>ŽB opěrná zeď vnější</t>
  </si>
  <si>
    <t>44*1*0,3</t>
  </si>
  <si>
    <t>ŽB opěr. vnitřní</t>
  </si>
  <si>
    <t>10*1*0,3</t>
  </si>
  <si>
    <t>31</t>
  </si>
  <si>
    <t>Zdi podpěrné a volné</t>
  </si>
  <si>
    <t>311101215R00</t>
  </si>
  <si>
    <t>Vytvoření prostupů o ploše do 0,35 m2 v nosných zdech</t>
  </si>
  <si>
    <t>31_</t>
  </si>
  <si>
    <t>SO01_3_</t>
  </si>
  <si>
    <t>vytvoření prostupů pro technologie v betonových opěrných stěnách pro technologie</t>
  </si>
  <si>
    <t>V položce nejsou kalkulovány náklady na dodávku vložek pro prostupy (trouby, prefabrikáty, tvarovky apod.). Dodávka se oceňuje ve specifikaci. Ztratné se doporučuje ve výši 1</t>
  </si>
  <si>
    <t>32</t>
  </si>
  <si>
    <t>Zdi přehradní a opěrné</t>
  </si>
  <si>
    <t>28</t>
  </si>
  <si>
    <t>327323129R00</t>
  </si>
  <si>
    <t>Konstrukce opěrných zdí ze ŽB vodostavebního zdi a valy, beton třídy  C 30/37</t>
  </si>
  <si>
    <t>32_</t>
  </si>
  <si>
    <t>58,6*1,5*0,45</t>
  </si>
  <si>
    <t>delší opěrka</t>
  </si>
  <si>
    <t>44*1,5*0,45</t>
  </si>
  <si>
    <t>kratši opěrka</t>
  </si>
  <si>
    <t>10*1,5*0,45</t>
  </si>
  <si>
    <t>102,6*0,5*0,4</t>
  </si>
  <si>
    <t>základy</t>
  </si>
  <si>
    <t>29</t>
  </si>
  <si>
    <t>327351211R00</t>
  </si>
  <si>
    <t>Bednění zdí a valů H do 20 m - zřízení</t>
  </si>
  <si>
    <t>58,6*1,5*2</t>
  </si>
  <si>
    <t>44*1,5*2</t>
  </si>
  <si>
    <t>10*1,5*2</t>
  </si>
  <si>
    <t>30</t>
  </si>
  <si>
    <t>327351221R00</t>
  </si>
  <si>
    <t>Bednění zdí a valů H do 20 m - odbednění</t>
  </si>
  <si>
    <t>327361007R00</t>
  </si>
  <si>
    <t>Výztuž zdí a valů z oceli B500B (10 505), D do 12 mm</t>
  </si>
  <si>
    <t>96*0,1</t>
  </si>
  <si>
    <t>odhad cca 100kg/m3</t>
  </si>
  <si>
    <t>327215211R00</t>
  </si>
  <si>
    <t>Zdivo nadzákladové z kamene, na sucho 1str. lícov.</t>
  </si>
  <si>
    <t>včetně materiálu</t>
  </si>
  <si>
    <t>44*0,5*0,5</t>
  </si>
  <si>
    <t>zídka v jezírku</t>
  </si>
  <si>
    <t>45</t>
  </si>
  <si>
    <t>Podkladní a vedlejší konstrukce (kromě vozovek a železničního svršku)</t>
  </si>
  <si>
    <t>33</t>
  </si>
  <si>
    <t>451541121R00</t>
  </si>
  <si>
    <t>Lože pod potrubí z prosívky frakce do 11 mm</t>
  </si>
  <si>
    <t>45_</t>
  </si>
  <si>
    <t>SO01_4_</t>
  </si>
  <si>
    <t>písek fr. 0-4, včetně dodávky materiálu</t>
  </si>
  <si>
    <t>43*0,15*1,2</t>
  </si>
  <si>
    <t>10,5*0,15*1,2</t>
  </si>
  <si>
    <t>Položka je určena i pro zřízení sběrných vrstev nad drenážními trubkami. Položka je určena pro práce v otevřeném výkopu, pro práce ve štole se k položce používá příplatek 45154-1192</t>
  </si>
  <si>
    <t>34</t>
  </si>
  <si>
    <t>452386115R00</t>
  </si>
  <si>
    <t>Vyrovnávací prstence z betonu C 30/37 výšky 100 mm</t>
  </si>
  <si>
    <t>kus</t>
  </si>
  <si>
    <t>V položkách jsou zakalkulovány i náklady na bednění, odbedněné a nátěr bednění proti přilnavosti betonu. Pro volbu položky je rozhodující výška vyrovnávacího prstence</t>
  </si>
  <si>
    <t>35</t>
  </si>
  <si>
    <t>59224348.A</t>
  </si>
  <si>
    <t>Prstenec vyrovnávací šachtový TBW-Q.1 63/8</t>
  </si>
  <si>
    <t>36</t>
  </si>
  <si>
    <t>59224349</t>
  </si>
  <si>
    <t>Prstenec vyrovnávací šachtový TBW-Q.1 63/12</t>
  </si>
  <si>
    <t>37</t>
  </si>
  <si>
    <t>59224349.A</t>
  </si>
  <si>
    <t>Prstenec vyrovnávací šachtový TBW-Q.1 63/10</t>
  </si>
  <si>
    <t>59</t>
  </si>
  <si>
    <t>Kryty pozemních komunikací, letišť a ploch dlážděných (předlažby)</t>
  </si>
  <si>
    <t>38</t>
  </si>
  <si>
    <t>597071123RU1</t>
  </si>
  <si>
    <t>Žlabová vpusť  100, dl.500 mm, B 125</t>
  </si>
  <si>
    <t>59_</t>
  </si>
  <si>
    <t>SO01_5_</t>
  </si>
  <si>
    <t>stavební výška 293 mm, můstkový litinový rošt</t>
  </si>
  <si>
    <t xml:space="preserve">Položka je určena pro montáž a dodávku žlabové vpusti z polymerického betonu včetně roštu s osazením do betonového lože C12/15. Zatížení vpusti A 15, B 125. Stavební výška 293 mm, délka 500 mm.  </t>
  </si>
  <si>
    <t>39</t>
  </si>
  <si>
    <t>597071202R00</t>
  </si>
  <si>
    <t>Žlab odvodňovací150, dl.1000 mm, C 250</t>
  </si>
  <si>
    <t>Položka je určena pro montáž a dodávku odvodňovacího pojezdového žlabu z polymerického betonu s osazením do betonového lože C 12/15. Žlab slouží k odvedení povrchové vody ze zpevněných ploch. Zatížení žlabu A 15, B 125, C 250. Stavební výška 153-155  mm, světlá šířka žlabu 150 mm, délka 1000 mm.</t>
  </si>
  <si>
    <t>40</t>
  </si>
  <si>
    <t>597071291R00</t>
  </si>
  <si>
    <t>Čelní stěna plná pro žlab 150</t>
  </si>
  <si>
    <t xml:space="preserve">Položka je určena pro osazení a dodávku čela. </t>
  </si>
  <si>
    <t>41</t>
  </si>
  <si>
    <t>597071292R00</t>
  </si>
  <si>
    <t>Čelní stěna s nátrubkem pro žlab</t>
  </si>
  <si>
    <t xml:space="preserve">Položka je určena pro osazení a dodávku čela s nátrubkem. Čelo je určeno pro žlaby </t>
  </si>
  <si>
    <t>63</t>
  </si>
  <si>
    <t>Podlahy a podlahové konstrukce</t>
  </si>
  <si>
    <t>42</t>
  </si>
  <si>
    <t>631313511R00</t>
  </si>
  <si>
    <t>Mazanina betonová tl. 8 - 12 cm C 12/15</t>
  </si>
  <si>
    <t>63_</t>
  </si>
  <si>
    <t>SO01_6_</t>
  </si>
  <si>
    <t>9*0,12</t>
  </si>
  <si>
    <t>dno šachty</t>
  </si>
  <si>
    <t>Položka je určena pro mazaninu hlazenou dřevěným hladítkem a to pro mazaninu krycí, popř. podkladní nebo vyrovnávací nebo plovoucí, pod potěry, vlýsky do asfaltu, pod podlahy. Položka je určena i pro betonový okapový chodníček budovy. Jeho podloží se oceňuje samostatně. V položce jsou zakalkulovány i náklady na vytvoření dilatačních spár v mazanině bez zaplnění. Tyto náklady se oceňují položkami souboru 63460 Zaplnění dilatačních spár v mazaninách</t>
  </si>
  <si>
    <t>43</t>
  </si>
  <si>
    <t>631313811R00</t>
  </si>
  <si>
    <t>Mazanina betonová tl. 8 - 12 cm C 30/37</t>
  </si>
  <si>
    <t>44</t>
  </si>
  <si>
    <t>631319173R00</t>
  </si>
  <si>
    <t>Příplatek za stržení povrchu mazaniny tl. 12 cm</t>
  </si>
  <si>
    <t>Položka je určena za stržení povrchu spodní vrstvy mazaniny latí před vložením výztuže nebo pletiva. Položka platí také, bude-li do mazaniny vkládána druhá vrstva výztuže nad sebou oddělená vrstvou betonové směsi, kdy se oceňuje druhé stržení povrchu latí rovněž výměrou (m3) celkové tloušťky tří vrstev mazaniny.</t>
  </si>
  <si>
    <t>631361921R00</t>
  </si>
  <si>
    <t>Výztuž mazanin svařovanou sítí</t>
  </si>
  <si>
    <t>46</t>
  </si>
  <si>
    <t>631571003R00</t>
  </si>
  <si>
    <t>Násyp ze štěrkopísku 0 - 32,  zpevňující</t>
  </si>
  <si>
    <t>310*0,3</t>
  </si>
  <si>
    <t>podsyp pod folii jezera</t>
  </si>
  <si>
    <t>Položka je určena pro násyp pod podlahy, mazaniny a dlažby, popř. na plochých střechách, vodorovný nebo ve spádu, s udusáním a urovnáním povrchu.</t>
  </si>
  <si>
    <t>47</t>
  </si>
  <si>
    <t>631571005RT01</t>
  </si>
  <si>
    <t>Násyp z kameniva těž. praného fr. 4-8 a 8-16 (kačírku)</t>
  </si>
  <si>
    <t>vč. materiálu - kačírek pro jezírko</t>
  </si>
  <si>
    <t>82*0,3</t>
  </si>
  <si>
    <t>zóna nad zídkou</t>
  </si>
  <si>
    <t>91*0.18</t>
  </si>
  <si>
    <t>pozvolná zóna</t>
  </si>
  <si>
    <t>26*0,1</t>
  </si>
  <si>
    <t>submerzní rostliny</t>
  </si>
  <si>
    <t>80% tvoří frakce 4-8, 20% frakce 8-16. Bude ukládáno ve dvou vrstvách - pod jílový záklop a nad jílový záklop</t>
  </si>
  <si>
    <t>711</t>
  </si>
  <si>
    <t>Izolace proti vodě</t>
  </si>
  <si>
    <t>48</t>
  </si>
  <si>
    <t>711472051R00</t>
  </si>
  <si>
    <t>Provedení izolace proti tlakové vodě, na ploše svislé, fóliemi PVC, volně</t>
  </si>
  <si>
    <t>711_</t>
  </si>
  <si>
    <t>SO01_71_</t>
  </si>
  <si>
    <t>57*0,5</t>
  </si>
  <si>
    <t>zeď vnější</t>
  </si>
  <si>
    <t>45*1,5</t>
  </si>
  <si>
    <t>zeď vnitřní</t>
  </si>
  <si>
    <t>10*2</t>
  </si>
  <si>
    <t>čerpadlová jímka</t>
  </si>
  <si>
    <t>Plochy izolací jednotlivě menší než 10 m2 se oceňují s příplatkem položka číslo 711 49-9097.</t>
  </si>
  <si>
    <t>49</t>
  </si>
  <si>
    <t>711471051R00</t>
  </si>
  <si>
    <t>Provedení izolace proti tlakové vodě, na ploše vodorovné, fóliemi PVC, volně</t>
  </si>
  <si>
    <t>122+82+110</t>
  </si>
  <si>
    <t>Dna  a hrany podvodních zdí jezírka</t>
  </si>
  <si>
    <t>Dno šachty pro čerpadla</t>
  </si>
  <si>
    <t>50</t>
  </si>
  <si>
    <t>283221093</t>
  </si>
  <si>
    <t>Fólie hydroizolační PVC-P, -UV tl. 2,0 mm, protiskluzová úprava, zelená barva</t>
  </si>
  <si>
    <t>122+5</t>
  </si>
  <si>
    <t>pochozí dna</t>
  </si>
  <si>
    <t>;ztratné 10%; 12,7</t>
  </si>
  <si>
    <t xml:space="preserve">Hydroizolační fólie z PVC-P (měkčený polyvinylchlorid) k provádění jednovrstvých povlakových krytin plochých střech. Stabilizace praným říčním kamenivem nebo jakoukoli provozní vrstvou, např. dlažbou na podložkách, dřevěným roštem nebo vegetačním souvrstvím. Ve shodě s normou ČSN EN 13956. FLL test proti prorůstání kořenů. Vyztužená skleněným rounem.  Barva: dle vzorníku Stabilizace: přitížením Balení: role 2,05 x 15 </t>
  </si>
  <si>
    <t>51</t>
  </si>
  <si>
    <t>28322087</t>
  </si>
  <si>
    <t>Fólie hydroizolační PVC-P, tl. 2 mm, vodní plochy - zelená</t>
  </si>
  <si>
    <t>82+110</t>
  </si>
  <si>
    <t>dna pod textilii a kačírek</t>
  </si>
  <si>
    <t>170</t>
  </si>
  <si>
    <t>stěny</t>
  </si>
  <si>
    <t>;ztratné 10%; 36,2</t>
  </si>
  <si>
    <t xml:space="preserve">Hydroizolační fólie z PVC-P (měkčený polyvinylchlorid) k izolaci zahradních jezírek, rybníků, biotopů a dalších vodních ploch. Ve shodě s normou ČSN EN 13967. Nevyztužená  </t>
  </si>
  <si>
    <t>52</t>
  </si>
  <si>
    <t>711491272R00</t>
  </si>
  <si>
    <t>Provedení izolace proti tlakové vodě, na ploše svislé, ochrannou textilií</t>
  </si>
  <si>
    <t>Položka je určena i pro oceňování izolací proti zemní vlhkosti</t>
  </si>
  <si>
    <t>53</t>
  </si>
  <si>
    <t>711491172R00</t>
  </si>
  <si>
    <t>Provedení izolace proti tlakové vodě, na ploše vodorovné, ochrannou textilií</t>
  </si>
  <si>
    <t>185</t>
  </si>
  <si>
    <t>dno mělčí části</t>
  </si>
  <si>
    <t>54</t>
  </si>
  <si>
    <t>711491271R00</t>
  </si>
  <si>
    <t>Provedení izolace proti tlakové vodě, na ploše svislé, podkladní textilií</t>
  </si>
  <si>
    <t>zdi šachty</t>
  </si>
  <si>
    <t>55</t>
  </si>
  <si>
    <t>711491171R00</t>
  </si>
  <si>
    <t>Provedení izolace proti tlakové vodě, na ploše vodorovné, podkladní textilií</t>
  </si>
  <si>
    <t>56</t>
  </si>
  <si>
    <t>69366204</t>
  </si>
  <si>
    <t>Geotextilie netkaná 500 g/m2</t>
  </si>
  <si>
    <t>28,5+185+96+28,5+67,5+314+25</t>
  </si>
  <si>
    <t>;ztratné 20%; 148,9</t>
  </si>
  <si>
    <t>722</t>
  </si>
  <si>
    <t>Vnitřní vodovod</t>
  </si>
  <si>
    <t>57</t>
  </si>
  <si>
    <t>722254110RT01</t>
  </si>
  <si>
    <t>Demontáž hpožárního hydrantu a pítka</t>
  </si>
  <si>
    <t>soubor</t>
  </si>
  <si>
    <t>vlastní</t>
  </si>
  <si>
    <t>722_</t>
  </si>
  <si>
    <t>SO01_72_</t>
  </si>
  <si>
    <t>58</t>
  </si>
  <si>
    <t>722259995R00</t>
  </si>
  <si>
    <t>Vystavení revizní zprávy - požární hydrant</t>
  </si>
  <si>
    <t>Položka obsahuje vyhotovení jednoho kusu revizní zprávy</t>
  </si>
  <si>
    <t>764</t>
  </si>
  <si>
    <t>Konstrukce klempířské</t>
  </si>
  <si>
    <t>764259299R00</t>
  </si>
  <si>
    <t>Montáž ochranného koše střešní vpusti z Cu</t>
  </si>
  <si>
    <t>764_</t>
  </si>
  <si>
    <t>SO01_76_</t>
  </si>
  <si>
    <t>altán</t>
  </si>
  <si>
    <t>hasička</t>
  </si>
  <si>
    <t>Položka je určena pro montáž hotových (předvyrobených nebo nakoupených) prvků. Dodávka těchto prvků se ocení ve specifikaci.</t>
  </si>
  <si>
    <t>60</t>
  </si>
  <si>
    <t>55162490</t>
  </si>
  <si>
    <t>Lapač střešních splavenin pohledové díly, koš,</t>
  </si>
  <si>
    <t xml:space="preserve">Lapač střešních splavenin  s pohledovými díly z litiny, s kloubem na odtoku, s košem pro zachytávání nečistot, </t>
  </si>
  <si>
    <t>767</t>
  </si>
  <si>
    <t>Konstrukce doplňkové stavební (zámečnické)</t>
  </si>
  <si>
    <t>61</t>
  </si>
  <si>
    <t>767PC02</t>
  </si>
  <si>
    <t>Fontána - umělecké dílo - kov, vč instalace</t>
  </si>
  <si>
    <t>767_</t>
  </si>
  <si>
    <t>62</t>
  </si>
  <si>
    <t>767PC03</t>
  </si>
  <si>
    <t>Systémová lišta pro zahrytí hrany izolace</t>
  </si>
  <si>
    <t>59+12</t>
  </si>
  <si>
    <t>Trubní vedení</t>
  </si>
  <si>
    <t>8013</t>
  </si>
  <si>
    <t>Čerpadlo fonánové mrazuodolné D+M 245x130x135, min. 4000l/hod</t>
  </si>
  <si>
    <t>kpl</t>
  </si>
  <si>
    <t>8_</t>
  </si>
  <si>
    <t>SO01_8_</t>
  </si>
  <si>
    <t>64</t>
  </si>
  <si>
    <t>722174920R00</t>
  </si>
  <si>
    <t>Sestavení plastového rozvodu vody D 110 mm</t>
  </si>
  <si>
    <t>65</t>
  </si>
  <si>
    <t>738129129R00</t>
  </si>
  <si>
    <t>Jednotka čerpadlová dvoutrub.</t>
  </si>
  <si>
    <t>čeradlo pro hydrant</t>
  </si>
  <si>
    <t>čerpadlo pro jezero</t>
  </si>
  <si>
    <t>66</t>
  </si>
  <si>
    <t>2861347243</t>
  </si>
  <si>
    <t>Trubka pro rozvody fontány - čerpadla</t>
  </si>
  <si>
    <t>67</t>
  </si>
  <si>
    <t>28611225.A</t>
  </si>
  <si>
    <t>Trubka PVC drenážní flexibilní d 160 mm</t>
  </si>
  <si>
    <t>Položka pořadí 14 : 71,00000*1,03</t>
  </si>
  <si>
    <t>84</t>
  </si>
  <si>
    <t>Potrubí z trub azbestocementových</t>
  </si>
  <si>
    <t>68</t>
  </si>
  <si>
    <t>841220036RAC</t>
  </si>
  <si>
    <t>Plynovodní přípojka z trub PE, D 63 mm, dl.15 m</t>
  </si>
  <si>
    <t>84_</t>
  </si>
  <si>
    <t>napojení na řád D 160 mm - přeložka plynovodní přípojky včetně napojení stávajícího rozvodu v kotelně samoobsluhy</t>
  </si>
  <si>
    <t>V položce je zakalkulováno hloubení rýh nezapažených, šířky 50 cm v hornině 3, ve volném terénu, dodávka a montáž potrubí včetně navrtávací objímky, s podsypem štěrkopískem, s obsypem pískem nebo štěrkopískem, se zásypem hutněným a s odvozem přebytečné zeminy do 6 km, bez poplatku za skládku. Součástí ceny je dodávka trubního materiálu, elektrokoleno, chránička bralen, objímka, kulový kohout Novasfer, těsnící tmel, přechodka Isiflo, podpůrná vložka, držák chráničky a montáž všech částí přípojky, dále pak i výstražná fólie. Pokud je plynovodní řád veden ve zpevněné ploše, ocení se rozebrání a zřízení konstrukcí položkami 841 99 Příplatky za trasu plynovodu ve vozovce. Délka přípojky 15 m + 1,5 m z výkopu do fasády.</t>
  </si>
  <si>
    <t>87</t>
  </si>
  <si>
    <t>Potrubí z trub plastických, skleněných a čedičových</t>
  </si>
  <si>
    <t>69</t>
  </si>
  <si>
    <t>871521103R00</t>
  </si>
  <si>
    <t>Montáž plast. potrubí svařov.na tupo DN 250 mm</t>
  </si>
  <si>
    <t>87_</t>
  </si>
  <si>
    <t>potrubí 250 u</t>
  </si>
  <si>
    <t>potrubí 200 - připojení dešˇ. hasička</t>
  </si>
  <si>
    <t>potrubí 200 - připojení dešˇ. altán</t>
  </si>
  <si>
    <t>V položce je uvažováno s jedním spojem na 6 m potrubí. Případné další spoje se dorozpočtují přirážkou za každý další spoj pol. 871 52-2.... V položce není zakalkulována dodávka trub, spojek a tvarovek. Jejich dodávka se oceňuje ve specifikaci. Montáž tvarovek se oceňuje pol. č. 871 52-2...  podle množství a průměru potřebných spojů, popřípadě individuální kalkulací</t>
  </si>
  <si>
    <t>70</t>
  </si>
  <si>
    <t>28614528</t>
  </si>
  <si>
    <t>Trubka kanalizační PP MASTER SN 12  DN 250/6000</t>
  </si>
  <si>
    <t>M-250/6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</si>
  <si>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71</t>
  </si>
  <si>
    <t>28614527</t>
  </si>
  <si>
    <t>Trubka kanalizační PP MASTER SN 12  DN 250/3000</t>
  </si>
  <si>
    <t>M-250/3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</si>
  <si>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72</t>
  </si>
  <si>
    <t>28614525</t>
  </si>
  <si>
    <t>Trubka kanalizační PP MASTER SN 12  DN 200/6000</t>
  </si>
  <si>
    <t>M-200/6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</si>
  <si>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73</t>
  </si>
  <si>
    <t>28614524</t>
  </si>
  <si>
    <t>Trubka kanalizační PP MASTER SN 12  DN 200/3000</t>
  </si>
  <si>
    <t>M-200/3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</si>
  <si>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74</t>
  </si>
  <si>
    <t>877363121R00</t>
  </si>
  <si>
    <t>Montáž tvarovek odboč. plast. gum. kroužek DN 250</t>
  </si>
  <si>
    <t>Položka je určena pro montáž tvarovek odbočných na potrubí z kanalizačních trub z plastu těsněných gumovým kroužkem v otevřeném výkopu. Napojení trubních řadů z trub z plastu na jiný druh potrubí se oceňuje individuálně. V položce montáže tvarovek nejsou zakalkulovány náklady na dodání tvarovek; tyto náklady se oceňují ve specifikaci. Ztratné se doporučuje ve výši 1,5 %</t>
  </si>
  <si>
    <t>28654571</t>
  </si>
  <si>
    <t>Odbočka kanalizační  DN 250/200</t>
  </si>
  <si>
    <t>76</t>
  </si>
  <si>
    <t>28656166</t>
  </si>
  <si>
    <t>Odbočka kanalizační odolná DN 200/160 mm</t>
  </si>
  <si>
    <t>77</t>
  </si>
  <si>
    <t>871521104R00</t>
  </si>
  <si>
    <t>Montáž plast. potrubí svařov.na tupo DN 300 mm</t>
  </si>
  <si>
    <t>výpust jezírko</t>
  </si>
  <si>
    <t>78</t>
  </si>
  <si>
    <t>28614530</t>
  </si>
  <si>
    <t>Trubka kanalizační PP MASTER SN 12  DN 300/3000</t>
  </si>
  <si>
    <t>M-300/3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</si>
  <si>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79</t>
  </si>
  <si>
    <t>28614531</t>
  </si>
  <si>
    <t>Trubka kanalizační PP MASTER SN 12  DN 300/6000</t>
  </si>
  <si>
    <t>M-300/6  Plnostěnná trubka zvenčí i zevnitř hladká, přičemž stěna má třívrstvou stavbu, která sází na výhodné vlastnosti sendvičových konstrukcí – využívá kombinace tuhosti a pružnosti vrstev. Těsnění zajišťuje vysoce elastický jazýčkový kroužek.  Povrchová vrstva je tvořena polypropylenem s velkým E-modulem a vysokou povrchovou tvrdostí. Její barva je červenohnědá.  Střední vrstvu tvoří černý polypropylen, který propůjčuje trubkám hodnotné mechanické vlastnosti, především pevnost a rázuvzdornost.  Vnitřní vrstva trubky je ze speciálního druhu PP, který zaručuje nejvyšší možnou odolnost vůči otěru a výtečnou chemickou odolnost. Její světlá barva usnadňuje kamerové prohlídky kanalizace.  C3 - hořlavý materiá</t>
  </si>
  <si>
    <t>89</t>
  </si>
  <si>
    <t>Ostatní konstrukce a práce na trubním vedení</t>
  </si>
  <si>
    <t>80</t>
  </si>
  <si>
    <t>894411121R00</t>
  </si>
  <si>
    <t>Zřízení šachet z dílců, dno C25/30, potrubí DN 300</t>
  </si>
  <si>
    <t>89_</t>
  </si>
  <si>
    <t>Položka je určena pro zřízení šachet kanalizačních z betonových dílců na potrubí výšky vstupu do 1,5 m s obložením dna betonem C25/30 z cementu portlandského nebo struskoportlandského. Příplatek k položce šachet z betonových dílců za každých dalších i započatých 0,60 m výšky vstupu se oceňuje položkou 89411-8001 části A 03 tohoto ceníku. V položce jsou zakalkulovány i náklady na: a) podkladní desku z betonu C -/7,5, b) dodání a osazení stupadel. V položce nejsou zakalkulovány náklady na: a) litinové poklopy; osazení litinových poklopů se oceňuje položkami souboru 89910 Osazení poklopů litinových a ocelových části A 01 tohoto sborníku; dodání poklopů se oceňuje ve specifikaci b) podkladní prstence; podkladní prstence se oceňují položkami 45238 Podkladní a vyrovnávací konstrukce z betonu části A 01 tohoto sborníku c) dodání betonových dílců; tyto náklady se oceňují ve specifikaci. Ztratné se doporučuje ve výši 1 %</t>
  </si>
  <si>
    <t>81</t>
  </si>
  <si>
    <t>59224353.A</t>
  </si>
  <si>
    <t>Konus šachtový TBR-Q.1 100-63/58/12 KPS</t>
  </si>
  <si>
    <t>82</t>
  </si>
  <si>
    <t>59224368.A</t>
  </si>
  <si>
    <t>Dno šachtové přímé TBZ-Q.1 100/100 V max. 60</t>
  </si>
  <si>
    <t>83</t>
  </si>
  <si>
    <t>59224354</t>
  </si>
  <si>
    <t>Deska zákrytová šachtová TZK-Q.1 100-63/17</t>
  </si>
  <si>
    <t>892581111R00</t>
  </si>
  <si>
    <t>Zkouška těsnosti kanalizace DN do 300, vodou</t>
  </si>
  <si>
    <t>92-28</t>
  </si>
  <si>
    <t>V položce jsou zakalkulovány náklady na napuštění vodou a dodání vody pro zkoušku těsnosti</t>
  </si>
  <si>
    <t>85</t>
  </si>
  <si>
    <t>892583111R00</t>
  </si>
  <si>
    <t>Zabezpečení konců kanal. potrubí DN do 300, vodou</t>
  </si>
  <si>
    <t>úsek</t>
  </si>
  <si>
    <t>Položka je určena pro zabezpečení jakéhokoliv druhu potrubí v úseku mezi dvěma šachtami pro zkoušku těsnosti vodou. V položce jsou zakalkulovány náklady na osazení a odstranění dvou těsnicích uzávěrů. Napuštění tlakovou vodou a dodání vody pro tlakovou zkoušku se rozpočtuje příslušnou položkou 892.. - 1111. Instalace vaku zahrnuje: ¦důkladné mechanické očištění pláště vaku ¦důkladné očištění vnitřku trubky v délce instalovaného vaku ¦nafouknutí vaku na provozní tlak  ¦opakovaná kontrola tlaku ve vaku pomocí manometru nebo pistolového tlakoměru ¦zajištění vaku proti vysunutí z potrubí (zaklínit trámkem) - zvláště průtočné vaky z kovovou výstuhou, hrozí svlečení a utržení vaku z tělesa ¦přivázání vaku lanem za oko armatury vaku a šachetní stupačku (zajištění proti odplutí) ¦vypuštění vaku  ¦opatrné vytažení vyfouknutého vaku z potrubí</t>
  </si>
  <si>
    <t>86</t>
  </si>
  <si>
    <t>899623181R00</t>
  </si>
  <si>
    <t>Obetonování potrubí nebo zdiva stok betonem C30/37</t>
  </si>
  <si>
    <t>Položka je určena pro obetonování potrubí v otevřeném výkopu, pro práce ve štole se k položce používá příplatek 89962-3192. Obetonování zdiva stok ve štole se oceňuje položkami 35931 Výplň za rubem cihelného zdiva stok části A 03 tohoto sborníku</t>
  </si>
  <si>
    <t>899643111R00</t>
  </si>
  <si>
    <t>Bednění pro obetonování potrubí v otevřeném výkopu</t>
  </si>
  <si>
    <t>17*2*0,5</t>
  </si>
  <si>
    <t>V položce jsou zakalkulovány i náklady na odbednění a nátěr proti přilnavosti betonu</t>
  </si>
  <si>
    <t>88</t>
  </si>
  <si>
    <t>899000002RA0</t>
  </si>
  <si>
    <t>Jímka dešťová</t>
  </si>
  <si>
    <t>m3 OP</t>
  </si>
  <si>
    <t>výměna jímky v komunikaci - pojízdné řešení, otevřené dno (betonová)</t>
  </si>
  <si>
    <t>dešťová jímka u hasičky - k obetonování</t>
  </si>
  <si>
    <t>892855113R00</t>
  </si>
  <si>
    <t>Kontrola kanalizace TV kamerou do 100 m</t>
  </si>
  <si>
    <t>celková délka - na cizím pozemku</t>
  </si>
  <si>
    <t>894800013R01</t>
  </si>
  <si>
    <t>Osazení odlučovače nečistot vč. materiálu</t>
  </si>
  <si>
    <t>91</t>
  </si>
  <si>
    <t>895941311R00</t>
  </si>
  <si>
    <t>Zřízení vpusti uliční z dílců typ UVB - 50</t>
  </si>
  <si>
    <t xml:space="preserve">Položka je určena pro zřízení vpusti kanalizační uliční z betonových dílců. V položce jsou započteny i náklady na zřízení loiže ze štěrkopísku. V položce nejsou započteny náklady na: a) dodání betonových dílců; betonové dílce se oceňují ve specifikaci, ztratné se doporučuje ve výši 1 % b) litinové mříže; osazení mříží se oceňuje cenami souboru 89920 Osazení mříží litinových části A 01 tohoto sborníku; dodání mříží se oceňuje ve specifikaci, ztratné se nestanoví c) podkladní prstence; podkladní prstence se oceňují položkami souboru 45238 Podkladní a vyrovnávací konstrukce části A 01 tohoto sborníku. </t>
  </si>
  <si>
    <t>92</t>
  </si>
  <si>
    <t>899103111RT2</t>
  </si>
  <si>
    <t>Osazení poklopu s rámem do 150 kg</t>
  </si>
  <si>
    <t>včetně dodávky poklopu lit. kruhového D 600</t>
  </si>
  <si>
    <t>Položka je určena pro osazení poklopů litinových a ocelových včetně rámů a platí i pro osazení rektifikačních kroužků nebo rámečků. V položkách jsou zakalkulovány náklady na dodání poklop litinového kruhového D 600.  V položce jsou zakalkulovány i náklady na cementovou maltu</t>
  </si>
  <si>
    <t>93</t>
  </si>
  <si>
    <t>894423111R00</t>
  </si>
  <si>
    <t>Osazení betonových dílců šachet do 2,0 t</t>
  </si>
  <si>
    <t>osazení požeráku</t>
  </si>
  <si>
    <t>Položka je určena pro osazení betonových dílců šachet dle DIN 4034, šachtová dna na kroužek, hmotnost do 2,0 t. V položce nejsou zakalkulovány náklady na dodání betonových dílců; dílce se oceňují ve specifikaci. Ztratné se doporučuje 1 %</t>
  </si>
  <si>
    <t>94</t>
  </si>
  <si>
    <t>4266410122</t>
  </si>
  <si>
    <t>Požerák beton C35/45, 2500x600x600</t>
  </si>
  <si>
    <t>Kompletní výrobek vč. lávky a ocelového poklopu</t>
  </si>
  <si>
    <t>95</t>
  </si>
  <si>
    <t>891267211RT</t>
  </si>
  <si>
    <t>Montáž hydrantů nadzemních - přesun stávajícího hydrantu</t>
  </si>
  <si>
    <t>včetně podkladního betonového bloku, bednění a potřebných nových trubních rozvodů o délce do 5 m, tlakové zkoušky, průplachu potrubí a revize</t>
  </si>
  <si>
    <t>96</t>
  </si>
  <si>
    <t>891267211RT02</t>
  </si>
  <si>
    <t>Montáž přesunovaného pítka</t>
  </si>
  <si>
    <t>včetně podkladního betonového bloku, bednění a potřebných nových trubních rozvodů o délce do 8 m, tlakové zkoušky, průplachu potrubí  a revize</t>
  </si>
  <si>
    <t>Různé dokončovací konstrukce a práce inženýrských staveb</t>
  </si>
  <si>
    <t>97</t>
  </si>
  <si>
    <t>936311113R00</t>
  </si>
  <si>
    <t>Zabet. potrubí beton C25/30 XA2, otvor do 0,25 m2</t>
  </si>
  <si>
    <t>93_</t>
  </si>
  <si>
    <t>SO01_9_</t>
  </si>
  <si>
    <t>3*0,15*3,14</t>
  </si>
  <si>
    <t>zalití vstupů do pův. stoky</t>
  </si>
  <si>
    <t>98</t>
  </si>
  <si>
    <t>931981021R00</t>
  </si>
  <si>
    <t>Těsnění pracovní spáry bitumenovým plechem</t>
  </si>
  <si>
    <t>dno - stěny : 10,3*4+7,2*2</t>
  </si>
  <si>
    <t>Bitumenový těsnicí plech k utěsnění pracovních spár. Je odolný proti veškerým organickým splaškům a proto je vhodné použití také v čističkách odpadních vod.  Cena obsahuje montáž a dodávku plechu včetně svorek a vázacího drátu</t>
  </si>
  <si>
    <t>99</t>
  </si>
  <si>
    <t>933901111R00</t>
  </si>
  <si>
    <t>Zkouška vodotěsnosti beton. nádrže do 1000 m3</t>
  </si>
  <si>
    <t>100</t>
  </si>
  <si>
    <t>933901311R00</t>
  </si>
  <si>
    <t>Naplnění a vyprázdnění nádrže do 1000 m3</t>
  </si>
  <si>
    <t>Bourání konstrukcí</t>
  </si>
  <si>
    <t>101</t>
  </si>
  <si>
    <t>969021131R00</t>
  </si>
  <si>
    <t>Vybourání kanalizačního potrubí DN do 300 mm</t>
  </si>
  <si>
    <t>96_</t>
  </si>
  <si>
    <t>V položce není kalkulována manipulace se sutí, která se oceňuje samostatně položkami souboru 979.</t>
  </si>
  <si>
    <t>Prorážení otvorů a ostatní bourací práce</t>
  </si>
  <si>
    <t>102</t>
  </si>
  <si>
    <t>976085311R00</t>
  </si>
  <si>
    <t>Vybourání kanal.rámů a poklopů plochy do 0,6 m2</t>
  </si>
  <si>
    <t>97_</t>
  </si>
  <si>
    <t>103</t>
  </si>
  <si>
    <t>97PC01</t>
  </si>
  <si>
    <t>Prostupy vč. utěsnění</t>
  </si>
  <si>
    <t>vrtaný nebo bedněný prostup o rozměrech průměr 260 mm v konstrukci: ŽB stěna tl 300 mm. Vč. utěsnění, prostupu.</t>
  </si>
  <si>
    <t>H33</t>
  </si>
  <si>
    <t>Nádrže na tocích, úpravy toků a kanály</t>
  </si>
  <si>
    <t>104</t>
  </si>
  <si>
    <t>998331011R00</t>
  </si>
  <si>
    <t>Přesun hmot pro nádrže</t>
  </si>
  <si>
    <t>H33_</t>
  </si>
  <si>
    <t>Vodní nádrž neuznatelné</t>
  </si>
  <si>
    <t>SO01B</t>
  </si>
  <si>
    <t>105</t>
  </si>
  <si>
    <t>132201210R00</t>
  </si>
  <si>
    <t>Hloubení rýh š.do 200 cm hor.3 do 50 m3,STROJNĚ</t>
  </si>
  <si>
    <t>SO01B_1_</t>
  </si>
  <si>
    <t>SO01B_</t>
  </si>
  <si>
    <t>14,4</t>
  </si>
  <si>
    <t>stoka dešťová kanalizace neuzna</t>
  </si>
  <si>
    <t>106</t>
  </si>
  <si>
    <t>kanal neuzna</t>
  </si>
  <si>
    <t>107</t>
  </si>
  <si>
    <t>151101102R00</t>
  </si>
  <si>
    <t>Pažení a rozepření stěn rýh - příložné - hl.do 4 m</t>
  </si>
  <si>
    <t>57,6</t>
  </si>
  <si>
    <t>Stoka PP DN 250 neu</t>
  </si>
  <si>
    <t>108</t>
  </si>
  <si>
    <t>151101112R00</t>
  </si>
  <si>
    <t>Odstranění pažení stěn rýh - příložné - hl. do 4 m</t>
  </si>
  <si>
    <t>Odstranění pažení stěn rýh - příložné - hl. do 4 m neu</t>
  </si>
  <si>
    <t>109</t>
  </si>
  <si>
    <t>10*1,3</t>
  </si>
  <si>
    <t>Stoka PP DN 250 mimo pozemek investora</t>
  </si>
  <si>
    <t>110</t>
  </si>
  <si>
    <t>10*1,4</t>
  </si>
  <si>
    <t>Stoka PP DN 250 - mimo pozemek investora</t>
  </si>
  <si>
    <t>111</t>
  </si>
  <si>
    <t>7,12</t>
  </si>
  <si>
    <t>stoka neuznatelná</t>
  </si>
  <si>
    <t>112</t>
  </si>
  <si>
    <t>113</t>
  </si>
  <si>
    <t>114</t>
  </si>
  <si>
    <t>167101101R00</t>
  </si>
  <si>
    <t>Nakládání výkopku z hor. 1 ÷ 4 v množství do 100 m3</t>
  </si>
  <si>
    <t>115</t>
  </si>
  <si>
    <t>116</t>
  </si>
  <si>
    <t>29*1,2*0,4</t>
  </si>
  <si>
    <t>dešťová kanalizace neu</t>
  </si>
  <si>
    <t>117</t>
  </si>
  <si>
    <t>29*1,2*0,6</t>
  </si>
  <si>
    <t>118</t>
  </si>
  <si>
    <t>Podkladní vrstvy komunikací, letišť a ploch</t>
  </si>
  <si>
    <t>119</t>
  </si>
  <si>
    <t>564112120R00</t>
  </si>
  <si>
    <t>Podklad z bet.recyklátu fr. 0-32 po zhutn.tl.20 cm</t>
  </si>
  <si>
    <t>56_</t>
  </si>
  <si>
    <t>SO01B_5_</t>
  </si>
  <si>
    <t>Podklad z betonového recyklátu frakce 0-32 mm tl. 20 cm po zhutnění. Objemová hmotnost betonového recyklátu 1,9 t/m3 po zhutnění</t>
  </si>
  <si>
    <t>Kryty pozemních komunikací, letišť a ploch z kameniva nebo živičné</t>
  </si>
  <si>
    <t>120</t>
  </si>
  <si>
    <t>577132111R00</t>
  </si>
  <si>
    <t>Beton asfalt. ACO 11+ obrusný, š.nad 3 m, tl. 4 cm</t>
  </si>
  <si>
    <t>57_</t>
  </si>
  <si>
    <t>121</t>
  </si>
  <si>
    <t>573231123R00</t>
  </si>
  <si>
    <t>Postřik spojovací z KAE, množství zbytkového asfaltu 0,3 kg/m2</t>
  </si>
  <si>
    <t>122</t>
  </si>
  <si>
    <t>577151123R00</t>
  </si>
  <si>
    <t>Beton asfalt. ACL 16+ ložný, š. do 3 m, tl. 6 cm</t>
  </si>
  <si>
    <t>123</t>
  </si>
  <si>
    <t>457621412R01</t>
  </si>
  <si>
    <t>Úprava spár zálivkou z modif. asfaltu</t>
  </si>
  <si>
    <t>124</t>
  </si>
  <si>
    <t>SO01B_8_</t>
  </si>
  <si>
    <t>125</t>
  </si>
  <si>
    <t>870100009R00</t>
  </si>
  <si>
    <t>Montáž potrubí sklolaminátového ve výkopu, DN 150</t>
  </si>
  <si>
    <t>126</t>
  </si>
  <si>
    <t>potrubí 250 neuznatelné</t>
  </si>
  <si>
    <t>127</t>
  </si>
  <si>
    <t>128</t>
  </si>
  <si>
    <t>SO01B_9_</t>
  </si>
  <si>
    <t>Zpevněné plochy</t>
  </si>
  <si>
    <t>Odkopávky a prokopávky</t>
  </si>
  <si>
    <t>SO02</t>
  </si>
  <si>
    <t>129</t>
  </si>
  <si>
    <t>122202202R00</t>
  </si>
  <si>
    <t>Odkopávky pro silnice v hor. 3 do 1000 m3</t>
  </si>
  <si>
    <t>12_</t>
  </si>
  <si>
    <t>SO02_1_</t>
  </si>
  <si>
    <t>SO02_</t>
  </si>
  <si>
    <t>124,5</t>
  </si>
  <si>
    <t>štěrk. trávník</t>
  </si>
  <si>
    <t>49,5</t>
  </si>
  <si>
    <t>Výměna podloží pro zpevněné plochy u vodní nádrže</t>
  </si>
  <si>
    <t>10,5</t>
  </si>
  <si>
    <t>Odtěžení zeminy pro výstavbu chodníku kolem hasičky</t>
  </si>
  <si>
    <t>2,4</t>
  </si>
  <si>
    <t>Odtěžení zeminy pro rozšíření zpev. plochy u čerpací stanice odpad. vod</t>
  </si>
  <si>
    <t>130</t>
  </si>
  <si>
    <t>122202209R00</t>
  </si>
  <si>
    <t>Příplatek za lepivost - odkop. pro silnice v hor.3</t>
  </si>
  <si>
    <t>131</t>
  </si>
  <si>
    <t>132203302R00</t>
  </si>
  <si>
    <t>Hloubení rýh pro drény, hloubky do 1,1 m, v hor.3</t>
  </si>
  <si>
    <t>ručně</t>
  </si>
  <si>
    <t>pro izolaci soklu</t>
  </si>
  <si>
    <t>V položce jsou započteny i náklady na svislépřemístění výkopku i na odstranění napadané horniny.</t>
  </si>
  <si>
    <t>132</t>
  </si>
  <si>
    <t>použití vytěžených zemin</t>
  </si>
  <si>
    <t>1015</t>
  </si>
  <si>
    <t>Podloží zpevněných ploch u vodní nádrže</t>
  </si>
  <si>
    <t>133</t>
  </si>
  <si>
    <t>181101102R00</t>
  </si>
  <si>
    <t>Úprava pláně v zářezech v hor. 1-4, se zhutněním</t>
  </si>
  <si>
    <t>pod terasu</t>
  </si>
  <si>
    <t>415</t>
  </si>
  <si>
    <t>279</t>
  </si>
  <si>
    <t>dlažba propustná u jezera</t>
  </si>
  <si>
    <t>dlažba propustná u čs</t>
  </si>
  <si>
    <t>příchod k altánu</t>
  </si>
  <si>
    <t>okolo hydrantu</t>
  </si>
  <si>
    <t>Položky jsou shodné i pro úpravu pláně v násypech.</t>
  </si>
  <si>
    <t>Schodiště</t>
  </si>
  <si>
    <t>134</t>
  </si>
  <si>
    <t>434200001RA0</t>
  </si>
  <si>
    <t>Schodiště z oceli včetně zábradlí a nátěrů</t>
  </si>
  <si>
    <t>m DVČ</t>
  </si>
  <si>
    <t>43_</t>
  </si>
  <si>
    <t>SO02_4_</t>
  </si>
  <si>
    <t>Schodiště s výplní stupňů a podesty pororošty (FeZn). Žárově zinkovaná ocel, bočnice a zábradlí opatřeny nátěrem či komaxitem v barvě RAL 7022 matná.</t>
  </si>
  <si>
    <t>Měrnou jednotkou je metr délky výstupní čáry (mDVČ). Výroba a osazení podesty a schodišťového ramene se stupni svařováním, výroba a osazení ocelového zábradlí z trubek, nátěr ocelové konstrukce základní + 2x email. Esteticky nenáročné schodiště například do výrobních prostor</t>
  </si>
  <si>
    <t>135</t>
  </si>
  <si>
    <t>564112228R00</t>
  </si>
  <si>
    <t>Podklad z bet.recyklátu fr.0-32 po zhutn.tl.28 cm</t>
  </si>
  <si>
    <t>SO02_5_</t>
  </si>
  <si>
    <t>227</t>
  </si>
  <si>
    <t>u altánu</t>
  </si>
  <si>
    <t>terasa altán</t>
  </si>
  <si>
    <t>u čs</t>
  </si>
  <si>
    <t>Podklad z betonového recyklátu frakce 0-32 mm tl. 28 cm po zhutnění. Objemová hmotnost betonového recyklátu 1,9 t/m3 po zhutnění</t>
  </si>
  <si>
    <t>136</t>
  </si>
  <si>
    <t>564112230R00</t>
  </si>
  <si>
    <t>Podklad ze směs.recyklátu fr.16-32 po zhutn.tl.30 cm</t>
  </si>
  <si>
    <t>sanace št</t>
  </si>
  <si>
    <t>165</t>
  </si>
  <si>
    <t>sanace pod dlažby</t>
  </si>
  <si>
    <t>pod terasou</t>
  </si>
  <si>
    <t>Podklad z betonového recyklátu frakce 16-32 mm tl. 30 cm po zhutnění. Objemová hmotnost betonového recyklátu 1,9 t/m3 po zhutnění</t>
  </si>
  <si>
    <t>137</t>
  </si>
  <si>
    <t>568111112R00</t>
  </si>
  <si>
    <t>Zřízení vrstvy z geotextilie skl.do 1:5,š.do 7,5 m</t>
  </si>
  <si>
    <t>138</t>
  </si>
  <si>
    <t>69366198</t>
  </si>
  <si>
    <t>Geotextilie netkaná 300 g/m2</t>
  </si>
  <si>
    <t>710*1,1</t>
  </si>
  <si>
    <t>plochy směs. recyklátu</t>
  </si>
  <si>
    <t>;ztratné 1%; 7,81</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</si>
  <si>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odolává plísním, bakteriím a běžným chemikáliím, nemá negativní vliv na kvalitu pitné vody.  rozměr 2 x 50 </t>
  </si>
  <si>
    <t>139</t>
  </si>
  <si>
    <t>564112116R00</t>
  </si>
  <si>
    <t>Podklad z bet.recyklátu fr. 0-32 po zhutn.tl.16 cm</t>
  </si>
  <si>
    <t>73,5</t>
  </si>
  <si>
    <t>chodník</t>
  </si>
  <si>
    <t>za hasičkou</t>
  </si>
  <si>
    <t>Podklad z betonového recyklátu frakce 0-32 mm tl. 16 cm po zhutnění. Objemová hmotnost betonového recyklátu 1,9 t/m3 po zhutnění</t>
  </si>
  <si>
    <t>140</t>
  </si>
  <si>
    <t>564112225R00</t>
  </si>
  <si>
    <t>Podklad z bet.recyklátu fr.0-32 po zhutn.tl.25 cm</t>
  </si>
  <si>
    <t>štěrk trav</t>
  </si>
  <si>
    <t>Podklad z betonového recyklátu frakce 0-32 mm tl. 25 cm po zhutnění. Objemová hmotnost betonového recyklátu 1,9 t/m3 po zhutnění</t>
  </si>
  <si>
    <t>141</t>
  </si>
  <si>
    <t>564871111RT2</t>
  </si>
  <si>
    <t>Podklad ze štěrkodrti po zhutnění tloušťky 25 cm</t>
  </si>
  <si>
    <t>štěrkodrť frakce 0-32 mm</t>
  </si>
  <si>
    <t>zapravení plochy nad jímkou u požární stanice</t>
  </si>
  <si>
    <t>142</t>
  </si>
  <si>
    <t>596215041R00</t>
  </si>
  <si>
    <t>Kladení zámkové dlažby tl. 8 cm do drtě tl. 5 cm</t>
  </si>
  <si>
    <t>plocha u altánu</t>
  </si>
  <si>
    <t>plocha u čs</t>
  </si>
  <si>
    <t>u hasičky</t>
  </si>
  <si>
    <t>Od CÚ 2015/ II. není v jednotkové ceně započteno řezání dlaždic!!! Rozpočtuje se samostatnou položkou 596 29-1113.R00 Řezání zámkové dlažby tl. 80 mm. V položce jsou zakalkulovány i náklady na dodání hmot pro lože a na dodání materiálu na výplň spár. V položce nejsou zakalkulovány náklady na dodání zámkové dlažby, která se oceňuje ve specifikaci, ztratné se doporučuje ve výši 5%.</t>
  </si>
  <si>
    <t>143</t>
  </si>
  <si>
    <t>5924504001</t>
  </si>
  <si>
    <t>Dlažba s distančníky lineární 300x120/150/x80 - musí být vzorkováno</t>
  </si>
  <si>
    <t>u vodní nádrže</t>
  </si>
  <si>
    <t>u čs odp. vod</t>
  </si>
  <si>
    <t>;ztratné 10%; 5,5</t>
  </si>
  <si>
    <t>144</t>
  </si>
  <si>
    <t>592480591</t>
  </si>
  <si>
    <t>Dlažba drenážní - sestava 3 kamenů (řady navazují na dist. dlažbu) - přírodní šedá</t>
  </si>
  <si>
    <t>182</t>
  </si>
  <si>
    <t>u jezera</t>
  </si>
  <si>
    <t>zadní část u hasičky</t>
  </si>
  <si>
    <t>okolo hasičky</t>
  </si>
  <si>
    <t>;ztratné 10%; 28,7</t>
  </si>
  <si>
    <t>145</t>
  </si>
  <si>
    <t>59248059</t>
  </si>
  <si>
    <t>Kámen dlažební slepecký černá</t>
  </si>
  <si>
    <t>1,5</t>
  </si>
  <si>
    <t>;ztratné 10%; 0,15</t>
  </si>
  <si>
    <t>146</t>
  </si>
  <si>
    <t>592480592</t>
  </si>
  <si>
    <t>Dlažba drenážní sest. 3 kamenů, bílá 80 mm</t>
  </si>
  <si>
    <t>oddělení park. míst</t>
  </si>
  <si>
    <t>;ztratné 10%; 0,8</t>
  </si>
  <si>
    <t>147</t>
  </si>
  <si>
    <t>596291113R00</t>
  </si>
  <si>
    <t>Řezání zámkové dlažby tl. 80 mm</t>
  </si>
  <si>
    <t>plocha u nádrže</t>
  </si>
  <si>
    <t>nové chodníky</t>
  </si>
  <si>
    <t>148</t>
  </si>
  <si>
    <t>599141111R00</t>
  </si>
  <si>
    <t>Vyplnění spár mezi panely živičnou zálivkou</t>
  </si>
  <si>
    <t>spára mezi vozovkou a novými obrubami</t>
  </si>
  <si>
    <t>V položce jsou zakalkulovány i náklady na vyčištění spár</t>
  </si>
  <si>
    <t>Úprava povrchů vnější</t>
  </si>
  <si>
    <t>149</t>
  </si>
  <si>
    <t>622323114R00</t>
  </si>
  <si>
    <t>Izolace suterénu Stomix EPS P tl. 140 mm, bez PÚ</t>
  </si>
  <si>
    <t>62_</t>
  </si>
  <si>
    <t>SO02_6_</t>
  </si>
  <si>
    <t>Bez povrchové úpravy. Součinitel tepelné vodivosti izolantu 0,035 W/m K</t>
  </si>
  <si>
    <t>150</t>
  </si>
  <si>
    <t>711823121RT6</t>
  </si>
  <si>
    <t>Montáž nopové fólie svisle</t>
  </si>
  <si>
    <t>SO02_71_</t>
  </si>
  <si>
    <t>včetně dodávky fólie  T20</t>
  </si>
  <si>
    <t>151</t>
  </si>
  <si>
    <t>711823129RT5</t>
  </si>
  <si>
    <t>Montáž ukončovací lišty k nopové fólii</t>
  </si>
  <si>
    <t>včetně dodávky lišty k T20</t>
  </si>
  <si>
    <t>152</t>
  </si>
  <si>
    <t>767200002RA0</t>
  </si>
  <si>
    <t>Zábradlí balkonové, nátěry</t>
  </si>
  <si>
    <t>SO02_76_</t>
  </si>
  <si>
    <t xml:space="preserve">Materiál: ocelové profily "pásovina" průřezu 50/15 mm /vodorovná tyč, stojky/ a tyčky O10 mm /výplň/, madlo je navrženo z akátového dřeva.
Povrchová úprava: ocelové prvky opatřené žárovým zinkem + práškový lak "komaxit", odstín šedý RAL 7022 a madlo je opatřeno exteriérovým olejovým nátěrem "lazura", odstín světlý upřesněn dle vzorníku
</t>
  </si>
  <si>
    <t>zábradlí na opěrce</t>
  </si>
  <si>
    <t>zábradlí na zídce u schodiště k suterénu</t>
  </si>
  <si>
    <t>153</t>
  </si>
  <si>
    <t>767200001RA0</t>
  </si>
  <si>
    <t>Zábradlí schodištové, madlo, nátěry</t>
  </si>
  <si>
    <t>ocelové profily "pásovina" průřezu 50/15 mm /vodorovná tyč, stojky/, madlo je navrženo z akátového dřeva.</t>
  </si>
  <si>
    <t>Doplňující konstrukce a práce na pozemních komunikacích a zpevněných plochách</t>
  </si>
  <si>
    <t>154</t>
  </si>
  <si>
    <t>917862111RV4</t>
  </si>
  <si>
    <t>Osazení stojatého obrubníku betonového, s boční opěrou, do lože z betonu C 12/15</t>
  </si>
  <si>
    <t>91_</t>
  </si>
  <si>
    <t>SO02_9_</t>
  </si>
  <si>
    <t>vč.obrub.nájezd.náběh.CSB H 15/25 1000/150/150-250</t>
  </si>
  <si>
    <t>Snížený obrubník pro nájezd ze silnice</t>
  </si>
  <si>
    <t>155</t>
  </si>
  <si>
    <t>917862114RU2</t>
  </si>
  <si>
    <t>Osazení stojatého obrubníku betonového, s boční opěrou, do lože z betonu C 25/30</t>
  </si>
  <si>
    <t>včetně obrubníku přímého 1000 x 150 x 250 mm</t>
  </si>
  <si>
    <t>Osazení betonového silničního nebo chodníkového obrubníku</t>
  </si>
  <si>
    <t>156</t>
  </si>
  <si>
    <t>917862111RT5</t>
  </si>
  <si>
    <t>včetně obrubníku ABO 100/10/25</t>
  </si>
  <si>
    <t>157</t>
  </si>
  <si>
    <t>919722212R00</t>
  </si>
  <si>
    <t>Zalití spáry asf. modifikovanou zálivkou za horka</t>
  </si>
  <si>
    <t>Spára mezi stávající vozovkou MK a novými obrubami</t>
  </si>
  <si>
    <t>158</t>
  </si>
  <si>
    <t>917862111R00</t>
  </si>
  <si>
    <t>přechodový pravý</t>
  </si>
  <si>
    <t>přechodový levý</t>
  </si>
  <si>
    <t>159</t>
  </si>
  <si>
    <t>59217491</t>
  </si>
  <si>
    <t>Obrubník silniční přechodový pravý ABO 2-15 PP v 150 x 150 x 1000 mm</t>
  </si>
  <si>
    <t>Vibrolisované silniční obrubníky PRESBETON® slouží k oddělení chodníků a dalších pochozích ploch od pojezdových komunikací (vozovky).  Impregnace Protect System IN pochozí odolnost vůči mrazu  výška 150 mm šířka 150 mm délka 1000 m</t>
  </si>
  <si>
    <t>160</t>
  </si>
  <si>
    <t>59217492</t>
  </si>
  <si>
    <t>Obrubník silniční přechodový levý ABO 2-15 PL v 150 x 150 x 1000 mm</t>
  </si>
  <si>
    <t>161</t>
  </si>
  <si>
    <t>914001121R00</t>
  </si>
  <si>
    <t>Osaz.svislé dopr.značky a sloupku,Al patka, základ</t>
  </si>
  <si>
    <t>včetně dodávky sloupku a značky, Deska  IP12 + 225</t>
  </si>
  <si>
    <t>Výkop jamky s odhozem výkopku na vzdálenost do 3 m, betonový základ (s dodávkou betonu), dodávka a osazení kotevní hliníkové patky, osazení sloupku, dodávka a osazení víčka ke sloupku, osazení svislé dopravní značky plochy do 1 m2</t>
  </si>
  <si>
    <t>162</t>
  </si>
  <si>
    <t>914991001R00</t>
  </si>
  <si>
    <t>Montáž dočasné značky včetně stojanu</t>
  </si>
  <si>
    <t>A15 - Práce na silnici</t>
  </si>
  <si>
    <t>Z4a - Směrovací deska se šikmými pruhy se sklem vlevo</t>
  </si>
  <si>
    <t>163</t>
  </si>
  <si>
    <t>914992001R00</t>
  </si>
  <si>
    <t>Nájem dopravní značky včetně stojanu - den</t>
  </si>
  <si>
    <t>164</t>
  </si>
  <si>
    <t>914993001R00</t>
  </si>
  <si>
    <t>Demontáž dočasné značky včetně stojanu</t>
  </si>
  <si>
    <t>916581112RV00</t>
  </si>
  <si>
    <t>Osazení obrub z ocelové pásoviny</t>
  </si>
  <si>
    <t>166</t>
  </si>
  <si>
    <t>135111_210</t>
  </si>
  <si>
    <t>Obruba z ocel. pásoviny - ocelová pásovina, 100 x 8 mm, roxory prům 10 mm, délka 600mm, vzdálenost po 500-700 mm</t>
  </si>
  <si>
    <t>bm</t>
  </si>
  <si>
    <t>167</t>
  </si>
  <si>
    <t>914001121RT6</t>
  </si>
  <si>
    <t>včetně dodávky sloupku a značky</t>
  </si>
  <si>
    <t>IP4b</t>
  </si>
  <si>
    <t>C2b</t>
  </si>
  <si>
    <t>B2</t>
  </si>
  <si>
    <t>Výkop jamky s odhozem výkopku na vzdálenost do 3 m, betonový základ (s dodávkou betonu), dodávka a osazení kotevní hliníkové patky, dodávka a osazení sloupku, dodávka a osazení víčka ke sloupku, dodávka a osazení svislé dopravní značky plochy do 1 m2, upínací svorka</t>
  </si>
  <si>
    <t>168</t>
  </si>
  <si>
    <t>935112911R00</t>
  </si>
  <si>
    <t>Příplatek za každý 1cm lože nad 10 cm beton C25/30; XF2+XD1</t>
  </si>
  <si>
    <t>1190</t>
  </si>
  <si>
    <t>11,9m3</t>
  </si>
  <si>
    <t>169</t>
  </si>
  <si>
    <t>966006132R00</t>
  </si>
  <si>
    <t>Odstranění doprav.značek se sloupky, s bet.patkami</t>
  </si>
  <si>
    <t>P4</t>
  </si>
  <si>
    <t>H22</t>
  </si>
  <si>
    <t>Komunikace pozemní a letiště</t>
  </si>
  <si>
    <t>998223011R00</t>
  </si>
  <si>
    <t>Přesun hmot, pozemní komunikace, kryt dlážděný</t>
  </si>
  <si>
    <t>H22_</t>
  </si>
  <si>
    <t>M46</t>
  </si>
  <si>
    <t>Zemní práce při montážích</t>
  </si>
  <si>
    <t>171</t>
  </si>
  <si>
    <t>460120082R00</t>
  </si>
  <si>
    <t>Násyp zeminy, hornina třídy 3-4</t>
  </si>
  <si>
    <t>M46_</t>
  </si>
  <si>
    <t>pro štěrkový trávník</t>
  </si>
  <si>
    <t>172</t>
  </si>
  <si>
    <t>10371500</t>
  </si>
  <si>
    <t>Substrát zahradnický B VL</t>
  </si>
  <si>
    <t>Zahradnický substrát B univerzální ze směsi rašelin, minerálního kombinovaného hnojiva se stopovými prvky a jemně mletého dolomitického vápence. Použití: pro pěstování zeleniny, stromů a keřů (s výjimkou kyselomilných rostlin), pro hrnkové květiny, trvalky a ostatní zahradní rostliny včetně okrasných trávníků. Pěstovat rostliny lze přímo v substrátu nebo po smíchání s původní zeminou  Balení: volně ložen</t>
  </si>
  <si>
    <t>173</t>
  </si>
  <si>
    <t>583427602</t>
  </si>
  <si>
    <t>Kamenivo drcené 32/63</t>
  </si>
  <si>
    <t>41*2,3</t>
  </si>
  <si>
    <t>Těženou horninou je amfibolit zelenošedé barvy s vysokou pevnost</t>
  </si>
  <si>
    <t>Zpevněné plochy - nepropustné</t>
  </si>
  <si>
    <t>SO02B</t>
  </si>
  <si>
    <t>174</t>
  </si>
  <si>
    <t>122202201R00</t>
  </si>
  <si>
    <t>Odkopávky pro silnice v hor. 3 do 100 m3</t>
  </si>
  <si>
    <t>SO02B_1_</t>
  </si>
  <si>
    <t>SO02B_</t>
  </si>
  <si>
    <t>sjezd hasička</t>
  </si>
  <si>
    <t>0,2</t>
  </si>
  <si>
    <t>úprava chodníku a plocha pro lavičku</t>
  </si>
  <si>
    <t>175</t>
  </si>
  <si>
    <t>122201109R00</t>
  </si>
  <si>
    <t>Příplatek za lepivost - odkopávky v hor. 3</t>
  </si>
  <si>
    <t>úpr. chodníku a pl. pro lavičku</t>
  </si>
  <si>
    <t>176</t>
  </si>
  <si>
    <t>úprava chodníku</t>
  </si>
  <si>
    <t>plocha pod lavičku</t>
  </si>
  <si>
    <t>177</t>
  </si>
  <si>
    <t>212850001RAA</t>
  </si>
  <si>
    <t>Drenáž podél základu objektu z dren. trub d 100 mm</t>
  </si>
  <si>
    <t>SO02B_2_</t>
  </si>
  <si>
    <t>bet.lože, obsyp kamenivo, geotextilie,reviz.šachta</t>
  </si>
  <si>
    <t>Položka obsahuje dodávku a montáž betonového lože C 16/20, drenážní flexibilní PVC trubky včetně napojení na revizní šachtu, obsyp kamenivem, ochranné geotextilie (obalení kameniva) a revizní šachty DN 315 mm po 10 m.  Položka neobsahuje zemní práce a zapažení výkopu</t>
  </si>
  <si>
    <t>178</t>
  </si>
  <si>
    <t>430320100RAA</t>
  </si>
  <si>
    <t>Schodiště ze železobetonu</t>
  </si>
  <si>
    <t>SO02B_4_</t>
  </si>
  <si>
    <t>přímočaré</t>
  </si>
  <si>
    <t>Měrnou jednotkou je metr délky výstupní čáry (mDVČ)</t>
  </si>
  <si>
    <t>179</t>
  </si>
  <si>
    <t>567132111R00</t>
  </si>
  <si>
    <t>Podklad z kameniva zpev.cementem SC C8/10 tl.16 cm</t>
  </si>
  <si>
    <t>SO02B_5_</t>
  </si>
  <si>
    <t>vjezd hasička</t>
  </si>
  <si>
    <t>180</t>
  </si>
  <si>
    <t>564112220R00</t>
  </si>
  <si>
    <t>Podklad z bet.recyklátu fr.16-32 po zhutn.tl.20 cm</t>
  </si>
  <si>
    <t>Podklad z betonového recyklátu frakce 16-32 mm tl. 20 cm po zhutnění. Objemová hmotnost betonového recyklátu 1,9 t/m3 po zhutnění</t>
  </si>
  <si>
    <t>181</t>
  </si>
  <si>
    <t>Podklad z bet.recyklátu fr.16-32 po zhutn.tl.30 cm</t>
  </si>
  <si>
    <t>u hasičky - v případě sanace podloží</t>
  </si>
  <si>
    <t>sanace sjezd u hasičky</t>
  </si>
  <si>
    <t>183</t>
  </si>
  <si>
    <t>Geotextilie netkaná  300 g/m2</t>
  </si>
  <si>
    <t>;ztratné 10%; 10,4</t>
  </si>
  <si>
    <t xml:space="preserve">Netkaná geotextilie zpevněná vpichováním ze 100% z polypropylenu se separační, ochranou, filtrační a zpevňovací funkcí.  Použití v pozemním stavitelství při výstavbě střech, zakládání staveb a výstavbě drenáží, v silničním a železničním stavitelství při výstavbě silničních a železničních násypů, zajišťování svahů, při výstavbě tunelů a drenážních systémů, ve vodním stavitelství při výstavbě nádrží, kanálů a rybníků, pro zajišťování hrází a břehů, při výstavbě ekologických staveb a skládek TKO.  Základní vlastnosti textilie : odolává plísním, bakteriím a běžným chemikáliím, nemá negativní vliv na kvalitu pitné vody.  rozměr 2 x 50 </t>
  </si>
  <si>
    <t>184</t>
  </si>
  <si>
    <t>186</t>
  </si>
  <si>
    <t>592480001</t>
  </si>
  <si>
    <t>Dlažba zámková vlnka 20,5/11,2/8 II přírodní</t>
  </si>
  <si>
    <t>;ztratné 10%; 9</t>
  </si>
  <si>
    <t>cel</t>
  </si>
  <si>
    <t>187</t>
  </si>
  <si>
    <t>188</t>
  </si>
  <si>
    <t>596291111R00</t>
  </si>
  <si>
    <t>Řezání zámkové dlažby tl. 60 mm</t>
  </si>
  <si>
    <t>chodník obyč</t>
  </si>
  <si>
    <t>189</t>
  </si>
  <si>
    <t>596215021R00</t>
  </si>
  <si>
    <t>Kladení zámkové dlažby tl. 6 cm do drtě tl. 4 cm</t>
  </si>
  <si>
    <t>rozšíření chodníku</t>
  </si>
  <si>
    <t>Od CÚ 2015/ II. není v jednotkové ceně započteno řezání dlaždic!!! Rozpočtuje se samostatnou položkou 596 29-1111.R00 Řezání zámkové dlažby tl. 60 mm. V položce jsou zakalkulovány i náklady na dodání hmot pro lože a na dodání materiálu na výplň spár. V položce nejsou zakalkulovány náklady na dodání zámkové dlažby, která se oceňuje ve specifikaci, ztratné se doporučuje ve výši 5%.</t>
  </si>
  <si>
    <t>190</t>
  </si>
  <si>
    <t>592450201</t>
  </si>
  <si>
    <t>Dlažba zámková vlnka 225x112 x 60 mm přírodní</t>
  </si>
  <si>
    <t>;ztratné 10%; 1</t>
  </si>
  <si>
    <t>191</t>
  </si>
  <si>
    <t>596111111R00</t>
  </si>
  <si>
    <t>Kladení dlažby mozaika 1barva, lože z kam.do 4 cm</t>
  </si>
  <si>
    <t>pod lavičku</t>
  </si>
  <si>
    <t>192</t>
  </si>
  <si>
    <t>58380059</t>
  </si>
  <si>
    <t>Mozaika dlažební žulová 70 až 90 mm</t>
  </si>
  <si>
    <t>;ztratné 15%; 0,45</t>
  </si>
  <si>
    <t>MOZAIKA 7/9  K dláždění venkovních zpevněných ploch určených pro pěší (chodníky, náměstí, terasy a v zahradní architektuře).  1 t = 6,0 m</t>
  </si>
  <si>
    <t>193</t>
  </si>
  <si>
    <t>SO02B_9_</t>
  </si>
  <si>
    <t>194</t>
  </si>
  <si>
    <t>460030081R00</t>
  </si>
  <si>
    <t>Řezání spáry v asfaltu nebo betonu</t>
  </si>
  <si>
    <t>Altán a drobné stavební konstrukce</t>
  </si>
  <si>
    <t>SO03</t>
  </si>
  <si>
    <t>195</t>
  </si>
  <si>
    <t>139600012RBD</t>
  </si>
  <si>
    <t>Ruční výkop v hornině 3</t>
  </si>
  <si>
    <t>SO03_1_</t>
  </si>
  <si>
    <t>SO03_</t>
  </si>
  <si>
    <t>hloubka do 1 m, odvoz do 15 km</t>
  </si>
  <si>
    <t>základové pasy C 12/15 š. 600 mm : 0,60*0,50*(1,75-0,65)+0,60*1,00*(1,15-0,65)</t>
  </si>
  <si>
    <t>0,60*2,35*(1,05-0,65)</t>
  </si>
  <si>
    <t>2 patky 800x800 mm, hl. 950 mm : 0,80*0,80*(1,05-0,65)*2</t>
  </si>
  <si>
    <t>3,3</t>
  </si>
  <si>
    <t>patky pro sestavu teras</t>
  </si>
  <si>
    <t>196</t>
  </si>
  <si>
    <t>162701109R00</t>
  </si>
  <si>
    <t>Příplatek k vod. přemístění hor.1-4 za další 1 km</t>
  </si>
  <si>
    <t>5,01*12</t>
  </si>
  <si>
    <t>předpoklad skládky cca 27 k, tj. 12 km příplate</t>
  </si>
  <si>
    <t>197</t>
  </si>
  <si>
    <t>180407111R00</t>
  </si>
  <si>
    <t>Položení travního koberce</t>
  </si>
  <si>
    <t>položení vegetačních rohoží na střechu altánu bez dodávky rohoží</t>
  </si>
  <si>
    <t>vegetace - předpěstované rohože z kokosového vlákna : 3,3535*8,60</t>
  </si>
  <si>
    <t>Hloubení pro podzemní stěny, ražení a hloubení důlní</t>
  </si>
  <si>
    <t>198</t>
  </si>
  <si>
    <t>19_</t>
  </si>
  <si>
    <t>199</t>
  </si>
  <si>
    <t>274313511R00</t>
  </si>
  <si>
    <t>Beton základových pasů prostý C 12/15</t>
  </si>
  <si>
    <t>SO03_2_</t>
  </si>
  <si>
    <t>základové pasy C 12/15 š. 600 mm : 0,60*0,50*(1,75-0,55)+0,60*1,00*(1,15-0,55)</t>
  </si>
  <si>
    <t>0,60*2,35*(1,05-0,55)</t>
  </si>
  <si>
    <t>200</t>
  </si>
  <si>
    <t>274351215R00</t>
  </si>
  <si>
    <t>Bednění stěn základových pasů - zřízení</t>
  </si>
  <si>
    <t>základové pasy PB C 12/15 š. 600 mm : 2*0,50*(0,65-0,55)+(0,60+2*1,00)*(0,65-0,55)</t>
  </si>
  <si>
    <t>(0,60+2,35)*2*(0,65-0,55)</t>
  </si>
  <si>
    <t>201</t>
  </si>
  <si>
    <t>274351216R00</t>
  </si>
  <si>
    <t>Bednění stěn základových pasů - odstranění</t>
  </si>
  <si>
    <t>202</t>
  </si>
  <si>
    <t>275313511R00</t>
  </si>
  <si>
    <t>Beton základových patek prostý C 12/15</t>
  </si>
  <si>
    <t>2 patky 800x800 mm, hl. 950 mm : 0,80*0,80*(1,05-0,10)*2</t>
  </si>
  <si>
    <t>patky pro sestavu teras - přímo do výkopu bez bednění</t>
  </si>
  <si>
    <t>203</t>
  </si>
  <si>
    <t>275351215R00</t>
  </si>
  <si>
    <t>Bednění stěn základových patek - zřízení</t>
  </si>
  <si>
    <t>2 patky 800x800 mm, hl. 950 mm : 0,80*4*(0,65-0,10)*2</t>
  </si>
  <si>
    <t>204</t>
  </si>
  <si>
    <t>275351216R00</t>
  </si>
  <si>
    <t>Bednění stěn základových patek - odstranění</t>
  </si>
  <si>
    <t>205</t>
  </si>
  <si>
    <t>311321825R00</t>
  </si>
  <si>
    <t>Železobeton nadzákladových zdí pohledový C 25/30</t>
  </si>
  <si>
    <t>SO03_3_</t>
  </si>
  <si>
    <t>nadbetonávka stávající opěrné zdi : 0,60*0,35*(1,45+0,25+9,00+8,50)</t>
  </si>
  <si>
    <t>sokl v. 250 mm : 0,20*0,25*(1,45+0,30+4,30)</t>
  </si>
  <si>
    <t>ŽB stěna tl. 200 mm, v. 2500 mm, dl. 4500 mm : 0,20*2,50*4,50</t>
  </si>
  <si>
    <t>sokl u pásu : 0,20*(0,55+0,10)*1,70</t>
  </si>
  <si>
    <t>ŽB stěna tl. 200 mm, v. 2500 mm, dl. 2150 mm : 0,20*2,50*2,15</t>
  </si>
  <si>
    <t>ŽB stěna tl. 250 mm, v. 1500 mm, dl. 1550 mm : 0,25*(1,45+0,05)*1,55</t>
  </si>
  <si>
    <t>ŽB zídka tl. 200 mm, dl. 8,5 m : 0,20*1,20*8,50+0,60*0,35*8,50</t>
  </si>
  <si>
    <t>206</t>
  </si>
  <si>
    <t>311351805R00</t>
  </si>
  <si>
    <t>Bednění nadzákladových zdí pohledových hladkých, oboustranné - zřízení</t>
  </si>
  <si>
    <t>nadbetonávka stávající opěrné zdi : 2*0,35*(1,45+0,25+9,00+8,50)+0,60*0,35</t>
  </si>
  <si>
    <t>sokl v. 250 mm : 2*0,25*(1,45+0,30+4,30)</t>
  </si>
  <si>
    <t>ŽB stěna tl. 200 mm, v. 2500 mm, dl. 4500 mm : (0,20+2,50)*2*4,50</t>
  </si>
  <si>
    <t>sokl u pásu : (0,20+1,70*2)*0,65</t>
  </si>
  <si>
    <t>ŽB stěna tl. 200 mm, v. 2500 mm, dl. 2150 mm : (0,20+2,15)*2*2,50</t>
  </si>
  <si>
    <t>ŽB stěna tl. 250 mm, v. 1500 mm, dl. 1550 mm : (0,25+1,55*2)*(1,45+0,05)</t>
  </si>
  <si>
    <t>ŽB zídka tl. 200 mm, dl. 8,5 m : (0,20+8,50*2)*1,20+(0,60+8,50*2)*0,35</t>
  </si>
  <si>
    <t>207</t>
  </si>
  <si>
    <t>311351806R00</t>
  </si>
  <si>
    <t>Bednění nadzákladových zdí pohledových hladkých, oboustranné - odstranění</t>
  </si>
  <si>
    <t>208</t>
  </si>
  <si>
    <t>311361821R00</t>
  </si>
  <si>
    <t>Výztuž nadzákladových zdí z betonářské oceli B500B (10 505)</t>
  </si>
  <si>
    <t>odhad cca 100 kg/m3 : 12,2867*100/1000</t>
  </si>
  <si>
    <t>209</t>
  </si>
  <si>
    <t>31175297X</t>
  </si>
  <si>
    <t>Patka sloupu D 140x120 mm, pozink.</t>
  </si>
  <si>
    <t>Různé kompletní konstrukce nedělitelné do stav. dílů</t>
  </si>
  <si>
    <t>210</t>
  </si>
  <si>
    <t>380931114R00</t>
  </si>
  <si>
    <t>Vložení trnu průměru 12 mm do betonu na dvousložkové lepidlo, bez dodávky trnu</t>
  </si>
  <si>
    <t>38_</t>
  </si>
  <si>
    <t>nadbetonávka stávající opěrné zdi : 2*(1,45+0,25+9,00+8,50)/0,25</t>
  </si>
  <si>
    <t>sokl v. 250 mm : 2*(1,45+0,30+4,30)/0,25</t>
  </si>
  <si>
    <t>ŽB stěna tl. 200 mm, v. 2500 mm, dl. 4500 mm : 2*4,50/0,25</t>
  </si>
  <si>
    <t>ŽB stěna tl. 250 mm, v. 1500 mm, dl. 1550 mm : 2*((1,45+0,05)+1,55)/0,25</t>
  </si>
  <si>
    <t>ŽB zídka tl. 200 mm, dl. 8,5 m : 2*8,50/0,25</t>
  </si>
  <si>
    <t>154+49+36+25+68</t>
  </si>
  <si>
    <t>211</t>
  </si>
  <si>
    <t>58953480</t>
  </si>
  <si>
    <t>Výztuž betonářská žebírková B500B, d 12 mm, střih + ohyb</t>
  </si>
  <si>
    <t>0,45*332*0,89*1,12/1000</t>
  </si>
  <si>
    <t>trny délka 450 mm, R12, g=0,89 kg/m</t>
  </si>
  <si>
    <t>Výztuž do betonu kruhového průřezu s žebírkovým povrchem, stříhaná a ohýbaná. Ocel betonářská v tyčích zn. B500B dle DIN 488; ČSN 42 0139  0,89 kg/</t>
  </si>
  <si>
    <t>212</t>
  </si>
  <si>
    <t>631571010R00</t>
  </si>
  <si>
    <t>Zřízení násypu, podlahy nebo střechy, bez dodávky</t>
  </si>
  <si>
    <t>SO03_6_</t>
  </si>
  <si>
    <t>střešní substrát pro extenzivní střechy tl. 80 mm : 3,3535*8,60*0,08</t>
  </si>
  <si>
    <t>pás kačírku na střeše š. 250 mm, v. 140 mm : 0,25*0,14*8,60</t>
  </si>
  <si>
    <t>3,1*1*0,08</t>
  </si>
  <si>
    <t>střecha rozvaděč substrát</t>
  </si>
  <si>
    <t>213</t>
  </si>
  <si>
    <t>10371522</t>
  </si>
  <si>
    <t>Substrát střešní extenzivní VL</t>
  </si>
  <si>
    <t>3,3535*8,60*0,08*1,10</t>
  </si>
  <si>
    <t>střešní substrát pro extenzivní střechy tl. 80 mm - altán</t>
  </si>
  <si>
    <t>3,1*1*0,08*1,10</t>
  </si>
  <si>
    <t>střešní substrát pro extenzivní střechy tl. 80 mm - rozvaděč</t>
  </si>
  <si>
    <t>Homogenizovaná směs drceného spongilitu, drceného expandovaného jílu a rašeliny. Vhodný pro nenáročné rostliny, jako jsou mechy, rozchodníky a některé další suchomilné trvalky a traviny, které se dlouhodobě obejdou bez zálivky,  OH suchá: 700 až 950  kg/m3 OH nasycená: 1050 až 1550 kg/m3 Balení: volně ložen</t>
  </si>
  <si>
    <t>214</t>
  </si>
  <si>
    <t>58333664</t>
  </si>
  <si>
    <t>Kačírek praný 8/16 mm, VL</t>
  </si>
  <si>
    <t>0,25*0,14*8,60*1,05</t>
  </si>
  <si>
    <t>pás kačírku na střeše š. 250 mm, v. 140 mm</t>
  </si>
  <si>
    <t xml:space="preserve">Vhodný na obsyp drenáží, okrasné kamenivo, příměs do betonových směsí, opravu komunikací, zásyp zahradních ploch.  Přepočet: cca 1 m3 = 1,6 </t>
  </si>
  <si>
    <t>215</t>
  </si>
  <si>
    <t>711409111R00</t>
  </si>
  <si>
    <t>Montáž drenážní rohože na sucho</t>
  </si>
  <si>
    <t>SO03_71_</t>
  </si>
  <si>
    <t xml:space="preserve"> (3,535+0,25)*8,60</t>
  </si>
  <si>
    <t>hydroakumulační vrstva - montáž, viz. řez A1, A2 altán</t>
  </si>
  <si>
    <t>3,1*1</t>
  </si>
  <si>
    <t>hydroakumulační vrstva rozvaděče střecha</t>
  </si>
  <si>
    <t>712</t>
  </si>
  <si>
    <t>Izolace střech (živičné krytiny)</t>
  </si>
  <si>
    <t>216</t>
  </si>
  <si>
    <t>712378001R00</t>
  </si>
  <si>
    <t>Atiková okapnice VIPLANYL rš 150 mm</t>
  </si>
  <si>
    <t>712_</t>
  </si>
  <si>
    <t>8,6</t>
  </si>
  <si>
    <t>altán zadní strana</t>
  </si>
  <si>
    <t>3,1</t>
  </si>
  <si>
    <t>střecha rozvaděče</t>
  </si>
  <si>
    <t>217</t>
  </si>
  <si>
    <t>712391171RT1</t>
  </si>
  <si>
    <t>Položení podkladní textilie na střechách do 10°</t>
  </si>
  <si>
    <t>1 vrstva - textilie ve specifikaci</t>
  </si>
  <si>
    <t>35,891+3,1</t>
  </si>
  <si>
    <t>podkladní vrstva - pp textilie 300 gr/m2 :</t>
  </si>
  <si>
    <t>35,891 +3,1</t>
  </si>
  <si>
    <t>separační a filtrační vrstva - 100% pp střiž 500 gr/m2 : 35,891</t>
  </si>
  <si>
    <t>218</t>
  </si>
  <si>
    <t>69370514</t>
  </si>
  <si>
    <t>(35,9+3,1)*1,3</t>
  </si>
  <si>
    <t>Vpichovaná netkaná textilie pro stavbu silnic, železnic, zemních staveb, pro stavbu hrází, kanálů a odvodňovacích systémů pro funkci separační, filtrační, výztužnou a ochrannou (S, F, R, P)  Materiálové složení: 100% polypropylenová střiž Barva: bíl</t>
  </si>
  <si>
    <t>219</t>
  </si>
  <si>
    <t>69370522</t>
  </si>
  <si>
    <t>Geotextilie netkaná  500 g/m2</t>
  </si>
  <si>
    <t>Vpichovaná netkaná textilie pro stavbu silnic, železnic, zemních staveb, tunelů, pro stavbu hrází, kanálů, odvodňovacích systémů pro funkci separační, filtrační, výztužnou, ochrannou a drenážní (S, F, R, P, D)  Materiálové složení: 100% polypropylenová střiž Barva: bíl</t>
  </si>
  <si>
    <t>220</t>
  </si>
  <si>
    <t>712370010RAB</t>
  </si>
  <si>
    <t>Povlaková krytina střech do 10°, termoplasty</t>
  </si>
  <si>
    <t>fólie uv stabilní 810 tl. 1,5 mm</t>
  </si>
  <si>
    <t>hydroizolační vrstva, viz. řez A1, A2 : (3,535+0,25)*8,60</t>
  </si>
  <si>
    <t>plocha atiky : 3,34</t>
  </si>
  <si>
    <t>714</t>
  </si>
  <si>
    <t>Izolace akustické a protiotřesová opatření</t>
  </si>
  <si>
    <t>221</t>
  </si>
  <si>
    <t>714192001R0X</t>
  </si>
  <si>
    <t>Montáž dřevěných fasádních hranolů včetně podkladního roštu</t>
  </si>
  <si>
    <t>714_</t>
  </si>
  <si>
    <t>vč. spojovacího materiálu - montáž na venkovní cihlovou zeď</t>
  </si>
  <si>
    <t>3,1*1,7</t>
  </si>
  <si>
    <t>zadní zeď rozvaděčů</t>
  </si>
  <si>
    <t>222</t>
  </si>
  <si>
    <t>60510057122</t>
  </si>
  <si>
    <t>Hranolek fasádní  pohledový hoblovaný sušený modřín 40 x 60 mm, délka 4 m</t>
  </si>
  <si>
    <t>38*2</t>
  </si>
  <si>
    <t>38 ks délky 1700 - 1400</t>
  </si>
  <si>
    <t>3*4</t>
  </si>
  <si>
    <t>3 podkladní hrnoly délky 3100</t>
  </si>
  <si>
    <t>Hoblovaný hranolek 40 x 60 x 4000 mm NSi - modřínový, sušený, zaoblená hran</t>
  </si>
  <si>
    <t>223</t>
  </si>
  <si>
    <t>60510057123</t>
  </si>
  <si>
    <t>Prkno pohledové hoblované Modřín sibiřský 25 x 70 mm</t>
  </si>
  <si>
    <t xml:space="preserve">Prkno pohledové hoblované fasádní  - Sibiřský modřín, rozměr 25 x 70 mm, délka 4 </t>
  </si>
  <si>
    <t>762</t>
  </si>
  <si>
    <t>Konstrukce tesařské</t>
  </si>
  <si>
    <t>224</t>
  </si>
  <si>
    <t>762136114R00</t>
  </si>
  <si>
    <t>Montáž bednění stěn z latí hoblov., mezery 4 - 6cm</t>
  </si>
  <si>
    <t>762_</t>
  </si>
  <si>
    <t>SO03_76_</t>
  </si>
  <si>
    <t>2 - obklad, viz. výkr. D.1.3.1.03 - poznámka 2, latě kvh 60x30 mm, mezera mezi latěmi 60 mm : 4,15*2</t>
  </si>
  <si>
    <t>225</t>
  </si>
  <si>
    <t>762195000R00</t>
  </si>
  <si>
    <t>Spojovací a ochranné prostředky pro montáž stěn</t>
  </si>
  <si>
    <t>2 - obklad, viz. výkr. D.1.3.1.03 - poznámka 2, latě kvh 60x30 mm, mezera mezi latěmi 60 mm : (24+42</t>
  </si>
  <si>
    <t>226</t>
  </si>
  <si>
    <t>762311103R00</t>
  </si>
  <si>
    <t>Montáž kotevních želez, příložek, patek, táhel</t>
  </si>
  <si>
    <t>kotvení pozednice závit. tyčí M14 : 4+2</t>
  </si>
  <si>
    <t>kotevní patky pro sloupky 04 : 1+1</t>
  </si>
  <si>
    <t>762441112RT4</t>
  </si>
  <si>
    <t>Montáž obložení atiky z desek na bázi dřeva, 1 vrstva, šroubováním</t>
  </si>
  <si>
    <t>včetně dodávky desky OSB ECO 3 N tl. 22 mm</t>
  </si>
  <si>
    <t>rez A1, u prvku 09 : 0,20*8,60+(0,20+0,25)*0,5*3,60*2</t>
  </si>
  <si>
    <t>228</t>
  </si>
  <si>
    <t>762495000R00</t>
  </si>
  <si>
    <t>Spojovací a ochranné prostř. obložení stěn, stropů</t>
  </si>
  <si>
    <t>3,34</t>
  </si>
  <si>
    <t>229</t>
  </si>
  <si>
    <t>762712110R00</t>
  </si>
  <si>
    <t>Montáž vázaných konstrukcí hraněných do 120 cm2</t>
  </si>
  <si>
    <t>sloupek 05 - 180x60 mm : 2,25*61</t>
  </si>
  <si>
    <t>prvky střechy 10 - 150x50 mm : 8,60*1</t>
  </si>
  <si>
    <t>prvky střechy 11 - 150x50 mm : 3,60*2</t>
  </si>
  <si>
    <t>230</t>
  </si>
  <si>
    <t>762712120R00</t>
  </si>
  <si>
    <t>Montáž vázaných konstrukcí hraněných do 224 cm2</t>
  </si>
  <si>
    <t>krokev 06 - 100x180 mm : 3,90*15</t>
  </si>
  <si>
    <t>prvky střechy 09 - 100x150 mm : 0,28*14</t>
  </si>
  <si>
    <t>231</t>
  </si>
  <si>
    <t>762712130R00</t>
  </si>
  <si>
    <t>Montáž vázaných konstrukcí hraněných do 288 cm2</t>
  </si>
  <si>
    <t>průvlak 02 - 150x150 mm : 8,90*1</t>
  </si>
  <si>
    <t>sloupek 04 - 150x150 mm : 2,25*2</t>
  </si>
  <si>
    <t>prvky střechy 07 - 150x150 mm : 0,33*2</t>
  </si>
  <si>
    <t>prvky střechy 08 - 150x150 mm : 0,42*2</t>
  </si>
  <si>
    <t>232</t>
  </si>
  <si>
    <t>762712140R00</t>
  </si>
  <si>
    <t>Montáž vázaných konstrukcí hraněných do 450 cm2</t>
  </si>
  <si>
    <t>průvlak 01 - 150x240 mm : 8,90*1</t>
  </si>
  <si>
    <t>průvlak 03 - 150x240 mm : 3,60*2</t>
  </si>
  <si>
    <t>233</t>
  </si>
  <si>
    <t>762795000R00</t>
  </si>
  <si>
    <t>Spojovací prostředky pro vázané konstrukce</t>
  </si>
  <si>
    <t>234</t>
  </si>
  <si>
    <t>605158xx</t>
  </si>
  <si>
    <t>Hranol konstrukční KVH NSi, SM</t>
  </si>
  <si>
    <t>sloupek 05 - 180x60 mm : 2,25*61*0,18*0,06</t>
  </si>
  <si>
    <t>prvky střechy 10 - 150x50 mm : 8,60*1*0,15*0,05</t>
  </si>
  <si>
    <t>prvky střechy 11 - 150x50 mm : 3,60*2*0,15*0,05</t>
  </si>
  <si>
    <t>krokev 06 - 100x180 mm : 3,90*15*0,10*0,18</t>
  </si>
  <si>
    <t>prvky střechy 09 - 100x150 mm : 0,28*14*0,10*0,15</t>
  </si>
  <si>
    <t>průvlak 02 - 150x150 mm : 8,90*1*0,15*0,15</t>
  </si>
  <si>
    <t>sloupek 04 - 150x150 mm : 2,25*2*0,15*0,15</t>
  </si>
  <si>
    <t>prvky střechy 07 - 150x150 mm : 0,33*2*0,15*0,15</t>
  </si>
  <si>
    <t>prvky střechy 08 - 150x150 mm : 0,42*2*0,15*0,15</t>
  </si>
  <si>
    <t>průvlak 01 - 150x240 mm : 8,90*1*0,15*0,24</t>
  </si>
  <si>
    <t>průvlak 03 - 150x240 mm : 3,60*2*0,15*0,24</t>
  </si>
  <si>
    <t>3,6274*1,08</t>
  </si>
  <si>
    <t>;ztratné 10%; 0,392</t>
  </si>
  <si>
    <t xml:space="preserve">Stavební masivní dřevo KVH  Sušené hoblované hranoly určené pro skryté i pohledové konstrukce. </t>
  </si>
  <si>
    <t>235</t>
  </si>
  <si>
    <t>605158XY</t>
  </si>
  <si>
    <t>Příplatek za provedení KVH hranolů ve kvalitě Si, pohledové</t>
  </si>
  <si>
    <t>236</t>
  </si>
  <si>
    <t>55399999</t>
  </si>
  <si>
    <t>výrobek kovový zámečnický, atypický</t>
  </si>
  <si>
    <t>kg</t>
  </si>
  <si>
    <t>kotvení pozednice závit. tyčí M14, á=0,50 m,  : (4+2)*0,50*0,00097*1,25*1000</t>
  </si>
  <si>
    <t>237</t>
  </si>
  <si>
    <t>998762202R00</t>
  </si>
  <si>
    <t>Přesun hmot pro konstrukce tesařské v objektech výšky do 12 m</t>
  </si>
  <si>
    <t>%</t>
  </si>
  <si>
    <t>763</t>
  </si>
  <si>
    <t>Dřevostavby</t>
  </si>
  <si>
    <t>238</t>
  </si>
  <si>
    <t>763613232RW6</t>
  </si>
  <si>
    <t>Montáž záklop stropů, z desek tl. nad 18 mm, na P+D, šroubováním, včetně dodávky desky dřevoštěpkové</t>
  </si>
  <si>
    <t>763_</t>
  </si>
  <si>
    <t>skladba ST/1, 07 : (3,90-0,15)*8,60</t>
  </si>
  <si>
    <t>239</t>
  </si>
  <si>
    <t>764817140RT2</t>
  </si>
  <si>
    <t>Oplechování  zdí (atik), z lakovaného pozinkovaného plechu, rš 400 mm, dodávka + montáž lepením</t>
  </si>
  <si>
    <t>4,00+8,90+4,00</t>
  </si>
  <si>
    <t>1+3,1+1</t>
  </si>
  <si>
    <t>rozvaděče</t>
  </si>
  <si>
    <t>240</t>
  </si>
  <si>
    <t>764819211R00</t>
  </si>
  <si>
    <t>Odpadní trouby kruhové, průměr 80 mm, z lakovaného pozinkovaného plechu,  , dodávka a montáž</t>
  </si>
  <si>
    <t>241</t>
  </si>
  <si>
    <t>764815211R00</t>
  </si>
  <si>
    <t>Žlaby podokapní půlkruhové, z lakovaného pozinkovaného plechu, rš 250 mm, dodávka a montáž</t>
  </si>
  <si>
    <t>242</t>
  </si>
  <si>
    <t>764815808R00</t>
  </si>
  <si>
    <t>Ostatní prvky ke žlabům a odpadním troubám kotlík žlabový oválného tvaru o rozměru 250/80 mm, z lakovaného pozinkovaného plechu,  , dodávka a montáž</t>
  </si>
  <si>
    <t>243</t>
  </si>
  <si>
    <t>764815890R00</t>
  </si>
  <si>
    <t>Ostatní prvky ke žlabům a odpadním troubám přetočení rovných háků při montáži,  ,  ,</t>
  </si>
  <si>
    <t>244</t>
  </si>
  <si>
    <t>998764201R00</t>
  </si>
  <si>
    <t>Přesun hmot pro konstrukce klempířské v objektech výšky do 6 m</t>
  </si>
  <si>
    <t>766</t>
  </si>
  <si>
    <t>Konstrukce truhlářské</t>
  </si>
  <si>
    <t>245</t>
  </si>
  <si>
    <t>766414142R00</t>
  </si>
  <si>
    <t>Montáž obložení stěn, sloupů a pilířů o ploše do 5 m2, panely obkladovými, z aglomerovaných desek, velikosti přes 0,6 do 1,5 m2</t>
  </si>
  <si>
    <t>766_</t>
  </si>
  <si>
    <t>obklad z vláknocement. desek tl. 8 mm - stěny : (0,24+0,33)*(4,00+9,00+4,00)+0,32*9,00+0,25*0,20*2</t>
  </si>
  <si>
    <t>246</t>
  </si>
  <si>
    <t>766422343R00</t>
  </si>
  <si>
    <t>Montáž obložení podhledů jednoduchých, panely obkladovými, z aglomerovaných desek, velikosti přes 1,5 m2</t>
  </si>
  <si>
    <t>obklad z vláknocement. desek tl. 8 mm - podhled : 3,95*9,00-0,20*(4,50+2,15)</t>
  </si>
  <si>
    <t>247</t>
  </si>
  <si>
    <t>766427112R00</t>
  </si>
  <si>
    <t>Montáž obložení podhledů doplňkové konstrukce  podkladový rošt</t>
  </si>
  <si>
    <t>34,22</t>
  </si>
  <si>
    <t>248</t>
  </si>
  <si>
    <t>766417111R0X</t>
  </si>
  <si>
    <t>Podkladový rošt pod obložení stěn, vč. materiálu, závěsů a spojovacího materiálu</t>
  </si>
  <si>
    <t>montáž obkladu z vláknocementových desek</t>
  </si>
  <si>
    <t>249</t>
  </si>
  <si>
    <t>59590735</t>
  </si>
  <si>
    <t>deska cementotřísková l = 3 350 mm; š = 1 250 mm; tl. 8,0 mm; povrch hladký</t>
  </si>
  <si>
    <t>46,89*1,12</t>
  </si>
  <si>
    <t>250</t>
  </si>
  <si>
    <t>998766201R00</t>
  </si>
  <si>
    <t>Přesun hmot pro konstrukce truhlářské v objektech výšky do 6 m</t>
  </si>
  <si>
    <t>251</t>
  </si>
  <si>
    <t>766441111R00</t>
  </si>
  <si>
    <t>Položení podlahy teras z prken, na podkladní rošt</t>
  </si>
  <si>
    <t>kompozitní terasa, materiály ve specifikaci</t>
  </si>
  <si>
    <t>včetně  položení podkladního roštu do štěrkového lože, nebo na rovný pevný povrch, položení palubek a upevnění nerezovými šrouby skrytým spojem. Bez povrchové úpravy nátěrem</t>
  </si>
  <si>
    <t>252</t>
  </si>
  <si>
    <t>20015</t>
  </si>
  <si>
    <t>EPDM - podkladní pryž pro kompozitní terasy</t>
  </si>
  <si>
    <t>2024</t>
  </si>
  <si>
    <t>253</t>
  </si>
  <si>
    <t>20018</t>
  </si>
  <si>
    <t>Osvětlení bodové pro terasy - sada - bodové světlo Alpha LED teplá bílá 0,5W, 12V, IP 67, veznkovní zápustné svítidlo nerez 10 ks, zdroj, kabel 25m</t>
  </si>
  <si>
    <t>254</t>
  </si>
  <si>
    <t>20017</t>
  </si>
  <si>
    <t>TR_EM_239 - řídící jednotka, paralelní chod</t>
  </si>
  <si>
    <t>ks</t>
  </si>
  <si>
    <t>255</t>
  </si>
  <si>
    <t>20016</t>
  </si>
  <si>
    <t>Poklop - elektroinstalace</t>
  </si>
  <si>
    <t>256</t>
  </si>
  <si>
    <t>20014</t>
  </si>
  <si>
    <t>Poklop - kulové dorazy rámu nerez A2</t>
  </si>
  <si>
    <t>257</t>
  </si>
  <si>
    <t>20013</t>
  </si>
  <si>
    <t>Poklop - pohon LA</t>
  </si>
  <si>
    <t>258</t>
  </si>
  <si>
    <t>20012</t>
  </si>
  <si>
    <t>Poklop - nerezový pant vícekloubový</t>
  </si>
  <si>
    <t>259</t>
  </si>
  <si>
    <t>20011</t>
  </si>
  <si>
    <t>Poklop - závěs motoru</t>
  </si>
  <si>
    <t>260</t>
  </si>
  <si>
    <t>20010</t>
  </si>
  <si>
    <t>Podkladové hranoly pro kompozitní terasy Plas Pro 50x50x2400</t>
  </si>
  <si>
    <t>261</t>
  </si>
  <si>
    <t>2009</t>
  </si>
  <si>
    <t>Poklop z hliníkových profilů vč. svařování, zinkování a dopravy</t>
  </si>
  <si>
    <t>262</t>
  </si>
  <si>
    <t>2008</t>
  </si>
  <si>
    <t>Nerez vrut pro montáž podkladních rožtů, A2 5x80 záp. hl. Tx, 5x60 záp. hl. Tx</t>
  </si>
  <si>
    <t>263</t>
  </si>
  <si>
    <t>2007</t>
  </si>
  <si>
    <t>Betonové podkladní dlaždice pro terasy 1000x200x50 mm</t>
  </si>
  <si>
    <t>264</t>
  </si>
  <si>
    <t>2006</t>
  </si>
  <si>
    <t>Podkladní podložky fixní 2, 5, 10 a 15 mm</t>
  </si>
  <si>
    <t>265</t>
  </si>
  <si>
    <t>2005</t>
  </si>
  <si>
    <t>Podkladní hranol pro kompozitní terasy WPC 50x50x4000 mm</t>
  </si>
  <si>
    <t>266</t>
  </si>
  <si>
    <t>2004</t>
  </si>
  <si>
    <t>Barva pro kompozitní terasy (zatření viditelných hran a řezných ploch)</t>
  </si>
  <si>
    <t>bal</t>
  </si>
  <si>
    <t>267</t>
  </si>
  <si>
    <t>2003</t>
  </si>
  <si>
    <t>Vruty nerez systémové pro kompozitní terasy box 250 ks</t>
  </si>
  <si>
    <t>268</t>
  </si>
  <si>
    <t>2002</t>
  </si>
  <si>
    <t>Okrajová lišta se zaoblenou hranou ohebná, design dřeva, systémový prvek 2400x50x32 mm</t>
  </si>
  <si>
    <t>269</t>
  </si>
  <si>
    <t>2001</t>
  </si>
  <si>
    <t>Svislá deska pro terasy kompozitní - 3600x147x16 mm pro lemování teras</t>
  </si>
  <si>
    <t>270</t>
  </si>
  <si>
    <t>2000</t>
  </si>
  <si>
    <t>Terasová prkna z kompozitního materiálu Enhanced Grain 3600x176x32, barva Golden Oak,</t>
  </si>
  <si>
    <t>271</t>
  </si>
  <si>
    <t>766441111RAX</t>
  </si>
  <si>
    <t>Zhotovení soustavy teras z kompozitního materiálu</t>
  </si>
  <si>
    <t>počítán pouze půdorysný průmět terasy</t>
  </si>
  <si>
    <t>včetně  zhotovení podkladní konstrukce - uložení na betonové patky (patky oceněny samostatně)</t>
  </si>
  <si>
    <t>272</t>
  </si>
  <si>
    <t>20025</t>
  </si>
  <si>
    <t>Poklop posuvný - zamykání</t>
  </si>
  <si>
    <t>273</t>
  </si>
  <si>
    <t>274</t>
  </si>
  <si>
    <t>20024</t>
  </si>
  <si>
    <t>Poklop pojízdný nad šachtou, vč. lyžin, Al - nosná konstrukce bez opláštění</t>
  </si>
  <si>
    <t>275</t>
  </si>
  <si>
    <t>20023</t>
  </si>
  <si>
    <t>Závitová tyč nerez A2, 12 mm</t>
  </si>
  <si>
    <t>276</t>
  </si>
  <si>
    <t>20022</t>
  </si>
  <si>
    <t>Vrut pozink 6x100, 6x120 šestihranná hlava</t>
  </si>
  <si>
    <t>277</t>
  </si>
  <si>
    <t>20021</t>
  </si>
  <si>
    <t>Profil plastový Plaspro pro kompozitní terasy 50x50x2400</t>
  </si>
  <si>
    <t>278</t>
  </si>
  <si>
    <t>20020</t>
  </si>
  <si>
    <t>Sloupek plastový pro kompouitní terasy 100x100x3000</t>
  </si>
  <si>
    <t>20019</t>
  </si>
  <si>
    <t>Podkladní hranol plastový Plaspro 125x50x300</t>
  </si>
  <si>
    <t>280</t>
  </si>
  <si>
    <t>281</t>
  </si>
  <si>
    <t>282</t>
  </si>
  <si>
    <t>283</t>
  </si>
  <si>
    <t>1+4*0,5</t>
  </si>
  <si>
    <t>Počítána horní strana i boční strany</t>
  </si>
  <si>
    <t>284</t>
  </si>
  <si>
    <t>Zamykání k poklopu</t>
  </si>
  <si>
    <t>285</t>
  </si>
  <si>
    <t>286</t>
  </si>
  <si>
    <t>20034</t>
  </si>
  <si>
    <t>Nosná konstrukce pro zakrytí šachyty - Al - vnější rozměr boxu 1,08x1.08x0,4, včetně pantů poklopu</t>
  </si>
  <si>
    <t>287</t>
  </si>
  <si>
    <t>288</t>
  </si>
  <si>
    <t>289</t>
  </si>
  <si>
    <t>290</t>
  </si>
  <si>
    <t>767225110R00</t>
  </si>
  <si>
    <t>Montáž zábradlí - osazení samostatného sloupku</t>
  </si>
  <si>
    <t>291</t>
  </si>
  <si>
    <t>55343626R</t>
  </si>
  <si>
    <t>lišta kabelových tras; materiál Al; l = 3 000 mm</t>
  </si>
  <si>
    <t>8,57/2</t>
  </si>
  <si>
    <t>292</t>
  </si>
  <si>
    <t>709214012</t>
  </si>
  <si>
    <t>Síť pro zábradlí vř. lan - viz PD, barva přírodní</t>
  </si>
  <si>
    <t>14*1</t>
  </si>
  <si>
    <t>;ztratné 5%; 0,7</t>
  </si>
  <si>
    <t>293</t>
  </si>
  <si>
    <t>749108071</t>
  </si>
  <si>
    <t>Sloupek s pouzdrem viz PD</t>
  </si>
  <si>
    <t>slopupek včetně pouzdra a krytky - nasazovací</t>
  </si>
  <si>
    <t>294</t>
  </si>
  <si>
    <t>767896110R00</t>
  </si>
  <si>
    <t>Montáž ostatních kovových doplňků staveb částí lišt hliníkových šroubovaných</t>
  </si>
  <si>
    <t>mtž kačírkové lišty Z2 : 8,57</t>
  </si>
  <si>
    <t>295</t>
  </si>
  <si>
    <t>767.Z1</t>
  </si>
  <si>
    <t>Lavička 410 x1600 mm, dodávka a montáž</t>
  </si>
  <si>
    <t>atypická lavička na stěnu ve stejné designové řadě jako zbytek mobiliáře, dřevo akát, konstrukce FeZn+komaxit RAL 7022</t>
  </si>
  <si>
    <t>"lazura", odstín světlý upřesněn dle vzorníku : 3</t>
  </si>
  <si>
    <t>296</t>
  </si>
  <si>
    <t>998767201R00</t>
  </si>
  <si>
    <t>Přesun hmot pro kovové stavební doplňk. konstrukce v objektech výšky do 6 m</t>
  </si>
  <si>
    <t>783</t>
  </si>
  <si>
    <t>Nátěry</t>
  </si>
  <si>
    <t>297</t>
  </si>
  <si>
    <t>783711101R00</t>
  </si>
  <si>
    <t>Nátěr olejový tesařských konstrukcí, napuštění</t>
  </si>
  <si>
    <t>783_</t>
  </si>
  <si>
    <t>SO03_78_</t>
  </si>
  <si>
    <t>sloupek 05 - 180x60 mm : 2,25*61*(0,18+0,06)*2</t>
  </si>
  <si>
    <t>prvky střechy 10 - 150x50 mm : 8,60*1*(0,15+0,05)*2</t>
  </si>
  <si>
    <t>prvky střechy 11 - 150x50 mm : 3,60*2*(0,15+0,05)*2</t>
  </si>
  <si>
    <t>krokev 06 - 100x180 mm : 3,90*15*(0,10+0,18)*2</t>
  </si>
  <si>
    <t>prvky střechy 09 - 100x150 mm : 0,28*14*(0,10+0,15)*2</t>
  </si>
  <si>
    <t>průvlak 02 - 150x150 mm : 8,90*1*0,15*4</t>
  </si>
  <si>
    <t>sloupek 04 - 150x150 mm : 2,25*2*0,15*4</t>
  </si>
  <si>
    <t>prvky střechy 07 - 150x150 mm : 0,33*2*0,15*4</t>
  </si>
  <si>
    <t>prvky střechy 08 - 150x150 mm : 0,42*2*0,15*4</t>
  </si>
  <si>
    <t>průvlak 01 - 150x240 mm : 8,90*1*(0,15+0,24)*2</t>
  </si>
  <si>
    <t>průvlak 03 - 150x240 mm : 3,60*2*(0,15+0,24)*2</t>
  </si>
  <si>
    <t>128,418*1,08</t>
  </si>
  <si>
    <t>38*0,2*1,7+2*0,19*2+3*0,2*3,1</t>
  </si>
  <si>
    <t>obklad zadní stěny rozvaděčů</t>
  </si>
  <si>
    <t>298</t>
  </si>
  <si>
    <t>783782422RT2</t>
  </si>
  <si>
    <t>Nátěry tesařských konstrukcí ochranné fungicidní a biocidní (proti plísním, houbám a hmyzu) v exteriéru, jednonásobný</t>
  </si>
  <si>
    <t>Různé dokončovací konstrukce a práce na pozemních stavbách</t>
  </si>
  <si>
    <t>299</t>
  </si>
  <si>
    <t>952901411R00</t>
  </si>
  <si>
    <t>Vyčištění ostatních objektů</t>
  </si>
  <si>
    <t>95_</t>
  </si>
  <si>
    <t>SO03_9_</t>
  </si>
  <si>
    <t>Vyčištění budov a ostatních objektů ostatních objektů (např. kanálů, zásobníků, kůlen apod.) - vynesení zbytků stavebního rumu, kropení a 2 x zametení podlah, oprášení stěn a výplní otvorů jakékoliv výšky podlaží</t>
  </si>
  <si>
    <t>3,95*9,00</t>
  </si>
  <si>
    <t>M</t>
  </si>
  <si>
    <t>Ostatní materiál</t>
  </si>
  <si>
    <t>300</t>
  </si>
  <si>
    <t>00590031</t>
  </si>
  <si>
    <t>Rohož střešní vegetační - specifikace v PD</t>
  </si>
  <si>
    <t>0</t>
  </si>
  <si>
    <t>Z99999_</t>
  </si>
  <si>
    <t>SO03_Z_</t>
  </si>
  <si>
    <t xml:space="preserve"> 3,3535*8,60*1,10</t>
  </si>
  <si>
    <t>vegetace - předpěstované rohože z kokosového vlákna : altán</t>
  </si>
  <si>
    <t>3,1*1*1,1</t>
  </si>
  <si>
    <t>vegetace - předpěstované rohože z kokosového vlákna : rozvaděč</t>
  </si>
  <si>
    <t>301</t>
  </si>
  <si>
    <t>28323332</t>
  </si>
  <si>
    <t>Deska z recyklovaných polyesterových vláken 1200x600x30 mm, 3000 g/m2</t>
  </si>
  <si>
    <t xml:space="preserve"> (3,535+0,25)*8,60*1,12</t>
  </si>
  <si>
    <t>hydroakumulační vrstva, viz. řez A1, A2 :</t>
  </si>
  <si>
    <t>3,1*1*1,12</t>
  </si>
  <si>
    <t>na rozvaděče</t>
  </si>
  <si>
    <t>zeleň</t>
  </si>
  <si>
    <t>001VD</t>
  </si>
  <si>
    <t>Řez dřevin</t>
  </si>
  <si>
    <t>SO04A</t>
  </si>
  <si>
    <t>302</t>
  </si>
  <si>
    <t>0015</t>
  </si>
  <si>
    <t>Zdravotní řez plocha stromu 201 - 300 m?</t>
  </si>
  <si>
    <t>RTS I / 2020</t>
  </si>
  <si>
    <t>001VD_</t>
  </si>
  <si>
    <t>SO04A_0_</t>
  </si>
  <si>
    <t>SO04A_</t>
  </si>
  <si>
    <t>včetně rozřezání, vodorovného přemístění na místo likvidace či odvozu, lze použít i na samotné odstraňování (ořez) jmelí</t>
  </si>
  <si>
    <t>strom inv. č. 20</t>
  </si>
  <si>
    <t>303</t>
  </si>
  <si>
    <t>0010</t>
  </si>
  <si>
    <t>Výchovný řez 4-6 m</t>
  </si>
  <si>
    <t>21+5</t>
  </si>
  <si>
    <t>1. rok</t>
  </si>
  <si>
    <t>2. rok</t>
  </si>
  <si>
    <t>304</t>
  </si>
  <si>
    <t>0014</t>
  </si>
  <si>
    <t>Zdravotní řez plocha stromu 101 - 200 m?</t>
  </si>
  <si>
    <t>000VD</t>
  </si>
  <si>
    <t>Ochrana a řez dřevin</t>
  </si>
  <si>
    <t>305</t>
  </si>
  <si>
    <t>0000100VL</t>
  </si>
  <si>
    <t>Ochrana stromů na staveništi - viz popis v PD</t>
  </si>
  <si>
    <t>000VD_</t>
  </si>
  <si>
    <t>Plošná ochrana oplocením 170,8 m (pevné, mobilní), ochrana soliterních dřevin dřevěným oplocením /pevné, stabilní) 112m (7ks)</t>
  </si>
  <si>
    <t>výkres D.1.4.2</t>
  </si>
  <si>
    <t>306</t>
  </si>
  <si>
    <t>111227</t>
  </si>
  <si>
    <t>Hloubková injektáž včetně předchozích analýz, aplikace půdního kondicioneru specifikace v PD</t>
  </si>
  <si>
    <t>RTS II / 2022</t>
  </si>
  <si>
    <t>307</t>
  </si>
  <si>
    <t>162702292R00</t>
  </si>
  <si>
    <t>Poplatek za skládku: větve a kulatiny, štěpka</t>
  </si>
  <si>
    <t>308</t>
  </si>
  <si>
    <t>183101121R00</t>
  </si>
  <si>
    <t>Hloubení jamek bez výměny půdy do 1 m3, svah 1:5</t>
  </si>
  <si>
    <t>SO04A_1_</t>
  </si>
  <si>
    <t>výsadba</t>
  </si>
  <si>
    <t>přesazení</t>
  </si>
  <si>
    <t>309</t>
  </si>
  <si>
    <t>183105112R00</t>
  </si>
  <si>
    <t>Hloub. jamek bez výměny půdy do 0,02 m3, svah 1:1</t>
  </si>
  <si>
    <t>keře větší</t>
  </si>
  <si>
    <t>310</t>
  </si>
  <si>
    <t>183101111R00</t>
  </si>
  <si>
    <t>Hloub. jamek bez výměny půdy do 0,01 m3, svah 1:5</t>
  </si>
  <si>
    <t>pokryvné a pnoucí keře</t>
  </si>
  <si>
    <t>650</t>
  </si>
  <si>
    <t>trvalky</t>
  </si>
  <si>
    <t>900</t>
  </si>
  <si>
    <t>do jezírka</t>
  </si>
  <si>
    <t>3500</t>
  </si>
  <si>
    <t>cibuloviny</t>
  </si>
  <si>
    <t>311</t>
  </si>
  <si>
    <t>183101112R00</t>
  </si>
  <si>
    <t>Hloub. jamek bez výměny půdy do 0,02 m3, svah 1:5</t>
  </si>
  <si>
    <t>312</t>
  </si>
  <si>
    <t>184102117R00</t>
  </si>
  <si>
    <t>Výsadba dřevin s balem D do 1 m, v rovině</t>
  </si>
  <si>
    <t>313</t>
  </si>
  <si>
    <t>026621167</t>
  </si>
  <si>
    <t>Smrk pichalvý - Picea abies Inversa v. 250-300 cm</t>
  </si>
  <si>
    <t>314</t>
  </si>
  <si>
    <t>0265600322</t>
  </si>
  <si>
    <t>Alejový strom viz seznam v PD</t>
  </si>
  <si>
    <t>OK 20-25, zemní bal</t>
  </si>
  <si>
    <t>315</t>
  </si>
  <si>
    <t>184102121R00</t>
  </si>
  <si>
    <t>Výsadba dřevin s balem D do 20 cm, na svahu 1:2</t>
  </si>
  <si>
    <t>105+90</t>
  </si>
  <si>
    <t>316</t>
  </si>
  <si>
    <t>184102112R00</t>
  </si>
  <si>
    <t>Výsadba dřevin s balem D do 30 cm, v rovině</t>
  </si>
  <si>
    <t>15+3+15+18+37+8+21</t>
  </si>
  <si>
    <t>317</t>
  </si>
  <si>
    <t>026621321</t>
  </si>
  <si>
    <t>keře větší - viz seznam v PD</t>
  </si>
  <si>
    <t>svah</t>
  </si>
  <si>
    <t>rovina</t>
  </si>
  <si>
    <t>velikost 40-60 cm kontejner o objemu 2</t>
  </si>
  <si>
    <t>318</t>
  </si>
  <si>
    <t>184102110R00</t>
  </si>
  <si>
    <t>Výsadba dřevin s balem D do 10 cm, v rovině</t>
  </si>
  <si>
    <t>319</t>
  </si>
  <si>
    <t>02652262</t>
  </si>
  <si>
    <t>Malé keře a popínavky</t>
  </si>
  <si>
    <t xml:space="preserve">k 9x9 cm  950113												
</t>
  </si>
  <si>
    <t>320</t>
  </si>
  <si>
    <t>183204116R00</t>
  </si>
  <si>
    <t>Výsadba květin hrnkovaných, květináč do 25 cm</t>
  </si>
  <si>
    <t>321</t>
  </si>
  <si>
    <t>026100055</t>
  </si>
  <si>
    <t>Trvalky a vodní rostliny - průměrná cena</t>
  </si>
  <si>
    <t>322</t>
  </si>
  <si>
    <t>183204113R00</t>
  </si>
  <si>
    <t>Výsadba cibulí nebo hlíz</t>
  </si>
  <si>
    <t>323</t>
  </si>
  <si>
    <t>026111115</t>
  </si>
  <si>
    <t>Cibuloviny</t>
  </si>
  <si>
    <t>324</t>
  </si>
  <si>
    <t>182001131R00</t>
  </si>
  <si>
    <t>Plošná úprava terénu, nerovnosti do 20 cm v rovině</t>
  </si>
  <si>
    <t>RTS I / 2025</t>
  </si>
  <si>
    <t>keře v rovině</t>
  </si>
  <si>
    <t>trávník rekreační</t>
  </si>
  <si>
    <t>600</t>
  </si>
  <si>
    <t>trávník luční rovina</t>
  </si>
  <si>
    <t>325</t>
  </si>
  <si>
    <t>182001133R00</t>
  </si>
  <si>
    <t>Plošná úprava terénu, nerovnosti do 20 cm svah 1:1</t>
  </si>
  <si>
    <t>keře svah</t>
  </si>
  <si>
    <t>luční trávník svah</t>
  </si>
  <si>
    <t>326</t>
  </si>
  <si>
    <t>184921093R00</t>
  </si>
  <si>
    <t>Mulčování rostlin tl. do 0,1 m rovina</t>
  </si>
  <si>
    <t>stromové mísy</t>
  </si>
  <si>
    <t>327</t>
  </si>
  <si>
    <t>184921095R00</t>
  </si>
  <si>
    <t>Mulčování rostlin tl. do 0,1 m, svah do 1:1</t>
  </si>
  <si>
    <t>328</t>
  </si>
  <si>
    <t>103911000</t>
  </si>
  <si>
    <t>Kůra mulčovací VL - jemně drcená</t>
  </si>
  <si>
    <t>329</t>
  </si>
  <si>
    <t>180400120RA0</t>
  </si>
  <si>
    <t>Založení trávníku parkového v rovině s odplevelením a dodáním osiva</t>
  </si>
  <si>
    <t>620</t>
  </si>
  <si>
    <t>štěrkový trávník</t>
  </si>
  <si>
    <t>Založení trávníku v rovině nebo ve svahu  do 1 : 5, doporučená spotřeba 3 dkg/m2. V položce jsou zakalkulovány náklady na první pokosení, naložení odpadu a odvezení do 20 km, se složením. V položce nejsou zakalkulovány náklady na vypletí a zalévání</t>
  </si>
  <si>
    <t>330</t>
  </si>
  <si>
    <t>180401211R00</t>
  </si>
  <si>
    <t>Založení trávníku lučního výsevem v rovině</t>
  </si>
  <si>
    <t>550</t>
  </si>
  <si>
    <t xml:space="preserve"> V položce nejsou zakalkulovány náklady na vypletí a zalévání</t>
  </si>
  <si>
    <t>331</t>
  </si>
  <si>
    <t>180401213R00</t>
  </si>
  <si>
    <t>Založení trávníku lučního výsevem ve svahu do 1:1</t>
  </si>
  <si>
    <t>332</t>
  </si>
  <si>
    <t>005020</t>
  </si>
  <si>
    <t>Trávobylinná směs s podílem letniček (20/50/30%), složení viz PD</t>
  </si>
  <si>
    <t>RTS I / 2022</t>
  </si>
  <si>
    <t>333</t>
  </si>
  <si>
    <t>00521</t>
  </si>
  <si>
    <t>Travní osivo - směs pro štěrkové trávníky s řebříčkem</t>
  </si>
  <si>
    <t>420*0,03</t>
  </si>
  <si>
    <t>;ztratné 5%; 0,63</t>
  </si>
  <si>
    <t>334</t>
  </si>
  <si>
    <t>00572400</t>
  </si>
  <si>
    <t>Směs travní parková I. běžná zátěž složení viz PD</t>
  </si>
  <si>
    <t>620*0,03</t>
  </si>
  <si>
    <t>;ztratné 5%; 0,93</t>
  </si>
  <si>
    <t>pro běžnou zátěž  1 kg na 40 m2  balení 25 kg</t>
  </si>
  <si>
    <t>335</t>
  </si>
  <si>
    <t>184401114R00</t>
  </si>
  <si>
    <t>Příprava dřevin k přesazení bal do 1,4 m, v rovině</t>
  </si>
  <si>
    <t>336</t>
  </si>
  <si>
    <t>184901111R00</t>
  </si>
  <si>
    <t>Osazení kůlů k dřevině s uvázáním, dl. kůlů do 2 m</t>
  </si>
  <si>
    <t>337</t>
  </si>
  <si>
    <t>70836130.A</t>
  </si>
  <si>
    <t>Popruh vícevrstvý polyester/bavlna šíře 30 mm</t>
  </si>
  <si>
    <t>21*0,7*3</t>
  </si>
  <si>
    <t>361501030010/71  tkací vazba: vícevrstvá, spojovaná materiál: bavlna a její směsi provedení jednobarevné, režná, bílá bez úprav</t>
  </si>
  <si>
    <t>338</t>
  </si>
  <si>
    <t>60850011</t>
  </si>
  <si>
    <t>Kůl vyvazovací impregnovaný 200 x 8 cm</t>
  </si>
  <si>
    <t>21*3</t>
  </si>
  <si>
    <t>frézovaný válec délka 200 cm průměr 8 cm 1 x fazeta 1 x špice vakuotlaková impregnace - zelen</t>
  </si>
  <si>
    <t>339</t>
  </si>
  <si>
    <t>608500305</t>
  </si>
  <si>
    <t>Příčka spojovací ke kůlům 50 x 8 cm</t>
  </si>
  <si>
    <t>3*21</t>
  </si>
  <si>
    <t>spojovací příčka k vyvazovacím kůlům frézovaná půlkulatina (půlválec) bez impregnac</t>
  </si>
  <si>
    <t>340</t>
  </si>
  <si>
    <t>181300014RAE</t>
  </si>
  <si>
    <t>Rozprostření ornice v rovině tloušťka 30 cm</t>
  </si>
  <si>
    <t>dovoz ornice  ze vzdálenosti 15 km, osetí trávou</t>
  </si>
  <si>
    <t>341</t>
  </si>
  <si>
    <t>184813161</t>
  </si>
  <si>
    <t>Zřízení ochranného nátěru kmene stromu do výšky 1 m obvodu do 180 mm</t>
  </si>
  <si>
    <t>URS2023</t>
  </si>
  <si>
    <t>342</t>
  </si>
  <si>
    <t>251100</t>
  </si>
  <si>
    <t>Ochranný nátěr dřevin - podkladový nátěr - 0.5l/strom</t>
  </si>
  <si>
    <t>l</t>
  </si>
  <si>
    <t>343</t>
  </si>
  <si>
    <t>251101</t>
  </si>
  <si>
    <t>Ochranný nátěr kmene dřevin - svrchní nátěr (trvanlivost min. 5 let), bal. 5 kg - 1 kg/1m2</t>
  </si>
  <si>
    <t>20*0,25*2/5</t>
  </si>
  <si>
    <t>344</t>
  </si>
  <si>
    <t>182301123R00</t>
  </si>
  <si>
    <t>Rozprostření ornice, svah, tl. 15-20 cm, do 500 m2</t>
  </si>
  <si>
    <t>Položka se používá pro souvislé plochy do 500 m2.</t>
  </si>
  <si>
    <t>345</t>
  </si>
  <si>
    <t>181301103R00</t>
  </si>
  <si>
    <t>Rozprostření ornice, rovina, tl. 15-20 cm,do 500m2</t>
  </si>
  <si>
    <t>po chodníčku</t>
  </si>
  <si>
    <t>440</t>
  </si>
  <si>
    <t>substrát u hasičky</t>
  </si>
  <si>
    <t>u nádrže</t>
  </si>
  <si>
    <t>346</t>
  </si>
  <si>
    <t>618*0,18</t>
  </si>
  <si>
    <t>na svahy</t>
  </si>
  <si>
    <t>405*0,15</t>
  </si>
  <si>
    <t>na roviny</t>
  </si>
  <si>
    <t>;ztratné 20%; 34,398</t>
  </si>
  <si>
    <t>347</t>
  </si>
  <si>
    <t>185802114R00</t>
  </si>
  <si>
    <t>Hnojení umělým hnojivem k rostlinám v rovině</t>
  </si>
  <si>
    <t>21*0,001</t>
  </si>
  <si>
    <t>stromy</t>
  </si>
  <si>
    <t>312*0,002</t>
  </si>
  <si>
    <t>velké keře</t>
  </si>
  <si>
    <t>345*0,0002</t>
  </si>
  <si>
    <t>střední keře</t>
  </si>
  <si>
    <t>348</t>
  </si>
  <si>
    <t>10391505.A</t>
  </si>
  <si>
    <t>Kondicionér fyzikální půdní</t>
  </si>
  <si>
    <t>21*1</t>
  </si>
  <si>
    <t>0,2*312</t>
  </si>
  <si>
    <t>keře velké</t>
  </si>
  <si>
    <t>0.02*345</t>
  </si>
  <si>
    <t>keře střední</t>
  </si>
  <si>
    <t>Zvyšuje vodní retenční kapacitu půdy a přístupnost hnojiv, zlepšuje půdní struktury, omezuje účinky přesazovacího šoku. Vhodný pro použití v degradovaných nebo problematických půdách. Půdní kondicionér se musí smíchat s růstovým médiem do kořenové zóny.  Balení: 20 k</t>
  </si>
  <si>
    <t>349</t>
  </si>
  <si>
    <t>185804311R00</t>
  </si>
  <si>
    <t>Zalití rostlin vodou plochy do 20 m2</t>
  </si>
  <si>
    <t>zalití při výsadbě, včetně vody</t>
  </si>
  <si>
    <t>21*0,1</t>
  </si>
  <si>
    <t>345*0,05</t>
  </si>
  <si>
    <t>keře malé</t>
  </si>
  <si>
    <t>312*0,1</t>
  </si>
  <si>
    <t>650*0,02</t>
  </si>
  <si>
    <t>350</t>
  </si>
  <si>
    <t>185851111R00</t>
  </si>
  <si>
    <t>Dovoz vody pro zálivku rostlin do 6 km</t>
  </si>
  <si>
    <t>351</t>
  </si>
  <si>
    <t>21*0,1*12</t>
  </si>
  <si>
    <t>stromy 1. rok</t>
  </si>
  <si>
    <t>21*0,1*8</t>
  </si>
  <si>
    <t>stromy 2. rok</t>
  </si>
  <si>
    <t>345*0,05*8</t>
  </si>
  <si>
    <t>keře malé 1. rok</t>
  </si>
  <si>
    <t>345*0,05*4</t>
  </si>
  <si>
    <t>keře malé 2. rok</t>
  </si>
  <si>
    <t>312*0,1*8</t>
  </si>
  <si>
    <t>keře velké 1. rok</t>
  </si>
  <si>
    <t>312*0,1*4</t>
  </si>
  <si>
    <t>keře velké 2. rok</t>
  </si>
  <si>
    <t>650*0,02*4</t>
  </si>
  <si>
    <t>trvalky 1. rok</t>
  </si>
  <si>
    <t>650*0,02*2</t>
  </si>
  <si>
    <t>trvalky 2. rok</t>
  </si>
  <si>
    <t>352</t>
  </si>
  <si>
    <t>353</t>
  </si>
  <si>
    <t>185804214R00</t>
  </si>
  <si>
    <t>Vypletí dřevin ve skupinách v rovině</t>
  </si>
  <si>
    <t>145*4</t>
  </si>
  <si>
    <t>keře 1. rok</t>
  </si>
  <si>
    <t>145*3</t>
  </si>
  <si>
    <t>keře 2. rok</t>
  </si>
  <si>
    <t>354</t>
  </si>
  <si>
    <t>185804211R00</t>
  </si>
  <si>
    <t>Vypletí záhonu květin v rovině</t>
  </si>
  <si>
    <t>210*4</t>
  </si>
  <si>
    <t>210*3</t>
  </si>
  <si>
    <t>355</t>
  </si>
  <si>
    <t>185804111R00</t>
  </si>
  <si>
    <t>Ošetření vysázených květin v rovině</t>
  </si>
  <si>
    <t>(28+42)*3</t>
  </si>
  <si>
    <t>356</t>
  </si>
  <si>
    <t>184202111R01</t>
  </si>
  <si>
    <t>Kontrola a oprava kotvení</t>
  </si>
  <si>
    <t>357</t>
  </si>
  <si>
    <t>185804234R00</t>
  </si>
  <si>
    <t>Vypletí dřevin ve skupinách na svahu 1:2</t>
  </si>
  <si>
    <t>25*4</t>
  </si>
  <si>
    <t>25*3</t>
  </si>
  <si>
    <t>358</t>
  </si>
  <si>
    <t>183400012RAA</t>
  </si>
  <si>
    <t>Příprava půdy pro výsadbu v rovině, strojní</t>
  </si>
  <si>
    <t>chemické odplevelení, frézování, hnojení</t>
  </si>
  <si>
    <t>359</t>
  </si>
  <si>
    <t>183400022RAA</t>
  </si>
  <si>
    <t>Příprava půdy pro výsadbu, ve svahu, strojní</t>
  </si>
  <si>
    <t>360</t>
  </si>
  <si>
    <t>711823121R00</t>
  </si>
  <si>
    <t>SO04A_71_</t>
  </si>
  <si>
    <t>instalace zálivkového lemu</t>
  </si>
  <si>
    <t>361</t>
  </si>
  <si>
    <t>10056</t>
  </si>
  <si>
    <t>Spojka lemu - Speciální spona určena pro spojení konců zavlažovacího lemu</t>
  </si>
  <si>
    <t>362</t>
  </si>
  <si>
    <t>10055</t>
  </si>
  <si>
    <t>Závlahový lem -  3mm širokého speciálního plastu LDPE, který je odolný vůči tlaku vody</t>
  </si>
  <si>
    <t>1,5*21</t>
  </si>
  <si>
    <t>H23</t>
  </si>
  <si>
    <t>Plochy a úpravy území</t>
  </si>
  <si>
    <t>363</t>
  </si>
  <si>
    <t>998231311R00</t>
  </si>
  <si>
    <t>Přesun hmot pro sadovnické a krajin. úpravy do 5km</t>
  </si>
  <si>
    <t>H23_</t>
  </si>
  <si>
    <t>SO04A_9_</t>
  </si>
  <si>
    <t>Demolice</t>
  </si>
  <si>
    <t>Přípravné a přidružené práce</t>
  </si>
  <si>
    <t>SO04B</t>
  </si>
  <si>
    <t>364</t>
  </si>
  <si>
    <t>111212131R00</t>
  </si>
  <si>
    <t>Odstranění dřevin výš.nad 1m, svah 1:5, s pařezem</t>
  </si>
  <si>
    <t>11_</t>
  </si>
  <si>
    <t>SO04B_1_</t>
  </si>
  <si>
    <t>SO04B_</t>
  </si>
  <si>
    <t>365</t>
  </si>
  <si>
    <t>112101223R00</t>
  </si>
  <si>
    <t>Kácení stromů jehličnatých průměru 40 cm, svah 1:5</t>
  </si>
  <si>
    <t>smrk č. 15</t>
  </si>
  <si>
    <t>366</t>
  </si>
  <si>
    <t>112101222R00</t>
  </si>
  <si>
    <t>Kácení stromů jehličnatých průměru 30 cm, svah 1:5</t>
  </si>
  <si>
    <t>smrk 47</t>
  </si>
  <si>
    <t>367</t>
  </si>
  <si>
    <t>112101112R00</t>
  </si>
  <si>
    <t>Kácení stromů listnatých průměru 30 cm, svah 1:5</t>
  </si>
  <si>
    <t>Acer ´Globosum´č, 35, 36, 37, 40, 41, 42, 43, 44,</t>
  </si>
  <si>
    <t>368</t>
  </si>
  <si>
    <t>111251115R00</t>
  </si>
  <si>
    <t>Drcení ořezaných větví průměru do 15 cm</t>
  </si>
  <si>
    <t>369</t>
  </si>
  <si>
    <t>113106231R00</t>
  </si>
  <si>
    <t>Rozebrání dlažeb ze zámkové dlažby v kamenivu</t>
  </si>
  <si>
    <t>sjezd k hasičce</t>
  </si>
  <si>
    <t>33+57+10+12</t>
  </si>
  <si>
    <t>u centrální plochy</t>
  </si>
  <si>
    <t>370</t>
  </si>
  <si>
    <t>113108415R00</t>
  </si>
  <si>
    <t>Odstranění asfaltové vrstvy pl.nad 50 m2, tl.15 cm</t>
  </si>
  <si>
    <t>940,0</t>
  </si>
  <si>
    <t>Prostor vodní nádrže (stávající parkoviště)</t>
  </si>
  <si>
    <t>3,6</t>
  </si>
  <si>
    <t>Rýha pro přeložku plynovodní přípojky domu č. p. 214</t>
  </si>
  <si>
    <t>Rýha pro uložení kanalizace u obchodu č.p. 214</t>
  </si>
  <si>
    <t>Položka není určena pro odstranění podkladu nebo krytu frézováním. Pro volbu položky z hlediska množství se uvažuje každá souvisle odstraňovaná plocha krytu nebo podkladu stejného druhu samostatně.Odstraňuje-li se několik vrstev vozovky najednou, jednotlivé vrstvy se oceňují každá samostatně</t>
  </si>
  <si>
    <t>371</t>
  </si>
  <si>
    <t>113107620R00</t>
  </si>
  <si>
    <t>Odstranění podkladu nad 50 m2,kam.drcené tl.20 cm</t>
  </si>
  <si>
    <t>Chodníky u hasičky</t>
  </si>
  <si>
    <t>Stávající dětské hřiště u čerpací stanice odpadních vod</t>
  </si>
  <si>
    <t>Chodník u stáv. dětského hřiště</t>
  </si>
  <si>
    <t>Plocha u stáv. altánu</t>
  </si>
  <si>
    <t>1008,6</t>
  </si>
  <si>
    <t>pod asfalty</t>
  </si>
  <si>
    <t>sjezd k hasičce - svrchní vrstva</t>
  </si>
  <si>
    <t>Položka je určena i pro odstranění podkladů nebo krytů ze zemin stabilizovaných vápnem. Pro volbu položky z hlediska množství se uvažuje každá souvisle odstraňovaná plocha krytu nebo podkladu stejného druhu samostatně.Odstraňuje-li se několik vrstev vozovky najednou, jednotlivé vrstvy se oceňují každá samostatně</t>
  </si>
  <si>
    <t>372</t>
  </si>
  <si>
    <t>113107630R00</t>
  </si>
  <si>
    <t>Odstranění podkladu nad 50 m2,kam.drcené tl.30 cm</t>
  </si>
  <si>
    <t>parkoviště u stáv. altánu</t>
  </si>
  <si>
    <t>373</t>
  </si>
  <si>
    <t>121103111R00</t>
  </si>
  <si>
    <t>Skrývka zemin v rovině a sklonu 1:5</t>
  </si>
  <si>
    <t>164*0,25</t>
  </si>
  <si>
    <t>1409*0,3</t>
  </si>
  <si>
    <t>374</t>
  </si>
  <si>
    <t>120901123R00</t>
  </si>
  <si>
    <t>Bourání konstrukcí ze železobetonu v odkopávkách</t>
  </si>
  <si>
    <t>12*0,4*0.6</t>
  </si>
  <si>
    <t>zídka u hasičky</t>
  </si>
  <si>
    <t>131*0,3*0,6</t>
  </si>
  <si>
    <t>nadzemní - centrální plocha</t>
  </si>
  <si>
    <t>8*0,5*0,6</t>
  </si>
  <si>
    <t>u samošky</t>
  </si>
  <si>
    <t>Položka neobsahuje svislou ani vodorovnou přepravu vybouraného materiálu, ani uložení a poplatek za skládku. Položka jsou určeny pouze pro bourání konstrukcí ze zdiva nebo z betonu ve výkopišti při provádění zemních prací oři obklopení horninou nebo sypaninou tak, že k nim není bez vykopávky přístup. Objem vybouraného materiálu pro přemístění se rovná objemu konstrukcí před rozbouráním</t>
  </si>
  <si>
    <t>375</t>
  </si>
  <si>
    <t>171203111R00</t>
  </si>
  <si>
    <t>Uložení výkopku bez zhutnění na svahu do 1 : 5</t>
  </si>
  <si>
    <t>dočasné uložení podkladních vrstev a ornice ke zpětnému využití do zásypů</t>
  </si>
  <si>
    <t>1409*0,25</t>
  </si>
  <si>
    <t>164*0,3</t>
  </si>
  <si>
    <t>376</t>
  </si>
  <si>
    <t>962100022RA0</t>
  </si>
  <si>
    <t>Bourání nadzákladového zdiva z železobetonu</t>
  </si>
  <si>
    <t>SO04B_9_</t>
  </si>
  <si>
    <t>12*0,4*1</t>
  </si>
  <si>
    <t>20*0,6</t>
  </si>
  <si>
    <t>schodiště</t>
  </si>
  <si>
    <t>156*0,3*1</t>
  </si>
  <si>
    <t>35*0.3</t>
  </si>
  <si>
    <t>překlady nádrže</t>
  </si>
  <si>
    <t>šachty nádrže</t>
  </si>
  <si>
    <t>V položce není kalkulován poplatek za skládku pro vybouranou suť. Tyto náklady se oceňují individuálně podle místních podmínek. Orientační hmotnost vybouraných konstrukcí je 2,400 t/m3 konstrukce.</t>
  </si>
  <si>
    <t>377</t>
  </si>
  <si>
    <t>12355</t>
  </si>
  <si>
    <t>Zkouška na obsah PAU (polycyklické aromatické uhlovodíky)</t>
  </si>
  <si>
    <t>378</t>
  </si>
  <si>
    <t>460030102R00</t>
  </si>
  <si>
    <t>Vytrhání obrubníků, lože MC, stojatých</t>
  </si>
  <si>
    <t>47+3+98</t>
  </si>
  <si>
    <t>379</t>
  </si>
  <si>
    <t>963065312R00</t>
  </si>
  <si>
    <t>Bourání nosné konstrukce trámové ze dřeva tvrdého</t>
  </si>
  <si>
    <t>bourání altánu, vč. naložení a odvozu</t>
  </si>
  <si>
    <t>380</t>
  </si>
  <si>
    <t>976061111R00</t>
  </si>
  <si>
    <t>Vybourání dřevěných zábradlí a madel</t>
  </si>
  <si>
    <t>bourání plotu u altánu</t>
  </si>
  <si>
    <t>S</t>
  </si>
  <si>
    <t>Přesuny sutí</t>
  </si>
  <si>
    <t>381</t>
  </si>
  <si>
    <t>979081111R00</t>
  </si>
  <si>
    <t>Odvoz suti a vybour. hmot na skládku do 1 km</t>
  </si>
  <si>
    <t>S_</t>
  </si>
  <si>
    <t>dlažby</t>
  </si>
  <si>
    <t>asfalt</t>
  </si>
  <si>
    <t>beton, překlady + obrubníky</t>
  </si>
  <si>
    <t>382</t>
  </si>
  <si>
    <t>979081121R00</t>
  </si>
  <si>
    <t>Příplatek k odvozu za každý další 1 km</t>
  </si>
  <si>
    <t>33*14</t>
  </si>
  <si>
    <t>380*14</t>
  </si>
  <si>
    <t>365*14</t>
  </si>
  <si>
    <t>beton + obrubníky</t>
  </si>
  <si>
    <t>383</t>
  </si>
  <si>
    <t>979095312R00</t>
  </si>
  <si>
    <t>Naložení a složení suti</t>
  </si>
  <si>
    <t>podkladní vrstvy zpevněných ploch budou použity pro násypy pod zpevněnými plochami</t>
  </si>
  <si>
    <t>384</t>
  </si>
  <si>
    <t>979999998R00</t>
  </si>
  <si>
    <t>Poplatek za ukládku suť do 5 % příměsí (skup.170107)</t>
  </si>
  <si>
    <t xml:space="preserve">kusovost do 1600 cm2  </t>
  </si>
  <si>
    <t>Mobiliář a hřiště</t>
  </si>
  <si>
    <t>Kryty pozemních komunikací, letišť a ploch z betonu a ostatních hmot</t>
  </si>
  <si>
    <t>SO05</t>
  </si>
  <si>
    <t>385</t>
  </si>
  <si>
    <t>589152006RXX</t>
  </si>
  <si>
    <t>Kryt sport. ploch z pryž. dlaždic tl. 50 mm volně</t>
  </si>
  <si>
    <t>58_</t>
  </si>
  <si>
    <t>SO05_5_</t>
  </si>
  <si>
    <t>SO05_</t>
  </si>
  <si>
    <t>Bezpečnostní plocha ze zatravňovacích gumových rohoží</t>
  </si>
  <si>
    <t>kotveno systémovými kotvícími kolíky na trávník</t>
  </si>
  <si>
    <t>386</t>
  </si>
  <si>
    <t>762137121R00</t>
  </si>
  <si>
    <t>Montáž oplocení z dílců, na sloupky</t>
  </si>
  <si>
    <t>SO05_76_</t>
  </si>
  <si>
    <t>387</t>
  </si>
  <si>
    <t>595135867.A</t>
  </si>
  <si>
    <t>Držák plotového pole koncový barva, pro sloupek o prům 48 mm</t>
  </si>
  <si>
    <t>Systémový držák plotového pole pro sloupek prům. 48 mm</t>
  </si>
  <si>
    <t>388</t>
  </si>
  <si>
    <t>Držák plotového pole průběžný barva, pro sloupek o prům 48 mm</t>
  </si>
  <si>
    <t>26*4</t>
  </si>
  <si>
    <t>Systémový držák plotového pole</t>
  </si>
  <si>
    <t>389</t>
  </si>
  <si>
    <t>03006</t>
  </si>
  <si>
    <t>Pole plotové, rámové s výpletem ze svařované sítě, 2000x1000 mm, FeZn + komaxit RAL 6003 zelená</t>
  </si>
  <si>
    <t>390</t>
  </si>
  <si>
    <t>5534621211</t>
  </si>
  <si>
    <t>Sloupek plotový STANDARD PLUS d 48 mm, h 1750 mm</t>
  </si>
  <si>
    <t xml:space="preserve">síla stěny 1,5 mm  zelená barva  součástí sloupku je čepička PVC černá </t>
  </si>
  <si>
    <t>391</t>
  </si>
  <si>
    <t>936124112R00</t>
  </si>
  <si>
    <t>Zřízení lavice stabilní se zabetonováním noh</t>
  </si>
  <si>
    <t>SO05_9_</t>
  </si>
  <si>
    <t>montáž mobiliáře - součástí dodávky mobiliáře je i kotevní materiál</t>
  </si>
  <si>
    <t>392</t>
  </si>
  <si>
    <t>74910617</t>
  </si>
  <si>
    <t>Stojan na kola IKk zavěšení - specifikace v PD</t>
  </si>
  <si>
    <t>393</t>
  </si>
  <si>
    <t>0031234</t>
  </si>
  <si>
    <t>Informační tabule, specifikace v PD</t>
  </si>
  <si>
    <t>S provozními řády hřiště a s informacemi o obci</t>
  </si>
  <si>
    <t>394</t>
  </si>
  <si>
    <t>010004</t>
  </si>
  <si>
    <t>Odpadkový koš s víkem, celokovový, RAL 7022, dle specifikace v PD</t>
  </si>
  <si>
    <t>včetně kotevní patky k zabetonování</t>
  </si>
  <si>
    <t>395</t>
  </si>
  <si>
    <t>749004</t>
  </si>
  <si>
    <t>Stůl, 120 cm, kombinace latě a prkna, modřín lazura+ocel, barva 7022, design viz specifikace v PD</t>
  </si>
  <si>
    <t>včetně kotevního materiálu</t>
  </si>
  <si>
    <t>396</t>
  </si>
  <si>
    <t>010002</t>
  </si>
  <si>
    <t>Lavička s dřevěnými prkny a latěmi, modřín,bez opěrky a područek. Dřevo s nátěrem, kostra RAL 7022, specifikace v PD</t>
  </si>
  <si>
    <t>včetně kotevních sad</t>
  </si>
  <si>
    <t>397</t>
  </si>
  <si>
    <t>749001</t>
  </si>
  <si>
    <t>Lavička s opěradlem a područkami, 120 cm, kombinace latě a prkna, modřín lazura+ocel, barva antracit, design viz specifikace v PD</t>
  </si>
  <si>
    <t>M012VD</t>
  </si>
  <si>
    <t>Herní prvky a konstrukce</t>
  </si>
  <si>
    <t>398</t>
  </si>
  <si>
    <t>01223</t>
  </si>
  <si>
    <t>Doprava a montáž herních prvků a prvků mobiliáře</t>
  </si>
  <si>
    <t>M012VD_</t>
  </si>
  <si>
    <t>399</t>
  </si>
  <si>
    <t>0031226</t>
  </si>
  <si>
    <t>Velká lezecká sestava pro děti do 14 let</t>
  </si>
  <si>
    <t>certifikovaná herní multifunkční herní sestava z akátového dřeva s certifikátem udržitelnosti a 100% recyklovatelného PE stabilizovaného vůči UV, certifikace ČSN EN 1176</t>
  </si>
  <si>
    <t>400</t>
  </si>
  <si>
    <t>0031225</t>
  </si>
  <si>
    <t>Herní sestava pro malé děti</t>
  </si>
  <si>
    <t>ertifikovaná herní multifunkční herní sestava z akátového dřeva s certifikátem udržitelnosti a 100% recyklovatelného PE stabilizovaného vůči UV, certifikace ČSN EN 1176</t>
  </si>
  <si>
    <t>401</t>
  </si>
  <si>
    <t>0031223</t>
  </si>
  <si>
    <t>Houpačka kombinovaná ocelová sestava vč. instalace</t>
  </si>
  <si>
    <t>kombinovaná sestava dvoujhoupačky a hnízda, certifikátem udržitelnosti a 100% recyklovatelného PE stabilizovaného vůči UV, certifikace ČSN EN 1176</t>
  </si>
  <si>
    <t>402</t>
  </si>
  <si>
    <t>0031222</t>
  </si>
  <si>
    <t>Pískoviště vč. Výplně pískem a dna - viz PD</t>
  </si>
  <si>
    <t>RTS I / 2021</t>
  </si>
  <si>
    <t>403</t>
  </si>
  <si>
    <t>0031228</t>
  </si>
  <si>
    <t>Krycí plachta pískoviště</t>
  </si>
  <si>
    <t>404</t>
  </si>
  <si>
    <t>0031227</t>
  </si>
  <si>
    <t>Stínění nad pískoviště</t>
  </si>
  <si>
    <t>UV stabilní, na akátových sloupech, viz specifikace v PD</t>
  </si>
  <si>
    <t>Přeložka vodního toku</t>
  </si>
  <si>
    <t>SO06</t>
  </si>
  <si>
    <t>405</t>
  </si>
  <si>
    <t>132301212R00</t>
  </si>
  <si>
    <t>Hloubení rýh š.do 200 cm hor.4 do 1000 m3, STROJNĚ</t>
  </si>
  <si>
    <t>SO06_1_</t>
  </si>
  <si>
    <t>SO06_</t>
  </si>
  <si>
    <t>406</t>
  </si>
  <si>
    <t>407</t>
  </si>
  <si>
    <t>385,80</t>
  </si>
  <si>
    <t>Stoka bet 1200</t>
  </si>
  <si>
    <t>408</t>
  </si>
  <si>
    <t>385,8</t>
  </si>
  <si>
    <t>409</t>
  </si>
  <si>
    <t>410</t>
  </si>
  <si>
    <t>411</t>
  </si>
  <si>
    <t>412</t>
  </si>
  <si>
    <t>413</t>
  </si>
  <si>
    <t>175101101RT2</t>
  </si>
  <si>
    <t>s dodáním štěrkopísku frakce 0 - 22 mm</t>
  </si>
  <si>
    <t>Včetně dodávky kameniva</t>
  </si>
  <si>
    <t>414</t>
  </si>
  <si>
    <t>31+35</t>
  </si>
  <si>
    <t>416</t>
  </si>
  <si>
    <t>147,01*2,5</t>
  </si>
  <si>
    <t>417</t>
  </si>
  <si>
    <t>451541111R00</t>
  </si>
  <si>
    <t>Lože pod potrubí ze štěrkodrtě 0 - 63 mm</t>
  </si>
  <si>
    <t>SO06_4_</t>
  </si>
  <si>
    <t>66*2*0,15</t>
  </si>
  <si>
    <t>StokaŽP DN 1200</t>
  </si>
  <si>
    <t>418</t>
  </si>
  <si>
    <t>452312171R00</t>
  </si>
  <si>
    <t>Sedlové lože pod potrubí z betonu C 30/37</t>
  </si>
  <si>
    <t>Položka je určena pro práce v otevřeném výkopu, pro práce ve štole se k položce používá příplatek 45231-2192. Položka je určena pro jakékoliv úkosy sedel</t>
  </si>
  <si>
    <t>419</t>
  </si>
  <si>
    <t>452384111R00</t>
  </si>
  <si>
    <t>Podkladní pražce z betonu C -/7,5 do 25000 mm2</t>
  </si>
  <si>
    <t>78*1,5</t>
  </si>
  <si>
    <t>Položka je určena pro práce v otevřeném výkopu, pro práce ve štole se k položce používá příplatek 45238-4192. V položkách jsou zakalkulovány i náklady na bednění, odbedněné a nátěr bednění proti přilnavosti betonu. Množství podkladní konstrukce z pražců se určuje v m součtem jednotlivých délek pražců. Pro volbu položky je rozhodující průřezová plocha pražce</t>
  </si>
  <si>
    <t>Potrubí z trub betonových</t>
  </si>
  <si>
    <t>420</t>
  </si>
  <si>
    <t>811527111R00</t>
  </si>
  <si>
    <t>Kladení netěsněného potrubí z trub beton., DN 1200</t>
  </si>
  <si>
    <t>81_</t>
  </si>
  <si>
    <t>SO06_8_</t>
  </si>
  <si>
    <t>421</t>
  </si>
  <si>
    <t>592231350</t>
  </si>
  <si>
    <t>Trouba betonová hrdlová TBH-Q 120/250</t>
  </si>
  <si>
    <t>14+12</t>
  </si>
  <si>
    <t>;ztratné 10%; 2,6</t>
  </si>
  <si>
    <t>Q  =  splnění kvalitativních podmínek sekce pro kanalizace XA2, XA3 = odolnost vůči chemické korozi CV =  trouba s čedičovou výstelkou PO =  polymerbetonová výstelka</t>
  </si>
  <si>
    <t>422</t>
  </si>
  <si>
    <t>423</t>
  </si>
  <si>
    <t>892855112R00</t>
  </si>
  <si>
    <t>Kontrola kanalizace TV kamerou do 50 m</t>
  </si>
  <si>
    <t>424</t>
  </si>
  <si>
    <t>894423114R00</t>
  </si>
  <si>
    <t>Osaz. bet. dílců šachet, dna, na kroužek, do 5,0 t</t>
  </si>
  <si>
    <t>Položka je určena pro osazení betonových dílců šachet dle DIN 4034, šachtová dna na kroužek, hmotnost do 5,0 t. V položce nejsou zakalkulovány náklady na dodání betonových dílců; dílce se oceňují ve specifikaci. Ztratné se doporučuje 1 %</t>
  </si>
  <si>
    <t>425</t>
  </si>
  <si>
    <t>552417131</t>
  </si>
  <si>
    <t>Poklop litina bez odvětrání</t>
  </si>
  <si>
    <t>426</t>
  </si>
  <si>
    <t>427</t>
  </si>
  <si>
    <t>428</t>
  </si>
  <si>
    <t>592243502</t>
  </si>
  <si>
    <t>Deska přechodová šachtová TZK-Q.1 150-100/25</t>
  </si>
  <si>
    <t>429</t>
  </si>
  <si>
    <t>2869595281</t>
  </si>
  <si>
    <t>Dno šachtové monolitické 3,7m3</t>
  </si>
  <si>
    <t>H27</t>
  </si>
  <si>
    <t>Vedení trubní dálková a přípojná</t>
  </si>
  <si>
    <t>430</t>
  </si>
  <si>
    <t>998271301R00</t>
  </si>
  <si>
    <t>Přesun hmot pro kanalizace betonové, otevř. výkop</t>
  </si>
  <si>
    <t>H27_</t>
  </si>
  <si>
    <t>SO06_9_</t>
  </si>
  <si>
    <t>Položka je určena pro kanalizace hloubené nebo ražené monolitické z betonu nebo železobetonu včetně drobných objektů. Platnost položky je vymezena pro nejmenší skladovací plochu 100 m2 + 0,18 m2/t, pro největší dopravní vzdálenost 15 m od hrany výkopu na povrchu nebo 15 m od kraje šachty k těžišti skládek na povrchu. V případech, kdy nejsou splněny tyto podmínky použije se příplatek -1315 až -1319</t>
  </si>
  <si>
    <t>Zařízení silnoproudé el. vč. ochrany před bleskem</t>
  </si>
  <si>
    <t>SO07</t>
  </si>
  <si>
    <t>431</t>
  </si>
  <si>
    <t>974082821RXX</t>
  </si>
  <si>
    <t>Vytvoření drážek pro LED osvětlení v altánu</t>
  </si>
  <si>
    <t>SO07_9_</t>
  </si>
  <si>
    <t>SO07_</t>
  </si>
  <si>
    <t xml:space="preserve">V položce není kalkulována manipulace se sutí, která se oceňuje samostatně položkami souboru 979. </t>
  </si>
  <si>
    <t>M21</t>
  </si>
  <si>
    <t>Elektromontáže</t>
  </si>
  <si>
    <t>432</t>
  </si>
  <si>
    <t>210010124R00</t>
  </si>
  <si>
    <t>Trubka ochranná z PE, uložená volně, DN do 80 mm</t>
  </si>
  <si>
    <t>M21_</t>
  </si>
  <si>
    <t>433</t>
  </si>
  <si>
    <t>210010023R00</t>
  </si>
  <si>
    <t>Trubka tuhá z PVC uložená pevně, 29 mm</t>
  </si>
  <si>
    <t>434</t>
  </si>
  <si>
    <t>210100173R00</t>
  </si>
  <si>
    <t>Ukončení kabelů do 3x4</t>
  </si>
  <si>
    <t>435</t>
  </si>
  <si>
    <t>210100251R00</t>
  </si>
  <si>
    <t>Ukončení celoplast. kabelů zákl./pás.do 4x10 mm2</t>
  </si>
  <si>
    <t>436</t>
  </si>
  <si>
    <t>210100252R00</t>
  </si>
  <si>
    <t>Ukončení celoplast. kabelů zákl./pás.do 4x25 mm2</t>
  </si>
  <si>
    <t>437</t>
  </si>
  <si>
    <t>210191501R00</t>
  </si>
  <si>
    <t>Usazení tenkocementové skříně SP</t>
  </si>
  <si>
    <t>438</t>
  </si>
  <si>
    <t>210191542R00</t>
  </si>
  <si>
    <t>Usazení pilířů pro rozv a ELM rozv.</t>
  </si>
  <si>
    <t>439</t>
  </si>
  <si>
    <t>210220021R00</t>
  </si>
  <si>
    <t>Vedení uzemňovací v zemi FeZn do 120 mm2 vč.svorek</t>
  </si>
  <si>
    <t>210220003R00</t>
  </si>
  <si>
    <t>Vedení uzemňovací na povrchu Cu do 50 mm2</t>
  </si>
  <si>
    <t>441</t>
  </si>
  <si>
    <t>210220010R00</t>
  </si>
  <si>
    <t>Nátěr zemnicího pásku do 120 mm2</t>
  </si>
  <si>
    <t>442</t>
  </si>
  <si>
    <t>210020951R00</t>
  </si>
  <si>
    <t>Tabulka výstražná smaltovaná formát A3 - A4</t>
  </si>
  <si>
    <t>443</t>
  </si>
  <si>
    <t>210 20-3805s</t>
  </si>
  <si>
    <t>Svítidlo LED pásek v AL liště IP 65 2m lišty - montáž</t>
  </si>
  <si>
    <t>444</t>
  </si>
  <si>
    <t>210810046RT3</t>
  </si>
  <si>
    <t>Kabel CYKY-m 750 V 3 x 2,5 mm2 pevně uložený</t>
  </si>
  <si>
    <t>včetně dodávky kabelu</t>
  </si>
  <si>
    <t>445</t>
  </si>
  <si>
    <t>210810056RT1</t>
  </si>
  <si>
    <t>Kabel CYKY-m 750 V 5 x 2,5 mm2 pevně uložený</t>
  </si>
  <si>
    <t>446</t>
  </si>
  <si>
    <t>210810053R01</t>
  </si>
  <si>
    <t>Kabel CYKY 5C x 6 mm2 pevně uložený</t>
  </si>
  <si>
    <t>447</t>
  </si>
  <si>
    <t>210810054R01</t>
  </si>
  <si>
    <t>Kabel CYKY 5 x 10 pevně uložený</t>
  </si>
  <si>
    <t>448</t>
  </si>
  <si>
    <t>210190005R00</t>
  </si>
  <si>
    <t>Montáž celoplechových rozvodnic do váhy 200 kg</t>
  </si>
  <si>
    <t>449</t>
  </si>
  <si>
    <t>210020653R00</t>
  </si>
  <si>
    <t>Konstrukce ocelová nosná pro zařízení do 50 kg</t>
  </si>
  <si>
    <t>450</t>
  </si>
  <si>
    <t>210120401R00</t>
  </si>
  <si>
    <t>Jistič vzduch.1pólový do 25 A IJV-IJM-PO bez krytu</t>
  </si>
  <si>
    <t>montáž</t>
  </si>
  <si>
    <t>451</t>
  </si>
  <si>
    <t>210120421R00</t>
  </si>
  <si>
    <t>Jistič jednopólový modulární</t>
  </si>
  <si>
    <t>Odizolování vodičů, vyformování a zapojení. Osazení na lištu</t>
  </si>
  <si>
    <t>452</t>
  </si>
  <si>
    <t>21012xxx</t>
  </si>
  <si>
    <t>Montáž hlídání hladiny</t>
  </si>
  <si>
    <t>453</t>
  </si>
  <si>
    <t>2101201xxx</t>
  </si>
  <si>
    <t>úprava rozvodnice - přezbrojení</t>
  </si>
  <si>
    <t>454</t>
  </si>
  <si>
    <t>3571772222</t>
  </si>
  <si>
    <t>Elektroměrová rozvodnice pro přímé měření el. energie - typová25A</t>
  </si>
  <si>
    <t>455</t>
  </si>
  <si>
    <t>456</t>
  </si>
  <si>
    <t>210220401RT1</t>
  </si>
  <si>
    <t>Označení svodu štítky, smaltované, umělá hmota</t>
  </si>
  <si>
    <t>včetně dodávky štítku</t>
  </si>
  <si>
    <t>457</t>
  </si>
  <si>
    <t>210220302RX2</t>
  </si>
  <si>
    <t>Svorka hromosvodová nad 2 šrouby /ST, SJ, SR, atd/</t>
  </si>
  <si>
    <t>včetně svorky univerzální SU</t>
  </si>
  <si>
    <t>458</t>
  </si>
  <si>
    <t>210220302RT6</t>
  </si>
  <si>
    <t>včetně dodávky svorky SP kovových částí d 3-12 mm</t>
  </si>
  <si>
    <t>459</t>
  </si>
  <si>
    <t>210220302RT3</t>
  </si>
  <si>
    <t>včetně dodávky svorky SK pro vodič d 6-10 mm</t>
  </si>
  <si>
    <t>460</t>
  </si>
  <si>
    <t>210220302RT1</t>
  </si>
  <si>
    <t>včetně dodávky svorky SR 2b Fe pro pásek 30x4 mm</t>
  </si>
  <si>
    <t>461</t>
  </si>
  <si>
    <t>210220302RT2</t>
  </si>
  <si>
    <t>včetně dodávky svorky SR 3a Fe</t>
  </si>
  <si>
    <t>462</t>
  </si>
  <si>
    <t>210220301RT3</t>
  </si>
  <si>
    <t>Svorka hromosvodová do 2 šroubů /SS, SZ, SO/</t>
  </si>
  <si>
    <t>včetně dodávky svorky SZ</t>
  </si>
  <si>
    <t>463</t>
  </si>
  <si>
    <t>210220111R00</t>
  </si>
  <si>
    <t>Vodiče svodové FeZn D do 10,Al 10,Cu 8, bez podpěr</t>
  </si>
  <si>
    <t>464</t>
  </si>
  <si>
    <t>210220101RU2</t>
  </si>
  <si>
    <t>Vodiče svodové FeZn D do 10,Al 10,Cu 8 +podpěry</t>
  </si>
  <si>
    <t>včetně dodávky drátu AlMgSi T/4 8 mm</t>
  </si>
  <si>
    <t>465</t>
  </si>
  <si>
    <t>210220021RT1</t>
  </si>
  <si>
    <t>včetně pásku FeZn 30 x 4 mm</t>
  </si>
  <si>
    <t>466</t>
  </si>
  <si>
    <t>3571772725</t>
  </si>
  <si>
    <t>Rozvodnice pro napájení el. rozvodů altánu a čerpadel fontány, nerez 600x600</t>
  </si>
  <si>
    <t xml:space="preserve">IP 54/20 + vybavení přístroj lištami, a přípojnicemi, zákryty Přívod spodem,
vývody  spodem. Hl. jistič 25A s vypínací cívkou 
Přepěťová ochr. I.+ II stupeň
2x poj. odpojovač  do 63A 6x jistič trojpól  do 63A, 
5x jistič jednopól do 25A , 1 x spínací hodiny, 1 x hladin spínač
1 x proud. Chránič 4P/25A - 30mA.,1 x proud. Chránič 4P/25A - 300mA.,
 Tlač. hřibové, 2 x zás. Vest. 230V/16A,
1x  zás vest. 400V-32A 5P , svorka řadová35ks
</t>
  </si>
  <si>
    <t>467</t>
  </si>
  <si>
    <t>650031115R00</t>
  </si>
  <si>
    <t>Osazení rozvodnice do výklenku, pl. do 0,6 m2</t>
  </si>
  <si>
    <t>468</t>
  </si>
  <si>
    <t>460620014R00</t>
  </si>
  <si>
    <t>Provizorní úprava terénu v přírodní hornině 4</t>
  </si>
  <si>
    <t>469</t>
  </si>
  <si>
    <t>460560164R00</t>
  </si>
  <si>
    <t>Zához rýhy 35/80 cm, hornina třídy 4</t>
  </si>
  <si>
    <t>470</t>
  </si>
  <si>
    <t>460490012R00</t>
  </si>
  <si>
    <t>Fólie výstražná z PVC, šířka 33 cm</t>
  </si>
  <si>
    <t>471</t>
  </si>
  <si>
    <t>460420501RT1</t>
  </si>
  <si>
    <t>Křížovatka se silovým kabelem</t>
  </si>
  <si>
    <t>dodávka a osazení betonového žlabu</t>
  </si>
  <si>
    <t>472</t>
  </si>
  <si>
    <t>460420022RT3</t>
  </si>
  <si>
    <t>Zřízení kabelového lože v rýze š. do 65 cm z písku</t>
  </si>
  <si>
    <t>lože tloušťky 20 cm</t>
  </si>
  <si>
    <t>473</t>
  </si>
  <si>
    <t>460270082R00</t>
  </si>
  <si>
    <t>Osazení pilířů do plotů pro skříně SR 2,3,5</t>
  </si>
  <si>
    <t>474</t>
  </si>
  <si>
    <t>460260011R00</t>
  </si>
  <si>
    <t>Pevné spojení páskových zemničů</t>
  </si>
  <si>
    <t>475</t>
  </si>
  <si>
    <t>460200163RT2</t>
  </si>
  <si>
    <t>Výkop kabelové rýhy 35/80 cm  hor.3</t>
  </si>
  <si>
    <t>ruční výkop rýhy</t>
  </si>
  <si>
    <t>476</t>
  </si>
  <si>
    <t>460080002R00</t>
  </si>
  <si>
    <t>Betonový základ do bednění</t>
  </si>
  <si>
    <t>pod poj. skříně</t>
  </si>
  <si>
    <t>477</t>
  </si>
  <si>
    <t>460010024R00</t>
  </si>
  <si>
    <t>Vytýčení kabelové trasy v zastavěném prostoru</t>
  </si>
  <si>
    <t>km</t>
  </si>
  <si>
    <t>478</t>
  </si>
  <si>
    <t>35444148</t>
  </si>
  <si>
    <t>Podpěra vedení na plechové střechy nerez PV 23 N</t>
  </si>
  <si>
    <t xml:space="preserve">Podpěra vedení na plechové střechy  použití: upevnění vodiče na plechových střechách </t>
  </si>
  <si>
    <t>479</t>
  </si>
  <si>
    <t>35441542</t>
  </si>
  <si>
    <t>Podpěra vedení na ploché střechy PV 21c</t>
  </si>
  <si>
    <t>podpěra vedení na ploché střechy  použití: upevnění vodiče na plochých střechách materiál: plast PE se štěrkovou výpln</t>
  </si>
  <si>
    <t>480</t>
  </si>
  <si>
    <t>2861330122</t>
  </si>
  <si>
    <t>Trubka ochranná tuhá 29mm</t>
  </si>
  <si>
    <t>SO07_Z_</t>
  </si>
  <si>
    <t>481</t>
  </si>
  <si>
    <t>2861330123</t>
  </si>
  <si>
    <t>Trubka ochranná korugovaná 40mm</t>
  </si>
  <si>
    <t>482</t>
  </si>
  <si>
    <t>3414222022</t>
  </si>
  <si>
    <t>Zemnící vodič D 10mm</t>
  </si>
  <si>
    <t>483</t>
  </si>
  <si>
    <t>341409681</t>
  </si>
  <si>
    <t>Vodič silový CY  16,00 mm2</t>
  </si>
  <si>
    <t>484</t>
  </si>
  <si>
    <t>35444105</t>
  </si>
  <si>
    <t>Svorka připojovací nerez SP N</t>
  </si>
  <si>
    <t>použití: připojování kruhového vodiče ke kovovým částem objekt</t>
  </si>
  <si>
    <t>485</t>
  </si>
  <si>
    <t>34109517</t>
  </si>
  <si>
    <t>Kabel silový s Cu jádrem 750 V CYKYLo 3 x 2,5 mm2</t>
  </si>
  <si>
    <t>486</t>
  </si>
  <si>
    <t>34111094</t>
  </si>
  <si>
    <t>Kabel silový s Cu jádrem 750 V CYKY 5 x 2,5 mm2</t>
  </si>
  <si>
    <t>CYKY Instalační kabely  Použití: pro pevné uložení ve vnitřních a venkovních prostorách, v zemi, v betonu. Kabely jsou odolné proti UV záření a proti šíření plamene.  Konstrukce: 1. Měděné plné holé jádro 2. PVC izolace 3. Výplňový obal 4. PVC pláš</t>
  </si>
  <si>
    <t>487</t>
  </si>
  <si>
    <t>34111100</t>
  </si>
  <si>
    <t>Kabel silový s Cu jádrem 750 V CYKY 5 x 6 mm2</t>
  </si>
  <si>
    <t>488</t>
  </si>
  <si>
    <t>34111101</t>
  </si>
  <si>
    <t>Kabel silový s Cu jádrem 750 V CYKY 5 x 10 mm2</t>
  </si>
  <si>
    <t>489</t>
  </si>
  <si>
    <t>3582200101322</t>
  </si>
  <si>
    <t>Jistič djednopól do 10A</t>
  </si>
  <si>
    <t>490</t>
  </si>
  <si>
    <t>35824402022</t>
  </si>
  <si>
    <t>Trojpól. Jistič 25A</t>
  </si>
  <si>
    <t>491</t>
  </si>
  <si>
    <t>34836013222</t>
  </si>
  <si>
    <t>A- LED  pásek 12m v Al liště, IP 65, vč lišt, nap. Zdroje a koncovek 10W/m</t>
  </si>
  <si>
    <t>492</t>
  </si>
  <si>
    <t>35811685155</t>
  </si>
  <si>
    <t>Hladinový spínač včetně snímačů</t>
  </si>
  <si>
    <t>Vedlejší a ostatní náklady</t>
  </si>
  <si>
    <t>VORN</t>
  </si>
  <si>
    <t>Vedlejší a ostatní rozpočtové náklady</t>
  </si>
  <si>
    <t>01VRN</t>
  </si>
  <si>
    <t>Průzkumy, geodetické a projektové práce</t>
  </si>
  <si>
    <t>493</t>
  </si>
  <si>
    <t>013002VRN</t>
  </si>
  <si>
    <t>Projektové práce - dokumentace skutečného provedení stavby</t>
  </si>
  <si>
    <t>Soubor</t>
  </si>
  <si>
    <t>01VRN_</t>
  </si>
  <si>
    <t>VORN_Â _</t>
  </si>
  <si>
    <t>VORN_</t>
  </si>
  <si>
    <t>494</t>
  </si>
  <si>
    <t>012002VRN</t>
  </si>
  <si>
    <t>Geodetické práce - zaměření skutečného provedení</t>
  </si>
  <si>
    <t>495</t>
  </si>
  <si>
    <t>Geodetické práce - vytýčení stavby</t>
  </si>
  <si>
    <t>496</t>
  </si>
  <si>
    <t>Geodetické práce - vytyčení inženýrských stítí správci jednotlivých sítí</t>
  </si>
  <si>
    <t>497</t>
  </si>
  <si>
    <t>Projektové práce - vypracovánní prováděcí projektové dokumentace</t>
  </si>
  <si>
    <t xml:space="preserve">Prováděcí projektová dokumentace je potřeba pro jezírko a především jeho technologické řešení (konkrétní typy čerpadel) a dále pro řešení podzemních nádrží na dešťovou vodu u požární zbrojnice. U ostatních částí zhotovitel bude postupovat dle rozšířené projektové dokumentace pro stavební povolení. Pro výrobky předloží předem buď technické listy konkrétních reálných výrobků, popř. realizační projektovou dokumentaci. Pro herní prvky vč. dimenze základů a statického posouzení.
</t>
  </si>
  <si>
    <t>03VRN</t>
  </si>
  <si>
    <t>Zařízení staveniště</t>
  </si>
  <si>
    <t>498</t>
  </si>
  <si>
    <t>030001VRN</t>
  </si>
  <si>
    <t>Zařízení staveniště - včetně odstranění (oplocení staveniště, mobilní WC)</t>
  </si>
  <si>
    <t>03VRN_</t>
  </si>
  <si>
    <t>04VRN</t>
  </si>
  <si>
    <t>Inženýrské činnosti</t>
  </si>
  <si>
    <t>499</t>
  </si>
  <si>
    <t>043002VRN</t>
  </si>
  <si>
    <t>Zkoušky</t>
  </si>
  <si>
    <t>04VRN_</t>
  </si>
  <si>
    <t xml:space="preserve">Zatěžovací zkoušky na pláni 2 ks navíc oproti standardům určených plochou												
</t>
  </si>
  <si>
    <t>500</t>
  </si>
  <si>
    <t>Výchozí revize elektroinstalace</t>
  </si>
  <si>
    <t>09VRN</t>
  </si>
  <si>
    <t>Ostatní náklady</t>
  </si>
  <si>
    <t>501</t>
  </si>
  <si>
    <t>090001VRN</t>
  </si>
  <si>
    <t>Ostatní náklady - informační plachta 1,5x1 m po dobu stavby</t>
  </si>
  <si>
    <t>09VRN_</t>
  </si>
  <si>
    <t>Celkem:</t>
  </si>
  <si>
    <t>Krycí list slepého rozpočtu</t>
  </si>
  <si>
    <t>IČO/DIČ:</t>
  </si>
  <si>
    <t>00375322/</t>
  </si>
  <si>
    <t>09080988/</t>
  </si>
  <si>
    <t>Položek:</t>
  </si>
  <si>
    <t>Datum:</t>
  </si>
  <si>
    <t>Rozpočtové náklady v Kč</t>
  </si>
  <si>
    <t>A</t>
  </si>
  <si>
    <t>Základní rozpočtové náklady</t>
  </si>
  <si>
    <t>B</t>
  </si>
  <si>
    <t>Doplňkové náklady</t>
  </si>
  <si>
    <t>C</t>
  </si>
  <si>
    <t>Náklady na umístění stavby (NUS)</t>
  </si>
  <si>
    <t>HSV</t>
  </si>
  <si>
    <t>Dodávky</t>
  </si>
  <si>
    <t>Práce přesčas</t>
  </si>
  <si>
    <t>Bez pevné podl.</t>
  </si>
  <si>
    <t>Mimostav. doprava</t>
  </si>
  <si>
    <t>PSV</t>
  </si>
  <si>
    <t>Kulturní památka</t>
  </si>
  <si>
    <t>Územní vlivy</t>
  </si>
  <si>
    <t>Provozní vlivy</t>
  </si>
  <si>
    <t>"M"</t>
  </si>
  <si>
    <t>Ostatní</t>
  </si>
  <si>
    <t>NUS z rozpočtu</t>
  </si>
  <si>
    <t>Přesun hmot a sutí</t>
  </si>
  <si>
    <t>ZRN celkem</t>
  </si>
  <si>
    <t>DN celkem</t>
  </si>
  <si>
    <t>NUS celkem</t>
  </si>
  <si>
    <t>DN celkem z obj.</t>
  </si>
  <si>
    <t>NUS celkem z obj.</t>
  </si>
  <si>
    <t>VORN celkem</t>
  </si>
  <si>
    <t>VORN celkem z obj.</t>
  </si>
  <si>
    <t>Základ 0%</t>
  </si>
  <si>
    <t>Základ 12%</t>
  </si>
  <si>
    <t>DPH 12%</t>
  </si>
  <si>
    <t>Celkem bez DPH</t>
  </si>
  <si>
    <t>Základ 21%</t>
  </si>
  <si>
    <t>DPH 21%</t>
  </si>
  <si>
    <t>Celkem včetně DPH</t>
  </si>
  <si>
    <t>Projektant</t>
  </si>
  <si>
    <t>Objednatel</t>
  </si>
  <si>
    <t>Zhotovitel</t>
  </si>
  <si>
    <t>Datum, razítko a podpis</t>
  </si>
  <si>
    <t>Vedlejší rozpočtové náklady VRN</t>
  </si>
  <si>
    <t>Doplňkové náklady DN</t>
  </si>
  <si>
    <t>Kč</t>
  </si>
  <si>
    <t>Základna</t>
  </si>
  <si>
    <t>Celkem DN</t>
  </si>
  <si>
    <t>Celkem NUS</t>
  </si>
  <si>
    <t>Celkem VRN</t>
  </si>
  <si>
    <t>Vedlejší a ostatní rozpočtové náklady VORN</t>
  </si>
  <si>
    <t>Ostatní rozpočtové náklady (VORN)</t>
  </si>
  <si>
    <t>Příprava staveniště</t>
  </si>
  <si>
    <t>Finanční náklady</t>
  </si>
  <si>
    <t>Náklady na pracovníky</t>
  </si>
  <si>
    <t>Vlastní VORN</t>
  </si>
  <si>
    <t>Celkem VORN</t>
  </si>
  <si>
    <t>V položce je zakalkulováno hloubení rýh nezapažených, šířky 50 cm v hornině 3, ve volném terénu, dodávka a montáž potrubí včetně navrtávací objímky, s podsypem štěrkopískem, s obsypem pískem nebo štěrkopískem, se zásypem hutněným a s odvozem přebytečné zeminy do 6 km, bez poplatku za skládku. Součástí ceny je dodávka trubního materiálu, elektrokoleno, chránička bralen, objímka, kulový kohout, těsnící tmel, přechodka Isiflo, podpůrná vložka, držák chráničky a montáž všech částí přípojky, dále pak i výstražná fólie. Pokud je plynovodní řád veden ve zpevněné ploše, ocení se rozebrání a zřízení konstrukcí položkami 841 99 Příplatky za trasu plynovodu ve vozovce. Délka přípojky 15 m + 1,5 m z výkopu do fasády.</t>
  </si>
  <si>
    <t>Trubka kanalizační PP SN 12  DN 250/6000</t>
  </si>
  <si>
    <t>Trubka kanalizační PP SN 12  DN 250/3000</t>
  </si>
  <si>
    <t>Trubka kanalizační PP  SN 12  DN 200/6000</t>
  </si>
  <si>
    <t>Trubka kanalizační PP SN 12  DN 200/3000</t>
  </si>
  <si>
    <t>Trubka kanalizační PP SN 12  DN 300/3000</t>
  </si>
  <si>
    <t>Trubka kanalizační PP SN 12  DN 300/6000</t>
  </si>
  <si>
    <t>Trubka kanalizační PP  SN 12  DN 250/6000</t>
  </si>
  <si>
    <t>Dlažba drenážní - sestava 3 kamenů (řady navazují na dist. dlažbu) - přírodní šedá - musí být vzorkováno</t>
  </si>
  <si>
    <t>Izolace suterénu  EPS P tl. 140 mm, bez PÚ</t>
  </si>
  <si>
    <t>Vibrolisované silniční obrubníky slouží k oddělení chodníků a dalších pochozích ploch od pojezdových komunikací (vozovky).  Impregnace  pochozí odolnost vůči mrazu  výška 150 mm šířka 150 mm délka 1000 m</t>
  </si>
  <si>
    <t>Osvětlení bodové pro terasy - sada - bodové světlo LED teplá bílá 0,5W, 12V, IP 67, veznkovní zápustné svítidlo nerez 10 ks, zdroj, kabel 25m</t>
  </si>
  <si>
    <t>Podkladové hranoly pro kompozitní terasy  50x50x2400</t>
  </si>
  <si>
    <t>Terasová prkna z kompozitního materiálu  3600x176x32, barva Golden Oak,</t>
  </si>
  <si>
    <t>Terasová prkna z kompozitního materiálu 3600x176x32, barva Golden Oak,</t>
  </si>
  <si>
    <t>Profil plastový pro kompozitní terasy 50x50x2400</t>
  </si>
  <si>
    <t>Podkladní hranol plastový  125x50x300</t>
  </si>
  <si>
    <t xml:space="preserve">Zvyšuje vodní retenční kapacitu půdy a přístupnost hnojiv, zlepšuje půdní struktury, omezuje účinky přesazovacího šoku. Vhodný pro použití v degradovaných nebo problematických půdách. Půdní kondicionér se musí smíchat s růstovým médiem do kořenové zóny.  </t>
  </si>
  <si>
    <t>Sloupek plotový d 48 mm, h 1750 mm</t>
  </si>
  <si>
    <t>Stojan na kola k zavěšení - specifikace v PD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</si>
</sst>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Calibri"/>
      <charset val="1"/>
    </font>
    <font>
      <sz val="18"/>
      <color rgb="FF000000"/>
      <name val="Arial"/>
      <charset val="238"/>
    </font>
    <font>
      <b/>
      <sz val="10"/>
      <color rgb="FF000000"/>
      <name val="Arial"/>
      <charset val="238"/>
    </font>
    <font>
      <sz val="10"/>
      <color rgb="FF000000"/>
      <name val="Arial"/>
      <charset val="238"/>
    </font>
    <font>
      <i/>
      <sz val="10"/>
      <color rgb="FF000080"/>
      <name val="Arial"/>
      <charset val="238"/>
    </font>
    <font>
      <i/>
      <sz val="10"/>
      <color rgb="FF000000"/>
      <name val="Arial"/>
      <charset val="238"/>
    </font>
    <font>
      <i/>
      <sz val="8"/>
      <color rgb="FF000000"/>
      <name val="Arial"/>
      <charset val="238"/>
    </font>
    <font>
      <b/>
      <sz val="18"/>
      <color rgb="FF000000"/>
      <name val="Arial"/>
      <charset val="238"/>
    </font>
    <font>
      <b/>
      <sz val="20"/>
      <color rgb="FF000000"/>
      <name val="Arial"/>
      <charset val="238"/>
    </font>
    <font>
      <b/>
      <sz val="11"/>
      <color rgb="FF000000"/>
      <name val="Arial"/>
      <charset val="238"/>
    </font>
    <font>
      <b/>
      <sz val="12"/>
      <color rgb="FF000000"/>
      <name val="Arial"/>
      <charset val="238"/>
    </font>
    <font>
      <sz val="12"/>
      <color rgb="FF000000"/>
      <name val="Arial"/>
      <charset val="238"/>
    </font>
  </fonts>
  <fills count="3">
    <fill>
      <patternFill patternType="none"/>
    </fill>
    <fill>
      <patternFill patternType="gray125"/>
    </fill>
    <fill>
      <patternFill patternType="solid">
        <fgColor rgb="FFC0C0C0"/>
        <bgColor rgb="FFC0C0C0"/>
      </patternFill>
    </fill>
  </fills>
  <borders count="74">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medium">
        <color rgb="FF000000"/>
      </top>
      <bottom/>
      <diagonal/>
    </border>
    <border>
      <left style="thin">
        <color rgb="FF000000"/>
      </left>
      <right style="thin">
        <color rgb="FF000000"/>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style="medium">
        <color rgb="FF000000"/>
      </left>
      <right style="thin">
        <color rgb="FF000000"/>
      </right>
      <top/>
      <bottom style="medium">
        <color rgb="FF000000"/>
      </bottom>
      <diagonal/>
    </border>
    <border>
      <left/>
      <right style="thin">
        <color rgb="FF000000"/>
      </right>
      <top/>
      <bottom style="medium">
        <color rgb="FF000000"/>
      </bottom>
      <diagonal/>
    </border>
    <border>
      <left/>
      <right style="medium">
        <color rgb="FF000000"/>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top/>
      <bottom/>
      <diagonal/>
    </border>
    <border>
      <left/>
      <right style="thin">
        <color rgb="FF000000"/>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right style="thin">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style="medium">
        <color rgb="FF000000"/>
      </bottom>
      <diagonal/>
    </border>
  </borders>
  <cellStyleXfs count="1">
    <xf numFmtId="0" fontId="0" fillId="0" borderId="0"/>
  </cellStyleXfs>
  <cellXfs count="162">
    <xf numFmtId="0" fontId="0" fillId="0" borderId="0" xfId="0"/>
    <xf numFmtId="4" fontId="2" fillId="2" borderId="0" xfId="0" applyNumberFormat="1" applyFont="1" applyFill="1" applyAlignment="1">
      <alignment horizontal="righ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wrapText="1"/>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right" vertical="center"/>
    </xf>
    <xf numFmtId="0" fontId="2" fillId="0" borderId="0" xfId="0" applyFont="1" applyAlignment="1">
      <alignment horizontal="righ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3" fillId="2" borderId="28" xfId="0" applyFont="1" applyFill="1" applyBorder="1" applyAlignment="1">
      <alignment horizontal="left" vertical="center"/>
    </xf>
    <xf numFmtId="0" fontId="2" fillId="2" borderId="29" xfId="0" applyFont="1" applyFill="1" applyBorder="1" applyAlignment="1">
      <alignment horizontal="left" vertical="center"/>
    </xf>
    <xf numFmtId="0" fontId="3" fillId="2" borderId="29" xfId="0" applyFont="1" applyFill="1" applyBorder="1" applyAlignment="1">
      <alignment horizontal="left" vertical="center"/>
    </xf>
    <xf numFmtId="4" fontId="2" fillId="2" borderId="29" xfId="0" applyNumberFormat="1" applyFont="1" applyFill="1" applyBorder="1" applyAlignment="1">
      <alignment horizontal="right" vertical="center"/>
    </xf>
    <xf numFmtId="0" fontId="2" fillId="2" borderId="30" xfId="0" applyFont="1" applyFill="1" applyBorder="1" applyAlignment="1">
      <alignment horizontal="right" vertical="center"/>
    </xf>
    <xf numFmtId="0" fontId="3" fillId="2" borderId="5" xfId="0" applyFont="1" applyFill="1" applyBorder="1" applyAlignment="1">
      <alignment horizontal="left" vertical="center"/>
    </xf>
    <xf numFmtId="0" fontId="2" fillId="2" borderId="0" xfId="0" applyFont="1" applyFill="1" applyAlignment="1">
      <alignment horizontal="left" vertical="center"/>
    </xf>
    <xf numFmtId="0" fontId="3" fillId="2" borderId="0" xfId="0" applyFont="1" applyFill="1" applyAlignment="1">
      <alignment horizontal="left" vertical="center"/>
    </xf>
    <xf numFmtId="0" fontId="2" fillId="2" borderId="6" xfId="0" applyFont="1" applyFill="1" applyBorder="1" applyAlignment="1">
      <alignment horizontal="right" vertical="center"/>
    </xf>
    <xf numFmtId="4" fontId="3" fillId="0" borderId="0" xfId="0" applyNumberFormat="1" applyFont="1" applyAlignment="1">
      <alignment horizontal="right" vertical="center"/>
    </xf>
    <xf numFmtId="0" fontId="3" fillId="0" borderId="6" xfId="0" applyFont="1" applyBorder="1" applyAlignment="1">
      <alignment horizontal="right" vertical="center"/>
    </xf>
    <xf numFmtId="0" fontId="3" fillId="0" borderId="0" xfId="0" applyFont="1" applyAlignment="1">
      <alignment horizontal="right" vertical="center"/>
    </xf>
    <xf numFmtId="0" fontId="0" fillId="0" borderId="5" xfId="0" applyBorder="1"/>
    <xf numFmtId="0" fontId="4" fillId="0" borderId="0" xfId="0" applyFont="1" applyAlignment="1">
      <alignment horizontal="left" vertical="center"/>
    </xf>
    <xf numFmtId="4" fontId="4" fillId="0" borderId="0" xfId="0" applyNumberFormat="1" applyFont="1" applyAlignment="1">
      <alignment horizontal="right" vertical="center"/>
    </xf>
    <xf numFmtId="0" fontId="0" fillId="0" borderId="6" xfId="0" applyBorder="1"/>
    <xf numFmtId="0" fontId="4"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horizontal="righ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4" fontId="3" fillId="0" borderId="32" xfId="0" applyNumberFormat="1" applyFont="1" applyBorder="1" applyAlignment="1">
      <alignment horizontal="right" vertical="center"/>
    </xf>
    <xf numFmtId="0" fontId="3" fillId="0" borderId="33" xfId="0" applyFont="1" applyBorder="1" applyAlignment="1">
      <alignment horizontal="right" vertical="center"/>
    </xf>
    <xf numFmtId="4" fontId="2" fillId="0" borderId="34" xfId="0" applyNumberFormat="1" applyFont="1" applyBorder="1" applyAlignment="1">
      <alignment horizontal="right" vertical="center"/>
    </xf>
    <xf numFmtId="0" fontId="6" fillId="0" borderId="0" xfId="0" applyFont="1" applyAlignment="1">
      <alignment horizontal="left" vertical="center"/>
    </xf>
    <xf numFmtId="0" fontId="8" fillId="2" borderId="36" xfId="0" applyFont="1" applyFill="1" applyBorder="1" applyAlignment="1">
      <alignment horizontal="center" vertical="center"/>
    </xf>
    <xf numFmtId="0" fontId="8" fillId="2" borderId="39" xfId="0" applyFont="1" applyFill="1" applyBorder="1" applyAlignment="1">
      <alignment horizontal="center" vertical="center"/>
    </xf>
    <xf numFmtId="0" fontId="10" fillId="0" borderId="40" xfId="0" applyFont="1" applyBorder="1" applyAlignment="1">
      <alignment horizontal="left" vertical="center"/>
    </xf>
    <xf numFmtId="0" fontId="11" fillId="0" borderId="41" xfId="0" applyFont="1" applyBorder="1" applyAlignment="1">
      <alignment horizontal="left" vertical="center"/>
    </xf>
    <xf numFmtId="4" fontId="11" fillId="0" borderId="41" xfId="0" applyNumberFormat="1" applyFont="1" applyBorder="1" applyAlignment="1">
      <alignment horizontal="right" vertical="center"/>
    </xf>
    <xf numFmtId="0" fontId="11" fillId="0" borderId="41" xfId="0" applyFont="1" applyBorder="1" applyAlignment="1">
      <alignment horizontal="right" vertical="center"/>
    </xf>
    <xf numFmtId="0" fontId="10" fillId="0" borderId="44" xfId="0" applyFont="1" applyBorder="1" applyAlignment="1">
      <alignment horizontal="left" vertical="center"/>
    </xf>
    <xf numFmtId="4" fontId="11" fillId="0" borderId="48" xfId="0" applyNumberFormat="1" applyFont="1" applyBorder="1" applyAlignment="1">
      <alignment horizontal="right" vertical="center"/>
    </xf>
    <xf numFmtId="0" fontId="11" fillId="0" borderId="48" xfId="0" applyFont="1" applyBorder="1" applyAlignment="1">
      <alignment horizontal="right" vertical="center"/>
    </xf>
    <xf numFmtId="4" fontId="11" fillId="0" borderId="39" xfId="0" applyNumberFormat="1" applyFont="1" applyBorder="1" applyAlignment="1">
      <alignment horizontal="right" vertical="center"/>
    </xf>
    <xf numFmtId="4" fontId="11" fillId="0" borderId="25" xfId="0" applyNumberFormat="1" applyFont="1" applyBorder="1" applyAlignment="1">
      <alignment horizontal="right" vertical="center"/>
    </xf>
    <xf numFmtId="4" fontId="10" fillId="2" borderId="38" xfId="0" applyNumberFormat="1" applyFont="1" applyFill="1" applyBorder="1" applyAlignment="1">
      <alignment horizontal="right" vertical="center"/>
    </xf>
    <xf numFmtId="4" fontId="10" fillId="2" borderId="43" xfId="0" applyNumberFormat="1" applyFont="1" applyFill="1" applyBorder="1" applyAlignment="1">
      <alignment horizontal="right" vertical="center"/>
    </xf>
    <xf numFmtId="0" fontId="6" fillId="0" borderId="29" xfId="0" applyFont="1" applyBorder="1" applyAlignment="1">
      <alignment horizontal="left" vertical="center"/>
    </xf>
    <xf numFmtId="0" fontId="2" fillId="0" borderId="64" xfId="0" applyFont="1" applyBorder="1" applyAlignment="1">
      <alignment horizontal="right" vertical="center"/>
    </xf>
    <xf numFmtId="4" fontId="3" fillId="0" borderId="41" xfId="0" applyNumberFormat="1" applyFont="1" applyBorder="1" applyAlignment="1">
      <alignment horizontal="right" vertical="center"/>
    </xf>
    <xf numFmtId="0" fontId="3" fillId="0" borderId="41" xfId="0" applyFont="1" applyBorder="1" applyAlignment="1">
      <alignment horizontal="left" vertical="center"/>
    </xf>
    <xf numFmtId="4" fontId="3" fillId="0" borderId="68" xfId="0" applyNumberFormat="1" applyFont="1" applyBorder="1" applyAlignment="1">
      <alignment horizontal="right" vertical="center"/>
    </xf>
    <xf numFmtId="0" fontId="3" fillId="0" borderId="68" xfId="0" applyFont="1" applyBorder="1" applyAlignment="1">
      <alignment horizontal="left" vertical="center"/>
    </xf>
    <xf numFmtId="0" fontId="2" fillId="0" borderId="72" xfId="0" applyFont="1" applyBorder="1" applyAlignment="1">
      <alignment horizontal="left" vertical="center"/>
    </xf>
    <xf numFmtId="0" fontId="2" fillId="0" borderId="72" xfId="0" applyFont="1" applyBorder="1" applyAlignment="1">
      <alignment horizontal="right" vertical="center"/>
    </xf>
    <xf numFmtId="4" fontId="2" fillId="0" borderId="72" xfId="0" applyNumberFormat="1" applyFont="1" applyBorder="1" applyAlignment="1">
      <alignment horizontal="right" vertical="center"/>
    </xf>
    <xf numFmtId="0" fontId="4" fillId="0" borderId="0" xfId="0" applyFont="1" applyAlignment="1">
      <alignment horizontal="left" vertical="center" wrapText="1"/>
    </xf>
    <xf numFmtId="0" fontId="1" fillId="0" borderId="1"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wrapText="1"/>
    </xf>
    <xf numFmtId="0" fontId="3" fillId="0" borderId="0" xfId="0" applyFont="1" applyAlignment="1">
      <alignment horizontal="left" vertical="center" wrapText="1"/>
    </xf>
    <xf numFmtId="0" fontId="2" fillId="0" borderId="3" xfId="0" applyFont="1" applyBorder="1" applyAlignment="1">
      <alignment horizontal="left" vertical="center" wrapText="1"/>
    </xf>
    <xf numFmtId="0" fontId="2" fillId="0" borderId="3" xfId="0" applyFont="1" applyBorder="1" applyAlignment="1">
      <alignment horizontal="left" vertical="center"/>
    </xf>
    <xf numFmtId="0" fontId="2" fillId="0" borderId="0" xfId="0" applyFont="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2" borderId="29"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0" xfId="0" applyFont="1" applyFill="1" applyAlignment="1">
      <alignment horizontal="left" vertical="center" wrapText="1"/>
    </xf>
    <xf numFmtId="0" fontId="2" fillId="2" borderId="0" xfId="0" applyFont="1" applyFill="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9"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6" xfId="0" applyFont="1" applyBorder="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6" xfId="0" applyFont="1" applyBorder="1" applyAlignment="1">
      <alignment horizontal="left" vertical="center"/>
    </xf>
    <xf numFmtId="0" fontId="4" fillId="0" borderId="66" xfId="0" applyFont="1" applyBorder="1" applyAlignment="1">
      <alignment horizontal="left" vertical="center" wrapText="1"/>
    </xf>
    <xf numFmtId="0" fontId="4" fillId="0" borderId="68" xfId="0" applyFont="1" applyBorder="1" applyAlignment="1">
      <alignment horizontal="left" vertical="center" wrapText="1"/>
    </xf>
    <xf numFmtId="0" fontId="3" fillId="0" borderId="32" xfId="0" applyFont="1" applyBorder="1" applyAlignment="1">
      <alignment horizontal="left" vertical="center" wrapText="1"/>
    </xf>
    <xf numFmtId="0" fontId="3" fillId="0" borderId="32" xfId="0" applyFont="1" applyBorder="1" applyAlignment="1">
      <alignment horizontal="left" vertical="center"/>
    </xf>
    <xf numFmtId="0" fontId="2" fillId="0" borderId="34" xfId="0" applyFont="1" applyBorder="1" applyAlignment="1">
      <alignment horizontal="left" vertical="center"/>
    </xf>
    <xf numFmtId="0" fontId="1" fillId="0" borderId="1" xfId="0" applyFont="1" applyBorder="1" applyAlignment="1">
      <alignment horizontal="center" vertical="center" wrapText="1"/>
    </xf>
    <xf numFmtId="1" fontId="3" fillId="0" borderId="6" xfId="0" applyNumberFormat="1" applyFont="1" applyBorder="1" applyAlignment="1">
      <alignment horizontal="left" vertical="center"/>
    </xf>
    <xf numFmtId="0" fontId="3" fillId="0" borderId="6" xfId="0" applyFont="1" applyBorder="1" applyAlignment="1">
      <alignment horizontal="left" vertical="center" wrapText="1"/>
    </xf>
    <xf numFmtId="0" fontId="3" fillId="0" borderId="33" xfId="0" applyFont="1" applyBorder="1" applyAlignment="1">
      <alignment horizontal="left" vertical="center"/>
    </xf>
    <xf numFmtId="0" fontId="7" fillId="0" borderId="35" xfId="0" applyFont="1" applyBorder="1" applyAlignment="1">
      <alignment horizontal="center" vertical="center"/>
    </xf>
    <xf numFmtId="0" fontId="9" fillId="0" borderId="37" xfId="0" applyFont="1" applyBorder="1" applyAlignment="1">
      <alignment horizontal="left" vertical="center"/>
    </xf>
    <xf numFmtId="0" fontId="9" fillId="0" borderId="38" xfId="0" applyFont="1" applyBorder="1" applyAlignment="1">
      <alignment horizontal="left" vertical="center"/>
    </xf>
    <xf numFmtId="0" fontId="3" fillId="0" borderId="31" xfId="0" applyFont="1" applyBorder="1" applyAlignment="1">
      <alignment horizontal="left" vertical="center"/>
    </xf>
    <xf numFmtId="0" fontId="10" fillId="0" borderId="45" xfId="0" applyFont="1" applyBorder="1" applyAlignment="1">
      <alignment horizontal="left" vertical="center"/>
    </xf>
    <xf numFmtId="0" fontId="10" fillId="0" borderId="43" xfId="0" applyFont="1" applyBorder="1" applyAlignment="1">
      <alignment horizontal="left" vertical="center"/>
    </xf>
    <xf numFmtId="0" fontId="10" fillId="0" borderId="46" xfId="0" applyFont="1" applyBorder="1" applyAlignment="1">
      <alignment horizontal="left" vertical="center"/>
    </xf>
    <xf numFmtId="0" fontId="10" fillId="0" borderId="47" xfId="0" applyFont="1" applyBorder="1" applyAlignment="1">
      <alignment horizontal="left" vertical="center"/>
    </xf>
    <xf numFmtId="0" fontId="10" fillId="0" borderId="50" xfId="0" applyFont="1" applyBorder="1" applyAlignment="1">
      <alignment horizontal="left" vertical="center"/>
    </xf>
    <xf numFmtId="0" fontId="10" fillId="0" borderId="38" xfId="0" applyFont="1" applyBorder="1" applyAlignment="1">
      <alignment horizontal="left" vertical="center"/>
    </xf>
    <xf numFmtId="0" fontId="11" fillId="0" borderId="42" xfId="0" applyFont="1" applyBorder="1" applyAlignment="1">
      <alignment horizontal="left" vertical="center"/>
    </xf>
    <xf numFmtId="0" fontId="11" fillId="0" borderId="43"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xf>
    <xf numFmtId="0" fontId="10" fillId="0" borderId="37" xfId="0" applyFont="1" applyBorder="1" applyAlignment="1">
      <alignment horizontal="left" vertical="center"/>
    </xf>
    <xf numFmtId="0" fontId="10" fillId="0" borderId="42" xfId="0" applyFont="1" applyBorder="1" applyAlignment="1">
      <alignment horizontal="left" vertical="center"/>
    </xf>
    <xf numFmtId="0" fontId="10" fillId="2" borderId="50" xfId="0" applyFont="1" applyFill="1" applyBorder="1" applyAlignment="1">
      <alignment horizontal="left" vertical="center"/>
    </xf>
    <xf numFmtId="0" fontId="10" fillId="2" borderId="51" xfId="0" applyFont="1" applyFill="1" applyBorder="1" applyAlignment="1">
      <alignment horizontal="left" vertical="center"/>
    </xf>
    <xf numFmtId="0" fontId="10" fillId="2" borderId="45" xfId="0" applyFont="1" applyFill="1" applyBorder="1" applyAlignment="1">
      <alignment horizontal="left" vertical="center"/>
    </xf>
    <xf numFmtId="0" fontId="10" fillId="2" borderId="52" xfId="0" applyFont="1" applyFill="1" applyBorder="1" applyAlignment="1">
      <alignment horizontal="left" vertical="center"/>
    </xf>
    <xf numFmtId="0" fontId="10" fillId="2" borderId="37" xfId="0" applyFont="1" applyFill="1" applyBorder="1" applyAlignment="1">
      <alignment horizontal="left" vertical="center"/>
    </xf>
    <xf numFmtId="0" fontId="10" fillId="2" borderId="42" xfId="0" applyFont="1" applyFill="1" applyBorder="1" applyAlignment="1">
      <alignment horizontal="left" vertical="center"/>
    </xf>
    <xf numFmtId="0" fontId="11" fillId="0" borderId="56" xfId="0" applyFont="1" applyBorder="1" applyAlignment="1">
      <alignment horizontal="left" vertical="center"/>
    </xf>
    <xf numFmtId="0" fontId="11" fillId="0" borderId="54" xfId="0" applyFont="1" applyBorder="1" applyAlignment="1">
      <alignment horizontal="left" vertical="center"/>
    </xf>
    <xf numFmtId="0" fontId="11" fillId="0" borderId="55" xfId="0" applyFont="1" applyBorder="1" applyAlignment="1">
      <alignment horizontal="left" vertical="center"/>
    </xf>
    <xf numFmtId="0" fontId="11" fillId="0" borderId="59" xfId="0" applyFont="1" applyBorder="1" applyAlignment="1">
      <alignment horizontal="left" vertical="center"/>
    </xf>
    <xf numFmtId="0" fontId="11" fillId="0" borderId="0" xfId="0" applyFont="1" applyAlignment="1">
      <alignment horizontal="left" vertical="center"/>
    </xf>
    <xf numFmtId="0" fontId="11" fillId="0" borderId="58" xfId="0" applyFont="1" applyBorder="1" applyAlignment="1">
      <alignment horizontal="left" vertical="center"/>
    </xf>
    <xf numFmtId="0" fontId="11" fillId="0" borderId="63" xfId="0" applyFont="1" applyBorder="1" applyAlignment="1">
      <alignment horizontal="left" vertical="center"/>
    </xf>
    <xf numFmtId="0" fontId="11" fillId="0" borderId="61" xfId="0" applyFont="1" applyBorder="1" applyAlignment="1">
      <alignment horizontal="left" vertical="center"/>
    </xf>
    <xf numFmtId="0" fontId="11" fillId="0" borderId="62" xfId="0" applyFont="1" applyBorder="1" applyAlignment="1">
      <alignment horizontal="left" vertical="center"/>
    </xf>
    <xf numFmtId="0" fontId="11" fillId="0" borderId="53" xfId="0" applyFont="1" applyBorder="1" applyAlignment="1">
      <alignment horizontal="left" vertical="center"/>
    </xf>
    <xf numFmtId="0" fontId="11" fillId="0" borderId="57" xfId="0" applyFont="1" applyBorder="1" applyAlignment="1">
      <alignment horizontal="left" vertical="center"/>
    </xf>
    <xf numFmtId="0" fontId="11" fillId="0" borderId="60" xfId="0" applyFont="1" applyBorder="1" applyAlignment="1">
      <alignment horizontal="left" vertical="center"/>
    </xf>
    <xf numFmtId="0" fontId="10"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3" fillId="0" borderId="45" xfId="0" applyFont="1" applyBorder="1" applyAlignment="1">
      <alignment horizontal="left" vertical="center"/>
    </xf>
    <xf numFmtId="0" fontId="3" fillId="0" borderId="52" xfId="0" applyFont="1" applyBorder="1" applyAlignment="1">
      <alignment horizontal="left" vertical="center"/>
    </xf>
    <xf numFmtId="0" fontId="3" fillId="0" borderId="43" xfId="0" applyFont="1" applyBorder="1" applyAlignment="1">
      <alignment horizontal="left" vertical="center"/>
    </xf>
    <xf numFmtId="0" fontId="3" fillId="0" borderId="65"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2" fillId="0" borderId="69" xfId="0" applyFont="1" applyBorder="1" applyAlignment="1">
      <alignment horizontal="left" vertical="center"/>
    </xf>
    <xf numFmtId="0" fontId="2" fillId="0" borderId="70" xfId="0" applyFont="1" applyBorder="1" applyAlignment="1">
      <alignment horizontal="left" vertical="center"/>
    </xf>
    <xf numFmtId="0" fontId="2" fillId="0" borderId="71" xfId="0" applyFont="1" applyBorder="1" applyAlignment="1">
      <alignment horizontal="left" vertical="center"/>
    </xf>
    <xf numFmtId="0" fontId="10" fillId="0" borderId="69" xfId="0" applyFont="1" applyBorder="1" applyAlignment="1">
      <alignment horizontal="left" vertical="center"/>
    </xf>
    <xf numFmtId="0" fontId="10" fillId="0" borderId="70" xfId="0" applyFont="1" applyBorder="1" applyAlignment="1">
      <alignment horizontal="left" vertical="center"/>
    </xf>
    <xf numFmtId="0" fontId="10" fillId="0" borderId="71" xfId="0" applyFont="1" applyBorder="1" applyAlignment="1">
      <alignment horizontal="left" vertical="center"/>
    </xf>
    <xf numFmtId="4" fontId="10" fillId="0" borderId="73" xfId="0" applyNumberFormat="1" applyFont="1" applyBorder="1" applyAlignment="1">
      <alignment horizontal="right" vertical="center"/>
    </xf>
    <xf numFmtId="0" fontId="10" fillId="0" borderId="70" xfId="0" applyFont="1" applyBorder="1" applyAlignment="1">
      <alignment horizontal="right" vertical="center"/>
    </xf>
    <xf numFmtId="0" fontId="10" fillId="0" borderId="71" xfId="0" applyFont="1" applyBorder="1" applyAlignment="1">
      <alignment horizontal="righ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666750" cy="666750"/>
    <xdr:pic>
      <xdr:nvPicPr>
        <xdr:cNvPr id="2" name="Obrázek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666750" cy="666750"/>
        </a:xfrm>
        <a:prstGeom prst="rect">
          <a:avLst/>
        </a:prstGeom>
        <a:noFill/>
        <a:ln w="9525">
          <a:noFill/>
        </a:ln>
      </xdr:spPr>
    </xdr:pic>
    <xdr:clientData/>
  </xdr:absolute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Z1331"/>
  <sheetViews>
    <sheetView workbookViewId="0">
      <pane ySplit="11" topLeftCell="A1321" activePane="bottomLeft" state="frozen"/>
      <selection pane="bottomLeft" activeCell="A1216" sqref="A1216:XFD1216"/>
    </sheetView>
  </sheetViews>
  <sheetFormatPr defaultColWidth="12.140625" defaultRowHeight="15" customHeight="1" x14ac:dyDescent="0.25"/>
  <cols>
    <col min="1" max="1" width="4" customWidth="1"/>
    <col min="2" max="2" width="17.85546875" customWidth="1"/>
    <col min="3" max="3" width="42.85546875" customWidth="1"/>
    <col min="4" max="4" width="35.7109375" customWidth="1"/>
    <col min="5" max="5" width="8.42578125" customWidth="1"/>
    <col min="6" max="6" width="12.85546875" customWidth="1"/>
    <col min="7" max="7" width="12" customWidth="1"/>
    <col min="8" max="10" width="15.7109375" customWidth="1"/>
    <col min="11" max="11" width="14.7109375" customWidth="1"/>
    <col min="25" max="75" width="12.140625" hidden="1"/>
    <col min="76" max="76" width="78.5703125" hidden="1" customWidth="1"/>
    <col min="77" max="78" width="12.140625" hidden="1"/>
  </cols>
  <sheetData>
    <row r="1" spans="1:76" ht="54.75" customHeight="1" x14ac:dyDescent="0.25">
      <c r="A1" s="67" t="s">
        <v>0</v>
      </c>
      <c r="B1" s="67"/>
      <c r="C1" s="67"/>
      <c r="D1" s="67"/>
      <c r="E1" s="67"/>
      <c r="F1" s="67"/>
      <c r="G1" s="67"/>
      <c r="H1" s="67"/>
      <c r="I1" s="67"/>
      <c r="J1" s="67"/>
      <c r="K1" s="67"/>
      <c r="AS1" s="1">
        <f>SUM(AJ1:AJ2)</f>
        <v>0</v>
      </c>
      <c r="AT1" s="1">
        <f>SUM(AK1:AK2)</f>
        <v>0</v>
      </c>
      <c r="AU1" s="1">
        <f>SUM(AL1:AL2)</f>
        <v>0</v>
      </c>
    </row>
    <row r="2" spans="1:76" x14ac:dyDescent="0.25">
      <c r="A2" s="68" t="s">
        <v>1</v>
      </c>
      <c r="B2" s="69"/>
      <c r="C2" s="77" t="s">
        <v>2</v>
      </c>
      <c r="D2" s="78"/>
      <c r="E2" s="69" t="s">
        <v>3</v>
      </c>
      <c r="F2" s="69"/>
      <c r="G2" s="69" t="s">
        <v>4</v>
      </c>
      <c r="H2" s="75" t="s">
        <v>5</v>
      </c>
      <c r="I2" s="75" t="s">
        <v>6</v>
      </c>
      <c r="J2" s="69"/>
      <c r="K2" s="89"/>
    </row>
    <row r="3" spans="1:76" x14ac:dyDescent="0.25">
      <c r="A3" s="70"/>
      <c r="B3" s="71"/>
      <c r="C3" s="79"/>
      <c r="D3" s="79"/>
      <c r="E3" s="71"/>
      <c r="F3" s="71"/>
      <c r="G3" s="71"/>
      <c r="H3" s="71"/>
      <c r="I3" s="71"/>
      <c r="J3" s="71"/>
      <c r="K3" s="90"/>
    </row>
    <row r="4" spans="1:76" x14ac:dyDescent="0.25">
      <c r="A4" s="72" t="s">
        <v>7</v>
      </c>
      <c r="B4" s="71"/>
      <c r="C4" s="76" t="s">
        <v>8</v>
      </c>
      <c r="D4" s="71"/>
      <c r="E4" s="71" t="s">
        <v>9</v>
      </c>
      <c r="F4" s="71"/>
      <c r="G4" s="71"/>
      <c r="H4" s="76" t="s">
        <v>11</v>
      </c>
      <c r="I4" s="76" t="s">
        <v>12</v>
      </c>
      <c r="J4" s="71"/>
      <c r="K4" s="90"/>
    </row>
    <row r="5" spans="1:76" x14ac:dyDescent="0.25">
      <c r="A5" s="70"/>
      <c r="B5" s="71"/>
      <c r="C5" s="71"/>
      <c r="D5" s="71"/>
      <c r="E5" s="71"/>
      <c r="F5" s="71"/>
      <c r="G5" s="71"/>
      <c r="H5" s="71"/>
      <c r="I5" s="71"/>
      <c r="J5" s="71"/>
      <c r="K5" s="90"/>
    </row>
    <row r="6" spans="1:76" x14ac:dyDescent="0.25">
      <c r="A6" s="72" t="s">
        <v>13</v>
      </c>
      <c r="B6" s="71"/>
      <c r="C6" s="76" t="s">
        <v>14</v>
      </c>
      <c r="D6" s="71"/>
      <c r="E6" s="71" t="s">
        <v>15</v>
      </c>
      <c r="F6" s="71"/>
      <c r="G6" s="71" t="s">
        <v>4</v>
      </c>
      <c r="H6" s="76" t="s">
        <v>16</v>
      </c>
      <c r="I6" s="71" t="s">
        <v>17</v>
      </c>
      <c r="J6" s="71"/>
      <c r="K6" s="90"/>
    </row>
    <row r="7" spans="1:76" x14ac:dyDescent="0.25">
      <c r="A7" s="70"/>
      <c r="B7" s="71"/>
      <c r="C7" s="71"/>
      <c r="D7" s="71"/>
      <c r="E7" s="71"/>
      <c r="F7" s="71"/>
      <c r="G7" s="71"/>
      <c r="H7" s="71"/>
      <c r="I7" s="71"/>
      <c r="J7" s="71"/>
      <c r="K7" s="90"/>
    </row>
    <row r="8" spans="1:76" x14ac:dyDescent="0.25">
      <c r="A8" s="72" t="s">
        <v>18</v>
      </c>
      <c r="B8" s="71"/>
      <c r="C8" s="76" t="s">
        <v>19</v>
      </c>
      <c r="D8" s="71"/>
      <c r="E8" s="71" t="s">
        <v>20</v>
      </c>
      <c r="F8" s="71"/>
      <c r="G8" s="71" t="s">
        <v>10</v>
      </c>
      <c r="H8" s="76" t="s">
        <v>21</v>
      </c>
      <c r="I8" s="71" t="s">
        <v>17</v>
      </c>
      <c r="J8" s="71"/>
      <c r="K8" s="90"/>
    </row>
    <row r="9" spans="1:76" x14ac:dyDescent="0.25">
      <c r="A9" s="73"/>
      <c r="B9" s="74"/>
      <c r="C9" s="74"/>
      <c r="D9" s="74"/>
      <c r="E9" s="74"/>
      <c r="F9" s="74"/>
      <c r="G9" s="74"/>
      <c r="H9" s="74"/>
      <c r="I9" s="74"/>
      <c r="J9" s="74"/>
      <c r="K9" s="91"/>
    </row>
    <row r="10" spans="1:76" x14ac:dyDescent="0.25">
      <c r="A10" s="5" t="s">
        <v>22</v>
      </c>
      <c r="B10" s="6" t="s">
        <v>23</v>
      </c>
      <c r="C10" s="92" t="s">
        <v>24</v>
      </c>
      <c r="D10" s="93"/>
      <c r="E10" s="6" t="s">
        <v>25</v>
      </c>
      <c r="F10" s="7" t="s">
        <v>26</v>
      </c>
      <c r="G10" s="8" t="s">
        <v>27</v>
      </c>
      <c r="H10" s="82" t="s">
        <v>28</v>
      </c>
      <c r="I10" s="83"/>
      <c r="J10" s="84"/>
      <c r="K10" s="9" t="s">
        <v>29</v>
      </c>
      <c r="BK10" s="10" t="s">
        <v>30</v>
      </c>
      <c r="BL10" s="11" t="s">
        <v>31</v>
      </c>
      <c r="BW10" s="11" t="s">
        <v>32</v>
      </c>
    </row>
    <row r="11" spans="1:76" x14ac:dyDescent="0.25">
      <c r="A11" s="12" t="s">
        <v>4</v>
      </c>
      <c r="B11" s="13" t="s">
        <v>4</v>
      </c>
      <c r="C11" s="80" t="s">
        <v>33</v>
      </c>
      <c r="D11" s="81"/>
      <c r="E11" s="13" t="s">
        <v>4</v>
      </c>
      <c r="F11" s="13" t="s">
        <v>4</v>
      </c>
      <c r="G11" s="14" t="s">
        <v>34</v>
      </c>
      <c r="H11" s="15" t="s">
        <v>35</v>
      </c>
      <c r="I11" s="16" t="s">
        <v>36</v>
      </c>
      <c r="J11" s="17" t="s">
        <v>37</v>
      </c>
      <c r="K11" s="18" t="s">
        <v>38</v>
      </c>
      <c r="Z11" s="10" t="s">
        <v>39</v>
      </c>
      <c r="AA11" s="10" t="s">
        <v>40</v>
      </c>
      <c r="AB11" s="10" t="s">
        <v>41</v>
      </c>
      <c r="AC11" s="10" t="s">
        <v>42</v>
      </c>
      <c r="AD11" s="10" t="s">
        <v>43</v>
      </c>
      <c r="AE11" s="10" t="s">
        <v>44</v>
      </c>
      <c r="AF11" s="10" t="s">
        <v>45</v>
      </c>
      <c r="AG11" s="10" t="s">
        <v>46</v>
      </c>
      <c r="AH11" s="10" t="s">
        <v>47</v>
      </c>
      <c r="BH11" s="10" t="s">
        <v>48</v>
      </c>
      <c r="BI11" s="10" t="s">
        <v>49</v>
      </c>
      <c r="BJ11" s="10" t="s">
        <v>50</v>
      </c>
    </row>
    <row r="12" spans="1:76" x14ac:dyDescent="0.25">
      <c r="A12" s="19" t="s">
        <v>51</v>
      </c>
      <c r="B12" s="20" t="s">
        <v>51</v>
      </c>
      <c r="C12" s="85" t="s">
        <v>52</v>
      </c>
      <c r="D12" s="86"/>
      <c r="E12" s="21" t="s">
        <v>4</v>
      </c>
      <c r="F12" s="21" t="s">
        <v>4</v>
      </c>
      <c r="G12" s="21" t="s">
        <v>4</v>
      </c>
      <c r="H12" s="22">
        <f>H13+H34+H43+H60+H85+H89+H96+H102+H107+H111+H127+H138+H148+H166+H203+H207+H214+H218+H227+H231+H256+H294+H302+H306+H311</f>
        <v>0</v>
      </c>
      <c r="I12" s="22">
        <f>I13+I34+I43+I60+I85+I89+I96+I102+I107+I111+I127+I138+I148+I166+I203+I207+I214+I218+I227+I231+I256+I294+I302+I306+I311</f>
        <v>0</v>
      </c>
      <c r="J12" s="22">
        <f>J13+J34+J43+J60+J85+J89+J96+J102+J107+J111+J127+J138+J148+J166+J203+J207+J214+J218+J227+J231+J256+J294+J302+J306+J311</f>
        <v>0</v>
      </c>
      <c r="K12" s="23" t="s">
        <v>51</v>
      </c>
    </row>
    <row r="13" spans="1:76" x14ac:dyDescent="0.25">
      <c r="A13" s="24" t="s">
        <v>51</v>
      </c>
      <c r="B13" s="25" t="s">
        <v>53</v>
      </c>
      <c r="C13" s="87" t="s">
        <v>54</v>
      </c>
      <c r="D13" s="88"/>
      <c r="E13" s="26" t="s">
        <v>4</v>
      </c>
      <c r="F13" s="26" t="s">
        <v>4</v>
      </c>
      <c r="G13" s="26" t="s">
        <v>4</v>
      </c>
      <c r="H13" s="1">
        <f>SUM(H14:H32)</f>
        <v>0</v>
      </c>
      <c r="I13" s="1">
        <f>SUM(I14:I32)</f>
        <v>0</v>
      </c>
      <c r="J13" s="1">
        <f>SUM(J14:J32)</f>
        <v>0</v>
      </c>
      <c r="K13" s="27" t="s">
        <v>51</v>
      </c>
      <c r="AI13" s="10" t="s">
        <v>55</v>
      </c>
      <c r="AS13" s="1">
        <f>SUM(AJ14:AJ32)</f>
        <v>0</v>
      </c>
      <c r="AT13" s="1">
        <f>SUM(AK14:AK32)</f>
        <v>0</v>
      </c>
      <c r="AU13" s="1">
        <f>SUM(AL14:AL32)</f>
        <v>0</v>
      </c>
    </row>
    <row r="14" spans="1:76" x14ac:dyDescent="0.25">
      <c r="A14" s="2" t="s">
        <v>56</v>
      </c>
      <c r="B14" s="3" t="s">
        <v>57</v>
      </c>
      <c r="C14" s="76" t="s">
        <v>58</v>
      </c>
      <c r="D14" s="71"/>
      <c r="E14" s="3" t="s">
        <v>59</v>
      </c>
      <c r="F14" s="28">
        <v>120.8</v>
      </c>
      <c r="G14" s="28">
        <v>0</v>
      </c>
      <c r="H14" s="28">
        <f>ROUND(F14*AO14,2)</f>
        <v>0</v>
      </c>
      <c r="I14" s="28">
        <f>ROUND(F14*AP14,2)</f>
        <v>0</v>
      </c>
      <c r="J14" s="28">
        <f>ROUND(F14*G14,2)</f>
        <v>0</v>
      </c>
      <c r="K14" s="29" t="s">
        <v>60</v>
      </c>
      <c r="Z14" s="28">
        <f>ROUND(IF(AQ14="5",BJ14,0),2)</f>
        <v>0</v>
      </c>
      <c r="AB14" s="28">
        <f>ROUND(IF(AQ14="1",BH14,0),2)</f>
        <v>0</v>
      </c>
      <c r="AC14" s="28">
        <f>ROUND(IF(AQ14="1",BI14,0),2)</f>
        <v>0</v>
      </c>
      <c r="AD14" s="28">
        <f>ROUND(IF(AQ14="7",BH14,0),2)</f>
        <v>0</v>
      </c>
      <c r="AE14" s="28">
        <f>ROUND(IF(AQ14="7",BI14,0),2)</f>
        <v>0</v>
      </c>
      <c r="AF14" s="28">
        <f>ROUND(IF(AQ14="2",BH14,0),2)</f>
        <v>0</v>
      </c>
      <c r="AG14" s="28">
        <f>ROUND(IF(AQ14="2",BI14,0),2)</f>
        <v>0</v>
      </c>
      <c r="AH14" s="28">
        <f>ROUND(IF(AQ14="0",BJ14,0),2)</f>
        <v>0</v>
      </c>
      <c r="AI14" s="10" t="s">
        <v>55</v>
      </c>
      <c r="AJ14" s="28">
        <f>IF(AN14=0,J14,0)</f>
        <v>0</v>
      </c>
      <c r="AK14" s="28">
        <f>IF(AN14=12,J14,0)</f>
        <v>0</v>
      </c>
      <c r="AL14" s="28">
        <f>IF(AN14=21,J14,0)</f>
        <v>0</v>
      </c>
      <c r="AN14" s="28">
        <v>21</v>
      </c>
      <c r="AO14" s="28">
        <f>G14*0</f>
        <v>0</v>
      </c>
      <c r="AP14" s="28">
        <f>G14*(1-0)</f>
        <v>0</v>
      </c>
      <c r="AQ14" s="30" t="s">
        <v>56</v>
      </c>
      <c r="AV14" s="28">
        <f>ROUND(AW14+AX14,2)</f>
        <v>0</v>
      </c>
      <c r="AW14" s="28">
        <f>ROUND(F14*AO14,2)</f>
        <v>0</v>
      </c>
      <c r="AX14" s="28">
        <f>ROUND(F14*AP14,2)</f>
        <v>0</v>
      </c>
      <c r="AY14" s="30" t="s">
        <v>61</v>
      </c>
      <c r="AZ14" s="30" t="s">
        <v>62</v>
      </c>
      <c r="BA14" s="10" t="s">
        <v>63</v>
      </c>
      <c r="BC14" s="28">
        <f>AW14+AX14</f>
        <v>0</v>
      </c>
      <c r="BD14" s="28">
        <f>G14/(100-BE14)*100</f>
        <v>0</v>
      </c>
      <c r="BE14" s="28">
        <v>0</v>
      </c>
      <c r="BF14" s="28">
        <f>14</f>
        <v>14</v>
      </c>
      <c r="BH14" s="28">
        <f>F14*AO14</f>
        <v>0</v>
      </c>
      <c r="BI14" s="28">
        <f>F14*AP14</f>
        <v>0</v>
      </c>
      <c r="BJ14" s="28">
        <f>F14*G14</f>
        <v>0</v>
      </c>
      <c r="BK14" s="28"/>
      <c r="BL14" s="28">
        <v>13</v>
      </c>
      <c r="BW14" s="28">
        <v>21</v>
      </c>
      <c r="BX14" s="4" t="s">
        <v>58</v>
      </c>
    </row>
    <row r="15" spans="1:76" x14ac:dyDescent="0.25">
      <c r="A15" s="31"/>
      <c r="C15" s="32" t="s">
        <v>64</v>
      </c>
      <c r="D15" s="32" t="s">
        <v>65</v>
      </c>
      <c r="F15" s="33">
        <v>89.6</v>
      </c>
      <c r="K15" s="34"/>
    </row>
    <row r="16" spans="1:76" x14ac:dyDescent="0.25">
      <c r="A16" s="31"/>
      <c r="C16" s="32" t="s">
        <v>66</v>
      </c>
      <c r="D16" s="32" t="s">
        <v>67</v>
      </c>
      <c r="F16" s="33">
        <v>31.2</v>
      </c>
      <c r="K16" s="34"/>
    </row>
    <row r="17" spans="1:76" ht="63.75" x14ac:dyDescent="0.25">
      <c r="A17" s="31"/>
      <c r="B17" s="35" t="s">
        <v>68</v>
      </c>
      <c r="C17" s="94" t="s">
        <v>69</v>
      </c>
      <c r="D17" s="95"/>
      <c r="E17" s="95"/>
      <c r="F17" s="95"/>
      <c r="G17" s="95"/>
      <c r="H17" s="95"/>
      <c r="I17" s="95"/>
      <c r="J17" s="95"/>
      <c r="K17" s="96"/>
      <c r="BX17" s="36" t="s">
        <v>69</v>
      </c>
    </row>
    <row r="18" spans="1:76" ht="27" customHeight="1" x14ac:dyDescent="0.25">
      <c r="A18" s="31"/>
      <c r="B18" s="37" t="s">
        <v>70</v>
      </c>
      <c r="C18" s="97" t="s">
        <v>71</v>
      </c>
      <c r="D18" s="98"/>
      <c r="E18" s="98"/>
      <c r="F18" s="98"/>
      <c r="G18" s="98"/>
      <c r="H18" s="98"/>
      <c r="I18" s="98"/>
      <c r="J18" s="98"/>
      <c r="K18" s="99"/>
    </row>
    <row r="19" spans="1:76" ht="13.5" customHeight="1" x14ac:dyDescent="0.25">
      <c r="A19" s="31"/>
      <c r="B19" s="37" t="s">
        <v>72</v>
      </c>
      <c r="C19" s="97" t="s">
        <v>73</v>
      </c>
      <c r="D19" s="98"/>
      <c r="E19" s="98"/>
      <c r="F19" s="98"/>
      <c r="G19" s="98"/>
      <c r="H19" s="98"/>
      <c r="I19" s="98"/>
      <c r="J19" s="98"/>
      <c r="K19" s="99"/>
    </row>
    <row r="20" spans="1:76" x14ac:dyDescent="0.25">
      <c r="A20" s="2" t="s">
        <v>74</v>
      </c>
      <c r="B20" s="3" t="s">
        <v>75</v>
      </c>
      <c r="C20" s="76" t="s">
        <v>76</v>
      </c>
      <c r="D20" s="71"/>
      <c r="E20" s="3" t="s">
        <v>59</v>
      </c>
      <c r="F20" s="28">
        <v>120.8</v>
      </c>
      <c r="G20" s="28">
        <v>0</v>
      </c>
      <c r="H20" s="28">
        <f>ROUND(F20*AO20,2)</f>
        <v>0</v>
      </c>
      <c r="I20" s="28">
        <f>ROUND(F20*AP20,2)</f>
        <v>0</v>
      </c>
      <c r="J20" s="28">
        <f>ROUND(F20*G20,2)</f>
        <v>0</v>
      </c>
      <c r="K20" s="29" t="s">
        <v>60</v>
      </c>
      <c r="Z20" s="28">
        <f>ROUND(IF(AQ20="5",BJ20,0),2)</f>
        <v>0</v>
      </c>
      <c r="AB20" s="28">
        <f>ROUND(IF(AQ20="1",BH20,0),2)</f>
        <v>0</v>
      </c>
      <c r="AC20" s="28">
        <f>ROUND(IF(AQ20="1",BI20,0),2)</f>
        <v>0</v>
      </c>
      <c r="AD20" s="28">
        <f>ROUND(IF(AQ20="7",BH20,0),2)</f>
        <v>0</v>
      </c>
      <c r="AE20" s="28">
        <f>ROUND(IF(AQ20="7",BI20,0),2)</f>
        <v>0</v>
      </c>
      <c r="AF20" s="28">
        <f>ROUND(IF(AQ20="2",BH20,0),2)</f>
        <v>0</v>
      </c>
      <c r="AG20" s="28">
        <f>ROUND(IF(AQ20="2",BI20,0),2)</f>
        <v>0</v>
      </c>
      <c r="AH20" s="28">
        <f>ROUND(IF(AQ20="0",BJ20,0),2)</f>
        <v>0</v>
      </c>
      <c r="AI20" s="10" t="s">
        <v>55</v>
      </c>
      <c r="AJ20" s="28">
        <f>IF(AN20=0,J20,0)</f>
        <v>0</v>
      </c>
      <c r="AK20" s="28">
        <f>IF(AN20=12,J20,0)</f>
        <v>0</v>
      </c>
      <c r="AL20" s="28">
        <f>IF(AN20=21,J20,0)</f>
        <v>0</v>
      </c>
      <c r="AN20" s="28">
        <v>21</v>
      </c>
      <c r="AO20" s="28">
        <f>G20*0</f>
        <v>0</v>
      </c>
      <c r="AP20" s="28">
        <f>G20*(1-0)</f>
        <v>0</v>
      </c>
      <c r="AQ20" s="30" t="s">
        <v>56</v>
      </c>
      <c r="AV20" s="28">
        <f>ROUND(AW20+AX20,2)</f>
        <v>0</v>
      </c>
      <c r="AW20" s="28">
        <f>ROUND(F20*AO20,2)</f>
        <v>0</v>
      </c>
      <c r="AX20" s="28">
        <f>ROUND(F20*AP20,2)</f>
        <v>0</v>
      </c>
      <c r="AY20" s="30" t="s">
        <v>61</v>
      </c>
      <c r="AZ20" s="30" t="s">
        <v>62</v>
      </c>
      <c r="BA20" s="10" t="s">
        <v>63</v>
      </c>
      <c r="BC20" s="28">
        <f>AW20+AX20</f>
        <v>0</v>
      </c>
      <c r="BD20" s="28">
        <f>G20/(100-BE20)*100</f>
        <v>0</v>
      </c>
      <c r="BE20" s="28">
        <v>0</v>
      </c>
      <c r="BF20" s="28">
        <f>20</f>
        <v>20</v>
      </c>
      <c r="BH20" s="28">
        <f>F20*AO20</f>
        <v>0</v>
      </c>
      <c r="BI20" s="28">
        <f>F20*AP20</f>
        <v>0</v>
      </c>
      <c r="BJ20" s="28">
        <f>F20*G20</f>
        <v>0</v>
      </c>
      <c r="BK20" s="28"/>
      <c r="BL20" s="28">
        <v>13</v>
      </c>
      <c r="BW20" s="28">
        <v>21</v>
      </c>
      <c r="BX20" s="4" t="s">
        <v>76</v>
      </c>
    </row>
    <row r="21" spans="1:76" x14ac:dyDescent="0.25">
      <c r="A21" s="31"/>
      <c r="C21" s="32" t="s">
        <v>64</v>
      </c>
      <c r="D21" s="32" t="s">
        <v>77</v>
      </c>
      <c r="F21" s="33">
        <v>89.6</v>
      </c>
      <c r="K21" s="34"/>
    </row>
    <row r="22" spans="1:76" x14ac:dyDescent="0.25">
      <c r="A22" s="31"/>
      <c r="C22" s="32" t="s">
        <v>78</v>
      </c>
      <c r="D22" s="32" t="s">
        <v>67</v>
      </c>
      <c r="F22" s="33">
        <v>31.2</v>
      </c>
      <c r="K22" s="34"/>
    </row>
    <row r="23" spans="1:76" ht="25.5" x14ac:dyDescent="0.25">
      <c r="A23" s="31"/>
      <c r="B23" s="35" t="s">
        <v>68</v>
      </c>
      <c r="C23" s="94" t="s">
        <v>79</v>
      </c>
      <c r="D23" s="95"/>
      <c r="E23" s="95"/>
      <c r="F23" s="95"/>
      <c r="G23" s="95"/>
      <c r="H23" s="95"/>
      <c r="I23" s="95"/>
      <c r="J23" s="95"/>
      <c r="K23" s="96"/>
      <c r="BX23" s="36" t="s">
        <v>79</v>
      </c>
    </row>
    <row r="24" spans="1:76" x14ac:dyDescent="0.25">
      <c r="A24" s="2" t="s">
        <v>80</v>
      </c>
      <c r="B24" s="3" t="s">
        <v>81</v>
      </c>
      <c r="C24" s="76" t="s">
        <v>82</v>
      </c>
      <c r="D24" s="71"/>
      <c r="E24" s="3" t="s">
        <v>59</v>
      </c>
      <c r="F24" s="28">
        <v>342.72</v>
      </c>
      <c r="G24" s="28">
        <v>0</v>
      </c>
      <c r="H24" s="28">
        <f>ROUND(F24*AO24,2)</f>
        <v>0</v>
      </c>
      <c r="I24" s="28">
        <f>ROUND(F24*AP24,2)</f>
        <v>0</v>
      </c>
      <c r="J24" s="28">
        <f>ROUND(F24*G24,2)</f>
        <v>0</v>
      </c>
      <c r="K24" s="29" t="s">
        <v>60</v>
      </c>
      <c r="Z24" s="28">
        <f>ROUND(IF(AQ24="5",BJ24,0),2)</f>
        <v>0</v>
      </c>
      <c r="AB24" s="28">
        <f>ROUND(IF(AQ24="1",BH24,0),2)</f>
        <v>0</v>
      </c>
      <c r="AC24" s="28">
        <f>ROUND(IF(AQ24="1",BI24,0),2)</f>
        <v>0</v>
      </c>
      <c r="AD24" s="28">
        <f>ROUND(IF(AQ24="7",BH24,0),2)</f>
        <v>0</v>
      </c>
      <c r="AE24" s="28">
        <f>ROUND(IF(AQ24="7",BI24,0),2)</f>
        <v>0</v>
      </c>
      <c r="AF24" s="28">
        <f>ROUND(IF(AQ24="2",BH24,0),2)</f>
        <v>0</v>
      </c>
      <c r="AG24" s="28">
        <f>ROUND(IF(AQ24="2",BI24,0),2)</f>
        <v>0</v>
      </c>
      <c r="AH24" s="28">
        <f>ROUND(IF(AQ24="0",BJ24,0),2)</f>
        <v>0</v>
      </c>
      <c r="AI24" s="10" t="s">
        <v>55</v>
      </c>
      <c r="AJ24" s="28">
        <f>IF(AN24=0,J24,0)</f>
        <v>0</v>
      </c>
      <c r="AK24" s="28">
        <f>IF(AN24=12,J24,0)</f>
        <v>0</v>
      </c>
      <c r="AL24" s="28">
        <f>IF(AN24=21,J24,0)</f>
        <v>0</v>
      </c>
      <c r="AN24" s="28">
        <v>21</v>
      </c>
      <c r="AO24" s="28">
        <f>G24*0</f>
        <v>0</v>
      </c>
      <c r="AP24" s="28">
        <f>G24*(1-0)</f>
        <v>0</v>
      </c>
      <c r="AQ24" s="30" t="s">
        <v>56</v>
      </c>
      <c r="AV24" s="28">
        <f>ROUND(AW24+AX24,2)</f>
        <v>0</v>
      </c>
      <c r="AW24" s="28">
        <f>ROUND(F24*AO24,2)</f>
        <v>0</v>
      </c>
      <c r="AX24" s="28">
        <f>ROUND(F24*AP24,2)</f>
        <v>0</v>
      </c>
      <c r="AY24" s="30" t="s">
        <v>61</v>
      </c>
      <c r="AZ24" s="30" t="s">
        <v>62</v>
      </c>
      <c r="BA24" s="10" t="s">
        <v>63</v>
      </c>
      <c r="BC24" s="28">
        <f>AW24+AX24</f>
        <v>0</v>
      </c>
      <c r="BD24" s="28">
        <f>G24/(100-BE24)*100</f>
        <v>0</v>
      </c>
      <c r="BE24" s="28">
        <v>0</v>
      </c>
      <c r="BF24" s="28">
        <f>24</f>
        <v>24</v>
      </c>
      <c r="BH24" s="28">
        <f>F24*AO24</f>
        <v>0</v>
      </c>
      <c r="BI24" s="28">
        <f>F24*AP24</f>
        <v>0</v>
      </c>
      <c r="BJ24" s="28">
        <f>F24*G24</f>
        <v>0</v>
      </c>
      <c r="BK24" s="28"/>
      <c r="BL24" s="28">
        <v>13</v>
      </c>
      <c r="BW24" s="28">
        <v>21</v>
      </c>
      <c r="BX24" s="4" t="s">
        <v>82</v>
      </c>
    </row>
    <row r="25" spans="1:76" x14ac:dyDescent="0.25">
      <c r="A25" s="31"/>
      <c r="C25" s="32" t="s">
        <v>83</v>
      </c>
      <c r="D25" s="32" t="s">
        <v>84</v>
      </c>
      <c r="F25" s="33">
        <v>70.319999999999993</v>
      </c>
      <c r="K25" s="34"/>
    </row>
    <row r="26" spans="1:76" x14ac:dyDescent="0.25">
      <c r="A26" s="31"/>
      <c r="C26" s="32" t="s">
        <v>85</v>
      </c>
      <c r="D26" s="32" t="s">
        <v>86</v>
      </c>
      <c r="F26" s="33">
        <v>22</v>
      </c>
      <c r="K26" s="34"/>
    </row>
    <row r="27" spans="1:76" x14ac:dyDescent="0.25">
      <c r="A27" s="31"/>
      <c r="C27" s="32" t="s">
        <v>87</v>
      </c>
      <c r="D27" s="32" t="s">
        <v>88</v>
      </c>
      <c r="F27" s="33">
        <v>70.400000000000006</v>
      </c>
      <c r="K27" s="34"/>
    </row>
    <row r="28" spans="1:76" x14ac:dyDescent="0.25">
      <c r="A28" s="31"/>
      <c r="C28" s="32" t="s">
        <v>89</v>
      </c>
      <c r="D28" s="32" t="s">
        <v>90</v>
      </c>
      <c r="F28" s="33">
        <v>168</v>
      </c>
      <c r="K28" s="34"/>
    </row>
    <row r="29" spans="1:76" x14ac:dyDescent="0.25">
      <c r="A29" s="31"/>
      <c r="C29" s="32" t="s">
        <v>91</v>
      </c>
      <c r="D29" s="32" t="s">
        <v>92</v>
      </c>
      <c r="F29" s="33">
        <v>12</v>
      </c>
      <c r="K29" s="34"/>
    </row>
    <row r="30" spans="1:76" ht="63.75" x14ac:dyDescent="0.25">
      <c r="A30" s="31"/>
      <c r="B30" s="35" t="s">
        <v>68</v>
      </c>
      <c r="C30" s="94" t="s">
        <v>93</v>
      </c>
      <c r="D30" s="95"/>
      <c r="E30" s="95"/>
      <c r="F30" s="95"/>
      <c r="G30" s="95"/>
      <c r="H30" s="95"/>
      <c r="I30" s="95"/>
      <c r="J30" s="95"/>
      <c r="K30" s="96"/>
      <c r="BX30" s="36" t="s">
        <v>93</v>
      </c>
    </row>
    <row r="31" spans="1:76" ht="13.5" customHeight="1" x14ac:dyDescent="0.25">
      <c r="A31" s="31"/>
      <c r="B31" s="37" t="s">
        <v>70</v>
      </c>
      <c r="C31" s="97" t="s">
        <v>94</v>
      </c>
      <c r="D31" s="98"/>
      <c r="E31" s="98"/>
      <c r="F31" s="98"/>
      <c r="G31" s="98"/>
      <c r="H31" s="98"/>
      <c r="I31" s="98"/>
      <c r="J31" s="98"/>
      <c r="K31" s="99"/>
    </row>
    <row r="32" spans="1:76" x14ac:dyDescent="0.25">
      <c r="A32" s="2" t="s">
        <v>95</v>
      </c>
      <c r="B32" s="3" t="s">
        <v>96</v>
      </c>
      <c r="C32" s="76" t="s">
        <v>97</v>
      </c>
      <c r="D32" s="71"/>
      <c r="E32" s="3" t="s">
        <v>59</v>
      </c>
      <c r="F32" s="28">
        <v>342.72</v>
      </c>
      <c r="G32" s="28">
        <v>0</v>
      </c>
      <c r="H32" s="28">
        <f>ROUND(F32*AO32,2)</f>
        <v>0</v>
      </c>
      <c r="I32" s="28">
        <f>ROUND(F32*AP32,2)</f>
        <v>0</v>
      </c>
      <c r="J32" s="28">
        <f>ROUND(F32*G32,2)</f>
        <v>0</v>
      </c>
      <c r="K32" s="29" t="s">
        <v>60</v>
      </c>
      <c r="Z32" s="28">
        <f>ROUND(IF(AQ32="5",BJ32,0),2)</f>
        <v>0</v>
      </c>
      <c r="AB32" s="28">
        <f>ROUND(IF(AQ32="1",BH32,0),2)</f>
        <v>0</v>
      </c>
      <c r="AC32" s="28">
        <f>ROUND(IF(AQ32="1",BI32,0),2)</f>
        <v>0</v>
      </c>
      <c r="AD32" s="28">
        <f>ROUND(IF(AQ32="7",BH32,0),2)</f>
        <v>0</v>
      </c>
      <c r="AE32" s="28">
        <f>ROUND(IF(AQ32="7",BI32,0),2)</f>
        <v>0</v>
      </c>
      <c r="AF32" s="28">
        <f>ROUND(IF(AQ32="2",BH32,0),2)</f>
        <v>0</v>
      </c>
      <c r="AG32" s="28">
        <f>ROUND(IF(AQ32="2",BI32,0),2)</f>
        <v>0</v>
      </c>
      <c r="AH32" s="28">
        <f>ROUND(IF(AQ32="0",BJ32,0),2)</f>
        <v>0</v>
      </c>
      <c r="AI32" s="10" t="s">
        <v>55</v>
      </c>
      <c r="AJ32" s="28">
        <f>IF(AN32=0,J32,0)</f>
        <v>0</v>
      </c>
      <c r="AK32" s="28">
        <f>IF(AN32=12,J32,0)</f>
        <v>0</v>
      </c>
      <c r="AL32" s="28">
        <f>IF(AN32=21,J32,0)</f>
        <v>0</v>
      </c>
      <c r="AN32" s="28">
        <v>21</v>
      </c>
      <c r="AO32" s="28">
        <f>G32*0</f>
        <v>0</v>
      </c>
      <c r="AP32" s="28">
        <f>G32*(1-0)</f>
        <v>0</v>
      </c>
      <c r="AQ32" s="30" t="s">
        <v>56</v>
      </c>
      <c r="AV32" s="28">
        <f>ROUND(AW32+AX32,2)</f>
        <v>0</v>
      </c>
      <c r="AW32" s="28">
        <f>ROUND(F32*AO32,2)</f>
        <v>0</v>
      </c>
      <c r="AX32" s="28">
        <f>ROUND(F32*AP32,2)</f>
        <v>0</v>
      </c>
      <c r="AY32" s="30" t="s">
        <v>61</v>
      </c>
      <c r="AZ32" s="30" t="s">
        <v>62</v>
      </c>
      <c r="BA32" s="10" t="s">
        <v>63</v>
      </c>
      <c r="BC32" s="28">
        <f>AW32+AX32</f>
        <v>0</v>
      </c>
      <c r="BD32" s="28">
        <f>G32/(100-BE32)*100</f>
        <v>0</v>
      </c>
      <c r="BE32" s="28">
        <v>0</v>
      </c>
      <c r="BF32" s="28">
        <f>32</f>
        <v>32</v>
      </c>
      <c r="BH32" s="28">
        <f>F32*AO32</f>
        <v>0</v>
      </c>
      <c r="BI32" s="28">
        <f>F32*AP32</f>
        <v>0</v>
      </c>
      <c r="BJ32" s="28">
        <f>F32*G32</f>
        <v>0</v>
      </c>
      <c r="BK32" s="28"/>
      <c r="BL32" s="28">
        <v>13</v>
      </c>
      <c r="BW32" s="28">
        <v>21</v>
      </c>
      <c r="BX32" s="4" t="s">
        <v>97</v>
      </c>
    </row>
    <row r="33" spans="1:76" ht="25.5" x14ac:dyDescent="0.25">
      <c r="A33" s="31"/>
      <c r="B33" s="35" t="s">
        <v>68</v>
      </c>
      <c r="C33" s="94" t="s">
        <v>79</v>
      </c>
      <c r="D33" s="95"/>
      <c r="E33" s="95"/>
      <c r="F33" s="95"/>
      <c r="G33" s="95"/>
      <c r="H33" s="95"/>
      <c r="I33" s="95"/>
      <c r="J33" s="95"/>
      <c r="K33" s="96"/>
      <c r="BX33" s="36" t="s">
        <v>79</v>
      </c>
    </row>
    <row r="34" spans="1:76" x14ac:dyDescent="0.25">
      <c r="A34" s="24" t="s">
        <v>51</v>
      </c>
      <c r="B34" s="25" t="s">
        <v>98</v>
      </c>
      <c r="C34" s="87" t="s">
        <v>99</v>
      </c>
      <c r="D34" s="88"/>
      <c r="E34" s="26" t="s">
        <v>4</v>
      </c>
      <c r="F34" s="26" t="s">
        <v>4</v>
      </c>
      <c r="G34" s="26" t="s">
        <v>4</v>
      </c>
      <c r="H34" s="1">
        <f>SUM(H35:H40)</f>
        <v>0</v>
      </c>
      <c r="I34" s="1">
        <f>SUM(I35:I40)</f>
        <v>0</v>
      </c>
      <c r="J34" s="1">
        <f>SUM(J35:J40)</f>
        <v>0</v>
      </c>
      <c r="K34" s="27" t="s">
        <v>51</v>
      </c>
      <c r="AI34" s="10" t="s">
        <v>55</v>
      </c>
      <c r="AS34" s="1">
        <f>SUM(AJ35:AJ40)</f>
        <v>0</v>
      </c>
      <c r="AT34" s="1">
        <f>SUM(AK35:AK40)</f>
        <v>0</v>
      </c>
      <c r="AU34" s="1">
        <f>SUM(AL35:AL40)</f>
        <v>0</v>
      </c>
    </row>
    <row r="35" spans="1:76" x14ac:dyDescent="0.25">
      <c r="A35" s="2" t="s">
        <v>100</v>
      </c>
      <c r="B35" s="3" t="s">
        <v>101</v>
      </c>
      <c r="C35" s="76" t="s">
        <v>102</v>
      </c>
      <c r="D35" s="71"/>
      <c r="E35" s="3" t="s">
        <v>103</v>
      </c>
      <c r="F35" s="28">
        <v>115.59</v>
      </c>
      <c r="G35" s="28">
        <v>0</v>
      </c>
      <c r="H35" s="28">
        <f>ROUND(F35*AO35,2)</f>
        <v>0</v>
      </c>
      <c r="I35" s="28">
        <f>ROUND(F35*AP35,2)</f>
        <v>0</v>
      </c>
      <c r="J35" s="28">
        <f>ROUND(F35*G35,2)</f>
        <v>0</v>
      </c>
      <c r="K35" s="29" t="s">
        <v>60</v>
      </c>
      <c r="Z35" s="28">
        <f>ROUND(IF(AQ35="5",BJ35,0),2)</f>
        <v>0</v>
      </c>
      <c r="AB35" s="28">
        <f>ROUND(IF(AQ35="1",BH35,0),2)</f>
        <v>0</v>
      </c>
      <c r="AC35" s="28">
        <f>ROUND(IF(AQ35="1",BI35,0),2)</f>
        <v>0</v>
      </c>
      <c r="AD35" s="28">
        <f>ROUND(IF(AQ35="7",BH35,0),2)</f>
        <v>0</v>
      </c>
      <c r="AE35" s="28">
        <f>ROUND(IF(AQ35="7",BI35,0),2)</f>
        <v>0</v>
      </c>
      <c r="AF35" s="28">
        <f>ROUND(IF(AQ35="2",BH35,0),2)</f>
        <v>0</v>
      </c>
      <c r="AG35" s="28">
        <f>ROUND(IF(AQ35="2",BI35,0),2)</f>
        <v>0</v>
      </c>
      <c r="AH35" s="28">
        <f>ROUND(IF(AQ35="0",BJ35,0),2)</f>
        <v>0</v>
      </c>
      <c r="AI35" s="10" t="s">
        <v>55</v>
      </c>
      <c r="AJ35" s="28">
        <f>IF(AN35=0,J35,0)</f>
        <v>0</v>
      </c>
      <c r="AK35" s="28">
        <f>IF(AN35=12,J35,0)</f>
        <v>0</v>
      </c>
      <c r="AL35" s="28">
        <f>IF(AN35=21,J35,0)</f>
        <v>0</v>
      </c>
      <c r="AN35" s="28">
        <v>21</v>
      </c>
      <c r="AO35" s="28">
        <f>G35*0.091290152</f>
        <v>0</v>
      </c>
      <c r="AP35" s="28">
        <f>G35*(1-0.091290152)</f>
        <v>0</v>
      </c>
      <c r="AQ35" s="30" t="s">
        <v>56</v>
      </c>
      <c r="AV35" s="28">
        <f>ROUND(AW35+AX35,2)</f>
        <v>0</v>
      </c>
      <c r="AW35" s="28">
        <f>ROUND(F35*AO35,2)</f>
        <v>0</v>
      </c>
      <c r="AX35" s="28">
        <f>ROUND(F35*AP35,2)</f>
        <v>0</v>
      </c>
      <c r="AY35" s="30" t="s">
        <v>104</v>
      </c>
      <c r="AZ35" s="30" t="s">
        <v>62</v>
      </c>
      <c r="BA35" s="10" t="s">
        <v>63</v>
      </c>
      <c r="BC35" s="28">
        <f>AW35+AX35</f>
        <v>0</v>
      </c>
      <c r="BD35" s="28">
        <f>G35/(100-BE35)*100</f>
        <v>0</v>
      </c>
      <c r="BE35" s="28">
        <v>0</v>
      </c>
      <c r="BF35" s="28">
        <f>35</f>
        <v>35</v>
      </c>
      <c r="BH35" s="28">
        <f>F35*AO35</f>
        <v>0</v>
      </c>
      <c r="BI35" s="28">
        <f>F35*AP35</f>
        <v>0</v>
      </c>
      <c r="BJ35" s="28">
        <f>F35*G35</f>
        <v>0</v>
      </c>
      <c r="BK35" s="28"/>
      <c r="BL35" s="28">
        <v>15</v>
      </c>
      <c r="BW35" s="28">
        <v>21</v>
      </c>
      <c r="BX35" s="4" t="s">
        <v>102</v>
      </c>
    </row>
    <row r="36" spans="1:76" ht="13.5" customHeight="1" x14ac:dyDescent="0.25">
      <c r="A36" s="31"/>
      <c r="B36" s="35" t="s">
        <v>105</v>
      </c>
      <c r="C36" s="97" t="s">
        <v>106</v>
      </c>
      <c r="D36" s="98"/>
      <c r="E36" s="98"/>
      <c r="F36" s="98"/>
      <c r="G36" s="98"/>
      <c r="H36" s="98"/>
      <c r="I36" s="98"/>
      <c r="J36" s="98"/>
      <c r="K36" s="99"/>
    </row>
    <row r="37" spans="1:76" x14ac:dyDescent="0.25">
      <c r="A37" s="31"/>
      <c r="C37" s="32" t="s">
        <v>107</v>
      </c>
      <c r="D37" s="32" t="s">
        <v>108</v>
      </c>
      <c r="F37" s="33">
        <v>89.59</v>
      </c>
      <c r="K37" s="34"/>
    </row>
    <row r="38" spans="1:76" x14ac:dyDescent="0.25">
      <c r="A38" s="31"/>
      <c r="C38" s="32" t="s">
        <v>109</v>
      </c>
      <c r="D38" s="32" t="s">
        <v>110</v>
      </c>
      <c r="F38" s="33">
        <v>26</v>
      </c>
      <c r="K38" s="34"/>
    </row>
    <row r="39" spans="1:76" x14ac:dyDescent="0.25">
      <c r="A39" s="31"/>
      <c r="B39" s="35" t="s">
        <v>68</v>
      </c>
      <c r="C39" s="94" t="s">
        <v>111</v>
      </c>
      <c r="D39" s="95"/>
      <c r="E39" s="95"/>
      <c r="F39" s="95"/>
      <c r="G39" s="95"/>
      <c r="H39" s="95"/>
      <c r="I39" s="95"/>
      <c r="J39" s="95"/>
      <c r="K39" s="96"/>
      <c r="BX39" s="36" t="s">
        <v>111</v>
      </c>
    </row>
    <row r="40" spans="1:76" x14ac:dyDescent="0.25">
      <c r="A40" s="2" t="s">
        <v>112</v>
      </c>
      <c r="B40" s="3" t="s">
        <v>113</v>
      </c>
      <c r="C40" s="76" t="s">
        <v>114</v>
      </c>
      <c r="D40" s="71"/>
      <c r="E40" s="3" t="s">
        <v>103</v>
      </c>
      <c r="F40" s="28">
        <v>110.59</v>
      </c>
      <c r="G40" s="28">
        <v>0</v>
      </c>
      <c r="H40" s="28">
        <f>ROUND(F40*AO40,2)</f>
        <v>0</v>
      </c>
      <c r="I40" s="28">
        <f>ROUND(F40*AP40,2)</f>
        <v>0</v>
      </c>
      <c r="J40" s="28">
        <f>ROUND(F40*G40,2)</f>
        <v>0</v>
      </c>
      <c r="K40" s="29" t="s">
        <v>60</v>
      </c>
      <c r="Z40" s="28">
        <f>ROUND(IF(AQ40="5",BJ40,0),2)</f>
        <v>0</v>
      </c>
      <c r="AB40" s="28">
        <f>ROUND(IF(AQ40="1",BH40,0),2)</f>
        <v>0</v>
      </c>
      <c r="AC40" s="28">
        <f>ROUND(IF(AQ40="1",BI40,0),2)</f>
        <v>0</v>
      </c>
      <c r="AD40" s="28">
        <f>ROUND(IF(AQ40="7",BH40,0),2)</f>
        <v>0</v>
      </c>
      <c r="AE40" s="28">
        <f>ROUND(IF(AQ40="7",BI40,0),2)</f>
        <v>0</v>
      </c>
      <c r="AF40" s="28">
        <f>ROUND(IF(AQ40="2",BH40,0),2)</f>
        <v>0</v>
      </c>
      <c r="AG40" s="28">
        <f>ROUND(IF(AQ40="2",BI40,0),2)</f>
        <v>0</v>
      </c>
      <c r="AH40" s="28">
        <f>ROUND(IF(AQ40="0",BJ40,0),2)</f>
        <v>0</v>
      </c>
      <c r="AI40" s="10" t="s">
        <v>55</v>
      </c>
      <c r="AJ40" s="28">
        <f>IF(AN40=0,J40,0)</f>
        <v>0</v>
      </c>
      <c r="AK40" s="28">
        <f>IF(AN40=12,J40,0)</f>
        <v>0</v>
      </c>
      <c r="AL40" s="28">
        <f>IF(AN40=21,J40,0)</f>
        <v>0</v>
      </c>
      <c r="AN40" s="28">
        <v>21</v>
      </c>
      <c r="AO40" s="28">
        <f>G40*0</f>
        <v>0</v>
      </c>
      <c r="AP40" s="28">
        <f>G40*(1-0)</f>
        <v>0</v>
      </c>
      <c r="AQ40" s="30" t="s">
        <v>56</v>
      </c>
      <c r="AV40" s="28">
        <f>ROUND(AW40+AX40,2)</f>
        <v>0</v>
      </c>
      <c r="AW40" s="28">
        <f>ROUND(F40*AO40,2)</f>
        <v>0</v>
      </c>
      <c r="AX40" s="28">
        <f>ROUND(F40*AP40,2)</f>
        <v>0</v>
      </c>
      <c r="AY40" s="30" t="s">
        <v>104</v>
      </c>
      <c r="AZ40" s="30" t="s">
        <v>62</v>
      </c>
      <c r="BA40" s="10" t="s">
        <v>63</v>
      </c>
      <c r="BC40" s="28">
        <f>AW40+AX40</f>
        <v>0</v>
      </c>
      <c r="BD40" s="28">
        <f>G40/(100-BE40)*100</f>
        <v>0</v>
      </c>
      <c r="BE40" s="28">
        <v>0</v>
      </c>
      <c r="BF40" s="28">
        <f>40</f>
        <v>40</v>
      </c>
      <c r="BH40" s="28">
        <f>F40*AO40</f>
        <v>0</v>
      </c>
      <c r="BI40" s="28">
        <f>F40*AP40</f>
        <v>0</v>
      </c>
      <c r="BJ40" s="28">
        <f>F40*G40</f>
        <v>0</v>
      </c>
      <c r="BK40" s="28"/>
      <c r="BL40" s="28">
        <v>15</v>
      </c>
      <c r="BW40" s="28">
        <v>21</v>
      </c>
      <c r="BX40" s="4" t="s">
        <v>114</v>
      </c>
    </row>
    <row r="41" spans="1:76" x14ac:dyDescent="0.25">
      <c r="A41" s="31"/>
      <c r="C41" s="32" t="s">
        <v>107</v>
      </c>
      <c r="D41" s="32" t="s">
        <v>108</v>
      </c>
      <c r="F41" s="33">
        <v>89.59</v>
      </c>
      <c r="K41" s="34"/>
    </row>
    <row r="42" spans="1:76" x14ac:dyDescent="0.25">
      <c r="A42" s="31"/>
      <c r="C42" s="32" t="s">
        <v>115</v>
      </c>
      <c r="D42" s="32" t="s">
        <v>110</v>
      </c>
      <c r="F42" s="33">
        <v>21</v>
      </c>
      <c r="K42" s="34"/>
    </row>
    <row r="43" spans="1:76" x14ac:dyDescent="0.25">
      <c r="A43" s="24" t="s">
        <v>51</v>
      </c>
      <c r="B43" s="25" t="s">
        <v>116</v>
      </c>
      <c r="C43" s="87" t="s">
        <v>117</v>
      </c>
      <c r="D43" s="88"/>
      <c r="E43" s="26" t="s">
        <v>4</v>
      </c>
      <c r="F43" s="26" t="s">
        <v>4</v>
      </c>
      <c r="G43" s="26" t="s">
        <v>4</v>
      </c>
      <c r="H43" s="1">
        <f>SUM(H44:H58)</f>
        <v>0</v>
      </c>
      <c r="I43" s="1">
        <f>SUM(I44:I58)</f>
        <v>0</v>
      </c>
      <c r="J43" s="1">
        <f>SUM(J44:J58)</f>
        <v>0</v>
      </c>
      <c r="K43" s="27" t="s">
        <v>51</v>
      </c>
      <c r="AI43" s="10" t="s">
        <v>55</v>
      </c>
      <c r="AS43" s="1">
        <f>SUM(AJ44:AJ58)</f>
        <v>0</v>
      </c>
      <c r="AT43" s="1">
        <f>SUM(AK44:AK58)</f>
        <v>0</v>
      </c>
      <c r="AU43" s="1">
        <f>SUM(AL44:AL58)</f>
        <v>0</v>
      </c>
    </row>
    <row r="44" spans="1:76" x14ac:dyDescent="0.25">
      <c r="A44" s="2" t="s">
        <v>118</v>
      </c>
      <c r="B44" s="3" t="s">
        <v>119</v>
      </c>
      <c r="C44" s="76" t="s">
        <v>120</v>
      </c>
      <c r="D44" s="71"/>
      <c r="E44" s="3" t="s">
        <v>59</v>
      </c>
      <c r="F44" s="28">
        <v>62.7</v>
      </c>
      <c r="G44" s="28">
        <v>0</v>
      </c>
      <c r="H44" s="28">
        <f>ROUND(F44*AO44,2)</f>
        <v>0</v>
      </c>
      <c r="I44" s="28">
        <f>ROUND(F44*AP44,2)</f>
        <v>0</v>
      </c>
      <c r="J44" s="28">
        <f>ROUND(F44*G44,2)</f>
        <v>0</v>
      </c>
      <c r="K44" s="29" t="s">
        <v>60</v>
      </c>
      <c r="Z44" s="28">
        <f>ROUND(IF(AQ44="5",BJ44,0),2)</f>
        <v>0</v>
      </c>
      <c r="AB44" s="28">
        <f>ROUND(IF(AQ44="1",BH44,0),2)</f>
        <v>0</v>
      </c>
      <c r="AC44" s="28">
        <f>ROUND(IF(AQ44="1",BI44,0),2)</f>
        <v>0</v>
      </c>
      <c r="AD44" s="28">
        <f>ROUND(IF(AQ44="7",BH44,0),2)</f>
        <v>0</v>
      </c>
      <c r="AE44" s="28">
        <f>ROUND(IF(AQ44="7",BI44,0),2)</f>
        <v>0</v>
      </c>
      <c r="AF44" s="28">
        <f>ROUND(IF(AQ44="2",BH44,0),2)</f>
        <v>0</v>
      </c>
      <c r="AG44" s="28">
        <f>ROUND(IF(AQ44="2",BI44,0),2)</f>
        <v>0</v>
      </c>
      <c r="AH44" s="28">
        <f>ROUND(IF(AQ44="0",BJ44,0),2)</f>
        <v>0</v>
      </c>
      <c r="AI44" s="10" t="s">
        <v>55</v>
      </c>
      <c r="AJ44" s="28">
        <f>IF(AN44=0,J44,0)</f>
        <v>0</v>
      </c>
      <c r="AK44" s="28">
        <f>IF(AN44=12,J44,0)</f>
        <v>0</v>
      </c>
      <c r="AL44" s="28">
        <f>IF(AN44=21,J44,0)</f>
        <v>0</v>
      </c>
      <c r="AN44" s="28">
        <v>21</v>
      </c>
      <c r="AO44" s="28">
        <f>G44*0</f>
        <v>0</v>
      </c>
      <c r="AP44" s="28">
        <f>G44*(1-0)</f>
        <v>0</v>
      </c>
      <c r="AQ44" s="30" t="s">
        <v>56</v>
      </c>
      <c r="AV44" s="28">
        <f>ROUND(AW44+AX44,2)</f>
        <v>0</v>
      </c>
      <c r="AW44" s="28">
        <f>ROUND(F44*AO44,2)</f>
        <v>0</v>
      </c>
      <c r="AX44" s="28">
        <f>ROUND(F44*AP44,2)</f>
        <v>0</v>
      </c>
      <c r="AY44" s="30" t="s">
        <v>121</v>
      </c>
      <c r="AZ44" s="30" t="s">
        <v>62</v>
      </c>
      <c r="BA44" s="10" t="s">
        <v>63</v>
      </c>
      <c r="BC44" s="28">
        <f>AW44+AX44</f>
        <v>0</v>
      </c>
      <c r="BD44" s="28">
        <f>G44/(100-BE44)*100</f>
        <v>0</v>
      </c>
      <c r="BE44" s="28">
        <v>0</v>
      </c>
      <c r="BF44" s="28">
        <f>44</f>
        <v>44</v>
      </c>
      <c r="BH44" s="28">
        <f>F44*AO44</f>
        <v>0</v>
      </c>
      <c r="BI44" s="28">
        <f>F44*AP44</f>
        <v>0</v>
      </c>
      <c r="BJ44" s="28">
        <f>F44*G44</f>
        <v>0</v>
      </c>
      <c r="BK44" s="28"/>
      <c r="BL44" s="28">
        <v>16</v>
      </c>
      <c r="BW44" s="28">
        <v>21</v>
      </c>
      <c r="BX44" s="4" t="s">
        <v>120</v>
      </c>
    </row>
    <row r="45" spans="1:76" x14ac:dyDescent="0.25">
      <c r="A45" s="31"/>
      <c r="C45" s="32" t="s">
        <v>122</v>
      </c>
      <c r="D45" s="32" t="s">
        <v>123</v>
      </c>
      <c r="F45" s="33">
        <v>21.42</v>
      </c>
      <c r="K45" s="34"/>
    </row>
    <row r="46" spans="1:76" x14ac:dyDescent="0.25">
      <c r="A46" s="31"/>
      <c r="C46" s="32" t="s">
        <v>124</v>
      </c>
      <c r="D46" s="32" t="s">
        <v>125</v>
      </c>
      <c r="F46" s="33">
        <v>41.28</v>
      </c>
      <c r="K46" s="34"/>
    </row>
    <row r="47" spans="1:76" ht="13.5" customHeight="1" x14ac:dyDescent="0.25">
      <c r="A47" s="31"/>
      <c r="B47" s="37" t="s">
        <v>70</v>
      </c>
      <c r="C47" s="97" t="s">
        <v>126</v>
      </c>
      <c r="D47" s="98"/>
      <c r="E47" s="98"/>
      <c r="F47" s="98"/>
      <c r="G47" s="98"/>
      <c r="H47" s="98"/>
      <c r="I47" s="98"/>
      <c r="J47" s="98"/>
      <c r="K47" s="99"/>
    </row>
    <row r="48" spans="1:76" x14ac:dyDescent="0.25">
      <c r="A48" s="2" t="s">
        <v>127</v>
      </c>
      <c r="B48" s="3" t="s">
        <v>128</v>
      </c>
      <c r="C48" s="76" t="s">
        <v>129</v>
      </c>
      <c r="D48" s="71"/>
      <c r="E48" s="3" t="s">
        <v>59</v>
      </c>
      <c r="F48" s="28">
        <v>116.8</v>
      </c>
      <c r="G48" s="28">
        <v>0</v>
      </c>
      <c r="H48" s="28">
        <f>ROUND(F48*AO48,2)</f>
        <v>0</v>
      </c>
      <c r="I48" s="28">
        <f>ROUND(F48*AP48,2)</f>
        <v>0</v>
      </c>
      <c r="J48" s="28">
        <f>ROUND(F48*G48,2)</f>
        <v>0</v>
      </c>
      <c r="K48" s="29" t="s">
        <v>60</v>
      </c>
      <c r="Z48" s="28">
        <f>ROUND(IF(AQ48="5",BJ48,0),2)</f>
        <v>0</v>
      </c>
      <c r="AB48" s="28">
        <f>ROUND(IF(AQ48="1",BH48,0),2)</f>
        <v>0</v>
      </c>
      <c r="AC48" s="28">
        <f>ROUND(IF(AQ48="1",BI48,0),2)</f>
        <v>0</v>
      </c>
      <c r="AD48" s="28">
        <f>ROUND(IF(AQ48="7",BH48,0),2)</f>
        <v>0</v>
      </c>
      <c r="AE48" s="28">
        <f>ROUND(IF(AQ48="7",BI48,0),2)</f>
        <v>0</v>
      </c>
      <c r="AF48" s="28">
        <f>ROUND(IF(AQ48="2",BH48,0),2)</f>
        <v>0</v>
      </c>
      <c r="AG48" s="28">
        <f>ROUND(IF(AQ48="2",BI48,0),2)</f>
        <v>0</v>
      </c>
      <c r="AH48" s="28">
        <f>ROUND(IF(AQ48="0",BJ48,0),2)</f>
        <v>0</v>
      </c>
      <c r="AI48" s="10" t="s">
        <v>55</v>
      </c>
      <c r="AJ48" s="28">
        <f>IF(AN48=0,J48,0)</f>
        <v>0</v>
      </c>
      <c r="AK48" s="28">
        <f>IF(AN48=12,J48,0)</f>
        <v>0</v>
      </c>
      <c r="AL48" s="28">
        <f>IF(AN48=21,J48,0)</f>
        <v>0</v>
      </c>
      <c r="AN48" s="28">
        <v>21</v>
      </c>
      <c r="AO48" s="28">
        <f>G48*0</f>
        <v>0</v>
      </c>
      <c r="AP48" s="28">
        <f>G48*(1-0)</f>
        <v>0</v>
      </c>
      <c r="AQ48" s="30" t="s">
        <v>56</v>
      </c>
      <c r="AV48" s="28">
        <f>ROUND(AW48+AX48,2)</f>
        <v>0</v>
      </c>
      <c r="AW48" s="28">
        <f>ROUND(F48*AO48,2)</f>
        <v>0</v>
      </c>
      <c r="AX48" s="28">
        <f>ROUND(F48*AP48,2)</f>
        <v>0</v>
      </c>
      <c r="AY48" s="30" t="s">
        <v>121</v>
      </c>
      <c r="AZ48" s="30" t="s">
        <v>62</v>
      </c>
      <c r="BA48" s="10" t="s">
        <v>63</v>
      </c>
      <c r="BC48" s="28">
        <f>AW48+AX48</f>
        <v>0</v>
      </c>
      <c r="BD48" s="28">
        <f>G48/(100-BE48)*100</f>
        <v>0</v>
      </c>
      <c r="BE48" s="28">
        <v>0</v>
      </c>
      <c r="BF48" s="28">
        <f>48</f>
        <v>48</v>
      </c>
      <c r="BH48" s="28">
        <f>F48*AO48</f>
        <v>0</v>
      </c>
      <c r="BI48" s="28">
        <f>F48*AP48</f>
        <v>0</v>
      </c>
      <c r="BJ48" s="28">
        <f>F48*G48</f>
        <v>0</v>
      </c>
      <c r="BK48" s="28"/>
      <c r="BL48" s="28">
        <v>16</v>
      </c>
      <c r="BW48" s="28">
        <v>21</v>
      </c>
      <c r="BX48" s="4" t="s">
        <v>129</v>
      </c>
    </row>
    <row r="49" spans="1:76" x14ac:dyDescent="0.25">
      <c r="A49" s="31"/>
      <c r="C49" s="32" t="s">
        <v>130</v>
      </c>
      <c r="D49" s="32" t="s">
        <v>131</v>
      </c>
      <c r="F49" s="33">
        <v>18.8</v>
      </c>
      <c r="K49" s="34"/>
    </row>
    <row r="50" spans="1:76" x14ac:dyDescent="0.25">
      <c r="A50" s="31"/>
      <c r="C50" s="32" t="s">
        <v>132</v>
      </c>
      <c r="D50" s="32" t="s">
        <v>133</v>
      </c>
      <c r="F50" s="33">
        <v>75</v>
      </c>
      <c r="K50" s="34"/>
    </row>
    <row r="51" spans="1:76" x14ac:dyDescent="0.25">
      <c r="A51" s="31"/>
      <c r="C51" s="32" t="s">
        <v>53</v>
      </c>
      <c r="D51" s="32" t="s">
        <v>134</v>
      </c>
      <c r="F51" s="33">
        <v>13</v>
      </c>
      <c r="K51" s="34"/>
    </row>
    <row r="52" spans="1:76" x14ac:dyDescent="0.25">
      <c r="A52" s="31"/>
      <c r="C52" s="32" t="s">
        <v>135</v>
      </c>
      <c r="D52" s="32" t="s">
        <v>136</v>
      </c>
      <c r="F52" s="33">
        <v>10</v>
      </c>
      <c r="K52" s="34"/>
    </row>
    <row r="53" spans="1:76" ht="102" x14ac:dyDescent="0.25">
      <c r="A53" s="31"/>
      <c r="B53" s="35" t="s">
        <v>68</v>
      </c>
      <c r="C53" s="94" t="s">
        <v>137</v>
      </c>
      <c r="D53" s="95"/>
      <c r="E53" s="95"/>
      <c r="F53" s="95"/>
      <c r="G53" s="95"/>
      <c r="H53" s="95"/>
      <c r="I53" s="95"/>
      <c r="J53" s="95"/>
      <c r="K53" s="96"/>
      <c r="BX53" s="36" t="s">
        <v>137</v>
      </c>
    </row>
    <row r="54" spans="1:76" x14ac:dyDescent="0.25">
      <c r="A54" s="2" t="s">
        <v>138</v>
      </c>
      <c r="B54" s="3" t="s">
        <v>139</v>
      </c>
      <c r="C54" s="76" t="s">
        <v>140</v>
      </c>
      <c r="D54" s="71"/>
      <c r="E54" s="3" t="s">
        <v>59</v>
      </c>
      <c r="F54" s="28">
        <v>209.22</v>
      </c>
      <c r="G54" s="28">
        <v>0</v>
      </c>
      <c r="H54" s="28">
        <f>ROUND(F54*AO54,2)</f>
        <v>0</v>
      </c>
      <c r="I54" s="28">
        <f>ROUND(F54*AP54,2)</f>
        <v>0</v>
      </c>
      <c r="J54" s="28">
        <f>ROUND(F54*G54,2)</f>
        <v>0</v>
      </c>
      <c r="K54" s="29" t="s">
        <v>60</v>
      </c>
      <c r="Z54" s="28">
        <f>ROUND(IF(AQ54="5",BJ54,0),2)</f>
        <v>0</v>
      </c>
      <c r="AB54" s="28">
        <f>ROUND(IF(AQ54="1",BH54,0),2)</f>
        <v>0</v>
      </c>
      <c r="AC54" s="28">
        <f>ROUND(IF(AQ54="1",BI54,0),2)</f>
        <v>0</v>
      </c>
      <c r="AD54" s="28">
        <f>ROUND(IF(AQ54="7",BH54,0),2)</f>
        <v>0</v>
      </c>
      <c r="AE54" s="28">
        <f>ROUND(IF(AQ54="7",BI54,0),2)</f>
        <v>0</v>
      </c>
      <c r="AF54" s="28">
        <f>ROUND(IF(AQ54="2",BH54,0),2)</f>
        <v>0</v>
      </c>
      <c r="AG54" s="28">
        <f>ROUND(IF(AQ54="2",BI54,0),2)</f>
        <v>0</v>
      </c>
      <c r="AH54" s="28">
        <f>ROUND(IF(AQ54="0",BJ54,0),2)</f>
        <v>0</v>
      </c>
      <c r="AI54" s="10" t="s">
        <v>55</v>
      </c>
      <c r="AJ54" s="28">
        <f>IF(AN54=0,J54,0)</f>
        <v>0</v>
      </c>
      <c r="AK54" s="28">
        <f>IF(AN54=12,J54,0)</f>
        <v>0</v>
      </c>
      <c r="AL54" s="28">
        <f>IF(AN54=21,J54,0)</f>
        <v>0</v>
      </c>
      <c r="AN54" s="28">
        <v>21</v>
      </c>
      <c r="AO54" s="28">
        <f>G54*0</f>
        <v>0</v>
      </c>
      <c r="AP54" s="28">
        <f>G54*(1-0)</f>
        <v>0</v>
      </c>
      <c r="AQ54" s="30" t="s">
        <v>56</v>
      </c>
      <c r="AV54" s="28">
        <f>ROUND(AW54+AX54,2)</f>
        <v>0</v>
      </c>
      <c r="AW54" s="28">
        <f>ROUND(F54*AO54,2)</f>
        <v>0</v>
      </c>
      <c r="AX54" s="28">
        <f>ROUND(F54*AP54,2)</f>
        <v>0</v>
      </c>
      <c r="AY54" s="30" t="s">
        <v>121</v>
      </c>
      <c r="AZ54" s="30" t="s">
        <v>62</v>
      </c>
      <c r="BA54" s="10" t="s">
        <v>63</v>
      </c>
      <c r="BC54" s="28">
        <f>AW54+AX54</f>
        <v>0</v>
      </c>
      <c r="BD54" s="28">
        <f>G54/(100-BE54)*100</f>
        <v>0</v>
      </c>
      <c r="BE54" s="28">
        <v>0</v>
      </c>
      <c r="BF54" s="28">
        <f>54</f>
        <v>54</v>
      </c>
      <c r="BH54" s="28">
        <f>F54*AO54</f>
        <v>0</v>
      </c>
      <c r="BI54" s="28">
        <f>F54*AP54</f>
        <v>0</v>
      </c>
      <c r="BJ54" s="28">
        <f>F54*G54</f>
        <v>0</v>
      </c>
      <c r="BK54" s="28"/>
      <c r="BL54" s="28">
        <v>16</v>
      </c>
      <c r="BW54" s="28">
        <v>21</v>
      </c>
      <c r="BX54" s="4" t="s">
        <v>140</v>
      </c>
    </row>
    <row r="55" spans="1:76" ht="24.6" customHeight="1" x14ac:dyDescent="0.25">
      <c r="A55" s="31"/>
      <c r="C55" s="32" t="s">
        <v>141</v>
      </c>
      <c r="D55" s="66" t="s">
        <v>142</v>
      </c>
      <c r="F55" s="33">
        <v>209.22</v>
      </c>
      <c r="K55" s="34"/>
    </row>
    <row r="56" spans="1:76" x14ac:dyDescent="0.25">
      <c r="A56" s="2" t="s">
        <v>135</v>
      </c>
      <c r="B56" s="3" t="s">
        <v>143</v>
      </c>
      <c r="C56" s="76" t="s">
        <v>144</v>
      </c>
      <c r="D56" s="71"/>
      <c r="E56" s="3" t="s">
        <v>59</v>
      </c>
      <c r="F56" s="28">
        <v>203.22</v>
      </c>
      <c r="G56" s="28">
        <v>0</v>
      </c>
      <c r="H56" s="28">
        <f>ROUND(F56*AO56,2)</f>
        <v>0</v>
      </c>
      <c r="I56" s="28">
        <f>ROUND(F56*AP56,2)</f>
        <v>0</v>
      </c>
      <c r="J56" s="28">
        <f>ROUND(F56*G56,2)</f>
        <v>0</v>
      </c>
      <c r="K56" s="29" t="s">
        <v>60</v>
      </c>
      <c r="Z56" s="28">
        <f>ROUND(IF(AQ56="5",BJ56,0),2)</f>
        <v>0</v>
      </c>
      <c r="AB56" s="28">
        <f>ROUND(IF(AQ56="1",BH56,0),2)</f>
        <v>0</v>
      </c>
      <c r="AC56" s="28">
        <f>ROUND(IF(AQ56="1",BI56,0),2)</f>
        <v>0</v>
      </c>
      <c r="AD56" s="28">
        <f>ROUND(IF(AQ56="7",BH56,0),2)</f>
        <v>0</v>
      </c>
      <c r="AE56" s="28">
        <f>ROUND(IF(AQ56="7",BI56,0),2)</f>
        <v>0</v>
      </c>
      <c r="AF56" s="28">
        <f>ROUND(IF(AQ56="2",BH56,0),2)</f>
        <v>0</v>
      </c>
      <c r="AG56" s="28">
        <f>ROUND(IF(AQ56="2",BI56,0),2)</f>
        <v>0</v>
      </c>
      <c r="AH56" s="28">
        <f>ROUND(IF(AQ56="0",BJ56,0),2)</f>
        <v>0</v>
      </c>
      <c r="AI56" s="10" t="s">
        <v>55</v>
      </c>
      <c r="AJ56" s="28">
        <f>IF(AN56=0,J56,0)</f>
        <v>0</v>
      </c>
      <c r="AK56" s="28">
        <f>IF(AN56=12,J56,0)</f>
        <v>0</v>
      </c>
      <c r="AL56" s="28">
        <f>IF(AN56=21,J56,0)</f>
        <v>0</v>
      </c>
      <c r="AN56" s="28">
        <v>21</v>
      </c>
      <c r="AO56" s="28">
        <f>G56*0</f>
        <v>0</v>
      </c>
      <c r="AP56" s="28">
        <f>G56*(1-0)</f>
        <v>0</v>
      </c>
      <c r="AQ56" s="30" t="s">
        <v>56</v>
      </c>
      <c r="AV56" s="28">
        <f>ROUND(AW56+AX56,2)</f>
        <v>0</v>
      </c>
      <c r="AW56" s="28">
        <f>ROUND(F56*AO56,2)</f>
        <v>0</v>
      </c>
      <c r="AX56" s="28">
        <f>ROUND(F56*AP56,2)</f>
        <v>0</v>
      </c>
      <c r="AY56" s="30" t="s">
        <v>121</v>
      </c>
      <c r="AZ56" s="30" t="s">
        <v>62</v>
      </c>
      <c r="BA56" s="10" t="s">
        <v>63</v>
      </c>
      <c r="BC56" s="28">
        <f>AW56+AX56</f>
        <v>0</v>
      </c>
      <c r="BD56" s="28">
        <f>G56/(100-BE56)*100</f>
        <v>0</v>
      </c>
      <c r="BE56" s="28">
        <v>0</v>
      </c>
      <c r="BF56" s="28">
        <f>56</f>
        <v>56</v>
      </c>
      <c r="BH56" s="28">
        <f>F56*AO56</f>
        <v>0</v>
      </c>
      <c r="BI56" s="28">
        <f>F56*AP56</f>
        <v>0</v>
      </c>
      <c r="BJ56" s="28">
        <f>F56*G56</f>
        <v>0</v>
      </c>
      <c r="BK56" s="28"/>
      <c r="BL56" s="28">
        <v>16</v>
      </c>
      <c r="BW56" s="28">
        <v>21</v>
      </c>
      <c r="BX56" s="4" t="s">
        <v>144</v>
      </c>
    </row>
    <row r="57" spans="1:76" x14ac:dyDescent="0.25">
      <c r="A57" s="2" t="s">
        <v>145</v>
      </c>
      <c r="B57" s="3" t="s">
        <v>146</v>
      </c>
      <c r="C57" s="76" t="s">
        <v>147</v>
      </c>
      <c r="D57" s="71"/>
      <c r="E57" s="3" t="s">
        <v>59</v>
      </c>
      <c r="F57" s="28">
        <v>203.22</v>
      </c>
      <c r="G57" s="28">
        <v>0</v>
      </c>
      <c r="H57" s="28">
        <f>ROUND(F57*AO57,2)</f>
        <v>0</v>
      </c>
      <c r="I57" s="28">
        <f>ROUND(F57*AP57,2)</f>
        <v>0</v>
      </c>
      <c r="J57" s="28">
        <f>ROUND(F57*G57,2)</f>
        <v>0</v>
      </c>
      <c r="K57" s="29" t="s">
        <v>60</v>
      </c>
      <c r="Z57" s="28">
        <f>ROUND(IF(AQ57="5",BJ57,0),2)</f>
        <v>0</v>
      </c>
      <c r="AB57" s="28">
        <f>ROUND(IF(AQ57="1",BH57,0),2)</f>
        <v>0</v>
      </c>
      <c r="AC57" s="28">
        <f>ROUND(IF(AQ57="1",BI57,0),2)</f>
        <v>0</v>
      </c>
      <c r="AD57" s="28">
        <f>ROUND(IF(AQ57="7",BH57,0),2)</f>
        <v>0</v>
      </c>
      <c r="AE57" s="28">
        <f>ROUND(IF(AQ57="7",BI57,0),2)</f>
        <v>0</v>
      </c>
      <c r="AF57" s="28">
        <f>ROUND(IF(AQ57="2",BH57,0),2)</f>
        <v>0</v>
      </c>
      <c r="AG57" s="28">
        <f>ROUND(IF(AQ57="2",BI57,0),2)</f>
        <v>0</v>
      </c>
      <c r="AH57" s="28">
        <f>ROUND(IF(AQ57="0",BJ57,0),2)</f>
        <v>0</v>
      </c>
      <c r="AI57" s="10" t="s">
        <v>55</v>
      </c>
      <c r="AJ57" s="28">
        <f>IF(AN57=0,J57,0)</f>
        <v>0</v>
      </c>
      <c r="AK57" s="28">
        <f>IF(AN57=12,J57,0)</f>
        <v>0</v>
      </c>
      <c r="AL57" s="28">
        <f>IF(AN57=21,J57,0)</f>
        <v>0</v>
      </c>
      <c r="AN57" s="28">
        <v>21</v>
      </c>
      <c r="AO57" s="28">
        <f>G57*0</f>
        <v>0</v>
      </c>
      <c r="AP57" s="28">
        <f>G57*(1-0)</f>
        <v>0</v>
      </c>
      <c r="AQ57" s="30" t="s">
        <v>56</v>
      </c>
      <c r="AV57" s="28">
        <f>ROUND(AW57+AX57,2)</f>
        <v>0</v>
      </c>
      <c r="AW57" s="28">
        <f>ROUND(F57*AO57,2)</f>
        <v>0</v>
      </c>
      <c r="AX57" s="28">
        <f>ROUND(F57*AP57,2)</f>
        <v>0</v>
      </c>
      <c r="AY57" s="30" t="s">
        <v>121</v>
      </c>
      <c r="AZ57" s="30" t="s">
        <v>62</v>
      </c>
      <c r="BA57" s="10" t="s">
        <v>63</v>
      </c>
      <c r="BC57" s="28">
        <f>AW57+AX57</f>
        <v>0</v>
      </c>
      <c r="BD57" s="28">
        <f>G57/(100-BE57)*100</f>
        <v>0</v>
      </c>
      <c r="BE57" s="28">
        <v>0</v>
      </c>
      <c r="BF57" s="28">
        <f>57</f>
        <v>57</v>
      </c>
      <c r="BH57" s="28">
        <f>F57*AO57</f>
        <v>0</v>
      </c>
      <c r="BI57" s="28">
        <f>F57*AP57</f>
        <v>0</v>
      </c>
      <c r="BJ57" s="28">
        <f>F57*G57</f>
        <v>0</v>
      </c>
      <c r="BK57" s="28"/>
      <c r="BL57" s="28">
        <v>16</v>
      </c>
      <c r="BW57" s="28">
        <v>21</v>
      </c>
      <c r="BX57" s="4" t="s">
        <v>147</v>
      </c>
    </row>
    <row r="58" spans="1:76" x14ac:dyDescent="0.25">
      <c r="A58" s="2" t="s">
        <v>148</v>
      </c>
      <c r="B58" s="3" t="s">
        <v>149</v>
      </c>
      <c r="C58" s="76" t="s">
        <v>150</v>
      </c>
      <c r="D58" s="71"/>
      <c r="E58" s="3" t="s">
        <v>59</v>
      </c>
      <c r="F58" s="28">
        <v>204</v>
      </c>
      <c r="G58" s="28">
        <v>0</v>
      </c>
      <c r="H58" s="28">
        <f>ROUND(F58*AO58,2)</f>
        <v>0</v>
      </c>
      <c r="I58" s="28">
        <f>ROUND(F58*AP58,2)</f>
        <v>0</v>
      </c>
      <c r="J58" s="28">
        <f>ROUND(F58*G58,2)</f>
        <v>0</v>
      </c>
      <c r="K58" s="29" t="s">
        <v>60</v>
      </c>
      <c r="Z58" s="28">
        <f>ROUND(IF(AQ58="5",BJ58,0),2)</f>
        <v>0</v>
      </c>
      <c r="AB58" s="28">
        <f>ROUND(IF(AQ58="1",BH58,0),2)</f>
        <v>0</v>
      </c>
      <c r="AC58" s="28">
        <f>ROUND(IF(AQ58="1",BI58,0),2)</f>
        <v>0</v>
      </c>
      <c r="AD58" s="28">
        <f>ROUND(IF(AQ58="7",BH58,0),2)</f>
        <v>0</v>
      </c>
      <c r="AE58" s="28">
        <f>ROUND(IF(AQ58="7",BI58,0),2)</f>
        <v>0</v>
      </c>
      <c r="AF58" s="28">
        <f>ROUND(IF(AQ58="2",BH58,0),2)</f>
        <v>0</v>
      </c>
      <c r="AG58" s="28">
        <f>ROUND(IF(AQ58="2",BI58,0),2)</f>
        <v>0</v>
      </c>
      <c r="AH58" s="28">
        <f>ROUND(IF(AQ58="0",BJ58,0),2)</f>
        <v>0</v>
      </c>
      <c r="AI58" s="10" t="s">
        <v>55</v>
      </c>
      <c r="AJ58" s="28">
        <f>IF(AN58=0,J58,0)</f>
        <v>0</v>
      </c>
      <c r="AK58" s="28">
        <f>IF(AN58=12,J58,0)</f>
        <v>0</v>
      </c>
      <c r="AL58" s="28">
        <f>IF(AN58=21,J58,0)</f>
        <v>0</v>
      </c>
      <c r="AN58" s="28">
        <v>21</v>
      </c>
      <c r="AO58" s="28">
        <f>G58*0</f>
        <v>0</v>
      </c>
      <c r="AP58" s="28">
        <f>G58*(1-0)</f>
        <v>0</v>
      </c>
      <c r="AQ58" s="30" t="s">
        <v>56</v>
      </c>
      <c r="AV58" s="28">
        <f>ROUND(AW58+AX58,2)</f>
        <v>0</v>
      </c>
      <c r="AW58" s="28">
        <f>ROUND(F58*AO58,2)</f>
        <v>0</v>
      </c>
      <c r="AX58" s="28">
        <f>ROUND(F58*AP58,2)</f>
        <v>0</v>
      </c>
      <c r="AY58" s="30" t="s">
        <v>121</v>
      </c>
      <c r="AZ58" s="30" t="s">
        <v>62</v>
      </c>
      <c r="BA58" s="10" t="s">
        <v>63</v>
      </c>
      <c r="BC58" s="28">
        <f>AW58+AX58</f>
        <v>0</v>
      </c>
      <c r="BD58" s="28">
        <f>G58/(100-BE58)*100</f>
        <v>0</v>
      </c>
      <c r="BE58" s="28">
        <v>0</v>
      </c>
      <c r="BF58" s="28">
        <f>58</f>
        <v>58</v>
      </c>
      <c r="BH58" s="28">
        <f>F58*AO58</f>
        <v>0</v>
      </c>
      <c r="BI58" s="28">
        <f>F58*AP58</f>
        <v>0</v>
      </c>
      <c r="BJ58" s="28">
        <f>F58*G58</f>
        <v>0</v>
      </c>
      <c r="BK58" s="28"/>
      <c r="BL58" s="28">
        <v>16</v>
      </c>
      <c r="BW58" s="28">
        <v>21</v>
      </c>
      <c r="BX58" s="4" t="s">
        <v>150</v>
      </c>
    </row>
    <row r="59" spans="1:76" x14ac:dyDescent="0.25">
      <c r="A59" s="31"/>
      <c r="B59" s="35" t="s">
        <v>68</v>
      </c>
      <c r="C59" s="94" t="s">
        <v>151</v>
      </c>
      <c r="D59" s="95"/>
      <c r="E59" s="95"/>
      <c r="F59" s="95"/>
      <c r="G59" s="95"/>
      <c r="H59" s="95"/>
      <c r="I59" s="95"/>
      <c r="J59" s="95"/>
      <c r="K59" s="96"/>
      <c r="BX59" s="36" t="s">
        <v>151</v>
      </c>
    </row>
    <row r="60" spans="1:76" x14ac:dyDescent="0.25">
      <c r="A60" s="24" t="s">
        <v>51</v>
      </c>
      <c r="B60" s="25" t="s">
        <v>152</v>
      </c>
      <c r="C60" s="87" t="s">
        <v>153</v>
      </c>
      <c r="D60" s="88"/>
      <c r="E60" s="26" t="s">
        <v>4</v>
      </c>
      <c r="F60" s="26" t="s">
        <v>4</v>
      </c>
      <c r="G60" s="26" t="s">
        <v>4</v>
      </c>
      <c r="H60" s="1">
        <f>SUM(H61:H82)</f>
        <v>0</v>
      </c>
      <c r="I60" s="1">
        <f>SUM(I61:I82)</f>
        <v>0</v>
      </c>
      <c r="J60" s="1">
        <f>SUM(J61:J82)</f>
        <v>0</v>
      </c>
      <c r="K60" s="27" t="s">
        <v>51</v>
      </c>
      <c r="AI60" s="10" t="s">
        <v>55</v>
      </c>
      <c r="AS60" s="1">
        <f>SUM(AJ61:AJ82)</f>
        <v>0</v>
      </c>
      <c r="AT60" s="1">
        <f>SUM(AK61:AK82)</f>
        <v>0</v>
      </c>
      <c r="AU60" s="1">
        <f>SUM(AL61:AL82)</f>
        <v>0</v>
      </c>
    </row>
    <row r="61" spans="1:76" x14ac:dyDescent="0.25">
      <c r="A61" s="2" t="s">
        <v>53</v>
      </c>
      <c r="B61" s="3" t="s">
        <v>154</v>
      </c>
      <c r="C61" s="76" t="s">
        <v>155</v>
      </c>
      <c r="D61" s="71"/>
      <c r="E61" s="3" t="s">
        <v>59</v>
      </c>
      <c r="F61" s="28">
        <v>26.2</v>
      </c>
      <c r="G61" s="28">
        <v>0</v>
      </c>
      <c r="H61" s="28">
        <f>ROUND(F61*AO61,2)</f>
        <v>0</v>
      </c>
      <c r="I61" s="28">
        <f>ROUND(F61*AP61,2)</f>
        <v>0</v>
      </c>
      <c r="J61" s="28">
        <f>ROUND(F61*G61,2)</f>
        <v>0</v>
      </c>
      <c r="K61" s="29" t="s">
        <v>60</v>
      </c>
      <c r="Z61" s="28">
        <f>ROUND(IF(AQ61="5",BJ61,0),2)</f>
        <v>0</v>
      </c>
      <c r="AB61" s="28">
        <f>ROUND(IF(AQ61="1",BH61,0),2)</f>
        <v>0</v>
      </c>
      <c r="AC61" s="28">
        <f>ROUND(IF(AQ61="1",BI61,0),2)</f>
        <v>0</v>
      </c>
      <c r="AD61" s="28">
        <f>ROUND(IF(AQ61="7",BH61,0),2)</f>
        <v>0</v>
      </c>
      <c r="AE61" s="28">
        <f>ROUND(IF(AQ61="7",BI61,0),2)</f>
        <v>0</v>
      </c>
      <c r="AF61" s="28">
        <f>ROUND(IF(AQ61="2",BH61,0),2)</f>
        <v>0</v>
      </c>
      <c r="AG61" s="28">
        <f>ROUND(IF(AQ61="2",BI61,0),2)</f>
        <v>0</v>
      </c>
      <c r="AH61" s="28">
        <f>ROUND(IF(AQ61="0",BJ61,0),2)</f>
        <v>0</v>
      </c>
      <c r="AI61" s="10" t="s">
        <v>55</v>
      </c>
      <c r="AJ61" s="28">
        <f>IF(AN61=0,J61,0)</f>
        <v>0</v>
      </c>
      <c r="AK61" s="28">
        <f>IF(AN61=12,J61,0)</f>
        <v>0</v>
      </c>
      <c r="AL61" s="28">
        <f>IF(AN61=21,J61,0)</f>
        <v>0</v>
      </c>
      <c r="AN61" s="28">
        <v>21</v>
      </c>
      <c r="AO61" s="28">
        <f>G61*0</f>
        <v>0</v>
      </c>
      <c r="AP61" s="28">
        <f>G61*(1-0)</f>
        <v>0</v>
      </c>
      <c r="AQ61" s="30" t="s">
        <v>56</v>
      </c>
      <c r="AV61" s="28">
        <f>ROUND(AW61+AX61,2)</f>
        <v>0</v>
      </c>
      <c r="AW61" s="28">
        <f>ROUND(F61*AO61,2)</f>
        <v>0</v>
      </c>
      <c r="AX61" s="28">
        <f>ROUND(F61*AP61,2)</f>
        <v>0</v>
      </c>
      <c r="AY61" s="30" t="s">
        <v>156</v>
      </c>
      <c r="AZ61" s="30" t="s">
        <v>62</v>
      </c>
      <c r="BA61" s="10" t="s">
        <v>63</v>
      </c>
      <c r="BC61" s="28">
        <f>AW61+AX61</f>
        <v>0</v>
      </c>
      <c r="BD61" s="28">
        <f>G61/(100-BE61)*100</f>
        <v>0</v>
      </c>
      <c r="BE61" s="28">
        <v>0</v>
      </c>
      <c r="BF61" s="28">
        <f>61</f>
        <v>61</v>
      </c>
      <c r="BH61" s="28">
        <f>F61*AO61</f>
        <v>0</v>
      </c>
      <c r="BI61" s="28">
        <f>F61*AP61</f>
        <v>0</v>
      </c>
      <c r="BJ61" s="28">
        <f>F61*G61</f>
        <v>0</v>
      </c>
      <c r="BK61" s="28"/>
      <c r="BL61" s="28">
        <v>17</v>
      </c>
      <c r="BW61" s="28">
        <v>21</v>
      </c>
      <c r="BX61" s="4" t="s">
        <v>155</v>
      </c>
    </row>
    <row r="62" spans="1:76" x14ac:dyDescent="0.25">
      <c r="A62" s="31"/>
      <c r="C62" s="32" t="s">
        <v>157</v>
      </c>
      <c r="D62" s="32" t="s">
        <v>158</v>
      </c>
      <c r="F62" s="33">
        <v>20.64</v>
      </c>
      <c r="K62" s="34"/>
    </row>
    <row r="63" spans="1:76" x14ac:dyDescent="0.25">
      <c r="A63" s="31"/>
      <c r="C63" s="32" t="s">
        <v>159</v>
      </c>
      <c r="D63" s="32" t="s">
        <v>160</v>
      </c>
      <c r="F63" s="33">
        <v>5.56</v>
      </c>
      <c r="K63" s="34"/>
    </row>
    <row r="64" spans="1:76" ht="25.5" x14ac:dyDescent="0.25">
      <c r="A64" s="31"/>
      <c r="B64" s="35" t="s">
        <v>68</v>
      </c>
      <c r="C64" s="94" t="s">
        <v>161</v>
      </c>
      <c r="D64" s="95"/>
      <c r="E64" s="95"/>
      <c r="F64" s="95"/>
      <c r="G64" s="95"/>
      <c r="H64" s="95"/>
      <c r="I64" s="95"/>
      <c r="J64" s="95"/>
      <c r="K64" s="96"/>
      <c r="BX64" s="36" t="s">
        <v>161</v>
      </c>
    </row>
    <row r="65" spans="1:76" x14ac:dyDescent="0.25">
      <c r="A65" s="2" t="s">
        <v>162</v>
      </c>
      <c r="B65" s="3" t="s">
        <v>163</v>
      </c>
      <c r="C65" s="76" t="s">
        <v>164</v>
      </c>
      <c r="D65" s="71"/>
      <c r="E65" s="3" t="s">
        <v>59</v>
      </c>
      <c r="F65" s="28">
        <v>54.36</v>
      </c>
      <c r="G65" s="28">
        <v>0</v>
      </c>
      <c r="H65" s="28">
        <f>ROUND(F65*AO65,2)</f>
        <v>0</v>
      </c>
      <c r="I65" s="28">
        <f>ROUND(F65*AP65,2)</f>
        <v>0</v>
      </c>
      <c r="J65" s="28">
        <f>ROUND(F65*G65,2)</f>
        <v>0</v>
      </c>
      <c r="K65" s="29" t="s">
        <v>60</v>
      </c>
      <c r="Z65" s="28">
        <f>ROUND(IF(AQ65="5",BJ65,0),2)</f>
        <v>0</v>
      </c>
      <c r="AB65" s="28">
        <f>ROUND(IF(AQ65="1",BH65,0),2)</f>
        <v>0</v>
      </c>
      <c r="AC65" s="28">
        <f>ROUND(IF(AQ65="1",BI65,0),2)</f>
        <v>0</v>
      </c>
      <c r="AD65" s="28">
        <f>ROUND(IF(AQ65="7",BH65,0),2)</f>
        <v>0</v>
      </c>
      <c r="AE65" s="28">
        <f>ROUND(IF(AQ65="7",BI65,0),2)</f>
        <v>0</v>
      </c>
      <c r="AF65" s="28">
        <f>ROUND(IF(AQ65="2",BH65,0),2)</f>
        <v>0</v>
      </c>
      <c r="AG65" s="28">
        <f>ROUND(IF(AQ65="2",BI65,0),2)</f>
        <v>0</v>
      </c>
      <c r="AH65" s="28">
        <f>ROUND(IF(AQ65="0",BJ65,0),2)</f>
        <v>0</v>
      </c>
      <c r="AI65" s="10" t="s">
        <v>55</v>
      </c>
      <c r="AJ65" s="28">
        <f>IF(AN65=0,J65,0)</f>
        <v>0</v>
      </c>
      <c r="AK65" s="28">
        <f>IF(AN65=12,J65,0)</f>
        <v>0</v>
      </c>
      <c r="AL65" s="28">
        <f>IF(AN65=21,J65,0)</f>
        <v>0</v>
      </c>
      <c r="AN65" s="28">
        <v>21</v>
      </c>
      <c r="AO65" s="28">
        <f>G65*0</f>
        <v>0</v>
      </c>
      <c r="AP65" s="28">
        <f>G65*(1-0)</f>
        <v>0</v>
      </c>
      <c r="AQ65" s="30" t="s">
        <v>56</v>
      </c>
      <c r="AV65" s="28">
        <f>ROUND(AW65+AX65,2)</f>
        <v>0</v>
      </c>
      <c r="AW65" s="28">
        <f>ROUND(F65*AO65,2)</f>
        <v>0</v>
      </c>
      <c r="AX65" s="28">
        <f>ROUND(F65*AP65,2)</f>
        <v>0</v>
      </c>
      <c r="AY65" s="30" t="s">
        <v>156</v>
      </c>
      <c r="AZ65" s="30" t="s">
        <v>62</v>
      </c>
      <c r="BA65" s="10" t="s">
        <v>63</v>
      </c>
      <c r="BC65" s="28">
        <f>AW65+AX65</f>
        <v>0</v>
      </c>
      <c r="BD65" s="28">
        <f>G65/(100-BE65)*100</f>
        <v>0</v>
      </c>
      <c r="BE65" s="28">
        <v>0</v>
      </c>
      <c r="BF65" s="28">
        <f>65</f>
        <v>65</v>
      </c>
      <c r="BH65" s="28">
        <f>F65*AO65</f>
        <v>0</v>
      </c>
      <c r="BI65" s="28">
        <f>F65*AP65</f>
        <v>0</v>
      </c>
      <c r="BJ65" s="28">
        <f>F65*G65</f>
        <v>0</v>
      </c>
      <c r="BK65" s="28"/>
      <c r="BL65" s="28">
        <v>17</v>
      </c>
      <c r="BW65" s="28">
        <v>21</v>
      </c>
      <c r="BX65" s="4" t="s">
        <v>164</v>
      </c>
    </row>
    <row r="66" spans="1:76" x14ac:dyDescent="0.25">
      <c r="A66" s="31"/>
      <c r="C66" s="32" t="s">
        <v>165</v>
      </c>
      <c r="D66" s="32" t="s">
        <v>166</v>
      </c>
      <c r="F66" s="33">
        <v>30.96</v>
      </c>
      <c r="K66" s="34"/>
    </row>
    <row r="67" spans="1:76" x14ac:dyDescent="0.25">
      <c r="A67" s="31"/>
      <c r="C67" s="32" t="s">
        <v>167</v>
      </c>
      <c r="D67" s="32" t="s">
        <v>168</v>
      </c>
      <c r="F67" s="33">
        <v>23.4</v>
      </c>
      <c r="K67" s="34"/>
    </row>
    <row r="68" spans="1:76" ht="25.5" x14ac:dyDescent="0.25">
      <c r="A68" s="31"/>
      <c r="B68" s="35" t="s">
        <v>68</v>
      </c>
      <c r="C68" s="94" t="s">
        <v>169</v>
      </c>
      <c r="D68" s="95"/>
      <c r="E68" s="95"/>
      <c r="F68" s="95"/>
      <c r="G68" s="95"/>
      <c r="H68" s="95"/>
      <c r="I68" s="95"/>
      <c r="J68" s="95"/>
      <c r="K68" s="96"/>
      <c r="BX68" s="36" t="s">
        <v>169</v>
      </c>
    </row>
    <row r="69" spans="1:76" x14ac:dyDescent="0.25">
      <c r="A69" s="2" t="s">
        <v>98</v>
      </c>
      <c r="B69" s="3" t="s">
        <v>170</v>
      </c>
      <c r="C69" s="76" t="s">
        <v>171</v>
      </c>
      <c r="D69" s="71"/>
      <c r="E69" s="3" t="s">
        <v>59</v>
      </c>
      <c r="F69" s="28">
        <v>69.75</v>
      </c>
      <c r="G69" s="28">
        <v>0</v>
      </c>
      <c r="H69" s="28">
        <f>ROUND(F69*AO69,2)</f>
        <v>0</v>
      </c>
      <c r="I69" s="28">
        <f>ROUND(F69*AP69,2)</f>
        <v>0</v>
      </c>
      <c r="J69" s="28">
        <f>ROUND(F69*G69,2)</f>
        <v>0</v>
      </c>
      <c r="K69" s="29" t="s">
        <v>60</v>
      </c>
      <c r="Z69" s="28">
        <f>ROUND(IF(AQ69="5",BJ69,0),2)</f>
        <v>0</v>
      </c>
      <c r="AB69" s="28">
        <f>ROUND(IF(AQ69="1",BH69,0),2)</f>
        <v>0</v>
      </c>
      <c r="AC69" s="28">
        <f>ROUND(IF(AQ69="1",BI69,0),2)</f>
        <v>0</v>
      </c>
      <c r="AD69" s="28">
        <f>ROUND(IF(AQ69="7",BH69,0),2)</f>
        <v>0</v>
      </c>
      <c r="AE69" s="28">
        <f>ROUND(IF(AQ69="7",BI69,0),2)</f>
        <v>0</v>
      </c>
      <c r="AF69" s="28">
        <f>ROUND(IF(AQ69="2",BH69,0),2)</f>
        <v>0</v>
      </c>
      <c r="AG69" s="28">
        <f>ROUND(IF(AQ69="2",BI69,0),2)</f>
        <v>0</v>
      </c>
      <c r="AH69" s="28">
        <f>ROUND(IF(AQ69="0",BJ69,0),2)</f>
        <v>0</v>
      </c>
      <c r="AI69" s="10" t="s">
        <v>55</v>
      </c>
      <c r="AJ69" s="28">
        <f>IF(AN69=0,J69,0)</f>
        <v>0</v>
      </c>
      <c r="AK69" s="28">
        <f>IF(AN69=12,J69,0)</f>
        <v>0</v>
      </c>
      <c r="AL69" s="28">
        <f>IF(AN69=21,J69,0)</f>
        <v>0</v>
      </c>
      <c r="AN69" s="28">
        <v>21</v>
      </c>
      <c r="AO69" s="28">
        <f>G69*0</f>
        <v>0</v>
      </c>
      <c r="AP69" s="28">
        <f>G69*(1-0)</f>
        <v>0</v>
      </c>
      <c r="AQ69" s="30" t="s">
        <v>56</v>
      </c>
      <c r="AV69" s="28">
        <f>ROUND(AW69+AX69,2)</f>
        <v>0</v>
      </c>
      <c r="AW69" s="28">
        <f>ROUND(F69*AO69,2)</f>
        <v>0</v>
      </c>
      <c r="AX69" s="28">
        <f>ROUND(F69*AP69,2)</f>
        <v>0</v>
      </c>
      <c r="AY69" s="30" t="s">
        <v>156</v>
      </c>
      <c r="AZ69" s="30" t="s">
        <v>62</v>
      </c>
      <c r="BA69" s="10" t="s">
        <v>63</v>
      </c>
      <c r="BC69" s="28">
        <f>AW69+AX69</f>
        <v>0</v>
      </c>
      <c r="BD69" s="28">
        <f>G69/(100-BE69)*100</f>
        <v>0</v>
      </c>
      <c r="BE69" s="28">
        <v>0</v>
      </c>
      <c r="BF69" s="28">
        <f>69</f>
        <v>69</v>
      </c>
      <c r="BH69" s="28">
        <f>F69*AO69</f>
        <v>0</v>
      </c>
      <c r="BI69" s="28">
        <f>F69*AP69</f>
        <v>0</v>
      </c>
      <c r="BJ69" s="28">
        <f>F69*G69</f>
        <v>0</v>
      </c>
      <c r="BK69" s="28"/>
      <c r="BL69" s="28">
        <v>17</v>
      </c>
      <c r="BW69" s="28">
        <v>21</v>
      </c>
      <c r="BX69" s="4" t="s">
        <v>171</v>
      </c>
    </row>
    <row r="70" spans="1:76" x14ac:dyDescent="0.25">
      <c r="A70" s="31"/>
      <c r="C70" s="32" t="s">
        <v>172</v>
      </c>
      <c r="D70" s="32" t="s">
        <v>173</v>
      </c>
      <c r="F70" s="33">
        <v>22.75</v>
      </c>
      <c r="K70" s="34"/>
    </row>
    <row r="71" spans="1:76" x14ac:dyDescent="0.25">
      <c r="A71" s="31"/>
      <c r="C71" s="32" t="s">
        <v>174</v>
      </c>
      <c r="D71" s="32" t="s">
        <v>175</v>
      </c>
      <c r="F71" s="33">
        <v>47</v>
      </c>
      <c r="K71" s="34"/>
    </row>
    <row r="72" spans="1:76" x14ac:dyDescent="0.25">
      <c r="A72" s="31"/>
      <c r="B72" s="35" t="s">
        <v>68</v>
      </c>
      <c r="C72" s="94" t="s">
        <v>176</v>
      </c>
      <c r="D72" s="95"/>
      <c r="E72" s="95"/>
      <c r="F72" s="95"/>
      <c r="G72" s="95"/>
      <c r="H72" s="95"/>
      <c r="I72" s="95"/>
      <c r="J72" s="95"/>
      <c r="K72" s="96"/>
      <c r="BX72" s="36" t="s">
        <v>176</v>
      </c>
    </row>
    <row r="73" spans="1:76" x14ac:dyDescent="0.25">
      <c r="A73" s="2" t="s">
        <v>116</v>
      </c>
      <c r="B73" s="3" t="s">
        <v>177</v>
      </c>
      <c r="C73" s="76" t="s">
        <v>178</v>
      </c>
      <c r="D73" s="71"/>
      <c r="E73" s="3" t="s">
        <v>59</v>
      </c>
      <c r="F73" s="28">
        <v>204.36</v>
      </c>
      <c r="G73" s="28">
        <v>0</v>
      </c>
      <c r="H73" s="28">
        <f>ROUND(F73*AO73,2)</f>
        <v>0</v>
      </c>
      <c r="I73" s="28">
        <f>ROUND(F73*AP73,2)</f>
        <v>0</v>
      </c>
      <c r="J73" s="28">
        <f>ROUND(F73*G73,2)</f>
        <v>0</v>
      </c>
      <c r="K73" s="29" t="s">
        <v>60</v>
      </c>
      <c r="Z73" s="28">
        <f>ROUND(IF(AQ73="5",BJ73,0),2)</f>
        <v>0</v>
      </c>
      <c r="AB73" s="28">
        <f>ROUND(IF(AQ73="1",BH73,0),2)</f>
        <v>0</v>
      </c>
      <c r="AC73" s="28">
        <f>ROUND(IF(AQ73="1",BI73,0),2)</f>
        <v>0</v>
      </c>
      <c r="AD73" s="28">
        <f>ROUND(IF(AQ73="7",BH73,0),2)</f>
        <v>0</v>
      </c>
      <c r="AE73" s="28">
        <f>ROUND(IF(AQ73="7",BI73,0),2)</f>
        <v>0</v>
      </c>
      <c r="AF73" s="28">
        <f>ROUND(IF(AQ73="2",BH73,0),2)</f>
        <v>0</v>
      </c>
      <c r="AG73" s="28">
        <f>ROUND(IF(AQ73="2",BI73,0),2)</f>
        <v>0</v>
      </c>
      <c r="AH73" s="28">
        <f>ROUND(IF(AQ73="0",BJ73,0),2)</f>
        <v>0</v>
      </c>
      <c r="AI73" s="10" t="s">
        <v>55</v>
      </c>
      <c r="AJ73" s="28">
        <f>IF(AN73=0,J73,0)</f>
        <v>0</v>
      </c>
      <c r="AK73" s="28">
        <f>IF(AN73=12,J73,0)</f>
        <v>0</v>
      </c>
      <c r="AL73" s="28">
        <f>IF(AN73=21,J73,0)</f>
        <v>0</v>
      </c>
      <c r="AN73" s="28">
        <v>21</v>
      </c>
      <c r="AO73" s="28">
        <f>G73*0</f>
        <v>0</v>
      </c>
      <c r="AP73" s="28">
        <f>G73*(1-0)</f>
        <v>0</v>
      </c>
      <c r="AQ73" s="30" t="s">
        <v>56</v>
      </c>
      <c r="AV73" s="28">
        <f>ROUND(AW73+AX73,2)</f>
        <v>0</v>
      </c>
      <c r="AW73" s="28">
        <f>ROUND(F73*AO73,2)</f>
        <v>0</v>
      </c>
      <c r="AX73" s="28">
        <f>ROUND(F73*AP73,2)</f>
        <v>0</v>
      </c>
      <c r="AY73" s="30" t="s">
        <v>156</v>
      </c>
      <c r="AZ73" s="30" t="s">
        <v>62</v>
      </c>
      <c r="BA73" s="10" t="s">
        <v>63</v>
      </c>
      <c r="BC73" s="28">
        <f>AW73+AX73</f>
        <v>0</v>
      </c>
      <c r="BD73" s="28">
        <f>G73/(100-BE73)*100</f>
        <v>0</v>
      </c>
      <c r="BE73" s="28">
        <v>0</v>
      </c>
      <c r="BF73" s="28">
        <f>73</f>
        <v>73</v>
      </c>
      <c r="BH73" s="28">
        <f>F73*AO73</f>
        <v>0</v>
      </c>
      <c r="BI73" s="28">
        <f>F73*AP73</f>
        <v>0</v>
      </c>
      <c r="BJ73" s="28">
        <f>F73*G73</f>
        <v>0</v>
      </c>
      <c r="BK73" s="28"/>
      <c r="BL73" s="28">
        <v>17</v>
      </c>
      <c r="BW73" s="28">
        <v>21</v>
      </c>
      <c r="BX73" s="4" t="s">
        <v>178</v>
      </c>
    </row>
    <row r="74" spans="1:76" ht="13.5" customHeight="1" x14ac:dyDescent="0.25">
      <c r="A74" s="31"/>
      <c r="B74" s="35" t="s">
        <v>105</v>
      </c>
      <c r="C74" s="97" t="s">
        <v>179</v>
      </c>
      <c r="D74" s="98"/>
      <c r="E74" s="98"/>
      <c r="F74" s="98"/>
      <c r="G74" s="98"/>
      <c r="H74" s="98"/>
      <c r="I74" s="98"/>
      <c r="J74" s="98"/>
      <c r="K74" s="99"/>
    </row>
    <row r="75" spans="1:76" x14ac:dyDescent="0.25">
      <c r="A75" s="31"/>
      <c r="C75" s="32" t="s">
        <v>180</v>
      </c>
      <c r="D75" s="32" t="s">
        <v>181</v>
      </c>
      <c r="F75" s="33">
        <v>91</v>
      </c>
      <c r="K75" s="34"/>
    </row>
    <row r="76" spans="1:76" x14ac:dyDescent="0.25">
      <c r="A76" s="31"/>
      <c r="C76" s="32" t="s">
        <v>174</v>
      </c>
      <c r="D76" s="32" t="s">
        <v>175</v>
      </c>
      <c r="F76" s="33">
        <v>47</v>
      </c>
      <c r="K76" s="34"/>
    </row>
    <row r="77" spans="1:76" x14ac:dyDescent="0.25">
      <c r="A77" s="31"/>
      <c r="C77" s="32" t="s">
        <v>182</v>
      </c>
      <c r="D77" s="32" t="s">
        <v>183</v>
      </c>
      <c r="F77" s="33">
        <v>66.36</v>
      </c>
      <c r="K77" s="34"/>
    </row>
    <row r="78" spans="1:76" ht="25.5" x14ac:dyDescent="0.25">
      <c r="A78" s="31"/>
      <c r="B78" s="35" t="s">
        <v>68</v>
      </c>
      <c r="C78" s="94" t="s">
        <v>184</v>
      </c>
      <c r="D78" s="95"/>
      <c r="E78" s="95"/>
      <c r="F78" s="95"/>
      <c r="G78" s="95"/>
      <c r="H78" s="95"/>
      <c r="I78" s="95"/>
      <c r="J78" s="95"/>
      <c r="K78" s="96"/>
      <c r="BX78" s="36" t="s">
        <v>184</v>
      </c>
    </row>
    <row r="79" spans="1:76" x14ac:dyDescent="0.25">
      <c r="A79" s="2" t="s">
        <v>152</v>
      </c>
      <c r="B79" s="3" t="s">
        <v>163</v>
      </c>
      <c r="C79" s="76" t="s">
        <v>164</v>
      </c>
      <c r="D79" s="71"/>
      <c r="E79" s="3" t="s">
        <v>59</v>
      </c>
      <c r="F79" s="28">
        <v>66.36</v>
      </c>
      <c r="G79" s="28">
        <v>0</v>
      </c>
      <c r="H79" s="28">
        <f>ROUND(F79*AO79,2)</f>
        <v>0</v>
      </c>
      <c r="I79" s="28">
        <f>ROUND(F79*AP79,2)</f>
        <v>0</v>
      </c>
      <c r="J79" s="28">
        <f>ROUND(F79*G79,2)</f>
        <v>0</v>
      </c>
      <c r="K79" s="29" t="s">
        <v>60</v>
      </c>
      <c r="Z79" s="28">
        <f>ROUND(IF(AQ79="5",BJ79,0),2)</f>
        <v>0</v>
      </c>
      <c r="AB79" s="28">
        <f>ROUND(IF(AQ79="1",BH79,0),2)</f>
        <v>0</v>
      </c>
      <c r="AC79" s="28">
        <f>ROUND(IF(AQ79="1",BI79,0),2)</f>
        <v>0</v>
      </c>
      <c r="AD79" s="28">
        <f>ROUND(IF(AQ79="7",BH79,0),2)</f>
        <v>0</v>
      </c>
      <c r="AE79" s="28">
        <f>ROUND(IF(AQ79="7",BI79,0),2)</f>
        <v>0</v>
      </c>
      <c r="AF79" s="28">
        <f>ROUND(IF(AQ79="2",BH79,0),2)</f>
        <v>0</v>
      </c>
      <c r="AG79" s="28">
        <f>ROUND(IF(AQ79="2",BI79,0),2)</f>
        <v>0</v>
      </c>
      <c r="AH79" s="28">
        <f>ROUND(IF(AQ79="0",BJ79,0),2)</f>
        <v>0</v>
      </c>
      <c r="AI79" s="10" t="s">
        <v>55</v>
      </c>
      <c r="AJ79" s="28">
        <f>IF(AN79=0,J79,0)</f>
        <v>0</v>
      </c>
      <c r="AK79" s="28">
        <f>IF(AN79=12,J79,0)</f>
        <v>0</v>
      </c>
      <c r="AL79" s="28">
        <f>IF(AN79=21,J79,0)</f>
        <v>0</v>
      </c>
      <c r="AN79" s="28">
        <v>21</v>
      </c>
      <c r="AO79" s="28">
        <f>G79*0</f>
        <v>0</v>
      </c>
      <c r="AP79" s="28">
        <f>G79*(1-0)</f>
        <v>0</v>
      </c>
      <c r="AQ79" s="30" t="s">
        <v>56</v>
      </c>
      <c r="AV79" s="28">
        <f>ROUND(AW79+AX79,2)</f>
        <v>0</v>
      </c>
      <c r="AW79" s="28">
        <f>ROUND(F79*AO79,2)</f>
        <v>0</v>
      </c>
      <c r="AX79" s="28">
        <f>ROUND(F79*AP79,2)</f>
        <v>0</v>
      </c>
      <c r="AY79" s="30" t="s">
        <v>156</v>
      </c>
      <c r="AZ79" s="30" t="s">
        <v>62</v>
      </c>
      <c r="BA79" s="10" t="s">
        <v>63</v>
      </c>
      <c r="BC79" s="28">
        <f>AW79+AX79</f>
        <v>0</v>
      </c>
      <c r="BD79" s="28">
        <f>G79/(100-BE79)*100</f>
        <v>0</v>
      </c>
      <c r="BE79" s="28">
        <v>0</v>
      </c>
      <c r="BF79" s="28">
        <f>79</f>
        <v>79</v>
      </c>
      <c r="BH79" s="28">
        <f>F79*AO79</f>
        <v>0</v>
      </c>
      <c r="BI79" s="28">
        <f>F79*AP79</f>
        <v>0</v>
      </c>
      <c r="BJ79" s="28">
        <f>F79*G79</f>
        <v>0</v>
      </c>
      <c r="BK79" s="28"/>
      <c r="BL79" s="28">
        <v>17</v>
      </c>
      <c r="BW79" s="28">
        <v>21</v>
      </c>
      <c r="BX79" s="4" t="s">
        <v>164</v>
      </c>
    </row>
    <row r="80" spans="1:76" x14ac:dyDescent="0.25">
      <c r="A80" s="31"/>
      <c r="C80" s="32" t="s">
        <v>182</v>
      </c>
      <c r="D80" s="32" t="s">
        <v>183</v>
      </c>
      <c r="F80" s="33">
        <v>66.36</v>
      </c>
      <c r="K80" s="34"/>
    </row>
    <row r="81" spans="1:76" ht="25.5" x14ac:dyDescent="0.25">
      <c r="A81" s="31"/>
      <c r="B81" s="35" t="s">
        <v>68</v>
      </c>
      <c r="C81" s="94" t="s">
        <v>169</v>
      </c>
      <c r="D81" s="95"/>
      <c r="E81" s="95"/>
      <c r="F81" s="95"/>
      <c r="G81" s="95"/>
      <c r="H81" s="95"/>
      <c r="I81" s="95"/>
      <c r="J81" s="95"/>
      <c r="K81" s="96"/>
      <c r="BX81" s="36" t="s">
        <v>169</v>
      </c>
    </row>
    <row r="82" spans="1:76" x14ac:dyDescent="0.25">
      <c r="A82" s="2" t="s">
        <v>185</v>
      </c>
      <c r="B82" s="3" t="s">
        <v>186</v>
      </c>
      <c r="C82" s="76" t="s">
        <v>187</v>
      </c>
      <c r="D82" s="71"/>
      <c r="E82" s="3" t="s">
        <v>188</v>
      </c>
      <c r="F82" s="28">
        <v>56</v>
      </c>
      <c r="G82" s="28">
        <v>0</v>
      </c>
      <c r="H82" s="28">
        <f>ROUND(F82*AO82,2)</f>
        <v>0</v>
      </c>
      <c r="I82" s="28">
        <f>ROUND(F82*AP82,2)</f>
        <v>0</v>
      </c>
      <c r="J82" s="28">
        <f>ROUND(F82*G82,2)</f>
        <v>0</v>
      </c>
      <c r="K82" s="29" t="s">
        <v>60</v>
      </c>
      <c r="Z82" s="28">
        <f>ROUND(IF(AQ82="5",BJ82,0),2)</f>
        <v>0</v>
      </c>
      <c r="AB82" s="28">
        <f>ROUND(IF(AQ82="1",BH82,0),2)</f>
        <v>0</v>
      </c>
      <c r="AC82" s="28">
        <f>ROUND(IF(AQ82="1",BI82,0),2)</f>
        <v>0</v>
      </c>
      <c r="AD82" s="28">
        <f>ROUND(IF(AQ82="7",BH82,0),2)</f>
        <v>0</v>
      </c>
      <c r="AE82" s="28">
        <f>ROUND(IF(AQ82="7",BI82,0),2)</f>
        <v>0</v>
      </c>
      <c r="AF82" s="28">
        <f>ROUND(IF(AQ82="2",BH82,0),2)</f>
        <v>0</v>
      </c>
      <c r="AG82" s="28">
        <f>ROUND(IF(AQ82="2",BI82,0),2)</f>
        <v>0</v>
      </c>
      <c r="AH82" s="28">
        <f>ROUND(IF(AQ82="0",BJ82,0),2)</f>
        <v>0</v>
      </c>
      <c r="AI82" s="10" t="s">
        <v>55</v>
      </c>
      <c r="AJ82" s="28">
        <f>IF(AN82=0,J82,0)</f>
        <v>0</v>
      </c>
      <c r="AK82" s="28">
        <f>IF(AN82=12,J82,0)</f>
        <v>0</v>
      </c>
      <c r="AL82" s="28">
        <f>IF(AN82=21,J82,0)</f>
        <v>0</v>
      </c>
      <c r="AN82" s="28">
        <v>21</v>
      </c>
      <c r="AO82" s="28">
        <f>G82*0.352747253</f>
        <v>0</v>
      </c>
      <c r="AP82" s="28">
        <f>G82*(1-0.352747253)</f>
        <v>0</v>
      </c>
      <c r="AQ82" s="30" t="s">
        <v>56</v>
      </c>
      <c r="AV82" s="28">
        <f>ROUND(AW82+AX82,2)</f>
        <v>0</v>
      </c>
      <c r="AW82" s="28">
        <f>ROUND(F82*AO82,2)</f>
        <v>0</v>
      </c>
      <c r="AX82" s="28">
        <f>ROUND(F82*AP82,2)</f>
        <v>0</v>
      </c>
      <c r="AY82" s="30" t="s">
        <v>156</v>
      </c>
      <c r="AZ82" s="30" t="s">
        <v>62</v>
      </c>
      <c r="BA82" s="10" t="s">
        <v>63</v>
      </c>
      <c r="BC82" s="28">
        <f>AW82+AX82</f>
        <v>0</v>
      </c>
      <c r="BD82" s="28">
        <f>G82/(100-BE82)*100</f>
        <v>0</v>
      </c>
      <c r="BE82" s="28">
        <v>0</v>
      </c>
      <c r="BF82" s="28">
        <f>82</f>
        <v>82</v>
      </c>
      <c r="BH82" s="28">
        <f>F82*AO82</f>
        <v>0</v>
      </c>
      <c r="BI82" s="28">
        <f>F82*AP82</f>
        <v>0</v>
      </c>
      <c r="BJ82" s="28">
        <f>F82*G82</f>
        <v>0</v>
      </c>
      <c r="BK82" s="28"/>
      <c r="BL82" s="28">
        <v>17</v>
      </c>
      <c r="BW82" s="28">
        <v>21</v>
      </c>
      <c r="BX82" s="4" t="s">
        <v>187</v>
      </c>
    </row>
    <row r="83" spans="1:76" ht="13.5" customHeight="1" x14ac:dyDescent="0.25">
      <c r="A83" s="31"/>
      <c r="B83" s="35" t="s">
        <v>105</v>
      </c>
      <c r="C83" s="97" t="s">
        <v>189</v>
      </c>
      <c r="D83" s="98"/>
      <c r="E83" s="98"/>
      <c r="F83" s="98"/>
      <c r="G83" s="98"/>
      <c r="H83" s="98"/>
      <c r="I83" s="98"/>
      <c r="J83" s="98"/>
      <c r="K83" s="99"/>
    </row>
    <row r="84" spans="1:76" x14ac:dyDescent="0.25">
      <c r="A84" s="31"/>
      <c r="C84" s="32" t="s">
        <v>190</v>
      </c>
      <c r="D84" s="32" t="s">
        <v>51</v>
      </c>
      <c r="F84" s="33">
        <v>56</v>
      </c>
      <c r="K84" s="34"/>
    </row>
    <row r="85" spans="1:76" x14ac:dyDescent="0.25">
      <c r="A85" s="24" t="s">
        <v>51</v>
      </c>
      <c r="B85" s="25" t="s">
        <v>185</v>
      </c>
      <c r="C85" s="87" t="s">
        <v>191</v>
      </c>
      <c r="D85" s="88"/>
      <c r="E85" s="26" t="s">
        <v>4</v>
      </c>
      <c r="F85" s="26" t="s">
        <v>4</v>
      </c>
      <c r="G85" s="26" t="s">
        <v>4</v>
      </c>
      <c r="H85" s="1">
        <f>SUM(H86:H88)</f>
        <v>0</v>
      </c>
      <c r="I85" s="1">
        <f>SUM(I86:I88)</f>
        <v>0</v>
      </c>
      <c r="J85" s="1">
        <f>SUM(J86:J88)</f>
        <v>0</v>
      </c>
      <c r="K85" s="27" t="s">
        <v>51</v>
      </c>
      <c r="AI85" s="10" t="s">
        <v>55</v>
      </c>
      <c r="AS85" s="1">
        <f>SUM(AJ86:AJ88)</f>
        <v>0</v>
      </c>
      <c r="AT85" s="1">
        <f>SUM(AK86:AK88)</f>
        <v>0</v>
      </c>
      <c r="AU85" s="1">
        <f>SUM(AL86:AL88)</f>
        <v>0</v>
      </c>
    </row>
    <row r="86" spans="1:76" x14ac:dyDescent="0.25">
      <c r="A86" s="2" t="s">
        <v>192</v>
      </c>
      <c r="B86" s="3" t="s">
        <v>193</v>
      </c>
      <c r="C86" s="76" t="s">
        <v>194</v>
      </c>
      <c r="D86" s="71"/>
      <c r="E86" s="3" t="s">
        <v>103</v>
      </c>
      <c r="F86" s="28">
        <v>90</v>
      </c>
      <c r="G86" s="28">
        <v>0</v>
      </c>
      <c r="H86" s="28">
        <f>ROUND(F86*AO86,2)</f>
        <v>0</v>
      </c>
      <c r="I86" s="28">
        <f>ROUND(F86*AP86,2)</f>
        <v>0</v>
      </c>
      <c r="J86" s="28">
        <f>ROUND(F86*G86,2)</f>
        <v>0</v>
      </c>
      <c r="K86" s="29" t="s">
        <v>60</v>
      </c>
      <c r="Z86" s="28">
        <f>ROUND(IF(AQ86="5",BJ86,0),2)</f>
        <v>0</v>
      </c>
      <c r="AB86" s="28">
        <f>ROUND(IF(AQ86="1",BH86,0),2)</f>
        <v>0</v>
      </c>
      <c r="AC86" s="28">
        <f>ROUND(IF(AQ86="1",BI86,0),2)</f>
        <v>0</v>
      </c>
      <c r="AD86" s="28">
        <f>ROUND(IF(AQ86="7",BH86,0),2)</f>
        <v>0</v>
      </c>
      <c r="AE86" s="28">
        <f>ROUND(IF(AQ86="7",BI86,0),2)</f>
        <v>0</v>
      </c>
      <c r="AF86" s="28">
        <f>ROUND(IF(AQ86="2",BH86,0),2)</f>
        <v>0</v>
      </c>
      <c r="AG86" s="28">
        <f>ROUND(IF(AQ86="2",BI86,0),2)</f>
        <v>0</v>
      </c>
      <c r="AH86" s="28">
        <f>ROUND(IF(AQ86="0",BJ86,0),2)</f>
        <v>0</v>
      </c>
      <c r="AI86" s="10" t="s">
        <v>55</v>
      </c>
      <c r="AJ86" s="28">
        <f>IF(AN86=0,J86,0)</f>
        <v>0</v>
      </c>
      <c r="AK86" s="28">
        <f>IF(AN86=12,J86,0)</f>
        <v>0</v>
      </c>
      <c r="AL86" s="28">
        <f>IF(AN86=21,J86,0)</f>
        <v>0</v>
      </c>
      <c r="AN86" s="28">
        <v>21</v>
      </c>
      <c r="AO86" s="28">
        <f>G86*0.190222366</f>
        <v>0</v>
      </c>
      <c r="AP86" s="28">
        <f>G86*(1-0.190222366)</f>
        <v>0</v>
      </c>
      <c r="AQ86" s="30" t="s">
        <v>56</v>
      </c>
      <c r="AV86" s="28">
        <f>ROUND(AW86+AX86,2)</f>
        <v>0</v>
      </c>
      <c r="AW86" s="28">
        <f>ROUND(F86*AO86,2)</f>
        <v>0</v>
      </c>
      <c r="AX86" s="28">
        <f>ROUND(F86*AP86,2)</f>
        <v>0</v>
      </c>
      <c r="AY86" s="30" t="s">
        <v>195</v>
      </c>
      <c r="AZ86" s="30" t="s">
        <v>62</v>
      </c>
      <c r="BA86" s="10" t="s">
        <v>63</v>
      </c>
      <c r="BC86" s="28">
        <f>AW86+AX86</f>
        <v>0</v>
      </c>
      <c r="BD86" s="28">
        <f>G86/(100-BE86)*100</f>
        <v>0</v>
      </c>
      <c r="BE86" s="28">
        <v>0</v>
      </c>
      <c r="BF86" s="28">
        <f>86</f>
        <v>86</v>
      </c>
      <c r="BH86" s="28">
        <f>F86*AO86</f>
        <v>0</v>
      </c>
      <c r="BI86" s="28">
        <f>F86*AP86</f>
        <v>0</v>
      </c>
      <c r="BJ86" s="28">
        <f>F86*G86</f>
        <v>0</v>
      </c>
      <c r="BK86" s="28"/>
      <c r="BL86" s="28">
        <v>18</v>
      </c>
      <c r="BW86" s="28">
        <v>21</v>
      </c>
      <c r="BX86" s="4" t="s">
        <v>194</v>
      </c>
    </row>
    <row r="87" spans="1:76" x14ac:dyDescent="0.25">
      <c r="A87" s="31"/>
      <c r="C87" s="32" t="s">
        <v>196</v>
      </c>
      <c r="D87" s="32" t="s">
        <v>197</v>
      </c>
      <c r="F87" s="33">
        <v>90</v>
      </c>
      <c r="K87" s="34"/>
    </row>
    <row r="88" spans="1:76" x14ac:dyDescent="0.25">
      <c r="A88" s="2" t="s">
        <v>198</v>
      </c>
      <c r="B88" s="3" t="s">
        <v>199</v>
      </c>
      <c r="C88" s="76" t="s">
        <v>200</v>
      </c>
      <c r="D88" s="71"/>
      <c r="E88" s="3" t="s">
        <v>201</v>
      </c>
      <c r="F88" s="28">
        <v>44</v>
      </c>
      <c r="G88" s="28">
        <v>0</v>
      </c>
      <c r="H88" s="28">
        <f>ROUND(F88*AO88,2)</f>
        <v>0</v>
      </c>
      <c r="I88" s="28">
        <f>ROUND(F88*AP88,2)</f>
        <v>0</v>
      </c>
      <c r="J88" s="28">
        <f>ROUND(F88*G88,2)</f>
        <v>0</v>
      </c>
      <c r="K88" s="29" t="s">
        <v>60</v>
      </c>
      <c r="Z88" s="28">
        <f>ROUND(IF(AQ88="5",BJ88,0),2)</f>
        <v>0</v>
      </c>
      <c r="AB88" s="28">
        <f>ROUND(IF(AQ88="1",BH88,0),2)</f>
        <v>0</v>
      </c>
      <c r="AC88" s="28">
        <f>ROUND(IF(AQ88="1",BI88,0),2)</f>
        <v>0</v>
      </c>
      <c r="AD88" s="28">
        <f>ROUND(IF(AQ88="7",BH88,0),2)</f>
        <v>0</v>
      </c>
      <c r="AE88" s="28">
        <f>ROUND(IF(AQ88="7",BI88,0),2)</f>
        <v>0</v>
      </c>
      <c r="AF88" s="28">
        <f>ROUND(IF(AQ88="2",BH88,0),2)</f>
        <v>0</v>
      </c>
      <c r="AG88" s="28">
        <f>ROUND(IF(AQ88="2",BI88,0),2)</f>
        <v>0</v>
      </c>
      <c r="AH88" s="28">
        <f>ROUND(IF(AQ88="0",BJ88,0),2)</f>
        <v>0</v>
      </c>
      <c r="AI88" s="10" t="s">
        <v>55</v>
      </c>
      <c r="AJ88" s="28">
        <f>IF(AN88=0,J88,0)</f>
        <v>0</v>
      </c>
      <c r="AK88" s="28">
        <f>IF(AN88=12,J88,0)</f>
        <v>0</v>
      </c>
      <c r="AL88" s="28">
        <f>IF(AN88=21,J88,0)</f>
        <v>0</v>
      </c>
      <c r="AN88" s="28">
        <v>21</v>
      </c>
      <c r="AO88" s="28">
        <f>G88*1</f>
        <v>0</v>
      </c>
      <c r="AP88" s="28">
        <f>G88*(1-1)</f>
        <v>0</v>
      </c>
      <c r="AQ88" s="30" t="s">
        <v>56</v>
      </c>
      <c r="AV88" s="28">
        <f>ROUND(AW88+AX88,2)</f>
        <v>0</v>
      </c>
      <c r="AW88" s="28">
        <f>ROUND(F88*AO88,2)</f>
        <v>0</v>
      </c>
      <c r="AX88" s="28">
        <f>ROUND(F88*AP88,2)</f>
        <v>0</v>
      </c>
      <c r="AY88" s="30" t="s">
        <v>195</v>
      </c>
      <c r="AZ88" s="30" t="s">
        <v>62</v>
      </c>
      <c r="BA88" s="10" t="s">
        <v>63</v>
      </c>
      <c r="BC88" s="28">
        <f>AW88+AX88</f>
        <v>0</v>
      </c>
      <c r="BD88" s="28">
        <f>G88/(100-BE88)*100</f>
        <v>0</v>
      </c>
      <c r="BE88" s="28">
        <v>0</v>
      </c>
      <c r="BF88" s="28">
        <f>88</f>
        <v>88</v>
      </c>
      <c r="BH88" s="28">
        <f>F88*AO88</f>
        <v>0</v>
      </c>
      <c r="BI88" s="28">
        <f>F88*AP88</f>
        <v>0</v>
      </c>
      <c r="BJ88" s="28">
        <f>F88*G88</f>
        <v>0</v>
      </c>
      <c r="BK88" s="28"/>
      <c r="BL88" s="28">
        <v>18</v>
      </c>
      <c r="BW88" s="28">
        <v>21</v>
      </c>
      <c r="BX88" s="4" t="s">
        <v>200</v>
      </c>
    </row>
    <row r="89" spans="1:76" x14ac:dyDescent="0.25">
      <c r="A89" s="24" t="s">
        <v>51</v>
      </c>
      <c r="B89" s="25" t="s">
        <v>202</v>
      </c>
      <c r="C89" s="87" t="s">
        <v>203</v>
      </c>
      <c r="D89" s="88"/>
      <c r="E89" s="26" t="s">
        <v>4</v>
      </c>
      <c r="F89" s="26" t="s">
        <v>4</v>
      </c>
      <c r="G89" s="26" t="s">
        <v>4</v>
      </c>
      <c r="H89" s="1">
        <f>SUM(H90:H94)</f>
        <v>0</v>
      </c>
      <c r="I89" s="1">
        <f>SUM(I90:I94)</f>
        <v>0</v>
      </c>
      <c r="J89" s="1">
        <f>SUM(J90:J94)</f>
        <v>0</v>
      </c>
      <c r="K89" s="27" t="s">
        <v>51</v>
      </c>
      <c r="AI89" s="10" t="s">
        <v>55</v>
      </c>
      <c r="AS89" s="1">
        <f>SUM(AJ90:AJ94)</f>
        <v>0</v>
      </c>
      <c r="AT89" s="1">
        <f>SUM(AK90:AK94)</f>
        <v>0</v>
      </c>
      <c r="AU89" s="1">
        <f>SUM(AL90:AL94)</f>
        <v>0</v>
      </c>
    </row>
    <row r="90" spans="1:76" x14ac:dyDescent="0.25">
      <c r="A90" s="2" t="s">
        <v>202</v>
      </c>
      <c r="B90" s="3" t="s">
        <v>204</v>
      </c>
      <c r="C90" s="76" t="s">
        <v>205</v>
      </c>
      <c r="D90" s="71"/>
      <c r="E90" s="3" t="s">
        <v>59</v>
      </c>
      <c r="F90" s="28">
        <v>7.1</v>
      </c>
      <c r="G90" s="28">
        <v>0</v>
      </c>
      <c r="H90" s="28">
        <f>ROUND(F90*AO90,2)</f>
        <v>0</v>
      </c>
      <c r="I90" s="28">
        <f>ROUND(F90*AP90,2)</f>
        <v>0</v>
      </c>
      <c r="J90" s="28">
        <f>ROUND(F90*G90,2)</f>
        <v>0</v>
      </c>
      <c r="K90" s="29" t="s">
        <v>60</v>
      </c>
      <c r="Z90" s="28">
        <f>ROUND(IF(AQ90="5",BJ90,0),2)</f>
        <v>0</v>
      </c>
      <c r="AB90" s="28">
        <f>ROUND(IF(AQ90="1",BH90,0),2)</f>
        <v>0</v>
      </c>
      <c r="AC90" s="28">
        <f>ROUND(IF(AQ90="1",BI90,0),2)</f>
        <v>0</v>
      </c>
      <c r="AD90" s="28">
        <f>ROUND(IF(AQ90="7",BH90,0),2)</f>
        <v>0</v>
      </c>
      <c r="AE90" s="28">
        <f>ROUND(IF(AQ90="7",BI90,0),2)</f>
        <v>0</v>
      </c>
      <c r="AF90" s="28">
        <f>ROUND(IF(AQ90="2",BH90,0),2)</f>
        <v>0</v>
      </c>
      <c r="AG90" s="28">
        <f>ROUND(IF(AQ90="2",BI90,0),2)</f>
        <v>0</v>
      </c>
      <c r="AH90" s="28">
        <f>ROUND(IF(AQ90="0",BJ90,0),2)</f>
        <v>0</v>
      </c>
      <c r="AI90" s="10" t="s">
        <v>55</v>
      </c>
      <c r="AJ90" s="28">
        <f>IF(AN90=0,J90,0)</f>
        <v>0</v>
      </c>
      <c r="AK90" s="28">
        <f>IF(AN90=12,J90,0)</f>
        <v>0</v>
      </c>
      <c r="AL90" s="28">
        <f>IF(AN90=21,J90,0)</f>
        <v>0</v>
      </c>
      <c r="AN90" s="28">
        <v>21</v>
      </c>
      <c r="AO90" s="28">
        <f>G90*0.676544336</f>
        <v>0</v>
      </c>
      <c r="AP90" s="28">
        <f>G90*(1-0.676544336)</f>
        <v>0</v>
      </c>
      <c r="AQ90" s="30" t="s">
        <v>56</v>
      </c>
      <c r="AV90" s="28">
        <f>ROUND(AW90+AX90,2)</f>
        <v>0</v>
      </c>
      <c r="AW90" s="28">
        <f>ROUND(F90*AO90,2)</f>
        <v>0</v>
      </c>
      <c r="AX90" s="28">
        <f>ROUND(F90*AP90,2)</f>
        <v>0</v>
      </c>
      <c r="AY90" s="30" t="s">
        <v>206</v>
      </c>
      <c r="AZ90" s="30" t="s">
        <v>207</v>
      </c>
      <c r="BA90" s="10" t="s">
        <v>63</v>
      </c>
      <c r="BC90" s="28">
        <f>AW90+AX90</f>
        <v>0</v>
      </c>
      <c r="BD90" s="28">
        <f>G90/(100-BE90)*100</f>
        <v>0</v>
      </c>
      <c r="BE90" s="28">
        <v>0</v>
      </c>
      <c r="BF90" s="28">
        <f>90</f>
        <v>90</v>
      </c>
      <c r="BH90" s="28">
        <f>F90*AO90</f>
        <v>0</v>
      </c>
      <c r="BI90" s="28">
        <f>F90*AP90</f>
        <v>0</v>
      </c>
      <c r="BJ90" s="28">
        <f>F90*G90</f>
        <v>0</v>
      </c>
      <c r="BK90" s="28"/>
      <c r="BL90" s="28">
        <v>21</v>
      </c>
      <c r="BW90" s="28">
        <v>21</v>
      </c>
      <c r="BX90" s="4" t="s">
        <v>205</v>
      </c>
    </row>
    <row r="91" spans="1:76" x14ac:dyDescent="0.25">
      <c r="A91" s="31"/>
      <c r="C91" s="32" t="s">
        <v>208</v>
      </c>
      <c r="D91" s="32" t="s">
        <v>209</v>
      </c>
      <c r="F91" s="33">
        <v>7.1</v>
      </c>
      <c r="K91" s="34"/>
    </row>
    <row r="92" spans="1:76" x14ac:dyDescent="0.25">
      <c r="A92" s="2" t="s">
        <v>85</v>
      </c>
      <c r="B92" s="3" t="s">
        <v>210</v>
      </c>
      <c r="C92" s="76" t="s">
        <v>211</v>
      </c>
      <c r="D92" s="71"/>
      <c r="E92" s="3" t="s">
        <v>188</v>
      </c>
      <c r="F92" s="28">
        <v>71</v>
      </c>
      <c r="G92" s="28">
        <v>0</v>
      </c>
      <c r="H92" s="28">
        <f>ROUND(F92*AO92,2)</f>
        <v>0</v>
      </c>
      <c r="I92" s="28">
        <f>ROUND(F92*AP92,2)</f>
        <v>0</v>
      </c>
      <c r="J92" s="28">
        <f>ROUND(F92*G92,2)</f>
        <v>0</v>
      </c>
      <c r="K92" s="29" t="s">
        <v>60</v>
      </c>
      <c r="Z92" s="28">
        <f>ROUND(IF(AQ92="5",BJ92,0),2)</f>
        <v>0</v>
      </c>
      <c r="AB92" s="28">
        <f>ROUND(IF(AQ92="1",BH92,0),2)</f>
        <v>0</v>
      </c>
      <c r="AC92" s="28">
        <f>ROUND(IF(AQ92="1",BI92,0),2)</f>
        <v>0</v>
      </c>
      <c r="AD92" s="28">
        <f>ROUND(IF(AQ92="7",BH92,0),2)</f>
        <v>0</v>
      </c>
      <c r="AE92" s="28">
        <f>ROUND(IF(AQ92="7",BI92,0),2)</f>
        <v>0</v>
      </c>
      <c r="AF92" s="28">
        <f>ROUND(IF(AQ92="2",BH92,0),2)</f>
        <v>0</v>
      </c>
      <c r="AG92" s="28">
        <f>ROUND(IF(AQ92="2",BI92,0),2)</f>
        <v>0</v>
      </c>
      <c r="AH92" s="28">
        <f>ROUND(IF(AQ92="0",BJ92,0),2)</f>
        <v>0</v>
      </c>
      <c r="AI92" s="10" t="s">
        <v>55</v>
      </c>
      <c r="AJ92" s="28">
        <f>IF(AN92=0,J92,0)</f>
        <v>0</v>
      </c>
      <c r="AK92" s="28">
        <f>IF(AN92=12,J92,0)</f>
        <v>0</v>
      </c>
      <c r="AL92" s="28">
        <f>IF(AN92=21,J92,0)</f>
        <v>0</v>
      </c>
      <c r="AN92" s="28">
        <v>21</v>
      </c>
      <c r="AO92" s="28">
        <f>G92*0</f>
        <v>0</v>
      </c>
      <c r="AP92" s="28">
        <f>G92*(1-0)</f>
        <v>0</v>
      </c>
      <c r="AQ92" s="30" t="s">
        <v>56</v>
      </c>
      <c r="AV92" s="28">
        <f>ROUND(AW92+AX92,2)</f>
        <v>0</v>
      </c>
      <c r="AW92" s="28">
        <f>ROUND(F92*AO92,2)</f>
        <v>0</v>
      </c>
      <c r="AX92" s="28">
        <f>ROUND(F92*AP92,2)</f>
        <v>0</v>
      </c>
      <c r="AY92" s="30" t="s">
        <v>206</v>
      </c>
      <c r="AZ92" s="30" t="s">
        <v>207</v>
      </c>
      <c r="BA92" s="10" t="s">
        <v>63</v>
      </c>
      <c r="BC92" s="28">
        <f>AW92+AX92</f>
        <v>0</v>
      </c>
      <c r="BD92" s="28">
        <f>G92/(100-BE92)*100</f>
        <v>0</v>
      </c>
      <c r="BE92" s="28">
        <v>0</v>
      </c>
      <c r="BF92" s="28">
        <f>92</f>
        <v>92</v>
      </c>
      <c r="BH92" s="28">
        <f>F92*AO92</f>
        <v>0</v>
      </c>
      <c r="BI92" s="28">
        <f>F92*AP92</f>
        <v>0</v>
      </c>
      <c r="BJ92" s="28">
        <f>F92*G92</f>
        <v>0</v>
      </c>
      <c r="BK92" s="28"/>
      <c r="BL92" s="28">
        <v>21</v>
      </c>
      <c r="BW92" s="28">
        <v>21</v>
      </c>
      <c r="BX92" s="4" t="s">
        <v>211</v>
      </c>
    </row>
    <row r="93" spans="1:76" x14ac:dyDescent="0.25">
      <c r="A93" s="31"/>
      <c r="C93" s="32" t="s">
        <v>212</v>
      </c>
      <c r="D93" s="32" t="s">
        <v>51</v>
      </c>
      <c r="F93" s="33">
        <v>71</v>
      </c>
      <c r="K93" s="34"/>
    </row>
    <row r="94" spans="1:76" x14ac:dyDescent="0.25">
      <c r="A94" s="2" t="s">
        <v>213</v>
      </c>
      <c r="B94" s="3" t="s">
        <v>214</v>
      </c>
      <c r="C94" s="76" t="s">
        <v>215</v>
      </c>
      <c r="D94" s="71"/>
      <c r="E94" s="3" t="s">
        <v>103</v>
      </c>
      <c r="F94" s="28">
        <v>127.8</v>
      </c>
      <c r="G94" s="28">
        <v>0</v>
      </c>
      <c r="H94" s="28">
        <f>ROUND(F94*AO94,2)</f>
        <v>0</v>
      </c>
      <c r="I94" s="28">
        <f>ROUND(F94*AP94,2)</f>
        <v>0</v>
      </c>
      <c r="J94" s="28">
        <f>ROUND(F94*G94,2)</f>
        <v>0</v>
      </c>
      <c r="K94" s="29" t="s">
        <v>60</v>
      </c>
      <c r="Z94" s="28">
        <f>ROUND(IF(AQ94="5",BJ94,0),2)</f>
        <v>0</v>
      </c>
      <c r="AB94" s="28">
        <f>ROUND(IF(AQ94="1",BH94,0),2)</f>
        <v>0</v>
      </c>
      <c r="AC94" s="28">
        <f>ROUND(IF(AQ94="1",BI94,0),2)</f>
        <v>0</v>
      </c>
      <c r="AD94" s="28">
        <f>ROUND(IF(AQ94="7",BH94,0),2)</f>
        <v>0</v>
      </c>
      <c r="AE94" s="28">
        <f>ROUND(IF(AQ94="7",BI94,0),2)</f>
        <v>0</v>
      </c>
      <c r="AF94" s="28">
        <f>ROUND(IF(AQ94="2",BH94,0),2)</f>
        <v>0</v>
      </c>
      <c r="AG94" s="28">
        <f>ROUND(IF(AQ94="2",BI94,0),2)</f>
        <v>0</v>
      </c>
      <c r="AH94" s="28">
        <f>ROUND(IF(AQ94="0",BJ94,0),2)</f>
        <v>0</v>
      </c>
      <c r="AI94" s="10" t="s">
        <v>55</v>
      </c>
      <c r="AJ94" s="28">
        <f>IF(AN94=0,J94,0)</f>
        <v>0</v>
      </c>
      <c r="AK94" s="28">
        <f>IF(AN94=12,J94,0)</f>
        <v>0</v>
      </c>
      <c r="AL94" s="28">
        <f>IF(AN94=21,J94,0)</f>
        <v>0</v>
      </c>
      <c r="AN94" s="28">
        <v>21</v>
      </c>
      <c r="AO94" s="28">
        <f>G94*0.142986121</f>
        <v>0</v>
      </c>
      <c r="AP94" s="28">
        <f>G94*(1-0.142986121)</f>
        <v>0</v>
      </c>
      <c r="AQ94" s="30" t="s">
        <v>56</v>
      </c>
      <c r="AV94" s="28">
        <f>ROUND(AW94+AX94,2)</f>
        <v>0</v>
      </c>
      <c r="AW94" s="28">
        <f>ROUND(F94*AO94,2)</f>
        <v>0</v>
      </c>
      <c r="AX94" s="28">
        <f>ROUND(F94*AP94,2)</f>
        <v>0</v>
      </c>
      <c r="AY94" s="30" t="s">
        <v>206</v>
      </c>
      <c r="AZ94" s="30" t="s">
        <v>207</v>
      </c>
      <c r="BA94" s="10" t="s">
        <v>63</v>
      </c>
      <c r="BC94" s="28">
        <f>AW94+AX94</f>
        <v>0</v>
      </c>
      <c r="BD94" s="28">
        <f>G94/(100-BE94)*100</f>
        <v>0</v>
      </c>
      <c r="BE94" s="28">
        <v>0</v>
      </c>
      <c r="BF94" s="28">
        <f>94</f>
        <v>94</v>
      </c>
      <c r="BH94" s="28">
        <f>F94*AO94</f>
        <v>0</v>
      </c>
      <c r="BI94" s="28">
        <f>F94*AP94</f>
        <v>0</v>
      </c>
      <c r="BJ94" s="28">
        <f>F94*G94</f>
        <v>0</v>
      </c>
      <c r="BK94" s="28"/>
      <c r="BL94" s="28">
        <v>21</v>
      </c>
      <c r="BW94" s="28">
        <v>21</v>
      </c>
      <c r="BX94" s="4" t="s">
        <v>215</v>
      </c>
    </row>
    <row r="95" spans="1:76" x14ac:dyDescent="0.25">
      <c r="A95" s="31"/>
      <c r="C95" s="32" t="s">
        <v>216</v>
      </c>
      <c r="D95" s="32" t="s">
        <v>51</v>
      </c>
      <c r="F95" s="33">
        <v>127.8</v>
      </c>
      <c r="K95" s="34"/>
    </row>
    <row r="96" spans="1:76" x14ac:dyDescent="0.25">
      <c r="A96" s="24" t="s">
        <v>51</v>
      </c>
      <c r="B96" s="25" t="s">
        <v>217</v>
      </c>
      <c r="C96" s="87" t="s">
        <v>218</v>
      </c>
      <c r="D96" s="88"/>
      <c r="E96" s="26" t="s">
        <v>4</v>
      </c>
      <c r="F96" s="26" t="s">
        <v>4</v>
      </c>
      <c r="G96" s="26" t="s">
        <v>4</v>
      </c>
      <c r="H96" s="1">
        <f>SUM(H97:H100)</f>
        <v>0</v>
      </c>
      <c r="I96" s="1">
        <f>SUM(I97:I100)</f>
        <v>0</v>
      </c>
      <c r="J96" s="1">
        <f>SUM(J97:J100)</f>
        <v>0</v>
      </c>
      <c r="K96" s="27" t="s">
        <v>51</v>
      </c>
      <c r="AI96" s="10" t="s">
        <v>55</v>
      </c>
      <c r="AS96" s="1">
        <f>SUM(AJ97:AJ100)</f>
        <v>0</v>
      </c>
      <c r="AT96" s="1">
        <f>SUM(AK97:AK100)</f>
        <v>0</v>
      </c>
      <c r="AU96" s="1">
        <f>SUM(AL97:AL100)</f>
        <v>0</v>
      </c>
    </row>
    <row r="97" spans="1:76" x14ac:dyDescent="0.25">
      <c r="A97" s="2" t="s">
        <v>217</v>
      </c>
      <c r="B97" s="3" t="s">
        <v>219</v>
      </c>
      <c r="C97" s="76" t="s">
        <v>220</v>
      </c>
      <c r="D97" s="71"/>
      <c r="E97" s="3" t="s">
        <v>59</v>
      </c>
      <c r="F97" s="28">
        <v>9.9499999999999993</v>
      </c>
      <c r="G97" s="28">
        <v>0</v>
      </c>
      <c r="H97" s="28">
        <f>ROUND(F97*AO97,2)</f>
        <v>0</v>
      </c>
      <c r="I97" s="28">
        <f>ROUND(F97*AP97,2)</f>
        <v>0</v>
      </c>
      <c r="J97" s="28">
        <f>ROUND(F97*G97,2)</f>
        <v>0</v>
      </c>
      <c r="K97" s="29" t="s">
        <v>60</v>
      </c>
      <c r="Z97" s="28">
        <f>ROUND(IF(AQ97="5",BJ97,0),2)</f>
        <v>0</v>
      </c>
      <c r="AB97" s="28">
        <f>ROUND(IF(AQ97="1",BH97,0),2)</f>
        <v>0</v>
      </c>
      <c r="AC97" s="28">
        <f>ROUND(IF(AQ97="1",BI97,0),2)</f>
        <v>0</v>
      </c>
      <c r="AD97" s="28">
        <f>ROUND(IF(AQ97="7",BH97,0),2)</f>
        <v>0</v>
      </c>
      <c r="AE97" s="28">
        <f>ROUND(IF(AQ97="7",BI97,0),2)</f>
        <v>0</v>
      </c>
      <c r="AF97" s="28">
        <f>ROUND(IF(AQ97="2",BH97,0),2)</f>
        <v>0</v>
      </c>
      <c r="AG97" s="28">
        <f>ROUND(IF(AQ97="2",BI97,0),2)</f>
        <v>0</v>
      </c>
      <c r="AH97" s="28">
        <f>ROUND(IF(AQ97="0",BJ97,0),2)</f>
        <v>0</v>
      </c>
      <c r="AI97" s="10" t="s">
        <v>55</v>
      </c>
      <c r="AJ97" s="28">
        <f>IF(AN97=0,J97,0)</f>
        <v>0</v>
      </c>
      <c r="AK97" s="28">
        <f>IF(AN97=12,J97,0)</f>
        <v>0</v>
      </c>
      <c r="AL97" s="28">
        <f>IF(AN97=21,J97,0)</f>
        <v>0</v>
      </c>
      <c r="AN97" s="28">
        <v>21</v>
      </c>
      <c r="AO97" s="28">
        <f>G97*0</f>
        <v>0</v>
      </c>
      <c r="AP97" s="28">
        <f>G97*(1-0)</f>
        <v>0</v>
      </c>
      <c r="AQ97" s="30" t="s">
        <v>56</v>
      </c>
      <c r="AV97" s="28">
        <f>ROUND(AW97+AX97,2)</f>
        <v>0</v>
      </c>
      <c r="AW97" s="28">
        <f>ROUND(F97*AO97,2)</f>
        <v>0</v>
      </c>
      <c r="AX97" s="28">
        <f>ROUND(F97*AP97,2)</f>
        <v>0</v>
      </c>
      <c r="AY97" s="30" t="s">
        <v>221</v>
      </c>
      <c r="AZ97" s="30" t="s">
        <v>207</v>
      </c>
      <c r="BA97" s="10" t="s">
        <v>63</v>
      </c>
      <c r="BC97" s="28">
        <f>AW97+AX97</f>
        <v>0</v>
      </c>
      <c r="BD97" s="28">
        <f>G97/(100-BE97)*100</f>
        <v>0</v>
      </c>
      <c r="BE97" s="28">
        <v>0</v>
      </c>
      <c r="BF97" s="28">
        <f>97</f>
        <v>97</v>
      </c>
      <c r="BH97" s="28">
        <f>F97*AO97</f>
        <v>0</v>
      </c>
      <c r="BI97" s="28">
        <f>F97*AP97</f>
        <v>0</v>
      </c>
      <c r="BJ97" s="28">
        <f>F97*G97</f>
        <v>0</v>
      </c>
      <c r="BK97" s="28"/>
      <c r="BL97" s="28">
        <v>24</v>
      </c>
      <c r="BW97" s="28">
        <v>21</v>
      </c>
      <c r="BX97" s="4" t="s">
        <v>220</v>
      </c>
    </row>
    <row r="98" spans="1:76" ht="13.5" customHeight="1" x14ac:dyDescent="0.25">
      <c r="A98" s="31"/>
      <c r="B98" s="35" t="s">
        <v>105</v>
      </c>
      <c r="C98" s="97" t="s">
        <v>222</v>
      </c>
      <c r="D98" s="98"/>
      <c r="E98" s="98"/>
      <c r="F98" s="98"/>
      <c r="G98" s="98"/>
      <c r="H98" s="98"/>
      <c r="I98" s="98"/>
      <c r="J98" s="98"/>
      <c r="K98" s="99"/>
    </row>
    <row r="99" spans="1:76" x14ac:dyDescent="0.25">
      <c r="A99" s="31"/>
      <c r="C99" s="32" t="s">
        <v>223</v>
      </c>
      <c r="D99" s="32" t="s">
        <v>51</v>
      </c>
      <c r="F99" s="33">
        <v>9.9499999999999993</v>
      </c>
      <c r="K99" s="34"/>
    </row>
    <row r="100" spans="1:76" x14ac:dyDescent="0.25">
      <c r="A100" s="2" t="s">
        <v>224</v>
      </c>
      <c r="B100" s="3" t="s">
        <v>225</v>
      </c>
      <c r="C100" s="76" t="s">
        <v>226</v>
      </c>
      <c r="D100" s="71"/>
      <c r="E100" s="3" t="s">
        <v>201</v>
      </c>
      <c r="F100" s="28">
        <v>25</v>
      </c>
      <c r="G100" s="28">
        <v>0</v>
      </c>
      <c r="H100" s="28">
        <f>ROUND(F100*AO100,2)</f>
        <v>0</v>
      </c>
      <c r="I100" s="28">
        <f>ROUND(F100*AP100,2)</f>
        <v>0</v>
      </c>
      <c r="J100" s="28">
        <f>ROUND(F100*G100,2)</f>
        <v>0</v>
      </c>
      <c r="K100" s="29" t="s">
        <v>60</v>
      </c>
      <c r="Z100" s="28">
        <f>ROUND(IF(AQ100="5",BJ100,0),2)</f>
        <v>0</v>
      </c>
      <c r="AB100" s="28">
        <f>ROUND(IF(AQ100="1",BH100,0),2)</f>
        <v>0</v>
      </c>
      <c r="AC100" s="28">
        <f>ROUND(IF(AQ100="1",BI100,0),2)</f>
        <v>0</v>
      </c>
      <c r="AD100" s="28">
        <f>ROUND(IF(AQ100="7",BH100,0),2)</f>
        <v>0</v>
      </c>
      <c r="AE100" s="28">
        <f>ROUND(IF(AQ100="7",BI100,0),2)</f>
        <v>0</v>
      </c>
      <c r="AF100" s="28">
        <f>ROUND(IF(AQ100="2",BH100,0),2)</f>
        <v>0</v>
      </c>
      <c r="AG100" s="28">
        <f>ROUND(IF(AQ100="2",BI100,0),2)</f>
        <v>0</v>
      </c>
      <c r="AH100" s="28">
        <f>ROUND(IF(AQ100="0",BJ100,0),2)</f>
        <v>0</v>
      </c>
      <c r="AI100" s="10" t="s">
        <v>55</v>
      </c>
      <c r="AJ100" s="28">
        <f>IF(AN100=0,J100,0)</f>
        <v>0</v>
      </c>
      <c r="AK100" s="28">
        <f>IF(AN100=12,J100,0)</f>
        <v>0</v>
      </c>
      <c r="AL100" s="28">
        <f>IF(AN100=21,J100,0)</f>
        <v>0</v>
      </c>
      <c r="AN100" s="28">
        <v>21</v>
      </c>
      <c r="AO100" s="28">
        <f>G100*1</f>
        <v>0</v>
      </c>
      <c r="AP100" s="28">
        <f>G100*(1-1)</f>
        <v>0</v>
      </c>
      <c r="AQ100" s="30" t="s">
        <v>56</v>
      </c>
      <c r="AV100" s="28">
        <f>ROUND(AW100+AX100,2)</f>
        <v>0</v>
      </c>
      <c r="AW100" s="28">
        <f>ROUND(F100*AO100,2)</f>
        <v>0</v>
      </c>
      <c r="AX100" s="28">
        <f>ROUND(F100*AP100,2)</f>
        <v>0</v>
      </c>
      <c r="AY100" s="30" t="s">
        <v>221</v>
      </c>
      <c r="AZ100" s="30" t="s">
        <v>207</v>
      </c>
      <c r="BA100" s="10" t="s">
        <v>63</v>
      </c>
      <c r="BC100" s="28">
        <f>AW100+AX100</f>
        <v>0</v>
      </c>
      <c r="BD100" s="28">
        <f>G100/(100-BE100)*100</f>
        <v>0</v>
      </c>
      <c r="BE100" s="28">
        <v>0</v>
      </c>
      <c r="BF100" s="28">
        <f>100</f>
        <v>100</v>
      </c>
      <c r="BH100" s="28">
        <f>F100*AO100</f>
        <v>0</v>
      </c>
      <c r="BI100" s="28">
        <f>F100*AP100</f>
        <v>0</v>
      </c>
      <c r="BJ100" s="28">
        <f>F100*G100</f>
        <v>0</v>
      </c>
      <c r="BK100" s="28"/>
      <c r="BL100" s="28">
        <v>24</v>
      </c>
      <c r="BW100" s="28">
        <v>21</v>
      </c>
      <c r="BX100" s="4" t="s">
        <v>226</v>
      </c>
    </row>
    <row r="101" spans="1:76" x14ac:dyDescent="0.25">
      <c r="A101" s="31"/>
      <c r="C101" s="32" t="s">
        <v>227</v>
      </c>
      <c r="D101" s="32" t="s">
        <v>228</v>
      </c>
      <c r="F101" s="33">
        <v>25</v>
      </c>
      <c r="K101" s="34"/>
    </row>
    <row r="102" spans="1:76" x14ac:dyDescent="0.25">
      <c r="A102" s="24" t="s">
        <v>51</v>
      </c>
      <c r="B102" s="25" t="s">
        <v>229</v>
      </c>
      <c r="C102" s="87" t="s">
        <v>230</v>
      </c>
      <c r="D102" s="88"/>
      <c r="E102" s="26" t="s">
        <v>4</v>
      </c>
      <c r="F102" s="26" t="s">
        <v>4</v>
      </c>
      <c r="G102" s="26" t="s">
        <v>4</v>
      </c>
      <c r="H102" s="1">
        <f>SUM(H103:H103)</f>
        <v>0</v>
      </c>
      <c r="I102" s="1">
        <f>SUM(I103:I103)</f>
        <v>0</v>
      </c>
      <c r="J102" s="1">
        <f>SUM(J103:J103)</f>
        <v>0</v>
      </c>
      <c r="K102" s="27" t="s">
        <v>51</v>
      </c>
      <c r="AI102" s="10" t="s">
        <v>55</v>
      </c>
      <c r="AS102" s="1">
        <f>SUM(AJ103:AJ103)</f>
        <v>0</v>
      </c>
      <c r="AT102" s="1">
        <f>SUM(AK103:AK103)</f>
        <v>0</v>
      </c>
      <c r="AU102" s="1">
        <f>SUM(AL103:AL103)</f>
        <v>0</v>
      </c>
    </row>
    <row r="103" spans="1:76" x14ac:dyDescent="0.25">
      <c r="A103" s="2" t="s">
        <v>231</v>
      </c>
      <c r="B103" s="3" t="s">
        <v>232</v>
      </c>
      <c r="C103" s="76" t="s">
        <v>233</v>
      </c>
      <c r="D103" s="71"/>
      <c r="E103" s="3" t="s">
        <v>59</v>
      </c>
      <c r="F103" s="28">
        <v>33.78</v>
      </c>
      <c r="G103" s="28">
        <v>0</v>
      </c>
      <c r="H103" s="28">
        <f>ROUND(F103*AO103,2)</f>
        <v>0</v>
      </c>
      <c r="I103" s="28">
        <f>ROUND(F103*AP103,2)</f>
        <v>0</v>
      </c>
      <c r="J103" s="28">
        <f>ROUND(F103*G103,2)</f>
        <v>0</v>
      </c>
      <c r="K103" s="29" t="s">
        <v>60</v>
      </c>
      <c r="Z103" s="28">
        <f>ROUND(IF(AQ103="5",BJ103,0),2)</f>
        <v>0</v>
      </c>
      <c r="AB103" s="28">
        <f>ROUND(IF(AQ103="1",BH103,0),2)</f>
        <v>0</v>
      </c>
      <c r="AC103" s="28">
        <f>ROUND(IF(AQ103="1",BI103,0),2)</f>
        <v>0</v>
      </c>
      <c r="AD103" s="28">
        <f>ROUND(IF(AQ103="7",BH103,0),2)</f>
        <v>0</v>
      </c>
      <c r="AE103" s="28">
        <f>ROUND(IF(AQ103="7",BI103,0),2)</f>
        <v>0</v>
      </c>
      <c r="AF103" s="28">
        <f>ROUND(IF(AQ103="2",BH103,0),2)</f>
        <v>0</v>
      </c>
      <c r="AG103" s="28">
        <f>ROUND(IF(AQ103="2",BI103,0),2)</f>
        <v>0</v>
      </c>
      <c r="AH103" s="28">
        <f>ROUND(IF(AQ103="0",BJ103,0),2)</f>
        <v>0</v>
      </c>
      <c r="AI103" s="10" t="s">
        <v>55</v>
      </c>
      <c r="AJ103" s="28">
        <f>IF(AN103=0,J103,0)</f>
        <v>0</v>
      </c>
      <c r="AK103" s="28">
        <f>IF(AN103=12,J103,0)</f>
        <v>0</v>
      </c>
      <c r="AL103" s="28">
        <f>IF(AN103=21,J103,0)</f>
        <v>0</v>
      </c>
      <c r="AN103" s="28">
        <v>21</v>
      </c>
      <c r="AO103" s="28">
        <f>G103*0.575763788</f>
        <v>0</v>
      </c>
      <c r="AP103" s="28">
        <f>G103*(1-0.575763788)</f>
        <v>0</v>
      </c>
      <c r="AQ103" s="30" t="s">
        <v>56</v>
      </c>
      <c r="AV103" s="28">
        <f>ROUND(AW103+AX103,2)</f>
        <v>0</v>
      </c>
      <c r="AW103" s="28">
        <f>ROUND(F103*AO103,2)</f>
        <v>0</v>
      </c>
      <c r="AX103" s="28">
        <f>ROUND(F103*AP103,2)</f>
        <v>0</v>
      </c>
      <c r="AY103" s="30" t="s">
        <v>234</v>
      </c>
      <c r="AZ103" s="30" t="s">
        <v>207</v>
      </c>
      <c r="BA103" s="10" t="s">
        <v>63</v>
      </c>
      <c r="BC103" s="28">
        <f>AW103+AX103</f>
        <v>0</v>
      </c>
      <c r="BD103" s="28">
        <f>G103/(100-BE103)*100</f>
        <v>0</v>
      </c>
      <c r="BE103" s="28">
        <v>0</v>
      </c>
      <c r="BF103" s="28">
        <f>103</f>
        <v>103</v>
      </c>
      <c r="BH103" s="28">
        <f>F103*AO103</f>
        <v>0</v>
      </c>
      <c r="BI103" s="28">
        <f>F103*AP103</f>
        <v>0</v>
      </c>
      <c r="BJ103" s="28">
        <f>F103*G103</f>
        <v>0</v>
      </c>
      <c r="BK103" s="28"/>
      <c r="BL103" s="28">
        <v>27</v>
      </c>
      <c r="BW103" s="28">
        <v>21</v>
      </c>
      <c r="BX103" s="4" t="s">
        <v>233</v>
      </c>
    </row>
    <row r="104" spans="1:76" x14ac:dyDescent="0.25">
      <c r="A104" s="31"/>
      <c r="C104" s="32" t="s">
        <v>235</v>
      </c>
      <c r="D104" s="32" t="s">
        <v>236</v>
      </c>
      <c r="F104" s="33">
        <v>17.579999999999998</v>
      </c>
      <c r="K104" s="34"/>
    </row>
    <row r="105" spans="1:76" x14ac:dyDescent="0.25">
      <c r="A105" s="31"/>
      <c r="C105" s="32" t="s">
        <v>237</v>
      </c>
      <c r="D105" s="32" t="s">
        <v>238</v>
      </c>
      <c r="F105" s="33">
        <v>13.2</v>
      </c>
      <c r="K105" s="34"/>
    </row>
    <row r="106" spans="1:76" x14ac:dyDescent="0.25">
      <c r="A106" s="31"/>
      <c r="C106" s="32" t="s">
        <v>239</v>
      </c>
      <c r="D106" s="32" t="s">
        <v>92</v>
      </c>
      <c r="F106" s="33">
        <v>3</v>
      </c>
      <c r="K106" s="34"/>
    </row>
    <row r="107" spans="1:76" x14ac:dyDescent="0.25">
      <c r="A107" s="24" t="s">
        <v>51</v>
      </c>
      <c r="B107" s="25" t="s">
        <v>240</v>
      </c>
      <c r="C107" s="87" t="s">
        <v>241</v>
      </c>
      <c r="D107" s="88"/>
      <c r="E107" s="26" t="s">
        <v>4</v>
      </c>
      <c r="F107" s="26" t="s">
        <v>4</v>
      </c>
      <c r="G107" s="26" t="s">
        <v>4</v>
      </c>
      <c r="H107" s="1">
        <f>SUM(H108:H108)</f>
        <v>0</v>
      </c>
      <c r="I107" s="1">
        <f>SUM(I108:I108)</f>
        <v>0</v>
      </c>
      <c r="J107" s="1">
        <f>SUM(J108:J108)</f>
        <v>0</v>
      </c>
      <c r="K107" s="27" t="s">
        <v>51</v>
      </c>
      <c r="AI107" s="10" t="s">
        <v>55</v>
      </c>
      <c r="AS107" s="1">
        <f>SUM(AJ108:AJ108)</f>
        <v>0</v>
      </c>
      <c r="AT107" s="1">
        <f>SUM(AK108:AK108)</f>
        <v>0</v>
      </c>
      <c r="AU107" s="1">
        <f>SUM(AL108:AL108)</f>
        <v>0</v>
      </c>
    </row>
    <row r="108" spans="1:76" x14ac:dyDescent="0.25">
      <c r="A108" s="2" t="s">
        <v>229</v>
      </c>
      <c r="B108" s="3" t="s">
        <v>242</v>
      </c>
      <c r="C108" s="76" t="s">
        <v>243</v>
      </c>
      <c r="D108" s="71"/>
      <c r="E108" s="3" t="s">
        <v>188</v>
      </c>
      <c r="F108" s="28">
        <v>3</v>
      </c>
      <c r="G108" s="28">
        <v>0</v>
      </c>
      <c r="H108" s="28">
        <f>ROUND(F108*AO108,2)</f>
        <v>0</v>
      </c>
      <c r="I108" s="28">
        <f>ROUND(F108*AP108,2)</f>
        <v>0</v>
      </c>
      <c r="J108" s="28">
        <f>ROUND(F108*G108,2)</f>
        <v>0</v>
      </c>
      <c r="K108" s="29" t="s">
        <v>60</v>
      </c>
      <c r="Z108" s="28">
        <f>ROUND(IF(AQ108="5",BJ108,0),2)</f>
        <v>0</v>
      </c>
      <c r="AB108" s="28">
        <f>ROUND(IF(AQ108="1",BH108,0),2)</f>
        <v>0</v>
      </c>
      <c r="AC108" s="28">
        <f>ROUND(IF(AQ108="1",BI108,0),2)</f>
        <v>0</v>
      </c>
      <c r="AD108" s="28">
        <f>ROUND(IF(AQ108="7",BH108,0),2)</f>
        <v>0</v>
      </c>
      <c r="AE108" s="28">
        <f>ROUND(IF(AQ108="7",BI108,0),2)</f>
        <v>0</v>
      </c>
      <c r="AF108" s="28">
        <f>ROUND(IF(AQ108="2",BH108,0),2)</f>
        <v>0</v>
      </c>
      <c r="AG108" s="28">
        <f>ROUND(IF(AQ108="2",BI108,0),2)</f>
        <v>0</v>
      </c>
      <c r="AH108" s="28">
        <f>ROUND(IF(AQ108="0",BJ108,0),2)</f>
        <v>0</v>
      </c>
      <c r="AI108" s="10" t="s">
        <v>55</v>
      </c>
      <c r="AJ108" s="28">
        <f>IF(AN108=0,J108,0)</f>
        <v>0</v>
      </c>
      <c r="AK108" s="28">
        <f>IF(AN108=12,J108,0)</f>
        <v>0</v>
      </c>
      <c r="AL108" s="28">
        <f>IF(AN108=21,J108,0)</f>
        <v>0</v>
      </c>
      <c r="AN108" s="28">
        <v>21</v>
      </c>
      <c r="AO108" s="28">
        <f>G108*0</f>
        <v>0</v>
      </c>
      <c r="AP108" s="28">
        <f>G108*(1-0)</f>
        <v>0</v>
      </c>
      <c r="AQ108" s="30" t="s">
        <v>56</v>
      </c>
      <c r="AV108" s="28">
        <f>ROUND(AW108+AX108,2)</f>
        <v>0</v>
      </c>
      <c r="AW108" s="28">
        <f>ROUND(F108*AO108,2)</f>
        <v>0</v>
      </c>
      <c r="AX108" s="28">
        <f>ROUND(F108*AP108,2)</f>
        <v>0</v>
      </c>
      <c r="AY108" s="30" t="s">
        <v>244</v>
      </c>
      <c r="AZ108" s="30" t="s">
        <v>245</v>
      </c>
      <c r="BA108" s="10" t="s">
        <v>63</v>
      </c>
      <c r="BC108" s="28">
        <f>AW108+AX108</f>
        <v>0</v>
      </c>
      <c r="BD108" s="28">
        <f>G108/(100-BE108)*100</f>
        <v>0</v>
      </c>
      <c r="BE108" s="28">
        <v>0</v>
      </c>
      <c r="BF108" s="28">
        <f>108</f>
        <v>108</v>
      </c>
      <c r="BH108" s="28">
        <f>F108*AO108</f>
        <v>0</v>
      </c>
      <c r="BI108" s="28">
        <f>F108*AP108</f>
        <v>0</v>
      </c>
      <c r="BJ108" s="28">
        <f>F108*G108</f>
        <v>0</v>
      </c>
      <c r="BK108" s="28"/>
      <c r="BL108" s="28">
        <v>31</v>
      </c>
      <c r="BW108" s="28">
        <v>21</v>
      </c>
      <c r="BX108" s="4" t="s">
        <v>243</v>
      </c>
    </row>
    <row r="109" spans="1:76" ht="13.5" customHeight="1" x14ac:dyDescent="0.25">
      <c r="A109" s="31"/>
      <c r="B109" s="35" t="s">
        <v>105</v>
      </c>
      <c r="C109" s="97" t="s">
        <v>246</v>
      </c>
      <c r="D109" s="98"/>
      <c r="E109" s="98"/>
      <c r="F109" s="98"/>
      <c r="G109" s="98"/>
      <c r="H109" s="98"/>
      <c r="I109" s="98"/>
      <c r="J109" s="98"/>
      <c r="K109" s="99"/>
    </row>
    <row r="110" spans="1:76" ht="38.25" x14ac:dyDescent="0.25">
      <c r="A110" s="31"/>
      <c r="B110" s="35" t="s">
        <v>68</v>
      </c>
      <c r="C110" s="94" t="s">
        <v>247</v>
      </c>
      <c r="D110" s="95"/>
      <c r="E110" s="95"/>
      <c r="F110" s="95"/>
      <c r="G110" s="95"/>
      <c r="H110" s="95"/>
      <c r="I110" s="95"/>
      <c r="J110" s="95"/>
      <c r="K110" s="96"/>
      <c r="BX110" s="36" t="s">
        <v>247</v>
      </c>
    </row>
    <row r="111" spans="1:76" x14ac:dyDescent="0.25">
      <c r="A111" s="24" t="s">
        <v>51</v>
      </c>
      <c r="B111" s="25" t="s">
        <v>248</v>
      </c>
      <c r="C111" s="87" t="s">
        <v>249</v>
      </c>
      <c r="D111" s="88"/>
      <c r="E111" s="26" t="s">
        <v>4</v>
      </c>
      <c r="F111" s="26" t="s">
        <v>4</v>
      </c>
      <c r="G111" s="26" t="s">
        <v>4</v>
      </c>
      <c r="H111" s="1">
        <f>SUM(H112:H124)</f>
        <v>0</v>
      </c>
      <c r="I111" s="1">
        <f>SUM(I112:I124)</f>
        <v>0</v>
      </c>
      <c r="J111" s="1">
        <f>SUM(J112:J124)</f>
        <v>0</v>
      </c>
      <c r="K111" s="27" t="s">
        <v>51</v>
      </c>
      <c r="AI111" s="10" t="s">
        <v>55</v>
      </c>
      <c r="AS111" s="1">
        <f>SUM(AJ112:AJ124)</f>
        <v>0</v>
      </c>
      <c r="AT111" s="1">
        <f>SUM(AK112:AK124)</f>
        <v>0</v>
      </c>
      <c r="AU111" s="1">
        <f>SUM(AL112:AL124)</f>
        <v>0</v>
      </c>
    </row>
    <row r="112" spans="1:76" x14ac:dyDescent="0.25">
      <c r="A112" s="2" t="s">
        <v>250</v>
      </c>
      <c r="B112" s="3" t="s">
        <v>251</v>
      </c>
      <c r="C112" s="76" t="s">
        <v>252</v>
      </c>
      <c r="D112" s="71"/>
      <c r="E112" s="3" t="s">
        <v>59</v>
      </c>
      <c r="F112" s="28">
        <v>96.52</v>
      </c>
      <c r="G112" s="28">
        <v>0</v>
      </c>
      <c r="H112" s="28">
        <f>ROUND(F112*AO112,2)</f>
        <v>0</v>
      </c>
      <c r="I112" s="28">
        <f>ROUND(F112*AP112,2)</f>
        <v>0</v>
      </c>
      <c r="J112" s="28">
        <f>ROUND(F112*G112,2)</f>
        <v>0</v>
      </c>
      <c r="K112" s="29" t="s">
        <v>60</v>
      </c>
      <c r="Z112" s="28">
        <f>ROUND(IF(AQ112="5",BJ112,0),2)</f>
        <v>0</v>
      </c>
      <c r="AB112" s="28">
        <f>ROUND(IF(AQ112="1",BH112,0),2)</f>
        <v>0</v>
      </c>
      <c r="AC112" s="28">
        <f>ROUND(IF(AQ112="1",BI112,0),2)</f>
        <v>0</v>
      </c>
      <c r="AD112" s="28">
        <f>ROUND(IF(AQ112="7",BH112,0),2)</f>
        <v>0</v>
      </c>
      <c r="AE112" s="28">
        <f>ROUND(IF(AQ112="7",BI112,0),2)</f>
        <v>0</v>
      </c>
      <c r="AF112" s="28">
        <f>ROUND(IF(AQ112="2",BH112,0),2)</f>
        <v>0</v>
      </c>
      <c r="AG112" s="28">
        <f>ROUND(IF(AQ112="2",BI112,0),2)</f>
        <v>0</v>
      </c>
      <c r="AH112" s="28">
        <f>ROUND(IF(AQ112="0",BJ112,0),2)</f>
        <v>0</v>
      </c>
      <c r="AI112" s="10" t="s">
        <v>55</v>
      </c>
      <c r="AJ112" s="28">
        <f>IF(AN112=0,J112,0)</f>
        <v>0</v>
      </c>
      <c r="AK112" s="28">
        <f>IF(AN112=12,J112,0)</f>
        <v>0</v>
      </c>
      <c r="AL112" s="28">
        <f>IF(AN112=21,J112,0)</f>
        <v>0</v>
      </c>
      <c r="AN112" s="28">
        <v>21</v>
      </c>
      <c r="AO112" s="28">
        <f>G112*0.950009172</f>
        <v>0</v>
      </c>
      <c r="AP112" s="28">
        <f>G112*(1-0.950009172)</f>
        <v>0</v>
      </c>
      <c r="AQ112" s="30" t="s">
        <v>56</v>
      </c>
      <c r="AV112" s="28">
        <f>ROUND(AW112+AX112,2)</f>
        <v>0</v>
      </c>
      <c r="AW112" s="28">
        <f>ROUND(F112*AO112,2)</f>
        <v>0</v>
      </c>
      <c r="AX112" s="28">
        <f>ROUND(F112*AP112,2)</f>
        <v>0</v>
      </c>
      <c r="AY112" s="30" t="s">
        <v>253</v>
      </c>
      <c r="AZ112" s="30" t="s">
        <v>245</v>
      </c>
      <c r="BA112" s="10" t="s">
        <v>63</v>
      </c>
      <c r="BC112" s="28">
        <f>AW112+AX112</f>
        <v>0</v>
      </c>
      <c r="BD112" s="28">
        <f>G112/(100-BE112)*100</f>
        <v>0</v>
      </c>
      <c r="BE112" s="28">
        <v>0</v>
      </c>
      <c r="BF112" s="28">
        <f>112</f>
        <v>112</v>
      </c>
      <c r="BH112" s="28">
        <f>F112*AO112</f>
        <v>0</v>
      </c>
      <c r="BI112" s="28">
        <f>F112*AP112</f>
        <v>0</v>
      </c>
      <c r="BJ112" s="28">
        <f>F112*G112</f>
        <v>0</v>
      </c>
      <c r="BK112" s="28"/>
      <c r="BL112" s="28">
        <v>32</v>
      </c>
      <c r="BW112" s="28">
        <v>21</v>
      </c>
      <c r="BX112" s="4" t="s">
        <v>252</v>
      </c>
    </row>
    <row r="113" spans="1:76" x14ac:dyDescent="0.25">
      <c r="A113" s="31"/>
      <c r="C113" s="32" t="s">
        <v>254</v>
      </c>
      <c r="D113" s="32" t="s">
        <v>255</v>
      </c>
      <c r="F113" s="33">
        <v>39.549999999999997</v>
      </c>
      <c r="K113" s="34"/>
    </row>
    <row r="114" spans="1:76" x14ac:dyDescent="0.25">
      <c r="A114" s="31"/>
      <c r="C114" s="32" t="s">
        <v>256</v>
      </c>
      <c r="D114" s="32" t="s">
        <v>257</v>
      </c>
      <c r="F114" s="33">
        <v>29.7</v>
      </c>
      <c r="K114" s="34"/>
    </row>
    <row r="115" spans="1:76" x14ac:dyDescent="0.25">
      <c r="A115" s="31"/>
      <c r="C115" s="32" t="s">
        <v>258</v>
      </c>
      <c r="D115" s="32" t="s">
        <v>92</v>
      </c>
      <c r="F115" s="33">
        <v>6.75</v>
      </c>
      <c r="K115" s="34"/>
    </row>
    <row r="116" spans="1:76" x14ac:dyDescent="0.25">
      <c r="A116" s="31"/>
      <c r="C116" s="32" t="s">
        <v>259</v>
      </c>
      <c r="D116" s="32" t="s">
        <v>260</v>
      </c>
      <c r="F116" s="33">
        <v>20.52</v>
      </c>
      <c r="K116" s="34"/>
    </row>
    <row r="117" spans="1:76" x14ac:dyDescent="0.25">
      <c r="A117" s="2" t="s">
        <v>261</v>
      </c>
      <c r="B117" s="3" t="s">
        <v>262</v>
      </c>
      <c r="C117" s="76" t="s">
        <v>263</v>
      </c>
      <c r="D117" s="71"/>
      <c r="E117" s="3" t="s">
        <v>103</v>
      </c>
      <c r="F117" s="28">
        <v>337.8</v>
      </c>
      <c r="G117" s="28">
        <v>0</v>
      </c>
      <c r="H117" s="28">
        <f>ROUND(F117*AO117,2)</f>
        <v>0</v>
      </c>
      <c r="I117" s="28">
        <f>ROUND(F117*AP117,2)</f>
        <v>0</v>
      </c>
      <c r="J117" s="28">
        <f>ROUND(F117*G117,2)</f>
        <v>0</v>
      </c>
      <c r="K117" s="29" t="s">
        <v>60</v>
      </c>
      <c r="Z117" s="28">
        <f>ROUND(IF(AQ117="5",BJ117,0),2)</f>
        <v>0</v>
      </c>
      <c r="AB117" s="28">
        <f>ROUND(IF(AQ117="1",BH117,0),2)</f>
        <v>0</v>
      </c>
      <c r="AC117" s="28">
        <f>ROUND(IF(AQ117="1",BI117,0),2)</f>
        <v>0</v>
      </c>
      <c r="AD117" s="28">
        <f>ROUND(IF(AQ117="7",BH117,0),2)</f>
        <v>0</v>
      </c>
      <c r="AE117" s="28">
        <f>ROUND(IF(AQ117="7",BI117,0),2)</f>
        <v>0</v>
      </c>
      <c r="AF117" s="28">
        <f>ROUND(IF(AQ117="2",BH117,0),2)</f>
        <v>0</v>
      </c>
      <c r="AG117" s="28">
        <f>ROUND(IF(AQ117="2",BI117,0),2)</f>
        <v>0</v>
      </c>
      <c r="AH117" s="28">
        <f>ROUND(IF(AQ117="0",BJ117,0),2)</f>
        <v>0</v>
      </c>
      <c r="AI117" s="10" t="s">
        <v>55</v>
      </c>
      <c r="AJ117" s="28">
        <f>IF(AN117=0,J117,0)</f>
        <v>0</v>
      </c>
      <c r="AK117" s="28">
        <f>IF(AN117=12,J117,0)</f>
        <v>0</v>
      </c>
      <c r="AL117" s="28">
        <f>IF(AN117=21,J117,0)</f>
        <v>0</v>
      </c>
      <c r="AN117" s="28">
        <v>21</v>
      </c>
      <c r="AO117" s="28">
        <f>G117*0.374752565</f>
        <v>0</v>
      </c>
      <c r="AP117" s="28">
        <f>G117*(1-0.374752565)</f>
        <v>0</v>
      </c>
      <c r="AQ117" s="30" t="s">
        <v>56</v>
      </c>
      <c r="AV117" s="28">
        <f>ROUND(AW117+AX117,2)</f>
        <v>0</v>
      </c>
      <c r="AW117" s="28">
        <f>ROUND(F117*AO117,2)</f>
        <v>0</v>
      </c>
      <c r="AX117" s="28">
        <f>ROUND(F117*AP117,2)</f>
        <v>0</v>
      </c>
      <c r="AY117" s="30" t="s">
        <v>253</v>
      </c>
      <c r="AZ117" s="30" t="s">
        <v>245</v>
      </c>
      <c r="BA117" s="10" t="s">
        <v>63</v>
      </c>
      <c r="BC117" s="28">
        <f>AW117+AX117</f>
        <v>0</v>
      </c>
      <c r="BD117" s="28">
        <f>G117/(100-BE117)*100</f>
        <v>0</v>
      </c>
      <c r="BE117" s="28">
        <v>0</v>
      </c>
      <c r="BF117" s="28">
        <f>117</f>
        <v>117</v>
      </c>
      <c r="BH117" s="28">
        <f>F117*AO117</f>
        <v>0</v>
      </c>
      <c r="BI117" s="28">
        <f>F117*AP117</f>
        <v>0</v>
      </c>
      <c r="BJ117" s="28">
        <f>F117*G117</f>
        <v>0</v>
      </c>
      <c r="BK117" s="28"/>
      <c r="BL117" s="28">
        <v>32</v>
      </c>
      <c r="BW117" s="28">
        <v>21</v>
      </c>
      <c r="BX117" s="4" t="s">
        <v>263</v>
      </c>
    </row>
    <row r="118" spans="1:76" x14ac:dyDescent="0.25">
      <c r="A118" s="31"/>
      <c r="C118" s="32" t="s">
        <v>264</v>
      </c>
      <c r="D118" s="32" t="s">
        <v>255</v>
      </c>
      <c r="F118" s="33">
        <v>175.8</v>
      </c>
      <c r="K118" s="34"/>
    </row>
    <row r="119" spans="1:76" x14ac:dyDescent="0.25">
      <c r="A119" s="31"/>
      <c r="C119" s="32" t="s">
        <v>265</v>
      </c>
      <c r="D119" s="32" t="s">
        <v>257</v>
      </c>
      <c r="F119" s="33">
        <v>132</v>
      </c>
      <c r="K119" s="34"/>
    </row>
    <row r="120" spans="1:76" x14ac:dyDescent="0.25">
      <c r="A120" s="31"/>
      <c r="C120" s="32" t="s">
        <v>266</v>
      </c>
      <c r="D120" s="32" t="s">
        <v>92</v>
      </c>
      <c r="F120" s="33">
        <v>30</v>
      </c>
      <c r="K120" s="34"/>
    </row>
    <row r="121" spans="1:76" x14ac:dyDescent="0.25">
      <c r="A121" s="2" t="s">
        <v>267</v>
      </c>
      <c r="B121" s="3" t="s">
        <v>268</v>
      </c>
      <c r="C121" s="76" t="s">
        <v>269</v>
      </c>
      <c r="D121" s="71"/>
      <c r="E121" s="3" t="s">
        <v>103</v>
      </c>
      <c r="F121" s="28">
        <v>337.8</v>
      </c>
      <c r="G121" s="28">
        <v>0</v>
      </c>
      <c r="H121" s="28">
        <f>ROUND(F121*AO121,2)</f>
        <v>0</v>
      </c>
      <c r="I121" s="28">
        <f>ROUND(F121*AP121,2)</f>
        <v>0</v>
      </c>
      <c r="J121" s="28">
        <f>ROUND(F121*G121,2)</f>
        <v>0</v>
      </c>
      <c r="K121" s="29" t="s">
        <v>60</v>
      </c>
      <c r="Z121" s="28">
        <f>ROUND(IF(AQ121="5",BJ121,0),2)</f>
        <v>0</v>
      </c>
      <c r="AB121" s="28">
        <f>ROUND(IF(AQ121="1",BH121,0),2)</f>
        <v>0</v>
      </c>
      <c r="AC121" s="28">
        <f>ROUND(IF(AQ121="1",BI121,0),2)</f>
        <v>0</v>
      </c>
      <c r="AD121" s="28">
        <f>ROUND(IF(AQ121="7",BH121,0),2)</f>
        <v>0</v>
      </c>
      <c r="AE121" s="28">
        <f>ROUND(IF(AQ121="7",BI121,0),2)</f>
        <v>0</v>
      </c>
      <c r="AF121" s="28">
        <f>ROUND(IF(AQ121="2",BH121,0),2)</f>
        <v>0</v>
      </c>
      <c r="AG121" s="28">
        <f>ROUND(IF(AQ121="2",BI121,0),2)</f>
        <v>0</v>
      </c>
      <c r="AH121" s="28">
        <f>ROUND(IF(AQ121="0",BJ121,0),2)</f>
        <v>0</v>
      </c>
      <c r="AI121" s="10" t="s">
        <v>55</v>
      </c>
      <c r="AJ121" s="28">
        <f>IF(AN121=0,J121,0)</f>
        <v>0</v>
      </c>
      <c r="AK121" s="28">
        <f>IF(AN121=12,J121,0)</f>
        <v>0</v>
      </c>
      <c r="AL121" s="28">
        <f>IF(AN121=21,J121,0)</f>
        <v>0</v>
      </c>
      <c r="AN121" s="28">
        <v>21</v>
      </c>
      <c r="AO121" s="28">
        <f>G121*0</f>
        <v>0</v>
      </c>
      <c r="AP121" s="28">
        <f>G121*(1-0)</f>
        <v>0</v>
      </c>
      <c r="AQ121" s="30" t="s">
        <v>56</v>
      </c>
      <c r="AV121" s="28">
        <f>ROUND(AW121+AX121,2)</f>
        <v>0</v>
      </c>
      <c r="AW121" s="28">
        <f>ROUND(F121*AO121,2)</f>
        <v>0</v>
      </c>
      <c r="AX121" s="28">
        <f>ROUND(F121*AP121,2)</f>
        <v>0</v>
      </c>
      <c r="AY121" s="30" t="s">
        <v>253</v>
      </c>
      <c r="AZ121" s="30" t="s">
        <v>245</v>
      </c>
      <c r="BA121" s="10" t="s">
        <v>63</v>
      </c>
      <c r="BC121" s="28">
        <f>AW121+AX121</f>
        <v>0</v>
      </c>
      <c r="BD121" s="28">
        <f>G121/(100-BE121)*100</f>
        <v>0</v>
      </c>
      <c r="BE121" s="28">
        <v>0</v>
      </c>
      <c r="BF121" s="28">
        <f>121</f>
        <v>121</v>
      </c>
      <c r="BH121" s="28">
        <f>F121*AO121</f>
        <v>0</v>
      </c>
      <c r="BI121" s="28">
        <f>F121*AP121</f>
        <v>0</v>
      </c>
      <c r="BJ121" s="28">
        <f>F121*G121</f>
        <v>0</v>
      </c>
      <c r="BK121" s="28"/>
      <c r="BL121" s="28">
        <v>32</v>
      </c>
      <c r="BW121" s="28">
        <v>21</v>
      </c>
      <c r="BX121" s="4" t="s">
        <v>269</v>
      </c>
    </row>
    <row r="122" spans="1:76" x14ac:dyDescent="0.25">
      <c r="A122" s="2" t="s">
        <v>240</v>
      </c>
      <c r="B122" s="3" t="s">
        <v>270</v>
      </c>
      <c r="C122" s="76" t="s">
        <v>271</v>
      </c>
      <c r="D122" s="71"/>
      <c r="E122" s="3" t="s">
        <v>201</v>
      </c>
      <c r="F122" s="28">
        <v>9.6</v>
      </c>
      <c r="G122" s="28">
        <v>0</v>
      </c>
      <c r="H122" s="28">
        <f>ROUND(F122*AO122,2)</f>
        <v>0</v>
      </c>
      <c r="I122" s="28">
        <f>ROUND(F122*AP122,2)</f>
        <v>0</v>
      </c>
      <c r="J122" s="28">
        <f>ROUND(F122*G122,2)</f>
        <v>0</v>
      </c>
      <c r="K122" s="29" t="s">
        <v>60</v>
      </c>
      <c r="Z122" s="28">
        <f>ROUND(IF(AQ122="5",BJ122,0),2)</f>
        <v>0</v>
      </c>
      <c r="AB122" s="28">
        <f>ROUND(IF(AQ122="1",BH122,0),2)</f>
        <v>0</v>
      </c>
      <c r="AC122" s="28">
        <f>ROUND(IF(AQ122="1",BI122,0),2)</f>
        <v>0</v>
      </c>
      <c r="AD122" s="28">
        <f>ROUND(IF(AQ122="7",BH122,0),2)</f>
        <v>0</v>
      </c>
      <c r="AE122" s="28">
        <f>ROUND(IF(AQ122="7",BI122,0),2)</f>
        <v>0</v>
      </c>
      <c r="AF122" s="28">
        <f>ROUND(IF(AQ122="2",BH122,0),2)</f>
        <v>0</v>
      </c>
      <c r="AG122" s="28">
        <f>ROUND(IF(AQ122="2",BI122,0),2)</f>
        <v>0</v>
      </c>
      <c r="AH122" s="28">
        <f>ROUND(IF(AQ122="0",BJ122,0),2)</f>
        <v>0</v>
      </c>
      <c r="AI122" s="10" t="s">
        <v>55</v>
      </c>
      <c r="AJ122" s="28">
        <f>IF(AN122=0,J122,0)</f>
        <v>0</v>
      </c>
      <c r="AK122" s="28">
        <f>IF(AN122=12,J122,0)</f>
        <v>0</v>
      </c>
      <c r="AL122" s="28">
        <f>IF(AN122=21,J122,0)</f>
        <v>0</v>
      </c>
      <c r="AN122" s="28">
        <v>21</v>
      </c>
      <c r="AO122" s="28">
        <f>G122*0.551966004</f>
        <v>0</v>
      </c>
      <c r="AP122" s="28">
        <f>G122*(1-0.551966004)</f>
        <v>0</v>
      </c>
      <c r="AQ122" s="30" t="s">
        <v>56</v>
      </c>
      <c r="AV122" s="28">
        <f>ROUND(AW122+AX122,2)</f>
        <v>0</v>
      </c>
      <c r="AW122" s="28">
        <f>ROUND(F122*AO122,2)</f>
        <v>0</v>
      </c>
      <c r="AX122" s="28">
        <f>ROUND(F122*AP122,2)</f>
        <v>0</v>
      </c>
      <c r="AY122" s="30" t="s">
        <v>253</v>
      </c>
      <c r="AZ122" s="30" t="s">
        <v>245</v>
      </c>
      <c r="BA122" s="10" t="s">
        <v>63</v>
      </c>
      <c r="BC122" s="28">
        <f>AW122+AX122</f>
        <v>0</v>
      </c>
      <c r="BD122" s="28">
        <f>G122/(100-BE122)*100</f>
        <v>0</v>
      </c>
      <c r="BE122" s="28">
        <v>0</v>
      </c>
      <c r="BF122" s="28">
        <f>122</f>
        <v>122</v>
      </c>
      <c r="BH122" s="28">
        <f>F122*AO122</f>
        <v>0</v>
      </c>
      <c r="BI122" s="28">
        <f>F122*AP122</f>
        <v>0</v>
      </c>
      <c r="BJ122" s="28">
        <f>F122*G122</f>
        <v>0</v>
      </c>
      <c r="BK122" s="28"/>
      <c r="BL122" s="28">
        <v>32</v>
      </c>
      <c r="BW122" s="28">
        <v>21</v>
      </c>
      <c r="BX122" s="4" t="s">
        <v>271</v>
      </c>
    </row>
    <row r="123" spans="1:76" x14ac:dyDescent="0.25">
      <c r="A123" s="31"/>
      <c r="C123" s="32" t="s">
        <v>272</v>
      </c>
      <c r="D123" s="32" t="s">
        <v>273</v>
      </c>
      <c r="F123" s="33">
        <v>9.6</v>
      </c>
      <c r="K123" s="34"/>
    </row>
    <row r="124" spans="1:76" x14ac:dyDescent="0.25">
      <c r="A124" s="2" t="s">
        <v>248</v>
      </c>
      <c r="B124" s="3" t="s">
        <v>274</v>
      </c>
      <c r="C124" s="76" t="s">
        <v>275</v>
      </c>
      <c r="D124" s="71"/>
      <c r="E124" s="3" t="s">
        <v>59</v>
      </c>
      <c r="F124" s="28">
        <v>11</v>
      </c>
      <c r="G124" s="28">
        <v>0</v>
      </c>
      <c r="H124" s="28">
        <f>ROUND(F124*AO124,2)</f>
        <v>0</v>
      </c>
      <c r="I124" s="28">
        <f>ROUND(F124*AP124,2)</f>
        <v>0</v>
      </c>
      <c r="J124" s="28">
        <f>ROUND(F124*G124,2)</f>
        <v>0</v>
      </c>
      <c r="K124" s="29" t="s">
        <v>60</v>
      </c>
      <c r="Z124" s="28">
        <f>ROUND(IF(AQ124="5",BJ124,0),2)</f>
        <v>0</v>
      </c>
      <c r="AB124" s="28">
        <f>ROUND(IF(AQ124="1",BH124,0),2)</f>
        <v>0</v>
      </c>
      <c r="AC124" s="28">
        <f>ROUND(IF(AQ124="1",BI124,0),2)</f>
        <v>0</v>
      </c>
      <c r="AD124" s="28">
        <f>ROUND(IF(AQ124="7",BH124,0),2)</f>
        <v>0</v>
      </c>
      <c r="AE124" s="28">
        <f>ROUND(IF(AQ124="7",BI124,0),2)</f>
        <v>0</v>
      </c>
      <c r="AF124" s="28">
        <f>ROUND(IF(AQ124="2",BH124,0),2)</f>
        <v>0</v>
      </c>
      <c r="AG124" s="28">
        <f>ROUND(IF(AQ124="2",BI124,0),2)</f>
        <v>0</v>
      </c>
      <c r="AH124" s="28">
        <f>ROUND(IF(AQ124="0",BJ124,0),2)</f>
        <v>0</v>
      </c>
      <c r="AI124" s="10" t="s">
        <v>55</v>
      </c>
      <c r="AJ124" s="28">
        <f>IF(AN124=0,J124,0)</f>
        <v>0</v>
      </c>
      <c r="AK124" s="28">
        <f>IF(AN124=12,J124,0)</f>
        <v>0</v>
      </c>
      <c r="AL124" s="28">
        <f>IF(AN124=21,J124,0)</f>
        <v>0</v>
      </c>
      <c r="AN124" s="28">
        <v>21</v>
      </c>
      <c r="AO124" s="28">
        <f>G124*0.505799148</f>
        <v>0</v>
      </c>
      <c r="AP124" s="28">
        <f>G124*(1-0.505799148)</f>
        <v>0</v>
      </c>
      <c r="AQ124" s="30" t="s">
        <v>56</v>
      </c>
      <c r="AV124" s="28">
        <f>ROUND(AW124+AX124,2)</f>
        <v>0</v>
      </c>
      <c r="AW124" s="28">
        <f>ROUND(F124*AO124,2)</f>
        <v>0</v>
      </c>
      <c r="AX124" s="28">
        <f>ROUND(F124*AP124,2)</f>
        <v>0</v>
      </c>
      <c r="AY124" s="30" t="s">
        <v>253</v>
      </c>
      <c r="AZ124" s="30" t="s">
        <v>245</v>
      </c>
      <c r="BA124" s="10" t="s">
        <v>63</v>
      </c>
      <c r="BC124" s="28">
        <f>AW124+AX124</f>
        <v>0</v>
      </c>
      <c r="BD124" s="28">
        <f>G124/(100-BE124)*100</f>
        <v>0</v>
      </c>
      <c r="BE124" s="28">
        <v>0</v>
      </c>
      <c r="BF124" s="28">
        <f>124</f>
        <v>124</v>
      </c>
      <c r="BH124" s="28">
        <f>F124*AO124</f>
        <v>0</v>
      </c>
      <c r="BI124" s="28">
        <f>F124*AP124</f>
        <v>0</v>
      </c>
      <c r="BJ124" s="28">
        <f>F124*G124</f>
        <v>0</v>
      </c>
      <c r="BK124" s="28"/>
      <c r="BL124" s="28">
        <v>32</v>
      </c>
      <c r="BW124" s="28">
        <v>21</v>
      </c>
      <c r="BX124" s="4" t="s">
        <v>275</v>
      </c>
    </row>
    <row r="125" spans="1:76" ht="13.5" customHeight="1" x14ac:dyDescent="0.25">
      <c r="A125" s="31"/>
      <c r="B125" s="35" t="s">
        <v>105</v>
      </c>
      <c r="C125" s="97" t="s">
        <v>276</v>
      </c>
      <c r="D125" s="98"/>
      <c r="E125" s="98"/>
      <c r="F125" s="98"/>
      <c r="G125" s="98"/>
      <c r="H125" s="98"/>
      <c r="I125" s="98"/>
      <c r="J125" s="98"/>
      <c r="K125" s="99"/>
    </row>
    <row r="126" spans="1:76" x14ac:dyDescent="0.25">
      <c r="A126" s="31"/>
      <c r="C126" s="32" t="s">
        <v>277</v>
      </c>
      <c r="D126" s="32" t="s">
        <v>278</v>
      </c>
      <c r="F126" s="33">
        <v>11</v>
      </c>
      <c r="K126" s="34"/>
    </row>
    <row r="127" spans="1:76" x14ac:dyDescent="0.25">
      <c r="A127" s="24" t="s">
        <v>51</v>
      </c>
      <c r="B127" s="25" t="s">
        <v>279</v>
      </c>
      <c r="C127" s="87" t="s">
        <v>280</v>
      </c>
      <c r="D127" s="88"/>
      <c r="E127" s="26" t="s">
        <v>4</v>
      </c>
      <c r="F127" s="26" t="s">
        <v>4</v>
      </c>
      <c r="G127" s="26" t="s">
        <v>4</v>
      </c>
      <c r="H127" s="1">
        <f>SUM(H128:H137)</f>
        <v>0</v>
      </c>
      <c r="I127" s="1">
        <f>SUM(I128:I137)</f>
        <v>0</v>
      </c>
      <c r="J127" s="1">
        <f>SUM(J128:J137)</f>
        <v>0</v>
      </c>
      <c r="K127" s="27" t="s">
        <v>51</v>
      </c>
      <c r="AI127" s="10" t="s">
        <v>55</v>
      </c>
      <c r="AS127" s="1">
        <f>SUM(AJ128:AJ137)</f>
        <v>0</v>
      </c>
      <c r="AT127" s="1">
        <f>SUM(AK128:AK137)</f>
        <v>0</v>
      </c>
      <c r="AU127" s="1">
        <f>SUM(AL128:AL137)</f>
        <v>0</v>
      </c>
    </row>
    <row r="128" spans="1:76" x14ac:dyDescent="0.25">
      <c r="A128" s="2" t="s">
        <v>281</v>
      </c>
      <c r="B128" s="3" t="s">
        <v>282</v>
      </c>
      <c r="C128" s="76" t="s">
        <v>283</v>
      </c>
      <c r="D128" s="71"/>
      <c r="E128" s="3" t="s">
        <v>59</v>
      </c>
      <c r="F128" s="28">
        <v>9.6300000000000008</v>
      </c>
      <c r="G128" s="28">
        <v>0</v>
      </c>
      <c r="H128" s="28">
        <f>ROUND(F128*AO128,2)</f>
        <v>0</v>
      </c>
      <c r="I128" s="28">
        <f>ROUND(F128*AP128,2)</f>
        <v>0</v>
      </c>
      <c r="J128" s="28">
        <f>ROUND(F128*G128,2)</f>
        <v>0</v>
      </c>
      <c r="K128" s="29" t="s">
        <v>60</v>
      </c>
      <c r="Z128" s="28">
        <f>ROUND(IF(AQ128="5",BJ128,0),2)</f>
        <v>0</v>
      </c>
      <c r="AB128" s="28">
        <f>ROUND(IF(AQ128="1",BH128,0),2)</f>
        <v>0</v>
      </c>
      <c r="AC128" s="28">
        <f>ROUND(IF(AQ128="1",BI128,0),2)</f>
        <v>0</v>
      </c>
      <c r="AD128" s="28">
        <f>ROUND(IF(AQ128="7",BH128,0),2)</f>
        <v>0</v>
      </c>
      <c r="AE128" s="28">
        <f>ROUND(IF(AQ128="7",BI128,0),2)</f>
        <v>0</v>
      </c>
      <c r="AF128" s="28">
        <f>ROUND(IF(AQ128="2",BH128,0),2)</f>
        <v>0</v>
      </c>
      <c r="AG128" s="28">
        <f>ROUND(IF(AQ128="2",BI128,0),2)</f>
        <v>0</v>
      </c>
      <c r="AH128" s="28">
        <f>ROUND(IF(AQ128="0",BJ128,0),2)</f>
        <v>0</v>
      </c>
      <c r="AI128" s="10" t="s">
        <v>55</v>
      </c>
      <c r="AJ128" s="28">
        <f>IF(AN128=0,J128,0)</f>
        <v>0</v>
      </c>
      <c r="AK128" s="28">
        <f>IF(AN128=12,J128,0)</f>
        <v>0</v>
      </c>
      <c r="AL128" s="28">
        <f>IF(AN128=21,J128,0)</f>
        <v>0</v>
      </c>
      <c r="AN128" s="28">
        <v>21</v>
      </c>
      <c r="AO128" s="28">
        <f>G128*0.499491349</f>
        <v>0</v>
      </c>
      <c r="AP128" s="28">
        <f>G128*(1-0.499491349)</f>
        <v>0</v>
      </c>
      <c r="AQ128" s="30" t="s">
        <v>56</v>
      </c>
      <c r="AV128" s="28">
        <f>ROUND(AW128+AX128,2)</f>
        <v>0</v>
      </c>
      <c r="AW128" s="28">
        <f>ROUND(F128*AO128,2)</f>
        <v>0</v>
      </c>
      <c r="AX128" s="28">
        <f>ROUND(F128*AP128,2)</f>
        <v>0</v>
      </c>
      <c r="AY128" s="30" t="s">
        <v>284</v>
      </c>
      <c r="AZ128" s="30" t="s">
        <v>285</v>
      </c>
      <c r="BA128" s="10" t="s">
        <v>63</v>
      </c>
      <c r="BC128" s="28">
        <f>AW128+AX128</f>
        <v>0</v>
      </c>
      <c r="BD128" s="28">
        <f>G128/(100-BE128)*100</f>
        <v>0</v>
      </c>
      <c r="BE128" s="28">
        <v>0</v>
      </c>
      <c r="BF128" s="28">
        <f>128</f>
        <v>128</v>
      </c>
      <c r="BH128" s="28">
        <f>F128*AO128</f>
        <v>0</v>
      </c>
      <c r="BI128" s="28">
        <f>F128*AP128</f>
        <v>0</v>
      </c>
      <c r="BJ128" s="28">
        <f>F128*G128</f>
        <v>0</v>
      </c>
      <c r="BK128" s="28"/>
      <c r="BL128" s="28">
        <v>45</v>
      </c>
      <c r="BW128" s="28">
        <v>21</v>
      </c>
      <c r="BX128" s="4" t="s">
        <v>283</v>
      </c>
    </row>
    <row r="129" spans="1:76" ht="13.5" customHeight="1" x14ac:dyDescent="0.25">
      <c r="A129" s="31"/>
      <c r="B129" s="35" t="s">
        <v>105</v>
      </c>
      <c r="C129" s="97" t="s">
        <v>286</v>
      </c>
      <c r="D129" s="98"/>
      <c r="E129" s="98"/>
      <c r="F129" s="98"/>
      <c r="G129" s="98"/>
      <c r="H129" s="98"/>
      <c r="I129" s="98"/>
      <c r="J129" s="98"/>
      <c r="K129" s="99"/>
    </row>
    <row r="130" spans="1:76" x14ac:dyDescent="0.25">
      <c r="A130" s="31"/>
      <c r="C130" s="32" t="s">
        <v>287</v>
      </c>
      <c r="D130" s="32" t="s">
        <v>108</v>
      </c>
      <c r="F130" s="33">
        <v>7.74</v>
      </c>
      <c r="K130" s="34"/>
    </row>
    <row r="131" spans="1:76" x14ac:dyDescent="0.25">
      <c r="A131" s="31"/>
      <c r="C131" s="32" t="s">
        <v>288</v>
      </c>
      <c r="D131" s="32" t="s">
        <v>110</v>
      </c>
      <c r="F131" s="33">
        <v>1.89</v>
      </c>
      <c r="K131" s="34"/>
    </row>
    <row r="132" spans="1:76" ht="38.25" x14ac:dyDescent="0.25">
      <c r="A132" s="31"/>
      <c r="B132" s="35" t="s">
        <v>68</v>
      </c>
      <c r="C132" s="94" t="s">
        <v>289</v>
      </c>
      <c r="D132" s="95"/>
      <c r="E132" s="95"/>
      <c r="F132" s="95"/>
      <c r="G132" s="95"/>
      <c r="H132" s="95"/>
      <c r="I132" s="95"/>
      <c r="J132" s="95"/>
      <c r="K132" s="96"/>
      <c r="BX132" s="36" t="s">
        <v>289</v>
      </c>
    </row>
    <row r="133" spans="1:76" x14ac:dyDescent="0.25">
      <c r="A133" s="2" t="s">
        <v>290</v>
      </c>
      <c r="B133" s="3" t="s">
        <v>291</v>
      </c>
      <c r="C133" s="76" t="s">
        <v>292</v>
      </c>
      <c r="D133" s="71"/>
      <c r="E133" s="3" t="s">
        <v>293</v>
      </c>
      <c r="F133" s="28">
        <v>3</v>
      </c>
      <c r="G133" s="28">
        <v>0</v>
      </c>
      <c r="H133" s="28">
        <f>ROUND(F133*AO133,2)</f>
        <v>0</v>
      </c>
      <c r="I133" s="28">
        <f>ROUND(F133*AP133,2)</f>
        <v>0</v>
      </c>
      <c r="J133" s="28">
        <f>ROUND(F133*G133,2)</f>
        <v>0</v>
      </c>
      <c r="K133" s="29" t="s">
        <v>60</v>
      </c>
      <c r="Z133" s="28">
        <f>ROUND(IF(AQ133="5",BJ133,0),2)</f>
        <v>0</v>
      </c>
      <c r="AB133" s="28">
        <f>ROUND(IF(AQ133="1",BH133,0),2)</f>
        <v>0</v>
      </c>
      <c r="AC133" s="28">
        <f>ROUND(IF(AQ133="1",BI133,0),2)</f>
        <v>0</v>
      </c>
      <c r="AD133" s="28">
        <f>ROUND(IF(AQ133="7",BH133,0),2)</f>
        <v>0</v>
      </c>
      <c r="AE133" s="28">
        <f>ROUND(IF(AQ133="7",BI133,0),2)</f>
        <v>0</v>
      </c>
      <c r="AF133" s="28">
        <f>ROUND(IF(AQ133="2",BH133,0),2)</f>
        <v>0</v>
      </c>
      <c r="AG133" s="28">
        <f>ROUND(IF(AQ133="2",BI133,0),2)</f>
        <v>0</v>
      </c>
      <c r="AH133" s="28">
        <f>ROUND(IF(AQ133="0",BJ133,0),2)</f>
        <v>0</v>
      </c>
      <c r="AI133" s="10" t="s">
        <v>55</v>
      </c>
      <c r="AJ133" s="28">
        <f>IF(AN133=0,J133,0)</f>
        <v>0</v>
      </c>
      <c r="AK133" s="28">
        <f>IF(AN133=12,J133,0)</f>
        <v>0</v>
      </c>
      <c r="AL133" s="28">
        <f>IF(AN133=21,J133,0)</f>
        <v>0</v>
      </c>
      <c r="AN133" s="28">
        <v>21</v>
      </c>
      <c r="AO133" s="28">
        <f>G133*0.280506706</f>
        <v>0</v>
      </c>
      <c r="AP133" s="28">
        <f>G133*(1-0.280506706)</f>
        <v>0</v>
      </c>
      <c r="AQ133" s="30" t="s">
        <v>56</v>
      </c>
      <c r="AV133" s="28">
        <f>ROUND(AW133+AX133,2)</f>
        <v>0</v>
      </c>
      <c r="AW133" s="28">
        <f>ROUND(F133*AO133,2)</f>
        <v>0</v>
      </c>
      <c r="AX133" s="28">
        <f>ROUND(F133*AP133,2)</f>
        <v>0</v>
      </c>
      <c r="AY133" s="30" t="s">
        <v>284</v>
      </c>
      <c r="AZ133" s="30" t="s">
        <v>285</v>
      </c>
      <c r="BA133" s="10" t="s">
        <v>63</v>
      </c>
      <c r="BC133" s="28">
        <f>AW133+AX133</f>
        <v>0</v>
      </c>
      <c r="BD133" s="28">
        <f>G133/(100-BE133)*100</f>
        <v>0</v>
      </c>
      <c r="BE133" s="28">
        <v>0</v>
      </c>
      <c r="BF133" s="28">
        <f>133</f>
        <v>133</v>
      </c>
      <c r="BH133" s="28">
        <f>F133*AO133</f>
        <v>0</v>
      </c>
      <c r="BI133" s="28">
        <f>F133*AP133</f>
        <v>0</v>
      </c>
      <c r="BJ133" s="28">
        <f>F133*G133</f>
        <v>0</v>
      </c>
      <c r="BK133" s="28"/>
      <c r="BL133" s="28">
        <v>45</v>
      </c>
      <c r="BW133" s="28">
        <v>21</v>
      </c>
      <c r="BX133" s="4" t="s">
        <v>292</v>
      </c>
    </row>
    <row r="134" spans="1:76" ht="25.5" x14ac:dyDescent="0.25">
      <c r="A134" s="31"/>
      <c r="B134" s="35" t="s">
        <v>68</v>
      </c>
      <c r="C134" s="94" t="s">
        <v>294</v>
      </c>
      <c r="D134" s="95"/>
      <c r="E134" s="95"/>
      <c r="F134" s="95"/>
      <c r="G134" s="95"/>
      <c r="H134" s="95"/>
      <c r="I134" s="95"/>
      <c r="J134" s="95"/>
      <c r="K134" s="96"/>
      <c r="BX134" s="36" t="s">
        <v>294</v>
      </c>
    </row>
    <row r="135" spans="1:76" x14ac:dyDescent="0.25">
      <c r="A135" s="2" t="s">
        <v>295</v>
      </c>
      <c r="B135" s="3" t="s">
        <v>296</v>
      </c>
      <c r="C135" s="76" t="s">
        <v>297</v>
      </c>
      <c r="D135" s="71"/>
      <c r="E135" s="3" t="s">
        <v>293</v>
      </c>
      <c r="F135" s="28">
        <v>1</v>
      </c>
      <c r="G135" s="28">
        <v>0</v>
      </c>
      <c r="H135" s="28">
        <f>ROUND(F135*AO135,2)</f>
        <v>0</v>
      </c>
      <c r="I135" s="28">
        <f>ROUND(F135*AP135,2)</f>
        <v>0</v>
      </c>
      <c r="J135" s="28">
        <f>ROUND(F135*G135,2)</f>
        <v>0</v>
      </c>
      <c r="K135" s="29" t="s">
        <v>60</v>
      </c>
      <c r="Z135" s="28">
        <f>ROUND(IF(AQ135="5",BJ135,0),2)</f>
        <v>0</v>
      </c>
      <c r="AB135" s="28">
        <f>ROUND(IF(AQ135="1",BH135,0),2)</f>
        <v>0</v>
      </c>
      <c r="AC135" s="28">
        <f>ROUND(IF(AQ135="1",BI135,0),2)</f>
        <v>0</v>
      </c>
      <c r="AD135" s="28">
        <f>ROUND(IF(AQ135="7",BH135,0),2)</f>
        <v>0</v>
      </c>
      <c r="AE135" s="28">
        <f>ROUND(IF(AQ135="7",BI135,0),2)</f>
        <v>0</v>
      </c>
      <c r="AF135" s="28">
        <f>ROUND(IF(AQ135="2",BH135,0),2)</f>
        <v>0</v>
      </c>
      <c r="AG135" s="28">
        <f>ROUND(IF(AQ135="2",BI135,0),2)</f>
        <v>0</v>
      </c>
      <c r="AH135" s="28">
        <f>ROUND(IF(AQ135="0",BJ135,0),2)</f>
        <v>0</v>
      </c>
      <c r="AI135" s="10" t="s">
        <v>55</v>
      </c>
      <c r="AJ135" s="28">
        <f>IF(AN135=0,J135,0)</f>
        <v>0</v>
      </c>
      <c r="AK135" s="28">
        <f>IF(AN135=12,J135,0)</f>
        <v>0</v>
      </c>
      <c r="AL135" s="28">
        <f>IF(AN135=21,J135,0)</f>
        <v>0</v>
      </c>
      <c r="AN135" s="28">
        <v>21</v>
      </c>
      <c r="AO135" s="28">
        <f>G135*1</f>
        <v>0</v>
      </c>
      <c r="AP135" s="28">
        <f>G135*(1-1)</f>
        <v>0</v>
      </c>
      <c r="AQ135" s="30" t="s">
        <v>56</v>
      </c>
      <c r="AV135" s="28">
        <f>ROUND(AW135+AX135,2)</f>
        <v>0</v>
      </c>
      <c r="AW135" s="28">
        <f>ROUND(F135*AO135,2)</f>
        <v>0</v>
      </c>
      <c r="AX135" s="28">
        <f>ROUND(F135*AP135,2)</f>
        <v>0</v>
      </c>
      <c r="AY135" s="30" t="s">
        <v>284</v>
      </c>
      <c r="AZ135" s="30" t="s">
        <v>285</v>
      </c>
      <c r="BA135" s="10" t="s">
        <v>63</v>
      </c>
      <c r="BC135" s="28">
        <f>AW135+AX135</f>
        <v>0</v>
      </c>
      <c r="BD135" s="28">
        <f>G135/(100-BE135)*100</f>
        <v>0</v>
      </c>
      <c r="BE135" s="28">
        <v>0</v>
      </c>
      <c r="BF135" s="28">
        <f>135</f>
        <v>135</v>
      </c>
      <c r="BH135" s="28">
        <f>F135*AO135</f>
        <v>0</v>
      </c>
      <c r="BI135" s="28">
        <f>F135*AP135</f>
        <v>0</v>
      </c>
      <c r="BJ135" s="28">
        <f>F135*G135</f>
        <v>0</v>
      </c>
      <c r="BK135" s="28"/>
      <c r="BL135" s="28">
        <v>45</v>
      </c>
      <c r="BW135" s="28">
        <v>21</v>
      </c>
      <c r="BX135" s="4" t="s">
        <v>297</v>
      </c>
    </row>
    <row r="136" spans="1:76" x14ac:dyDescent="0.25">
      <c r="A136" s="2" t="s">
        <v>298</v>
      </c>
      <c r="B136" s="3" t="s">
        <v>299</v>
      </c>
      <c r="C136" s="76" t="s">
        <v>300</v>
      </c>
      <c r="D136" s="71"/>
      <c r="E136" s="3" t="s">
        <v>293</v>
      </c>
      <c r="F136" s="28">
        <v>1</v>
      </c>
      <c r="G136" s="28">
        <v>0</v>
      </c>
      <c r="H136" s="28">
        <f>ROUND(F136*AO136,2)</f>
        <v>0</v>
      </c>
      <c r="I136" s="28">
        <f>ROUND(F136*AP136,2)</f>
        <v>0</v>
      </c>
      <c r="J136" s="28">
        <f>ROUND(F136*G136,2)</f>
        <v>0</v>
      </c>
      <c r="K136" s="29" t="s">
        <v>60</v>
      </c>
      <c r="Z136" s="28">
        <f>ROUND(IF(AQ136="5",BJ136,0),2)</f>
        <v>0</v>
      </c>
      <c r="AB136" s="28">
        <f>ROUND(IF(AQ136="1",BH136,0),2)</f>
        <v>0</v>
      </c>
      <c r="AC136" s="28">
        <f>ROUND(IF(AQ136="1",BI136,0),2)</f>
        <v>0</v>
      </c>
      <c r="AD136" s="28">
        <f>ROUND(IF(AQ136="7",BH136,0),2)</f>
        <v>0</v>
      </c>
      <c r="AE136" s="28">
        <f>ROUND(IF(AQ136="7",BI136,0),2)</f>
        <v>0</v>
      </c>
      <c r="AF136" s="28">
        <f>ROUND(IF(AQ136="2",BH136,0),2)</f>
        <v>0</v>
      </c>
      <c r="AG136" s="28">
        <f>ROUND(IF(AQ136="2",BI136,0),2)</f>
        <v>0</v>
      </c>
      <c r="AH136" s="28">
        <f>ROUND(IF(AQ136="0",BJ136,0),2)</f>
        <v>0</v>
      </c>
      <c r="AI136" s="10" t="s">
        <v>55</v>
      </c>
      <c r="AJ136" s="28">
        <f>IF(AN136=0,J136,0)</f>
        <v>0</v>
      </c>
      <c r="AK136" s="28">
        <f>IF(AN136=12,J136,0)</f>
        <v>0</v>
      </c>
      <c r="AL136" s="28">
        <f>IF(AN136=21,J136,0)</f>
        <v>0</v>
      </c>
      <c r="AN136" s="28">
        <v>21</v>
      </c>
      <c r="AO136" s="28">
        <f>G136*1</f>
        <v>0</v>
      </c>
      <c r="AP136" s="28">
        <f>G136*(1-1)</f>
        <v>0</v>
      </c>
      <c r="AQ136" s="30" t="s">
        <v>56</v>
      </c>
      <c r="AV136" s="28">
        <f>ROUND(AW136+AX136,2)</f>
        <v>0</v>
      </c>
      <c r="AW136" s="28">
        <f>ROUND(F136*AO136,2)</f>
        <v>0</v>
      </c>
      <c r="AX136" s="28">
        <f>ROUND(F136*AP136,2)</f>
        <v>0</v>
      </c>
      <c r="AY136" s="30" t="s">
        <v>284</v>
      </c>
      <c r="AZ136" s="30" t="s">
        <v>285</v>
      </c>
      <c r="BA136" s="10" t="s">
        <v>63</v>
      </c>
      <c r="BC136" s="28">
        <f>AW136+AX136</f>
        <v>0</v>
      </c>
      <c r="BD136" s="28">
        <f>G136/(100-BE136)*100</f>
        <v>0</v>
      </c>
      <c r="BE136" s="28">
        <v>0</v>
      </c>
      <c r="BF136" s="28">
        <f>137</f>
        <v>137</v>
      </c>
      <c r="BH136" s="28">
        <f>F136*AO136</f>
        <v>0</v>
      </c>
      <c r="BI136" s="28">
        <f>F136*AP136</f>
        <v>0</v>
      </c>
      <c r="BJ136" s="28">
        <f>F136*G136</f>
        <v>0</v>
      </c>
      <c r="BK136" s="28"/>
      <c r="BL136" s="28">
        <v>45</v>
      </c>
      <c r="BW136" s="28">
        <v>21</v>
      </c>
      <c r="BX136" s="4" t="s">
        <v>300</v>
      </c>
    </row>
    <row r="137" spans="1:76" x14ac:dyDescent="0.25">
      <c r="A137" s="2" t="s">
        <v>301</v>
      </c>
      <c r="B137" s="3" t="s">
        <v>302</v>
      </c>
      <c r="C137" s="76" t="s">
        <v>303</v>
      </c>
      <c r="D137" s="71"/>
      <c r="E137" s="3" t="s">
        <v>293</v>
      </c>
      <c r="F137" s="28">
        <v>1</v>
      </c>
      <c r="G137" s="28">
        <v>0</v>
      </c>
      <c r="H137" s="28">
        <f>ROUND(F137*AO137,2)</f>
        <v>0</v>
      </c>
      <c r="I137" s="28">
        <f>ROUND(F137*AP137,2)</f>
        <v>0</v>
      </c>
      <c r="J137" s="28">
        <f>ROUND(F137*G137,2)</f>
        <v>0</v>
      </c>
      <c r="K137" s="29" t="s">
        <v>60</v>
      </c>
      <c r="Z137" s="28">
        <f>ROUND(IF(AQ137="5",BJ137,0),2)</f>
        <v>0</v>
      </c>
      <c r="AB137" s="28">
        <f>ROUND(IF(AQ137="1",BH137,0),2)</f>
        <v>0</v>
      </c>
      <c r="AC137" s="28">
        <f>ROUND(IF(AQ137="1",BI137,0),2)</f>
        <v>0</v>
      </c>
      <c r="AD137" s="28">
        <f>ROUND(IF(AQ137="7",BH137,0),2)</f>
        <v>0</v>
      </c>
      <c r="AE137" s="28">
        <f>ROUND(IF(AQ137="7",BI137,0),2)</f>
        <v>0</v>
      </c>
      <c r="AF137" s="28">
        <f>ROUND(IF(AQ137="2",BH137,0),2)</f>
        <v>0</v>
      </c>
      <c r="AG137" s="28">
        <f>ROUND(IF(AQ137="2",BI137,0),2)</f>
        <v>0</v>
      </c>
      <c r="AH137" s="28">
        <f>ROUND(IF(AQ137="0",BJ137,0),2)</f>
        <v>0</v>
      </c>
      <c r="AI137" s="10" t="s">
        <v>55</v>
      </c>
      <c r="AJ137" s="28">
        <f>IF(AN137=0,J137,0)</f>
        <v>0</v>
      </c>
      <c r="AK137" s="28">
        <f>IF(AN137=12,J137,0)</f>
        <v>0</v>
      </c>
      <c r="AL137" s="28">
        <f>IF(AN137=21,J137,0)</f>
        <v>0</v>
      </c>
      <c r="AN137" s="28">
        <v>21</v>
      </c>
      <c r="AO137" s="28">
        <f>G137*1</f>
        <v>0</v>
      </c>
      <c r="AP137" s="28">
        <f>G137*(1-1)</f>
        <v>0</v>
      </c>
      <c r="AQ137" s="30" t="s">
        <v>56</v>
      </c>
      <c r="AV137" s="28">
        <f>ROUND(AW137+AX137,2)</f>
        <v>0</v>
      </c>
      <c r="AW137" s="28">
        <f>ROUND(F137*AO137,2)</f>
        <v>0</v>
      </c>
      <c r="AX137" s="28">
        <f>ROUND(F137*AP137,2)</f>
        <v>0</v>
      </c>
      <c r="AY137" s="30" t="s">
        <v>284</v>
      </c>
      <c r="AZ137" s="30" t="s">
        <v>285</v>
      </c>
      <c r="BA137" s="10" t="s">
        <v>63</v>
      </c>
      <c r="BC137" s="28">
        <f>AW137+AX137</f>
        <v>0</v>
      </c>
      <c r="BD137" s="28">
        <f>G137/(100-BE137)*100</f>
        <v>0</v>
      </c>
      <c r="BE137" s="28">
        <v>0</v>
      </c>
      <c r="BF137" s="28">
        <f>139</f>
        <v>139</v>
      </c>
      <c r="BH137" s="28">
        <f>F137*AO137</f>
        <v>0</v>
      </c>
      <c r="BI137" s="28">
        <f>F137*AP137</f>
        <v>0</v>
      </c>
      <c r="BJ137" s="28">
        <f>F137*G137</f>
        <v>0</v>
      </c>
      <c r="BK137" s="28"/>
      <c r="BL137" s="28">
        <v>45</v>
      </c>
      <c r="BW137" s="28">
        <v>21</v>
      </c>
      <c r="BX137" s="4" t="s">
        <v>303</v>
      </c>
    </row>
    <row r="138" spans="1:76" x14ac:dyDescent="0.25">
      <c r="A138" s="24" t="s">
        <v>51</v>
      </c>
      <c r="B138" s="25" t="s">
        <v>304</v>
      </c>
      <c r="C138" s="87" t="s">
        <v>305</v>
      </c>
      <c r="D138" s="88"/>
      <c r="E138" s="26" t="s">
        <v>4</v>
      </c>
      <c r="F138" s="26" t="s">
        <v>4</v>
      </c>
      <c r="G138" s="26" t="s">
        <v>4</v>
      </c>
      <c r="H138" s="1">
        <f>SUM(H139:H146)</f>
        <v>0</v>
      </c>
      <c r="I138" s="1">
        <f>SUM(I139:I146)</f>
        <v>0</v>
      </c>
      <c r="J138" s="1">
        <f>SUM(J139:J146)</f>
        <v>0</v>
      </c>
      <c r="K138" s="27" t="s">
        <v>51</v>
      </c>
      <c r="AI138" s="10" t="s">
        <v>55</v>
      </c>
      <c r="AS138" s="1">
        <f>SUM(AJ139:AJ146)</f>
        <v>0</v>
      </c>
      <c r="AT138" s="1">
        <f>SUM(AK139:AK146)</f>
        <v>0</v>
      </c>
      <c r="AU138" s="1">
        <f>SUM(AL139:AL146)</f>
        <v>0</v>
      </c>
    </row>
    <row r="139" spans="1:76" x14ac:dyDescent="0.25">
      <c r="A139" s="2" t="s">
        <v>306</v>
      </c>
      <c r="B139" s="3" t="s">
        <v>307</v>
      </c>
      <c r="C139" s="76" t="s">
        <v>308</v>
      </c>
      <c r="D139" s="71"/>
      <c r="E139" s="3" t="s">
        <v>293</v>
      </c>
      <c r="F139" s="28">
        <v>1</v>
      </c>
      <c r="G139" s="28">
        <v>0</v>
      </c>
      <c r="H139" s="28">
        <f>ROUND(F139*AO139,2)</f>
        <v>0</v>
      </c>
      <c r="I139" s="28">
        <f>ROUND(F139*AP139,2)</f>
        <v>0</v>
      </c>
      <c r="J139" s="28">
        <f>ROUND(F139*G139,2)</f>
        <v>0</v>
      </c>
      <c r="K139" s="29" t="s">
        <v>60</v>
      </c>
      <c r="Z139" s="28">
        <f>ROUND(IF(AQ139="5",BJ139,0),2)</f>
        <v>0</v>
      </c>
      <c r="AB139" s="28">
        <f>ROUND(IF(AQ139="1",BH139,0),2)</f>
        <v>0</v>
      </c>
      <c r="AC139" s="28">
        <f>ROUND(IF(AQ139="1",BI139,0),2)</f>
        <v>0</v>
      </c>
      <c r="AD139" s="28">
        <f>ROUND(IF(AQ139="7",BH139,0),2)</f>
        <v>0</v>
      </c>
      <c r="AE139" s="28">
        <f>ROUND(IF(AQ139="7",BI139,0),2)</f>
        <v>0</v>
      </c>
      <c r="AF139" s="28">
        <f>ROUND(IF(AQ139="2",BH139,0),2)</f>
        <v>0</v>
      </c>
      <c r="AG139" s="28">
        <f>ROUND(IF(AQ139="2",BI139,0),2)</f>
        <v>0</v>
      </c>
      <c r="AH139" s="28">
        <f>ROUND(IF(AQ139="0",BJ139,0),2)</f>
        <v>0</v>
      </c>
      <c r="AI139" s="10" t="s">
        <v>55</v>
      </c>
      <c r="AJ139" s="28">
        <f>IF(AN139=0,J139,0)</f>
        <v>0</v>
      </c>
      <c r="AK139" s="28">
        <f>IF(AN139=12,J139,0)</f>
        <v>0</v>
      </c>
      <c r="AL139" s="28">
        <f>IF(AN139=21,J139,0)</f>
        <v>0</v>
      </c>
      <c r="AN139" s="28">
        <v>21</v>
      </c>
      <c r="AO139" s="28">
        <f>G139*0.96040856</f>
        <v>0</v>
      </c>
      <c r="AP139" s="28">
        <f>G139*(1-0.96040856)</f>
        <v>0</v>
      </c>
      <c r="AQ139" s="30" t="s">
        <v>56</v>
      </c>
      <c r="AV139" s="28">
        <f>ROUND(AW139+AX139,2)</f>
        <v>0</v>
      </c>
      <c r="AW139" s="28">
        <f>ROUND(F139*AO139,2)</f>
        <v>0</v>
      </c>
      <c r="AX139" s="28">
        <f>ROUND(F139*AP139,2)</f>
        <v>0</v>
      </c>
      <c r="AY139" s="30" t="s">
        <v>309</v>
      </c>
      <c r="AZ139" s="30" t="s">
        <v>310</v>
      </c>
      <c r="BA139" s="10" t="s">
        <v>63</v>
      </c>
      <c r="BC139" s="28">
        <f>AW139+AX139</f>
        <v>0</v>
      </c>
      <c r="BD139" s="28">
        <f>G139/(100-BE139)*100</f>
        <v>0</v>
      </c>
      <c r="BE139" s="28">
        <v>0</v>
      </c>
      <c r="BF139" s="28">
        <f>142</f>
        <v>142</v>
      </c>
      <c r="BH139" s="28">
        <f>F139*AO139</f>
        <v>0</v>
      </c>
      <c r="BI139" s="28">
        <f>F139*AP139</f>
        <v>0</v>
      </c>
      <c r="BJ139" s="28">
        <f>F139*G139</f>
        <v>0</v>
      </c>
      <c r="BK139" s="28"/>
      <c r="BL139" s="28">
        <v>59</v>
      </c>
      <c r="BW139" s="28">
        <v>21</v>
      </c>
      <c r="BX139" s="4" t="s">
        <v>308</v>
      </c>
    </row>
    <row r="140" spans="1:76" ht="13.5" customHeight="1" x14ac:dyDescent="0.25">
      <c r="A140" s="31"/>
      <c r="B140" s="35" t="s">
        <v>105</v>
      </c>
      <c r="C140" s="97" t="s">
        <v>311</v>
      </c>
      <c r="D140" s="98"/>
      <c r="E140" s="98"/>
      <c r="F140" s="98"/>
      <c r="G140" s="98"/>
      <c r="H140" s="98"/>
      <c r="I140" s="98"/>
      <c r="J140" s="98"/>
      <c r="K140" s="99"/>
    </row>
    <row r="141" spans="1:76" ht="38.25" x14ac:dyDescent="0.25">
      <c r="A141" s="31"/>
      <c r="B141" s="35" t="s">
        <v>68</v>
      </c>
      <c r="C141" s="94" t="s">
        <v>312</v>
      </c>
      <c r="D141" s="95"/>
      <c r="E141" s="95"/>
      <c r="F141" s="95"/>
      <c r="G141" s="95"/>
      <c r="H141" s="95"/>
      <c r="I141" s="95"/>
      <c r="J141" s="95"/>
      <c r="K141" s="96"/>
      <c r="BX141" s="36" t="s">
        <v>312</v>
      </c>
    </row>
    <row r="142" spans="1:76" x14ac:dyDescent="0.25">
      <c r="A142" s="2" t="s">
        <v>313</v>
      </c>
      <c r="B142" s="3" t="s">
        <v>314</v>
      </c>
      <c r="C142" s="76" t="s">
        <v>315</v>
      </c>
      <c r="D142" s="71"/>
      <c r="E142" s="3" t="s">
        <v>293</v>
      </c>
      <c r="F142" s="28">
        <v>9</v>
      </c>
      <c r="G142" s="28">
        <v>0</v>
      </c>
      <c r="H142" s="28">
        <f>ROUND(F142*AO142,2)</f>
        <v>0</v>
      </c>
      <c r="I142" s="28">
        <f>ROUND(F142*AP142,2)</f>
        <v>0</v>
      </c>
      <c r="J142" s="28">
        <f>ROUND(F142*G142,2)</f>
        <v>0</v>
      </c>
      <c r="K142" s="29" t="s">
        <v>60</v>
      </c>
      <c r="Z142" s="28">
        <f>ROUND(IF(AQ142="5",BJ142,0),2)</f>
        <v>0</v>
      </c>
      <c r="AB142" s="28">
        <f>ROUND(IF(AQ142="1",BH142,0),2)</f>
        <v>0</v>
      </c>
      <c r="AC142" s="28">
        <f>ROUND(IF(AQ142="1",BI142,0),2)</f>
        <v>0</v>
      </c>
      <c r="AD142" s="28">
        <f>ROUND(IF(AQ142="7",BH142,0),2)</f>
        <v>0</v>
      </c>
      <c r="AE142" s="28">
        <f>ROUND(IF(AQ142="7",BI142,0),2)</f>
        <v>0</v>
      </c>
      <c r="AF142" s="28">
        <f>ROUND(IF(AQ142="2",BH142,0),2)</f>
        <v>0</v>
      </c>
      <c r="AG142" s="28">
        <f>ROUND(IF(AQ142="2",BI142,0),2)</f>
        <v>0</v>
      </c>
      <c r="AH142" s="28">
        <f>ROUND(IF(AQ142="0",BJ142,0),2)</f>
        <v>0</v>
      </c>
      <c r="AI142" s="10" t="s">
        <v>55</v>
      </c>
      <c r="AJ142" s="28">
        <f>IF(AN142=0,J142,0)</f>
        <v>0</v>
      </c>
      <c r="AK142" s="28">
        <f>IF(AN142=12,J142,0)</f>
        <v>0</v>
      </c>
      <c r="AL142" s="28">
        <f>IF(AN142=21,J142,0)</f>
        <v>0</v>
      </c>
      <c r="AN142" s="28">
        <v>21</v>
      </c>
      <c r="AO142" s="28">
        <f>G142*0.938690909</f>
        <v>0</v>
      </c>
      <c r="AP142" s="28">
        <f>G142*(1-0.938690909)</f>
        <v>0</v>
      </c>
      <c r="AQ142" s="30" t="s">
        <v>56</v>
      </c>
      <c r="AV142" s="28">
        <f>ROUND(AW142+AX142,2)</f>
        <v>0</v>
      </c>
      <c r="AW142" s="28">
        <f>ROUND(F142*AO142,2)</f>
        <v>0</v>
      </c>
      <c r="AX142" s="28">
        <f>ROUND(F142*AP142,2)</f>
        <v>0</v>
      </c>
      <c r="AY142" s="30" t="s">
        <v>309</v>
      </c>
      <c r="AZ142" s="30" t="s">
        <v>310</v>
      </c>
      <c r="BA142" s="10" t="s">
        <v>63</v>
      </c>
      <c r="BC142" s="28">
        <f>AW142+AX142</f>
        <v>0</v>
      </c>
      <c r="BD142" s="28">
        <f>G142/(100-BE142)*100</f>
        <v>0</v>
      </c>
      <c r="BE142" s="28">
        <v>0</v>
      </c>
      <c r="BF142" s="28">
        <f>145</f>
        <v>145</v>
      </c>
      <c r="BH142" s="28">
        <f>F142*AO142</f>
        <v>0</v>
      </c>
      <c r="BI142" s="28">
        <f>F142*AP142</f>
        <v>0</v>
      </c>
      <c r="BJ142" s="28">
        <f>F142*G142</f>
        <v>0</v>
      </c>
      <c r="BK142" s="28"/>
      <c r="BL142" s="28">
        <v>59</v>
      </c>
      <c r="BW142" s="28">
        <v>21</v>
      </c>
      <c r="BX142" s="4" t="s">
        <v>315</v>
      </c>
    </row>
    <row r="143" spans="1:76" ht="51" x14ac:dyDescent="0.25">
      <c r="A143" s="31"/>
      <c r="B143" s="35" t="s">
        <v>68</v>
      </c>
      <c r="C143" s="94" t="s">
        <v>316</v>
      </c>
      <c r="D143" s="95"/>
      <c r="E143" s="95"/>
      <c r="F143" s="95"/>
      <c r="G143" s="95"/>
      <c r="H143" s="95"/>
      <c r="I143" s="95"/>
      <c r="J143" s="95"/>
      <c r="K143" s="96"/>
      <c r="BX143" s="36" t="s">
        <v>316</v>
      </c>
    </row>
    <row r="144" spans="1:76" x14ac:dyDescent="0.25">
      <c r="A144" s="2" t="s">
        <v>317</v>
      </c>
      <c r="B144" s="3" t="s">
        <v>318</v>
      </c>
      <c r="C144" s="76" t="s">
        <v>319</v>
      </c>
      <c r="D144" s="71"/>
      <c r="E144" s="3" t="s">
        <v>293</v>
      </c>
      <c r="F144" s="28">
        <v>1</v>
      </c>
      <c r="G144" s="28">
        <v>0</v>
      </c>
      <c r="H144" s="28">
        <f>ROUND(F144*AO144,2)</f>
        <v>0</v>
      </c>
      <c r="I144" s="28">
        <f>ROUND(F144*AP144,2)</f>
        <v>0</v>
      </c>
      <c r="J144" s="28">
        <f>ROUND(F144*G144,2)</f>
        <v>0</v>
      </c>
      <c r="K144" s="29" t="s">
        <v>60</v>
      </c>
      <c r="Z144" s="28">
        <f>ROUND(IF(AQ144="5",BJ144,0),2)</f>
        <v>0</v>
      </c>
      <c r="AB144" s="28">
        <f>ROUND(IF(AQ144="1",BH144,0),2)</f>
        <v>0</v>
      </c>
      <c r="AC144" s="28">
        <f>ROUND(IF(AQ144="1",BI144,0),2)</f>
        <v>0</v>
      </c>
      <c r="AD144" s="28">
        <f>ROUND(IF(AQ144="7",BH144,0),2)</f>
        <v>0</v>
      </c>
      <c r="AE144" s="28">
        <f>ROUND(IF(AQ144="7",BI144,0),2)</f>
        <v>0</v>
      </c>
      <c r="AF144" s="28">
        <f>ROUND(IF(AQ144="2",BH144,0),2)</f>
        <v>0</v>
      </c>
      <c r="AG144" s="28">
        <f>ROUND(IF(AQ144="2",BI144,0),2)</f>
        <v>0</v>
      </c>
      <c r="AH144" s="28">
        <f>ROUND(IF(AQ144="0",BJ144,0),2)</f>
        <v>0</v>
      </c>
      <c r="AI144" s="10" t="s">
        <v>55</v>
      </c>
      <c r="AJ144" s="28">
        <f>IF(AN144=0,J144,0)</f>
        <v>0</v>
      </c>
      <c r="AK144" s="28">
        <f>IF(AN144=12,J144,0)</f>
        <v>0</v>
      </c>
      <c r="AL144" s="28">
        <f>IF(AN144=21,J144,0)</f>
        <v>0</v>
      </c>
      <c r="AN144" s="28">
        <v>21</v>
      </c>
      <c r="AO144" s="28">
        <f>G144*0.957059961</f>
        <v>0</v>
      </c>
      <c r="AP144" s="28">
        <f>G144*(1-0.957059961)</f>
        <v>0</v>
      </c>
      <c r="AQ144" s="30" t="s">
        <v>56</v>
      </c>
      <c r="AV144" s="28">
        <f>ROUND(AW144+AX144,2)</f>
        <v>0</v>
      </c>
      <c r="AW144" s="28">
        <f>ROUND(F144*AO144,2)</f>
        <v>0</v>
      </c>
      <c r="AX144" s="28">
        <f>ROUND(F144*AP144,2)</f>
        <v>0</v>
      </c>
      <c r="AY144" s="30" t="s">
        <v>309</v>
      </c>
      <c r="AZ144" s="30" t="s">
        <v>310</v>
      </c>
      <c r="BA144" s="10" t="s">
        <v>63</v>
      </c>
      <c r="BC144" s="28">
        <f>AW144+AX144</f>
        <v>0</v>
      </c>
      <c r="BD144" s="28">
        <f>G144/(100-BE144)*100</f>
        <v>0</v>
      </c>
      <c r="BE144" s="28">
        <v>0</v>
      </c>
      <c r="BF144" s="28">
        <f>147</f>
        <v>147</v>
      </c>
      <c r="BH144" s="28">
        <f>F144*AO144</f>
        <v>0</v>
      </c>
      <c r="BI144" s="28">
        <f>F144*AP144</f>
        <v>0</v>
      </c>
      <c r="BJ144" s="28">
        <f>F144*G144</f>
        <v>0</v>
      </c>
      <c r="BK144" s="28"/>
      <c r="BL144" s="28">
        <v>59</v>
      </c>
      <c r="BW144" s="28">
        <v>21</v>
      </c>
      <c r="BX144" s="4" t="s">
        <v>319</v>
      </c>
    </row>
    <row r="145" spans="1:76" x14ac:dyDescent="0.25">
      <c r="A145" s="31"/>
      <c r="B145" s="35" t="s">
        <v>68</v>
      </c>
      <c r="C145" s="94" t="s">
        <v>320</v>
      </c>
      <c r="D145" s="95"/>
      <c r="E145" s="95"/>
      <c r="F145" s="95"/>
      <c r="G145" s="95"/>
      <c r="H145" s="95"/>
      <c r="I145" s="95"/>
      <c r="J145" s="95"/>
      <c r="K145" s="96"/>
      <c r="BX145" s="36" t="s">
        <v>320</v>
      </c>
    </row>
    <row r="146" spans="1:76" x14ac:dyDescent="0.25">
      <c r="A146" s="2" t="s">
        <v>321</v>
      </c>
      <c r="B146" s="3" t="s">
        <v>322</v>
      </c>
      <c r="C146" s="76" t="s">
        <v>323</v>
      </c>
      <c r="D146" s="71"/>
      <c r="E146" s="3" t="s">
        <v>293</v>
      </c>
      <c r="F146" s="28">
        <v>1</v>
      </c>
      <c r="G146" s="28">
        <v>0</v>
      </c>
      <c r="H146" s="28">
        <f>ROUND(F146*AO146,2)</f>
        <v>0</v>
      </c>
      <c r="I146" s="28">
        <f>ROUND(F146*AP146,2)</f>
        <v>0</v>
      </c>
      <c r="J146" s="28">
        <f>ROUND(F146*G146,2)</f>
        <v>0</v>
      </c>
      <c r="K146" s="29" t="s">
        <v>60</v>
      </c>
      <c r="Z146" s="28">
        <f>ROUND(IF(AQ146="5",BJ146,0),2)</f>
        <v>0</v>
      </c>
      <c r="AB146" s="28">
        <f>ROUND(IF(AQ146="1",BH146,0),2)</f>
        <v>0</v>
      </c>
      <c r="AC146" s="28">
        <f>ROUND(IF(AQ146="1",BI146,0),2)</f>
        <v>0</v>
      </c>
      <c r="AD146" s="28">
        <f>ROUND(IF(AQ146="7",BH146,0),2)</f>
        <v>0</v>
      </c>
      <c r="AE146" s="28">
        <f>ROUND(IF(AQ146="7",BI146,0),2)</f>
        <v>0</v>
      </c>
      <c r="AF146" s="28">
        <f>ROUND(IF(AQ146="2",BH146,0),2)</f>
        <v>0</v>
      </c>
      <c r="AG146" s="28">
        <f>ROUND(IF(AQ146="2",BI146,0),2)</f>
        <v>0</v>
      </c>
      <c r="AH146" s="28">
        <f>ROUND(IF(AQ146="0",BJ146,0),2)</f>
        <v>0</v>
      </c>
      <c r="AI146" s="10" t="s">
        <v>55</v>
      </c>
      <c r="AJ146" s="28">
        <f>IF(AN146=0,J146,0)</f>
        <v>0</v>
      </c>
      <c r="AK146" s="28">
        <f>IF(AN146=12,J146,0)</f>
        <v>0</v>
      </c>
      <c r="AL146" s="28">
        <f>IF(AN146=21,J146,0)</f>
        <v>0</v>
      </c>
      <c r="AN146" s="28">
        <v>21</v>
      </c>
      <c r="AO146" s="28">
        <f>G146*0.980662021</f>
        <v>0</v>
      </c>
      <c r="AP146" s="28">
        <f>G146*(1-0.980662021)</f>
        <v>0</v>
      </c>
      <c r="AQ146" s="30" t="s">
        <v>56</v>
      </c>
      <c r="AV146" s="28">
        <f>ROUND(AW146+AX146,2)</f>
        <v>0</v>
      </c>
      <c r="AW146" s="28">
        <f>ROUND(F146*AO146,2)</f>
        <v>0</v>
      </c>
      <c r="AX146" s="28">
        <f>ROUND(F146*AP146,2)</f>
        <v>0</v>
      </c>
      <c r="AY146" s="30" t="s">
        <v>309</v>
      </c>
      <c r="AZ146" s="30" t="s">
        <v>310</v>
      </c>
      <c r="BA146" s="10" t="s">
        <v>63</v>
      </c>
      <c r="BC146" s="28">
        <f>AW146+AX146</f>
        <v>0</v>
      </c>
      <c r="BD146" s="28">
        <f>G146/(100-BE146)*100</f>
        <v>0</v>
      </c>
      <c r="BE146" s="28">
        <v>0</v>
      </c>
      <c r="BF146" s="28">
        <f>149</f>
        <v>149</v>
      </c>
      <c r="BH146" s="28">
        <f>F146*AO146</f>
        <v>0</v>
      </c>
      <c r="BI146" s="28">
        <f>F146*AP146</f>
        <v>0</v>
      </c>
      <c r="BJ146" s="28">
        <f>F146*G146</f>
        <v>0</v>
      </c>
      <c r="BK146" s="28"/>
      <c r="BL146" s="28">
        <v>59</v>
      </c>
      <c r="BW146" s="28">
        <v>21</v>
      </c>
      <c r="BX146" s="4" t="s">
        <v>323</v>
      </c>
    </row>
    <row r="147" spans="1:76" x14ac:dyDescent="0.25">
      <c r="A147" s="31"/>
      <c r="B147" s="35" t="s">
        <v>68</v>
      </c>
      <c r="C147" s="94" t="s">
        <v>324</v>
      </c>
      <c r="D147" s="95"/>
      <c r="E147" s="95"/>
      <c r="F147" s="95"/>
      <c r="G147" s="95"/>
      <c r="H147" s="95"/>
      <c r="I147" s="95"/>
      <c r="J147" s="95"/>
      <c r="K147" s="96"/>
      <c r="BX147" s="36" t="s">
        <v>324</v>
      </c>
    </row>
    <row r="148" spans="1:76" x14ac:dyDescent="0.25">
      <c r="A148" s="24" t="s">
        <v>51</v>
      </c>
      <c r="B148" s="25" t="s">
        <v>325</v>
      </c>
      <c r="C148" s="87" t="s">
        <v>326</v>
      </c>
      <c r="D148" s="88"/>
      <c r="E148" s="26" t="s">
        <v>4</v>
      </c>
      <c r="F148" s="26" t="s">
        <v>4</v>
      </c>
      <c r="G148" s="26" t="s">
        <v>4</v>
      </c>
      <c r="H148" s="1">
        <f>SUM(H149:H160)</f>
        <v>0</v>
      </c>
      <c r="I148" s="1">
        <f>SUM(I149:I160)</f>
        <v>0</v>
      </c>
      <c r="J148" s="1">
        <f>SUM(J149:J160)</f>
        <v>0</v>
      </c>
      <c r="K148" s="27" t="s">
        <v>51</v>
      </c>
      <c r="AI148" s="10" t="s">
        <v>55</v>
      </c>
      <c r="AS148" s="1">
        <f>SUM(AJ149:AJ160)</f>
        <v>0</v>
      </c>
      <c r="AT148" s="1">
        <f>SUM(AK149:AK160)</f>
        <v>0</v>
      </c>
      <c r="AU148" s="1">
        <f>SUM(AL149:AL160)</f>
        <v>0</v>
      </c>
    </row>
    <row r="149" spans="1:76" x14ac:dyDescent="0.25">
      <c r="A149" s="2" t="s">
        <v>327</v>
      </c>
      <c r="B149" s="3" t="s">
        <v>328</v>
      </c>
      <c r="C149" s="76" t="s">
        <v>329</v>
      </c>
      <c r="D149" s="71"/>
      <c r="E149" s="3" t="s">
        <v>59</v>
      </c>
      <c r="F149" s="28">
        <v>1.08</v>
      </c>
      <c r="G149" s="28">
        <v>0</v>
      </c>
      <c r="H149" s="28">
        <f>ROUND(F149*AO149,2)</f>
        <v>0</v>
      </c>
      <c r="I149" s="28">
        <f>ROUND(F149*AP149,2)</f>
        <v>0</v>
      </c>
      <c r="J149" s="28">
        <f>ROUND(F149*G149,2)</f>
        <v>0</v>
      </c>
      <c r="K149" s="29" t="s">
        <v>60</v>
      </c>
      <c r="Z149" s="28">
        <f>ROUND(IF(AQ149="5",BJ149,0),2)</f>
        <v>0</v>
      </c>
      <c r="AB149" s="28">
        <f>ROUND(IF(AQ149="1",BH149,0),2)</f>
        <v>0</v>
      </c>
      <c r="AC149" s="28">
        <f>ROUND(IF(AQ149="1",BI149,0),2)</f>
        <v>0</v>
      </c>
      <c r="AD149" s="28">
        <f>ROUND(IF(AQ149="7",BH149,0),2)</f>
        <v>0</v>
      </c>
      <c r="AE149" s="28">
        <f>ROUND(IF(AQ149="7",BI149,0),2)</f>
        <v>0</v>
      </c>
      <c r="AF149" s="28">
        <f>ROUND(IF(AQ149="2",BH149,0),2)</f>
        <v>0</v>
      </c>
      <c r="AG149" s="28">
        <f>ROUND(IF(AQ149="2",BI149,0),2)</f>
        <v>0</v>
      </c>
      <c r="AH149" s="28">
        <f>ROUND(IF(AQ149="0",BJ149,0),2)</f>
        <v>0</v>
      </c>
      <c r="AI149" s="10" t="s">
        <v>55</v>
      </c>
      <c r="AJ149" s="28">
        <f>IF(AN149=0,J149,0)</f>
        <v>0</v>
      </c>
      <c r="AK149" s="28">
        <f>IF(AN149=12,J149,0)</f>
        <v>0</v>
      </c>
      <c r="AL149" s="28">
        <f>IF(AN149=21,J149,0)</f>
        <v>0</v>
      </c>
      <c r="AN149" s="28">
        <v>21</v>
      </c>
      <c r="AO149" s="28">
        <f>G149*0.719789813</f>
        <v>0</v>
      </c>
      <c r="AP149" s="28">
        <f>G149*(1-0.719789813)</f>
        <v>0</v>
      </c>
      <c r="AQ149" s="30" t="s">
        <v>56</v>
      </c>
      <c r="AV149" s="28">
        <f>ROUND(AW149+AX149,2)</f>
        <v>0</v>
      </c>
      <c r="AW149" s="28">
        <f>ROUND(F149*AO149,2)</f>
        <v>0</v>
      </c>
      <c r="AX149" s="28">
        <f>ROUND(F149*AP149,2)</f>
        <v>0</v>
      </c>
      <c r="AY149" s="30" t="s">
        <v>330</v>
      </c>
      <c r="AZ149" s="30" t="s">
        <v>331</v>
      </c>
      <c r="BA149" s="10" t="s">
        <v>63</v>
      </c>
      <c r="BC149" s="28">
        <f>AW149+AX149</f>
        <v>0</v>
      </c>
      <c r="BD149" s="28">
        <f>G149/(100-BE149)*100</f>
        <v>0</v>
      </c>
      <c r="BE149" s="28">
        <v>0</v>
      </c>
      <c r="BF149" s="28">
        <f>152</f>
        <v>152</v>
      </c>
      <c r="BH149" s="28">
        <f>F149*AO149</f>
        <v>0</v>
      </c>
      <c r="BI149" s="28">
        <f>F149*AP149</f>
        <v>0</v>
      </c>
      <c r="BJ149" s="28">
        <f>F149*G149</f>
        <v>0</v>
      </c>
      <c r="BK149" s="28"/>
      <c r="BL149" s="28">
        <v>63</v>
      </c>
      <c r="BW149" s="28">
        <v>21</v>
      </c>
      <c r="BX149" s="4" t="s">
        <v>329</v>
      </c>
    </row>
    <row r="150" spans="1:76" x14ac:dyDescent="0.25">
      <c r="A150" s="31"/>
      <c r="C150" s="32" t="s">
        <v>332</v>
      </c>
      <c r="D150" s="32" t="s">
        <v>333</v>
      </c>
      <c r="F150" s="33">
        <v>1.08</v>
      </c>
      <c r="K150" s="34"/>
    </row>
    <row r="151" spans="1:76" ht="76.5" x14ac:dyDescent="0.25">
      <c r="A151" s="31"/>
      <c r="B151" s="35" t="s">
        <v>68</v>
      </c>
      <c r="C151" s="94" t="s">
        <v>334</v>
      </c>
      <c r="D151" s="95"/>
      <c r="E151" s="95"/>
      <c r="F151" s="95"/>
      <c r="G151" s="95"/>
      <c r="H151" s="95"/>
      <c r="I151" s="95"/>
      <c r="J151" s="95"/>
      <c r="K151" s="96"/>
      <c r="BX151" s="36" t="s">
        <v>334</v>
      </c>
    </row>
    <row r="152" spans="1:76" x14ac:dyDescent="0.25">
      <c r="A152" s="2" t="s">
        <v>335</v>
      </c>
      <c r="B152" s="3" t="s">
        <v>336</v>
      </c>
      <c r="C152" s="76" t="s">
        <v>337</v>
      </c>
      <c r="D152" s="71"/>
      <c r="E152" s="3" t="s">
        <v>59</v>
      </c>
      <c r="F152" s="28">
        <v>1.08</v>
      </c>
      <c r="G152" s="28">
        <v>0</v>
      </c>
      <c r="H152" s="28">
        <f>ROUND(F152*AO152,2)</f>
        <v>0</v>
      </c>
      <c r="I152" s="28">
        <f>ROUND(F152*AP152,2)</f>
        <v>0</v>
      </c>
      <c r="J152" s="28">
        <f>ROUND(F152*G152,2)</f>
        <v>0</v>
      </c>
      <c r="K152" s="29" t="s">
        <v>60</v>
      </c>
      <c r="Z152" s="28">
        <f>ROUND(IF(AQ152="5",BJ152,0),2)</f>
        <v>0</v>
      </c>
      <c r="AB152" s="28">
        <f>ROUND(IF(AQ152="1",BH152,0),2)</f>
        <v>0</v>
      </c>
      <c r="AC152" s="28">
        <f>ROUND(IF(AQ152="1",BI152,0),2)</f>
        <v>0</v>
      </c>
      <c r="AD152" s="28">
        <f>ROUND(IF(AQ152="7",BH152,0),2)</f>
        <v>0</v>
      </c>
      <c r="AE152" s="28">
        <f>ROUND(IF(AQ152="7",BI152,0),2)</f>
        <v>0</v>
      </c>
      <c r="AF152" s="28">
        <f>ROUND(IF(AQ152="2",BH152,0),2)</f>
        <v>0</v>
      </c>
      <c r="AG152" s="28">
        <f>ROUND(IF(AQ152="2",BI152,0),2)</f>
        <v>0</v>
      </c>
      <c r="AH152" s="28">
        <f>ROUND(IF(AQ152="0",BJ152,0),2)</f>
        <v>0</v>
      </c>
      <c r="AI152" s="10" t="s">
        <v>55</v>
      </c>
      <c r="AJ152" s="28">
        <f>IF(AN152=0,J152,0)</f>
        <v>0</v>
      </c>
      <c r="AK152" s="28">
        <f>IF(AN152=12,J152,0)</f>
        <v>0</v>
      </c>
      <c r="AL152" s="28">
        <f>IF(AN152=21,J152,0)</f>
        <v>0</v>
      </c>
      <c r="AN152" s="28">
        <v>21</v>
      </c>
      <c r="AO152" s="28">
        <f>G152*0.771545053</f>
        <v>0</v>
      </c>
      <c r="AP152" s="28">
        <f>G152*(1-0.771545053)</f>
        <v>0</v>
      </c>
      <c r="AQ152" s="30" t="s">
        <v>56</v>
      </c>
      <c r="AV152" s="28">
        <f>ROUND(AW152+AX152,2)</f>
        <v>0</v>
      </c>
      <c r="AW152" s="28">
        <f>ROUND(F152*AO152,2)</f>
        <v>0</v>
      </c>
      <c r="AX152" s="28">
        <f>ROUND(F152*AP152,2)</f>
        <v>0</v>
      </c>
      <c r="AY152" s="30" t="s">
        <v>330</v>
      </c>
      <c r="AZ152" s="30" t="s">
        <v>331</v>
      </c>
      <c r="BA152" s="10" t="s">
        <v>63</v>
      </c>
      <c r="BC152" s="28">
        <f>AW152+AX152</f>
        <v>0</v>
      </c>
      <c r="BD152" s="28">
        <f>G152/(100-BE152)*100</f>
        <v>0</v>
      </c>
      <c r="BE152" s="28">
        <v>0</v>
      </c>
      <c r="BF152" s="28">
        <f>155</f>
        <v>155</v>
      </c>
      <c r="BH152" s="28">
        <f>F152*AO152</f>
        <v>0</v>
      </c>
      <c r="BI152" s="28">
        <f>F152*AP152</f>
        <v>0</v>
      </c>
      <c r="BJ152" s="28">
        <f>F152*G152</f>
        <v>0</v>
      </c>
      <c r="BK152" s="28"/>
      <c r="BL152" s="28">
        <v>63</v>
      </c>
      <c r="BW152" s="28">
        <v>21</v>
      </c>
      <c r="BX152" s="4" t="s">
        <v>337</v>
      </c>
    </row>
    <row r="153" spans="1:76" ht="76.5" x14ac:dyDescent="0.25">
      <c r="A153" s="31"/>
      <c r="B153" s="35" t="s">
        <v>68</v>
      </c>
      <c r="C153" s="94" t="s">
        <v>334</v>
      </c>
      <c r="D153" s="95"/>
      <c r="E153" s="95"/>
      <c r="F153" s="95"/>
      <c r="G153" s="95"/>
      <c r="H153" s="95"/>
      <c r="I153" s="95"/>
      <c r="J153" s="95"/>
      <c r="K153" s="96"/>
      <c r="BX153" s="36" t="s">
        <v>334</v>
      </c>
    </row>
    <row r="154" spans="1:76" x14ac:dyDescent="0.25">
      <c r="A154" s="2" t="s">
        <v>338</v>
      </c>
      <c r="B154" s="3" t="s">
        <v>339</v>
      </c>
      <c r="C154" s="76" t="s">
        <v>340</v>
      </c>
      <c r="D154" s="71"/>
      <c r="E154" s="3" t="s">
        <v>59</v>
      </c>
      <c r="F154" s="28">
        <v>1.08</v>
      </c>
      <c r="G154" s="28">
        <v>0</v>
      </c>
      <c r="H154" s="28">
        <f>ROUND(F154*AO154,2)</f>
        <v>0</v>
      </c>
      <c r="I154" s="28">
        <f>ROUND(F154*AP154,2)</f>
        <v>0</v>
      </c>
      <c r="J154" s="28">
        <f>ROUND(F154*G154,2)</f>
        <v>0</v>
      </c>
      <c r="K154" s="29" t="s">
        <v>60</v>
      </c>
      <c r="Z154" s="28">
        <f>ROUND(IF(AQ154="5",BJ154,0),2)</f>
        <v>0</v>
      </c>
      <c r="AB154" s="28">
        <f>ROUND(IF(AQ154="1",BH154,0),2)</f>
        <v>0</v>
      </c>
      <c r="AC154" s="28">
        <f>ROUND(IF(AQ154="1",BI154,0),2)</f>
        <v>0</v>
      </c>
      <c r="AD154" s="28">
        <f>ROUND(IF(AQ154="7",BH154,0),2)</f>
        <v>0</v>
      </c>
      <c r="AE154" s="28">
        <f>ROUND(IF(AQ154="7",BI154,0),2)</f>
        <v>0</v>
      </c>
      <c r="AF154" s="28">
        <f>ROUND(IF(AQ154="2",BH154,0),2)</f>
        <v>0</v>
      </c>
      <c r="AG154" s="28">
        <f>ROUND(IF(AQ154="2",BI154,0),2)</f>
        <v>0</v>
      </c>
      <c r="AH154" s="28">
        <f>ROUND(IF(AQ154="0",BJ154,0),2)</f>
        <v>0</v>
      </c>
      <c r="AI154" s="10" t="s">
        <v>55</v>
      </c>
      <c r="AJ154" s="28">
        <f>IF(AN154=0,J154,0)</f>
        <v>0</v>
      </c>
      <c r="AK154" s="28">
        <f>IF(AN154=12,J154,0)</f>
        <v>0</v>
      </c>
      <c r="AL154" s="28">
        <f>IF(AN154=21,J154,0)</f>
        <v>0</v>
      </c>
      <c r="AN154" s="28">
        <v>21</v>
      </c>
      <c r="AO154" s="28">
        <f>G154*0</f>
        <v>0</v>
      </c>
      <c r="AP154" s="28">
        <f>G154*(1-0)</f>
        <v>0</v>
      </c>
      <c r="AQ154" s="30" t="s">
        <v>56</v>
      </c>
      <c r="AV154" s="28">
        <f>ROUND(AW154+AX154,2)</f>
        <v>0</v>
      </c>
      <c r="AW154" s="28">
        <f>ROUND(F154*AO154,2)</f>
        <v>0</v>
      </c>
      <c r="AX154" s="28">
        <f>ROUND(F154*AP154,2)</f>
        <v>0</v>
      </c>
      <c r="AY154" s="30" t="s">
        <v>330</v>
      </c>
      <c r="AZ154" s="30" t="s">
        <v>331</v>
      </c>
      <c r="BA154" s="10" t="s">
        <v>63</v>
      </c>
      <c r="BC154" s="28">
        <f>AW154+AX154</f>
        <v>0</v>
      </c>
      <c r="BD154" s="28">
        <f>G154/(100-BE154)*100</f>
        <v>0</v>
      </c>
      <c r="BE154" s="28">
        <v>0</v>
      </c>
      <c r="BF154" s="28">
        <f>157</f>
        <v>157</v>
      </c>
      <c r="BH154" s="28">
        <f>F154*AO154</f>
        <v>0</v>
      </c>
      <c r="BI154" s="28">
        <f>F154*AP154</f>
        <v>0</v>
      </c>
      <c r="BJ154" s="28">
        <f>F154*G154</f>
        <v>0</v>
      </c>
      <c r="BK154" s="28"/>
      <c r="BL154" s="28">
        <v>63</v>
      </c>
      <c r="BW154" s="28">
        <v>21</v>
      </c>
      <c r="BX154" s="4" t="s">
        <v>340</v>
      </c>
    </row>
    <row r="155" spans="1:76" ht="51" x14ac:dyDescent="0.25">
      <c r="A155" s="31"/>
      <c r="B155" s="35" t="s">
        <v>68</v>
      </c>
      <c r="C155" s="94" t="s">
        <v>341</v>
      </c>
      <c r="D155" s="95"/>
      <c r="E155" s="95"/>
      <c r="F155" s="95"/>
      <c r="G155" s="95"/>
      <c r="H155" s="95"/>
      <c r="I155" s="95"/>
      <c r="J155" s="95"/>
      <c r="K155" s="96"/>
      <c r="BX155" s="36" t="s">
        <v>341</v>
      </c>
    </row>
    <row r="156" spans="1:76" x14ac:dyDescent="0.25">
      <c r="A156" s="2" t="s">
        <v>279</v>
      </c>
      <c r="B156" s="3" t="s">
        <v>342</v>
      </c>
      <c r="C156" s="76" t="s">
        <v>343</v>
      </c>
      <c r="D156" s="71"/>
      <c r="E156" s="3" t="s">
        <v>201</v>
      </c>
      <c r="F156" s="28">
        <v>0.3</v>
      </c>
      <c r="G156" s="28">
        <v>0</v>
      </c>
      <c r="H156" s="28">
        <f>ROUND(F156*AO156,2)</f>
        <v>0</v>
      </c>
      <c r="I156" s="28">
        <f>ROUND(F156*AP156,2)</f>
        <v>0</v>
      </c>
      <c r="J156" s="28">
        <f>ROUND(F156*G156,2)</f>
        <v>0</v>
      </c>
      <c r="K156" s="29" t="s">
        <v>60</v>
      </c>
      <c r="Z156" s="28">
        <f>ROUND(IF(AQ156="5",BJ156,0),2)</f>
        <v>0</v>
      </c>
      <c r="AB156" s="28">
        <f>ROUND(IF(AQ156="1",BH156,0),2)</f>
        <v>0</v>
      </c>
      <c r="AC156" s="28">
        <f>ROUND(IF(AQ156="1",BI156,0),2)</f>
        <v>0</v>
      </c>
      <c r="AD156" s="28">
        <f>ROUND(IF(AQ156="7",BH156,0),2)</f>
        <v>0</v>
      </c>
      <c r="AE156" s="28">
        <f>ROUND(IF(AQ156="7",BI156,0),2)</f>
        <v>0</v>
      </c>
      <c r="AF156" s="28">
        <f>ROUND(IF(AQ156="2",BH156,0),2)</f>
        <v>0</v>
      </c>
      <c r="AG156" s="28">
        <f>ROUND(IF(AQ156="2",BI156,0),2)</f>
        <v>0</v>
      </c>
      <c r="AH156" s="28">
        <f>ROUND(IF(AQ156="0",BJ156,0),2)</f>
        <v>0</v>
      </c>
      <c r="AI156" s="10" t="s">
        <v>55</v>
      </c>
      <c r="AJ156" s="28">
        <f>IF(AN156=0,J156,0)</f>
        <v>0</v>
      </c>
      <c r="AK156" s="28">
        <f>IF(AN156=12,J156,0)</f>
        <v>0</v>
      </c>
      <c r="AL156" s="28">
        <f>IF(AN156=21,J156,0)</f>
        <v>0</v>
      </c>
      <c r="AN156" s="28">
        <v>21</v>
      </c>
      <c r="AO156" s="28">
        <f>G156*0.784418425</f>
        <v>0</v>
      </c>
      <c r="AP156" s="28">
        <f>G156*(1-0.784418425)</f>
        <v>0</v>
      </c>
      <c r="AQ156" s="30" t="s">
        <v>56</v>
      </c>
      <c r="AV156" s="28">
        <f>ROUND(AW156+AX156,2)</f>
        <v>0</v>
      </c>
      <c r="AW156" s="28">
        <f>ROUND(F156*AO156,2)</f>
        <v>0</v>
      </c>
      <c r="AX156" s="28">
        <f>ROUND(F156*AP156,2)</f>
        <v>0</v>
      </c>
      <c r="AY156" s="30" t="s">
        <v>330</v>
      </c>
      <c r="AZ156" s="30" t="s">
        <v>331</v>
      </c>
      <c r="BA156" s="10" t="s">
        <v>63</v>
      </c>
      <c r="BC156" s="28">
        <f>AW156+AX156</f>
        <v>0</v>
      </c>
      <c r="BD156" s="28">
        <f>G156/(100-BE156)*100</f>
        <v>0</v>
      </c>
      <c r="BE156" s="28">
        <v>0</v>
      </c>
      <c r="BF156" s="28">
        <f>159</f>
        <v>159</v>
      </c>
      <c r="BH156" s="28">
        <f>F156*AO156</f>
        <v>0</v>
      </c>
      <c r="BI156" s="28">
        <f>F156*AP156</f>
        <v>0</v>
      </c>
      <c r="BJ156" s="28">
        <f>F156*G156</f>
        <v>0</v>
      </c>
      <c r="BK156" s="28"/>
      <c r="BL156" s="28">
        <v>63</v>
      </c>
      <c r="BW156" s="28">
        <v>21</v>
      </c>
      <c r="BX156" s="4" t="s">
        <v>343</v>
      </c>
    </row>
    <row r="157" spans="1:76" x14ac:dyDescent="0.25">
      <c r="A157" s="2" t="s">
        <v>344</v>
      </c>
      <c r="B157" s="3" t="s">
        <v>345</v>
      </c>
      <c r="C157" s="76" t="s">
        <v>346</v>
      </c>
      <c r="D157" s="71"/>
      <c r="E157" s="3" t="s">
        <v>59</v>
      </c>
      <c r="F157" s="28">
        <v>93</v>
      </c>
      <c r="G157" s="28">
        <v>0</v>
      </c>
      <c r="H157" s="28">
        <f>ROUND(F157*AO157,2)</f>
        <v>0</v>
      </c>
      <c r="I157" s="28">
        <f>ROUND(F157*AP157,2)</f>
        <v>0</v>
      </c>
      <c r="J157" s="28">
        <f>ROUND(F157*G157,2)</f>
        <v>0</v>
      </c>
      <c r="K157" s="29" t="s">
        <v>60</v>
      </c>
      <c r="Z157" s="28">
        <f>ROUND(IF(AQ157="5",BJ157,0),2)</f>
        <v>0</v>
      </c>
      <c r="AB157" s="28">
        <f>ROUND(IF(AQ157="1",BH157,0),2)</f>
        <v>0</v>
      </c>
      <c r="AC157" s="28">
        <f>ROUND(IF(AQ157="1",BI157,0),2)</f>
        <v>0</v>
      </c>
      <c r="AD157" s="28">
        <f>ROUND(IF(AQ157="7",BH157,0),2)</f>
        <v>0</v>
      </c>
      <c r="AE157" s="28">
        <f>ROUND(IF(AQ157="7",BI157,0),2)</f>
        <v>0</v>
      </c>
      <c r="AF157" s="28">
        <f>ROUND(IF(AQ157="2",BH157,0),2)</f>
        <v>0</v>
      </c>
      <c r="AG157" s="28">
        <f>ROUND(IF(AQ157="2",BI157,0),2)</f>
        <v>0</v>
      </c>
      <c r="AH157" s="28">
        <f>ROUND(IF(AQ157="0",BJ157,0),2)</f>
        <v>0</v>
      </c>
      <c r="AI157" s="10" t="s">
        <v>55</v>
      </c>
      <c r="AJ157" s="28">
        <f>IF(AN157=0,J157,0)</f>
        <v>0</v>
      </c>
      <c r="AK157" s="28">
        <f>IF(AN157=12,J157,0)</f>
        <v>0</v>
      </c>
      <c r="AL157" s="28">
        <f>IF(AN157=21,J157,0)</f>
        <v>0</v>
      </c>
      <c r="AN157" s="28">
        <v>21</v>
      </c>
      <c r="AO157" s="28">
        <f>G157*0.436941103</f>
        <v>0</v>
      </c>
      <c r="AP157" s="28">
        <f>G157*(1-0.436941103)</f>
        <v>0</v>
      </c>
      <c r="AQ157" s="30" t="s">
        <v>56</v>
      </c>
      <c r="AV157" s="28">
        <f>ROUND(AW157+AX157,2)</f>
        <v>0</v>
      </c>
      <c r="AW157" s="28">
        <f>ROUND(F157*AO157,2)</f>
        <v>0</v>
      </c>
      <c r="AX157" s="28">
        <f>ROUND(F157*AP157,2)</f>
        <v>0</v>
      </c>
      <c r="AY157" s="30" t="s">
        <v>330</v>
      </c>
      <c r="AZ157" s="30" t="s">
        <v>331</v>
      </c>
      <c r="BA157" s="10" t="s">
        <v>63</v>
      </c>
      <c r="BC157" s="28">
        <f>AW157+AX157</f>
        <v>0</v>
      </c>
      <c r="BD157" s="28">
        <f>G157/(100-BE157)*100</f>
        <v>0</v>
      </c>
      <c r="BE157" s="28">
        <v>0</v>
      </c>
      <c r="BF157" s="28">
        <f>160</f>
        <v>160</v>
      </c>
      <c r="BH157" s="28">
        <f>F157*AO157</f>
        <v>0</v>
      </c>
      <c r="BI157" s="28">
        <f>F157*AP157</f>
        <v>0</v>
      </c>
      <c r="BJ157" s="28">
        <f>F157*G157</f>
        <v>0</v>
      </c>
      <c r="BK157" s="28"/>
      <c r="BL157" s="28">
        <v>63</v>
      </c>
      <c r="BW157" s="28">
        <v>21</v>
      </c>
      <c r="BX157" s="4" t="s">
        <v>346</v>
      </c>
    </row>
    <row r="158" spans="1:76" x14ac:dyDescent="0.25">
      <c r="A158" s="31"/>
      <c r="C158" s="32" t="s">
        <v>347</v>
      </c>
      <c r="D158" s="32" t="s">
        <v>348</v>
      </c>
      <c r="F158" s="33">
        <v>93</v>
      </c>
      <c r="K158" s="34"/>
    </row>
    <row r="159" spans="1:76" ht="25.5" x14ac:dyDescent="0.25">
      <c r="A159" s="31"/>
      <c r="B159" s="35" t="s">
        <v>68</v>
      </c>
      <c r="C159" s="94" t="s">
        <v>349</v>
      </c>
      <c r="D159" s="95"/>
      <c r="E159" s="95"/>
      <c r="F159" s="95"/>
      <c r="G159" s="95"/>
      <c r="H159" s="95"/>
      <c r="I159" s="95"/>
      <c r="J159" s="95"/>
      <c r="K159" s="96"/>
      <c r="BX159" s="36" t="s">
        <v>349</v>
      </c>
    </row>
    <row r="160" spans="1:76" x14ac:dyDescent="0.25">
      <c r="A160" s="2" t="s">
        <v>350</v>
      </c>
      <c r="B160" s="3" t="s">
        <v>351</v>
      </c>
      <c r="C160" s="76" t="s">
        <v>352</v>
      </c>
      <c r="D160" s="71"/>
      <c r="E160" s="3" t="s">
        <v>59</v>
      </c>
      <c r="F160" s="28">
        <v>43.58</v>
      </c>
      <c r="G160" s="28">
        <v>0</v>
      </c>
      <c r="H160" s="28">
        <f>ROUND(F160*AO160,2)</f>
        <v>0</v>
      </c>
      <c r="I160" s="28">
        <f>ROUND(F160*AP160,2)</f>
        <v>0</v>
      </c>
      <c r="J160" s="28">
        <f>ROUND(F160*G160,2)</f>
        <v>0</v>
      </c>
      <c r="K160" s="29" t="s">
        <v>60</v>
      </c>
      <c r="Z160" s="28">
        <f>ROUND(IF(AQ160="5",BJ160,0),2)</f>
        <v>0</v>
      </c>
      <c r="AB160" s="28">
        <f>ROUND(IF(AQ160="1",BH160,0),2)</f>
        <v>0</v>
      </c>
      <c r="AC160" s="28">
        <f>ROUND(IF(AQ160="1",BI160,0),2)</f>
        <v>0</v>
      </c>
      <c r="AD160" s="28">
        <f>ROUND(IF(AQ160="7",BH160,0),2)</f>
        <v>0</v>
      </c>
      <c r="AE160" s="28">
        <f>ROUND(IF(AQ160="7",BI160,0),2)</f>
        <v>0</v>
      </c>
      <c r="AF160" s="28">
        <f>ROUND(IF(AQ160="2",BH160,0),2)</f>
        <v>0</v>
      </c>
      <c r="AG160" s="28">
        <f>ROUND(IF(AQ160="2",BI160,0),2)</f>
        <v>0</v>
      </c>
      <c r="AH160" s="28">
        <f>ROUND(IF(AQ160="0",BJ160,0),2)</f>
        <v>0</v>
      </c>
      <c r="AI160" s="10" t="s">
        <v>55</v>
      </c>
      <c r="AJ160" s="28">
        <f>IF(AN160=0,J160,0)</f>
        <v>0</v>
      </c>
      <c r="AK160" s="28">
        <f>IF(AN160=12,J160,0)</f>
        <v>0</v>
      </c>
      <c r="AL160" s="28">
        <f>IF(AN160=21,J160,0)</f>
        <v>0</v>
      </c>
      <c r="AN160" s="28">
        <v>21</v>
      </c>
      <c r="AO160" s="28">
        <f>G160*0.88957434</f>
        <v>0</v>
      </c>
      <c r="AP160" s="28">
        <f>G160*(1-0.88957434)</f>
        <v>0</v>
      </c>
      <c r="AQ160" s="30" t="s">
        <v>56</v>
      </c>
      <c r="AV160" s="28">
        <f>ROUND(AW160+AX160,2)</f>
        <v>0</v>
      </c>
      <c r="AW160" s="28">
        <f>ROUND(F160*AO160,2)</f>
        <v>0</v>
      </c>
      <c r="AX160" s="28">
        <f>ROUND(F160*AP160,2)</f>
        <v>0</v>
      </c>
      <c r="AY160" s="30" t="s">
        <v>330</v>
      </c>
      <c r="AZ160" s="30" t="s">
        <v>331</v>
      </c>
      <c r="BA160" s="10" t="s">
        <v>63</v>
      </c>
      <c r="BC160" s="28">
        <f>AW160+AX160</f>
        <v>0</v>
      </c>
      <c r="BD160" s="28">
        <f>G160/(100-BE160)*100</f>
        <v>0</v>
      </c>
      <c r="BE160" s="28">
        <v>0</v>
      </c>
      <c r="BF160" s="28">
        <f>163</f>
        <v>163</v>
      </c>
      <c r="BH160" s="28">
        <f>F160*AO160</f>
        <v>0</v>
      </c>
      <c r="BI160" s="28">
        <f>F160*AP160</f>
        <v>0</v>
      </c>
      <c r="BJ160" s="28">
        <f>F160*G160</f>
        <v>0</v>
      </c>
      <c r="BK160" s="28"/>
      <c r="BL160" s="28">
        <v>63</v>
      </c>
      <c r="BW160" s="28">
        <v>21</v>
      </c>
      <c r="BX160" s="4" t="s">
        <v>352</v>
      </c>
    </row>
    <row r="161" spans="1:76" ht="13.5" customHeight="1" x14ac:dyDescent="0.25">
      <c r="A161" s="31"/>
      <c r="B161" s="35" t="s">
        <v>105</v>
      </c>
      <c r="C161" s="97" t="s">
        <v>353</v>
      </c>
      <c r="D161" s="98"/>
      <c r="E161" s="98"/>
      <c r="F161" s="98"/>
      <c r="G161" s="98"/>
      <c r="H161" s="98"/>
      <c r="I161" s="98"/>
      <c r="J161" s="98"/>
      <c r="K161" s="99"/>
    </row>
    <row r="162" spans="1:76" x14ac:dyDescent="0.25">
      <c r="A162" s="31"/>
      <c r="C162" s="32" t="s">
        <v>354</v>
      </c>
      <c r="D162" s="32" t="s">
        <v>355</v>
      </c>
      <c r="F162" s="33">
        <v>24.6</v>
      </c>
      <c r="K162" s="34"/>
    </row>
    <row r="163" spans="1:76" x14ac:dyDescent="0.25">
      <c r="A163" s="31"/>
      <c r="C163" s="32" t="s">
        <v>356</v>
      </c>
      <c r="D163" s="32" t="s">
        <v>357</v>
      </c>
      <c r="F163" s="33">
        <v>16.38</v>
      </c>
      <c r="K163" s="34"/>
    </row>
    <row r="164" spans="1:76" x14ac:dyDescent="0.25">
      <c r="A164" s="31"/>
      <c r="C164" s="32" t="s">
        <v>358</v>
      </c>
      <c r="D164" s="32" t="s">
        <v>359</v>
      </c>
      <c r="F164" s="33">
        <v>2.6</v>
      </c>
      <c r="K164" s="34"/>
    </row>
    <row r="165" spans="1:76" ht="13.5" customHeight="1" x14ac:dyDescent="0.25">
      <c r="A165" s="31"/>
      <c r="B165" s="37" t="s">
        <v>70</v>
      </c>
      <c r="C165" s="97" t="s">
        <v>360</v>
      </c>
      <c r="D165" s="98"/>
      <c r="E165" s="98"/>
      <c r="F165" s="98"/>
      <c r="G165" s="98"/>
      <c r="H165" s="98"/>
      <c r="I165" s="98"/>
      <c r="J165" s="98"/>
      <c r="K165" s="99"/>
    </row>
    <row r="166" spans="1:76" x14ac:dyDescent="0.25">
      <c r="A166" s="24" t="s">
        <v>51</v>
      </c>
      <c r="B166" s="25" t="s">
        <v>361</v>
      </c>
      <c r="C166" s="87" t="s">
        <v>362</v>
      </c>
      <c r="D166" s="88"/>
      <c r="E166" s="26" t="s">
        <v>4</v>
      </c>
      <c r="F166" s="26" t="s">
        <v>4</v>
      </c>
      <c r="G166" s="26" t="s">
        <v>4</v>
      </c>
      <c r="H166" s="1">
        <f>SUM(H167:H200)</f>
        <v>0</v>
      </c>
      <c r="I166" s="1">
        <f>SUM(I167:I200)</f>
        <v>0</v>
      </c>
      <c r="J166" s="1">
        <f>SUM(J167:J200)</f>
        <v>0</v>
      </c>
      <c r="K166" s="27" t="s">
        <v>51</v>
      </c>
      <c r="AI166" s="10" t="s">
        <v>55</v>
      </c>
      <c r="AS166" s="1">
        <f>SUM(AJ167:AJ200)</f>
        <v>0</v>
      </c>
      <c r="AT166" s="1">
        <f>SUM(AK167:AK200)</f>
        <v>0</v>
      </c>
      <c r="AU166" s="1">
        <f>SUM(AL167:AL200)</f>
        <v>0</v>
      </c>
    </row>
    <row r="167" spans="1:76" x14ac:dyDescent="0.25">
      <c r="A167" s="2" t="s">
        <v>363</v>
      </c>
      <c r="B167" s="3" t="s">
        <v>364</v>
      </c>
      <c r="C167" s="76" t="s">
        <v>365</v>
      </c>
      <c r="D167" s="71"/>
      <c r="E167" s="3" t="s">
        <v>103</v>
      </c>
      <c r="F167" s="28">
        <v>116</v>
      </c>
      <c r="G167" s="28">
        <v>0</v>
      </c>
      <c r="H167" s="28">
        <f>ROUND(F167*AO167,2)</f>
        <v>0</v>
      </c>
      <c r="I167" s="28">
        <f>ROUND(F167*AP167,2)</f>
        <v>0</v>
      </c>
      <c r="J167" s="28">
        <f>ROUND(F167*G167,2)</f>
        <v>0</v>
      </c>
      <c r="K167" s="29" t="s">
        <v>60</v>
      </c>
      <c r="Z167" s="28">
        <f>ROUND(IF(AQ167="5",BJ167,0),2)</f>
        <v>0</v>
      </c>
      <c r="AB167" s="28">
        <f>ROUND(IF(AQ167="1",BH167,0),2)</f>
        <v>0</v>
      </c>
      <c r="AC167" s="28">
        <f>ROUND(IF(AQ167="1",BI167,0),2)</f>
        <v>0</v>
      </c>
      <c r="AD167" s="28">
        <f>ROUND(IF(AQ167="7",BH167,0),2)</f>
        <v>0</v>
      </c>
      <c r="AE167" s="28">
        <f>ROUND(IF(AQ167="7",BI167,0),2)</f>
        <v>0</v>
      </c>
      <c r="AF167" s="28">
        <f>ROUND(IF(AQ167="2",BH167,0),2)</f>
        <v>0</v>
      </c>
      <c r="AG167" s="28">
        <f>ROUND(IF(AQ167="2",BI167,0),2)</f>
        <v>0</v>
      </c>
      <c r="AH167" s="28">
        <f>ROUND(IF(AQ167="0",BJ167,0),2)</f>
        <v>0</v>
      </c>
      <c r="AI167" s="10" t="s">
        <v>55</v>
      </c>
      <c r="AJ167" s="28">
        <f>IF(AN167=0,J167,0)</f>
        <v>0</v>
      </c>
      <c r="AK167" s="28">
        <f>IF(AN167=12,J167,0)</f>
        <v>0</v>
      </c>
      <c r="AL167" s="28">
        <f>IF(AN167=21,J167,0)</f>
        <v>0</v>
      </c>
      <c r="AN167" s="28">
        <v>21</v>
      </c>
      <c r="AO167" s="28">
        <f>G167*0.018576059</f>
        <v>0</v>
      </c>
      <c r="AP167" s="28">
        <f>G167*(1-0.018576059)</f>
        <v>0</v>
      </c>
      <c r="AQ167" s="30" t="s">
        <v>118</v>
      </c>
      <c r="AV167" s="28">
        <f>ROUND(AW167+AX167,2)</f>
        <v>0</v>
      </c>
      <c r="AW167" s="28">
        <f>ROUND(F167*AO167,2)</f>
        <v>0</v>
      </c>
      <c r="AX167" s="28">
        <f>ROUND(F167*AP167,2)</f>
        <v>0</v>
      </c>
      <c r="AY167" s="30" t="s">
        <v>366</v>
      </c>
      <c r="AZ167" s="30" t="s">
        <v>367</v>
      </c>
      <c r="BA167" s="10" t="s">
        <v>63</v>
      </c>
      <c r="BC167" s="28">
        <f>AW167+AX167</f>
        <v>0</v>
      </c>
      <c r="BD167" s="28">
        <f>G167/(100-BE167)*100</f>
        <v>0</v>
      </c>
      <c r="BE167" s="28">
        <v>0</v>
      </c>
      <c r="BF167" s="28">
        <f>170</f>
        <v>170</v>
      </c>
      <c r="BH167" s="28">
        <f>F167*AO167</f>
        <v>0</v>
      </c>
      <c r="BI167" s="28">
        <f>F167*AP167</f>
        <v>0</v>
      </c>
      <c r="BJ167" s="28">
        <f>F167*G167</f>
        <v>0</v>
      </c>
      <c r="BK167" s="28"/>
      <c r="BL167" s="28">
        <v>711</v>
      </c>
      <c r="BW167" s="28">
        <v>21</v>
      </c>
      <c r="BX167" s="4" t="s">
        <v>365</v>
      </c>
    </row>
    <row r="168" spans="1:76" x14ac:dyDescent="0.25">
      <c r="A168" s="31"/>
      <c r="C168" s="32" t="s">
        <v>368</v>
      </c>
      <c r="D168" s="32" t="s">
        <v>369</v>
      </c>
      <c r="F168" s="33">
        <v>28.5</v>
      </c>
      <c r="K168" s="34"/>
    </row>
    <row r="169" spans="1:76" x14ac:dyDescent="0.25">
      <c r="A169" s="31"/>
      <c r="C169" s="32" t="s">
        <v>370</v>
      </c>
      <c r="D169" s="32" t="s">
        <v>371</v>
      </c>
      <c r="F169" s="33">
        <v>67.5</v>
      </c>
      <c r="K169" s="34"/>
    </row>
    <row r="170" spans="1:76" x14ac:dyDescent="0.25">
      <c r="A170" s="31"/>
      <c r="C170" s="32" t="s">
        <v>372</v>
      </c>
      <c r="D170" s="32" t="s">
        <v>373</v>
      </c>
      <c r="F170" s="33">
        <v>20</v>
      </c>
      <c r="K170" s="34"/>
    </row>
    <row r="171" spans="1:76" ht="25.5" x14ac:dyDescent="0.25">
      <c r="A171" s="31"/>
      <c r="B171" s="35" t="s">
        <v>68</v>
      </c>
      <c r="C171" s="94" t="s">
        <v>374</v>
      </c>
      <c r="D171" s="95"/>
      <c r="E171" s="95"/>
      <c r="F171" s="95"/>
      <c r="G171" s="95"/>
      <c r="H171" s="95"/>
      <c r="I171" s="95"/>
      <c r="J171" s="95"/>
      <c r="K171" s="96"/>
      <c r="BX171" s="36" t="s">
        <v>374</v>
      </c>
    </row>
    <row r="172" spans="1:76" x14ac:dyDescent="0.25">
      <c r="A172" s="2" t="s">
        <v>375</v>
      </c>
      <c r="B172" s="3" t="s">
        <v>376</v>
      </c>
      <c r="C172" s="76" t="s">
        <v>377</v>
      </c>
      <c r="D172" s="71"/>
      <c r="E172" s="3" t="s">
        <v>103</v>
      </c>
      <c r="F172" s="28">
        <v>319</v>
      </c>
      <c r="G172" s="28">
        <v>0</v>
      </c>
      <c r="H172" s="28">
        <f>ROUND(F172*AO172,2)</f>
        <v>0</v>
      </c>
      <c r="I172" s="28">
        <f>ROUND(F172*AP172,2)</f>
        <v>0</v>
      </c>
      <c r="J172" s="28">
        <f>ROUND(F172*G172,2)</f>
        <v>0</v>
      </c>
      <c r="K172" s="29" t="s">
        <v>60</v>
      </c>
      <c r="Z172" s="28">
        <f>ROUND(IF(AQ172="5",BJ172,0),2)</f>
        <v>0</v>
      </c>
      <c r="AB172" s="28">
        <f>ROUND(IF(AQ172="1",BH172,0),2)</f>
        <v>0</v>
      </c>
      <c r="AC172" s="28">
        <f>ROUND(IF(AQ172="1",BI172,0),2)</f>
        <v>0</v>
      </c>
      <c r="AD172" s="28">
        <f>ROUND(IF(AQ172="7",BH172,0),2)</f>
        <v>0</v>
      </c>
      <c r="AE172" s="28">
        <f>ROUND(IF(AQ172="7",BI172,0),2)</f>
        <v>0</v>
      </c>
      <c r="AF172" s="28">
        <f>ROUND(IF(AQ172="2",BH172,0),2)</f>
        <v>0</v>
      </c>
      <c r="AG172" s="28">
        <f>ROUND(IF(AQ172="2",BI172,0),2)</f>
        <v>0</v>
      </c>
      <c r="AH172" s="28">
        <f>ROUND(IF(AQ172="0",BJ172,0),2)</f>
        <v>0</v>
      </c>
      <c r="AI172" s="10" t="s">
        <v>55</v>
      </c>
      <c r="AJ172" s="28">
        <f>IF(AN172=0,J172,0)</f>
        <v>0</v>
      </c>
      <c r="AK172" s="28">
        <f>IF(AN172=12,J172,0)</f>
        <v>0</v>
      </c>
      <c r="AL172" s="28">
        <f>IF(AN172=21,J172,0)</f>
        <v>0</v>
      </c>
      <c r="AN172" s="28">
        <v>21</v>
      </c>
      <c r="AO172" s="28">
        <f>G172*0</f>
        <v>0</v>
      </c>
      <c r="AP172" s="28">
        <f>G172*(1-0)</f>
        <v>0</v>
      </c>
      <c r="AQ172" s="30" t="s">
        <v>118</v>
      </c>
      <c r="AV172" s="28">
        <f>ROUND(AW172+AX172,2)</f>
        <v>0</v>
      </c>
      <c r="AW172" s="28">
        <f>ROUND(F172*AO172,2)</f>
        <v>0</v>
      </c>
      <c r="AX172" s="28">
        <f>ROUND(F172*AP172,2)</f>
        <v>0</v>
      </c>
      <c r="AY172" s="30" t="s">
        <v>366</v>
      </c>
      <c r="AZ172" s="30" t="s">
        <v>367</v>
      </c>
      <c r="BA172" s="10" t="s">
        <v>63</v>
      </c>
      <c r="BC172" s="28">
        <f>AW172+AX172</f>
        <v>0</v>
      </c>
      <c r="BD172" s="28">
        <f>G172/(100-BE172)*100</f>
        <v>0</v>
      </c>
      <c r="BE172" s="28">
        <v>0</v>
      </c>
      <c r="BF172" s="28">
        <f>175</f>
        <v>175</v>
      </c>
      <c r="BH172" s="28">
        <f>F172*AO172</f>
        <v>0</v>
      </c>
      <c r="BI172" s="28">
        <f>F172*AP172</f>
        <v>0</v>
      </c>
      <c r="BJ172" s="28">
        <f>F172*G172</f>
        <v>0</v>
      </c>
      <c r="BK172" s="28"/>
      <c r="BL172" s="28">
        <v>711</v>
      </c>
      <c r="BW172" s="28">
        <v>21</v>
      </c>
      <c r="BX172" s="4" t="s">
        <v>377</v>
      </c>
    </row>
    <row r="173" spans="1:76" x14ac:dyDescent="0.25">
      <c r="A173" s="31"/>
      <c r="C173" s="32" t="s">
        <v>378</v>
      </c>
      <c r="D173" s="32" t="s">
        <v>379</v>
      </c>
      <c r="F173" s="33">
        <v>314</v>
      </c>
      <c r="K173" s="34"/>
    </row>
    <row r="174" spans="1:76" x14ac:dyDescent="0.25">
      <c r="A174" s="31"/>
      <c r="C174" s="32" t="s">
        <v>100</v>
      </c>
      <c r="D174" s="32" t="s">
        <v>380</v>
      </c>
      <c r="F174" s="33">
        <v>5</v>
      </c>
      <c r="K174" s="34"/>
    </row>
    <row r="175" spans="1:76" ht="25.5" x14ac:dyDescent="0.25">
      <c r="A175" s="31"/>
      <c r="B175" s="35" t="s">
        <v>68</v>
      </c>
      <c r="C175" s="94" t="s">
        <v>374</v>
      </c>
      <c r="D175" s="95"/>
      <c r="E175" s="95"/>
      <c r="F175" s="95"/>
      <c r="G175" s="95"/>
      <c r="H175" s="95"/>
      <c r="I175" s="95"/>
      <c r="J175" s="95"/>
      <c r="K175" s="96"/>
      <c r="BX175" s="36" t="s">
        <v>374</v>
      </c>
    </row>
    <row r="176" spans="1:76" x14ac:dyDescent="0.25">
      <c r="A176" s="2" t="s">
        <v>381</v>
      </c>
      <c r="B176" s="3" t="s">
        <v>382</v>
      </c>
      <c r="C176" s="76" t="s">
        <v>383</v>
      </c>
      <c r="D176" s="71"/>
      <c r="E176" s="3" t="s">
        <v>103</v>
      </c>
      <c r="F176" s="28">
        <v>139.69999999999999</v>
      </c>
      <c r="G176" s="28">
        <v>0</v>
      </c>
      <c r="H176" s="28">
        <f>ROUND(F176*AO176,2)</f>
        <v>0</v>
      </c>
      <c r="I176" s="28">
        <f>ROUND(F176*AP176,2)</f>
        <v>0</v>
      </c>
      <c r="J176" s="28">
        <f>ROUND(F176*G176,2)</f>
        <v>0</v>
      </c>
      <c r="K176" s="29" t="s">
        <v>60</v>
      </c>
      <c r="Z176" s="28">
        <f>ROUND(IF(AQ176="5",BJ176,0),2)</f>
        <v>0</v>
      </c>
      <c r="AB176" s="28">
        <f>ROUND(IF(AQ176="1",BH176,0),2)</f>
        <v>0</v>
      </c>
      <c r="AC176" s="28">
        <f>ROUND(IF(AQ176="1",BI176,0),2)</f>
        <v>0</v>
      </c>
      <c r="AD176" s="28">
        <f>ROUND(IF(AQ176="7",BH176,0),2)</f>
        <v>0</v>
      </c>
      <c r="AE176" s="28">
        <f>ROUND(IF(AQ176="7",BI176,0),2)</f>
        <v>0</v>
      </c>
      <c r="AF176" s="28">
        <f>ROUND(IF(AQ176="2",BH176,0),2)</f>
        <v>0</v>
      </c>
      <c r="AG176" s="28">
        <f>ROUND(IF(AQ176="2",BI176,0),2)</f>
        <v>0</v>
      </c>
      <c r="AH176" s="28">
        <f>ROUND(IF(AQ176="0",BJ176,0),2)</f>
        <v>0</v>
      </c>
      <c r="AI176" s="10" t="s">
        <v>55</v>
      </c>
      <c r="AJ176" s="28">
        <f>IF(AN176=0,J176,0)</f>
        <v>0</v>
      </c>
      <c r="AK176" s="28">
        <f>IF(AN176=12,J176,0)</f>
        <v>0</v>
      </c>
      <c r="AL176" s="28">
        <f>IF(AN176=21,J176,0)</f>
        <v>0</v>
      </c>
      <c r="AN176" s="28">
        <v>21</v>
      </c>
      <c r="AO176" s="28">
        <f>G176*1</f>
        <v>0</v>
      </c>
      <c r="AP176" s="28">
        <f>G176*(1-1)</f>
        <v>0</v>
      </c>
      <c r="AQ176" s="30" t="s">
        <v>118</v>
      </c>
      <c r="AV176" s="28">
        <f>ROUND(AW176+AX176,2)</f>
        <v>0</v>
      </c>
      <c r="AW176" s="28">
        <f>ROUND(F176*AO176,2)</f>
        <v>0</v>
      </c>
      <c r="AX176" s="28">
        <f>ROUND(F176*AP176,2)</f>
        <v>0</v>
      </c>
      <c r="AY176" s="30" t="s">
        <v>366</v>
      </c>
      <c r="AZ176" s="30" t="s">
        <v>367</v>
      </c>
      <c r="BA176" s="10" t="s">
        <v>63</v>
      </c>
      <c r="BC176" s="28">
        <f>AW176+AX176</f>
        <v>0</v>
      </c>
      <c r="BD176" s="28">
        <f>G176/(100-BE176)*100</f>
        <v>0</v>
      </c>
      <c r="BE176" s="28">
        <v>0</v>
      </c>
      <c r="BF176" s="28">
        <f>179</f>
        <v>179</v>
      </c>
      <c r="BH176" s="28">
        <f>F176*AO176</f>
        <v>0</v>
      </c>
      <c r="BI176" s="28">
        <f>F176*AP176</f>
        <v>0</v>
      </c>
      <c r="BJ176" s="28">
        <f>F176*G176</f>
        <v>0</v>
      </c>
      <c r="BK176" s="28"/>
      <c r="BL176" s="28">
        <v>711</v>
      </c>
      <c r="BW176" s="28">
        <v>21</v>
      </c>
      <c r="BX176" s="4" t="s">
        <v>383</v>
      </c>
    </row>
    <row r="177" spans="1:76" x14ac:dyDescent="0.25">
      <c r="A177" s="31"/>
      <c r="C177" s="32" t="s">
        <v>384</v>
      </c>
      <c r="D177" s="32" t="s">
        <v>385</v>
      </c>
      <c r="F177" s="33">
        <v>127</v>
      </c>
      <c r="K177" s="34"/>
    </row>
    <row r="178" spans="1:76" x14ac:dyDescent="0.25">
      <c r="A178" s="31"/>
      <c r="C178" s="32" t="s">
        <v>386</v>
      </c>
      <c r="D178" s="32" t="s">
        <v>51</v>
      </c>
      <c r="F178" s="33">
        <v>12.7</v>
      </c>
      <c r="K178" s="34"/>
    </row>
    <row r="179" spans="1:76" ht="58.15" customHeight="1" x14ac:dyDescent="0.25">
      <c r="A179" s="31"/>
      <c r="B179" s="35" t="s">
        <v>68</v>
      </c>
      <c r="C179" s="100" t="s">
        <v>387</v>
      </c>
      <c r="D179" s="100"/>
      <c r="E179" s="100"/>
      <c r="F179" s="100"/>
      <c r="G179" s="100"/>
      <c r="H179" s="100"/>
      <c r="I179" s="100"/>
      <c r="J179" s="100"/>
      <c r="K179" s="101"/>
      <c r="BX179" s="36" t="s">
        <v>387</v>
      </c>
    </row>
    <row r="180" spans="1:76" x14ac:dyDescent="0.25">
      <c r="A180" s="2" t="s">
        <v>388</v>
      </c>
      <c r="B180" s="3" t="s">
        <v>389</v>
      </c>
      <c r="C180" s="76" t="s">
        <v>390</v>
      </c>
      <c r="D180" s="71"/>
      <c r="E180" s="3" t="s">
        <v>103</v>
      </c>
      <c r="F180" s="28">
        <v>398.2</v>
      </c>
      <c r="G180" s="28">
        <v>0</v>
      </c>
      <c r="H180" s="28">
        <f>ROUND(F180*AO180,2)</f>
        <v>0</v>
      </c>
      <c r="I180" s="28">
        <f>ROUND(F180*AP180,2)</f>
        <v>0</v>
      </c>
      <c r="J180" s="28">
        <f>ROUND(F180*G180,2)</f>
        <v>0</v>
      </c>
      <c r="K180" s="29" t="s">
        <v>60</v>
      </c>
      <c r="Z180" s="28">
        <f>ROUND(IF(AQ180="5",BJ180,0),2)</f>
        <v>0</v>
      </c>
      <c r="AB180" s="28">
        <f>ROUND(IF(AQ180="1",BH180,0),2)</f>
        <v>0</v>
      </c>
      <c r="AC180" s="28">
        <f>ROUND(IF(AQ180="1",BI180,0),2)</f>
        <v>0</v>
      </c>
      <c r="AD180" s="28">
        <f>ROUND(IF(AQ180="7",BH180,0),2)</f>
        <v>0</v>
      </c>
      <c r="AE180" s="28">
        <f>ROUND(IF(AQ180="7",BI180,0),2)</f>
        <v>0</v>
      </c>
      <c r="AF180" s="28">
        <f>ROUND(IF(AQ180="2",BH180,0),2)</f>
        <v>0</v>
      </c>
      <c r="AG180" s="28">
        <f>ROUND(IF(AQ180="2",BI180,0),2)</f>
        <v>0</v>
      </c>
      <c r="AH180" s="28">
        <f>ROUND(IF(AQ180="0",BJ180,0),2)</f>
        <v>0</v>
      </c>
      <c r="AI180" s="10" t="s">
        <v>55</v>
      </c>
      <c r="AJ180" s="28">
        <f>IF(AN180=0,J180,0)</f>
        <v>0</v>
      </c>
      <c r="AK180" s="28">
        <f>IF(AN180=12,J180,0)</f>
        <v>0</v>
      </c>
      <c r="AL180" s="28">
        <f>IF(AN180=21,J180,0)</f>
        <v>0</v>
      </c>
      <c r="AN180" s="28">
        <v>21</v>
      </c>
      <c r="AO180" s="28">
        <f>G180*1</f>
        <v>0</v>
      </c>
      <c r="AP180" s="28">
        <f>G180*(1-1)</f>
        <v>0</v>
      </c>
      <c r="AQ180" s="30" t="s">
        <v>118</v>
      </c>
      <c r="AV180" s="28">
        <f>ROUND(AW180+AX180,2)</f>
        <v>0</v>
      </c>
      <c r="AW180" s="28">
        <f>ROUND(F180*AO180,2)</f>
        <v>0</v>
      </c>
      <c r="AX180" s="28">
        <f>ROUND(F180*AP180,2)</f>
        <v>0</v>
      </c>
      <c r="AY180" s="30" t="s">
        <v>366</v>
      </c>
      <c r="AZ180" s="30" t="s">
        <v>367</v>
      </c>
      <c r="BA180" s="10" t="s">
        <v>63</v>
      </c>
      <c r="BC180" s="28">
        <f>AW180+AX180</f>
        <v>0</v>
      </c>
      <c r="BD180" s="28">
        <f>G180/(100-BE180)*100</f>
        <v>0</v>
      </c>
      <c r="BE180" s="28">
        <v>0</v>
      </c>
      <c r="BF180" s="28">
        <f>183</f>
        <v>183</v>
      </c>
      <c r="BH180" s="28">
        <f>F180*AO180</f>
        <v>0</v>
      </c>
      <c r="BI180" s="28">
        <f>F180*AP180</f>
        <v>0</v>
      </c>
      <c r="BJ180" s="28">
        <f>F180*G180</f>
        <v>0</v>
      </c>
      <c r="BK180" s="28"/>
      <c r="BL180" s="28">
        <v>711</v>
      </c>
      <c r="BW180" s="28">
        <v>21</v>
      </c>
      <c r="BX180" s="4" t="s">
        <v>390</v>
      </c>
    </row>
    <row r="181" spans="1:76" x14ac:dyDescent="0.25">
      <c r="A181" s="31"/>
      <c r="C181" s="32" t="s">
        <v>391</v>
      </c>
      <c r="D181" s="32" t="s">
        <v>392</v>
      </c>
      <c r="F181" s="33">
        <v>192</v>
      </c>
      <c r="K181" s="34"/>
    </row>
    <row r="182" spans="1:76" x14ac:dyDescent="0.25">
      <c r="A182" s="31"/>
      <c r="C182" s="32" t="s">
        <v>393</v>
      </c>
      <c r="D182" s="32" t="s">
        <v>394</v>
      </c>
      <c r="F182" s="33">
        <v>170</v>
      </c>
      <c r="K182" s="34"/>
    </row>
    <row r="183" spans="1:76" x14ac:dyDescent="0.25">
      <c r="A183" s="31"/>
      <c r="C183" s="32" t="s">
        <v>395</v>
      </c>
      <c r="D183" s="32" t="s">
        <v>51</v>
      </c>
      <c r="F183" s="33">
        <v>36.200000000000003</v>
      </c>
      <c r="K183" s="34"/>
    </row>
    <row r="184" spans="1:76" ht="38.25" x14ac:dyDescent="0.25">
      <c r="A184" s="31"/>
      <c r="B184" s="35" t="s">
        <v>68</v>
      </c>
      <c r="C184" s="94" t="s">
        <v>396</v>
      </c>
      <c r="D184" s="95"/>
      <c r="E184" s="95"/>
      <c r="F184" s="95"/>
      <c r="G184" s="95"/>
      <c r="H184" s="95"/>
      <c r="I184" s="95"/>
      <c r="J184" s="95"/>
      <c r="K184" s="96"/>
      <c r="BX184" s="36" t="s">
        <v>396</v>
      </c>
    </row>
    <row r="185" spans="1:76" x14ac:dyDescent="0.25">
      <c r="A185" s="2" t="s">
        <v>397</v>
      </c>
      <c r="B185" s="3" t="s">
        <v>398</v>
      </c>
      <c r="C185" s="76" t="s">
        <v>399</v>
      </c>
      <c r="D185" s="71"/>
      <c r="E185" s="3" t="s">
        <v>103</v>
      </c>
      <c r="F185" s="28">
        <v>28.5</v>
      </c>
      <c r="G185" s="28">
        <v>0</v>
      </c>
      <c r="H185" s="28">
        <f>ROUND(F185*AO185,2)</f>
        <v>0</v>
      </c>
      <c r="I185" s="28">
        <f>ROUND(F185*AP185,2)</f>
        <v>0</v>
      </c>
      <c r="J185" s="28">
        <f>ROUND(F185*G185,2)</f>
        <v>0</v>
      </c>
      <c r="K185" s="29" t="s">
        <v>60</v>
      </c>
      <c r="Z185" s="28">
        <f>ROUND(IF(AQ185="5",BJ185,0),2)</f>
        <v>0</v>
      </c>
      <c r="AB185" s="28">
        <f>ROUND(IF(AQ185="1",BH185,0),2)</f>
        <v>0</v>
      </c>
      <c r="AC185" s="28">
        <f>ROUND(IF(AQ185="1",BI185,0),2)</f>
        <v>0</v>
      </c>
      <c r="AD185" s="28">
        <f>ROUND(IF(AQ185="7",BH185,0),2)</f>
        <v>0</v>
      </c>
      <c r="AE185" s="28">
        <f>ROUND(IF(AQ185="7",BI185,0),2)</f>
        <v>0</v>
      </c>
      <c r="AF185" s="28">
        <f>ROUND(IF(AQ185="2",BH185,0),2)</f>
        <v>0</v>
      </c>
      <c r="AG185" s="28">
        <f>ROUND(IF(AQ185="2",BI185,0),2)</f>
        <v>0</v>
      </c>
      <c r="AH185" s="28">
        <f>ROUND(IF(AQ185="0",BJ185,0),2)</f>
        <v>0</v>
      </c>
      <c r="AI185" s="10" t="s">
        <v>55</v>
      </c>
      <c r="AJ185" s="28">
        <f>IF(AN185=0,J185,0)</f>
        <v>0</v>
      </c>
      <c r="AK185" s="28">
        <f>IF(AN185=12,J185,0)</f>
        <v>0</v>
      </c>
      <c r="AL185" s="28">
        <f>IF(AN185=21,J185,0)</f>
        <v>0</v>
      </c>
      <c r="AN185" s="28">
        <v>21</v>
      </c>
      <c r="AO185" s="28">
        <f>G185*0.094383593</f>
        <v>0</v>
      </c>
      <c r="AP185" s="28">
        <f>G185*(1-0.094383593)</f>
        <v>0</v>
      </c>
      <c r="AQ185" s="30" t="s">
        <v>118</v>
      </c>
      <c r="AV185" s="28">
        <f>ROUND(AW185+AX185,2)</f>
        <v>0</v>
      </c>
      <c r="AW185" s="28">
        <f>ROUND(F185*AO185,2)</f>
        <v>0</v>
      </c>
      <c r="AX185" s="28">
        <f>ROUND(F185*AP185,2)</f>
        <v>0</v>
      </c>
      <c r="AY185" s="30" t="s">
        <v>366</v>
      </c>
      <c r="AZ185" s="30" t="s">
        <v>367</v>
      </c>
      <c r="BA185" s="10" t="s">
        <v>63</v>
      </c>
      <c r="BC185" s="28">
        <f>AW185+AX185</f>
        <v>0</v>
      </c>
      <c r="BD185" s="28">
        <f>G185/(100-BE185)*100</f>
        <v>0</v>
      </c>
      <c r="BE185" s="28">
        <v>0</v>
      </c>
      <c r="BF185" s="28">
        <f>188</f>
        <v>188</v>
      </c>
      <c r="BH185" s="28">
        <f>F185*AO185</f>
        <v>0</v>
      </c>
      <c r="BI185" s="28">
        <f>F185*AP185</f>
        <v>0</v>
      </c>
      <c r="BJ185" s="28">
        <f>F185*G185</f>
        <v>0</v>
      </c>
      <c r="BK185" s="28"/>
      <c r="BL185" s="28">
        <v>711</v>
      </c>
      <c r="BW185" s="28">
        <v>21</v>
      </c>
      <c r="BX185" s="4" t="s">
        <v>399</v>
      </c>
    </row>
    <row r="186" spans="1:76" x14ac:dyDescent="0.25">
      <c r="A186" s="31"/>
      <c r="C186" s="32" t="s">
        <v>368</v>
      </c>
      <c r="D186" s="32" t="s">
        <v>369</v>
      </c>
      <c r="F186" s="33">
        <v>28.5</v>
      </c>
      <c r="K186" s="34"/>
    </row>
    <row r="187" spans="1:76" x14ac:dyDescent="0.25">
      <c r="A187" s="31"/>
      <c r="B187" s="35" t="s">
        <v>68</v>
      </c>
      <c r="C187" s="94" t="s">
        <v>400</v>
      </c>
      <c r="D187" s="95"/>
      <c r="E187" s="95"/>
      <c r="F187" s="95"/>
      <c r="G187" s="95"/>
      <c r="H187" s="95"/>
      <c r="I187" s="95"/>
      <c r="J187" s="95"/>
      <c r="K187" s="96"/>
      <c r="BX187" s="36" t="s">
        <v>400</v>
      </c>
    </row>
    <row r="188" spans="1:76" x14ac:dyDescent="0.25">
      <c r="A188" s="2" t="s">
        <v>401</v>
      </c>
      <c r="B188" s="3" t="s">
        <v>402</v>
      </c>
      <c r="C188" s="76" t="s">
        <v>403</v>
      </c>
      <c r="D188" s="71"/>
      <c r="E188" s="3" t="s">
        <v>103</v>
      </c>
      <c r="F188" s="28">
        <v>185</v>
      </c>
      <c r="G188" s="28">
        <v>0</v>
      </c>
      <c r="H188" s="28">
        <f>ROUND(F188*AO188,2)</f>
        <v>0</v>
      </c>
      <c r="I188" s="28">
        <f>ROUND(F188*AP188,2)</f>
        <v>0</v>
      </c>
      <c r="J188" s="28">
        <f>ROUND(F188*G188,2)</f>
        <v>0</v>
      </c>
      <c r="K188" s="29" t="s">
        <v>60</v>
      </c>
      <c r="Z188" s="28">
        <f>ROUND(IF(AQ188="5",BJ188,0),2)</f>
        <v>0</v>
      </c>
      <c r="AB188" s="28">
        <f>ROUND(IF(AQ188="1",BH188,0),2)</f>
        <v>0</v>
      </c>
      <c r="AC188" s="28">
        <f>ROUND(IF(AQ188="1",BI188,0),2)</f>
        <v>0</v>
      </c>
      <c r="AD188" s="28">
        <f>ROUND(IF(AQ188="7",BH188,0),2)</f>
        <v>0</v>
      </c>
      <c r="AE188" s="28">
        <f>ROUND(IF(AQ188="7",BI188,0),2)</f>
        <v>0</v>
      </c>
      <c r="AF188" s="28">
        <f>ROUND(IF(AQ188="2",BH188,0),2)</f>
        <v>0</v>
      </c>
      <c r="AG188" s="28">
        <f>ROUND(IF(AQ188="2",BI188,0),2)</f>
        <v>0</v>
      </c>
      <c r="AH188" s="28">
        <f>ROUND(IF(AQ188="0",BJ188,0),2)</f>
        <v>0</v>
      </c>
      <c r="AI188" s="10" t="s">
        <v>55</v>
      </c>
      <c r="AJ188" s="28">
        <f>IF(AN188=0,J188,0)</f>
        <v>0</v>
      </c>
      <c r="AK188" s="28">
        <f>IF(AN188=12,J188,0)</f>
        <v>0</v>
      </c>
      <c r="AL188" s="28">
        <f>IF(AN188=21,J188,0)</f>
        <v>0</v>
      </c>
      <c r="AN188" s="28">
        <v>21</v>
      </c>
      <c r="AO188" s="28">
        <f>G188*0</f>
        <v>0</v>
      </c>
      <c r="AP188" s="28">
        <f>G188*(1-0)</f>
        <v>0</v>
      </c>
      <c r="AQ188" s="30" t="s">
        <v>118</v>
      </c>
      <c r="AV188" s="28">
        <f>ROUND(AW188+AX188,2)</f>
        <v>0</v>
      </c>
      <c r="AW188" s="28">
        <f>ROUND(F188*AO188,2)</f>
        <v>0</v>
      </c>
      <c r="AX188" s="28">
        <f>ROUND(F188*AP188,2)</f>
        <v>0</v>
      </c>
      <c r="AY188" s="30" t="s">
        <v>366</v>
      </c>
      <c r="AZ188" s="30" t="s">
        <v>367</v>
      </c>
      <c r="BA188" s="10" t="s">
        <v>63</v>
      </c>
      <c r="BC188" s="28">
        <f>AW188+AX188</f>
        <v>0</v>
      </c>
      <c r="BD188" s="28">
        <f>G188/(100-BE188)*100</f>
        <v>0</v>
      </c>
      <c r="BE188" s="28">
        <v>0</v>
      </c>
      <c r="BF188" s="28">
        <f>191</f>
        <v>191</v>
      </c>
      <c r="BH188" s="28">
        <f>F188*AO188</f>
        <v>0</v>
      </c>
      <c r="BI188" s="28">
        <f>F188*AP188</f>
        <v>0</v>
      </c>
      <c r="BJ188" s="28">
        <f>F188*G188</f>
        <v>0</v>
      </c>
      <c r="BK188" s="28"/>
      <c r="BL188" s="28">
        <v>711</v>
      </c>
      <c r="BW188" s="28">
        <v>21</v>
      </c>
      <c r="BX188" s="4" t="s">
        <v>403</v>
      </c>
    </row>
    <row r="189" spans="1:76" x14ac:dyDescent="0.25">
      <c r="A189" s="31"/>
      <c r="C189" s="32" t="s">
        <v>404</v>
      </c>
      <c r="D189" s="32" t="s">
        <v>405</v>
      </c>
      <c r="F189" s="33">
        <v>185</v>
      </c>
      <c r="K189" s="34"/>
    </row>
    <row r="190" spans="1:76" x14ac:dyDescent="0.25">
      <c r="A190" s="31"/>
      <c r="B190" s="35" t="s">
        <v>68</v>
      </c>
      <c r="C190" s="94" t="s">
        <v>400</v>
      </c>
      <c r="D190" s="95"/>
      <c r="E190" s="95"/>
      <c r="F190" s="95"/>
      <c r="G190" s="95"/>
      <c r="H190" s="95"/>
      <c r="I190" s="95"/>
      <c r="J190" s="95"/>
      <c r="K190" s="96"/>
      <c r="BX190" s="36" t="s">
        <v>400</v>
      </c>
    </row>
    <row r="191" spans="1:76" x14ac:dyDescent="0.25">
      <c r="A191" s="2" t="s">
        <v>406</v>
      </c>
      <c r="B191" s="3" t="s">
        <v>407</v>
      </c>
      <c r="C191" s="76" t="s">
        <v>408</v>
      </c>
      <c r="D191" s="71"/>
      <c r="E191" s="3" t="s">
        <v>103</v>
      </c>
      <c r="F191" s="28">
        <v>116</v>
      </c>
      <c r="G191" s="28">
        <v>0</v>
      </c>
      <c r="H191" s="28">
        <f>ROUND(F191*AO191,2)</f>
        <v>0</v>
      </c>
      <c r="I191" s="28">
        <f>ROUND(F191*AP191,2)</f>
        <v>0</v>
      </c>
      <c r="J191" s="28">
        <f>ROUND(F191*G191,2)</f>
        <v>0</v>
      </c>
      <c r="K191" s="29" t="s">
        <v>60</v>
      </c>
      <c r="Z191" s="28">
        <f>ROUND(IF(AQ191="5",BJ191,0),2)</f>
        <v>0</v>
      </c>
      <c r="AB191" s="28">
        <f>ROUND(IF(AQ191="1",BH191,0),2)</f>
        <v>0</v>
      </c>
      <c r="AC191" s="28">
        <f>ROUND(IF(AQ191="1",BI191,0),2)</f>
        <v>0</v>
      </c>
      <c r="AD191" s="28">
        <f>ROUND(IF(AQ191="7",BH191,0),2)</f>
        <v>0</v>
      </c>
      <c r="AE191" s="28">
        <f>ROUND(IF(AQ191="7",BI191,0),2)</f>
        <v>0</v>
      </c>
      <c r="AF191" s="28">
        <f>ROUND(IF(AQ191="2",BH191,0),2)</f>
        <v>0</v>
      </c>
      <c r="AG191" s="28">
        <f>ROUND(IF(AQ191="2",BI191,0),2)</f>
        <v>0</v>
      </c>
      <c r="AH191" s="28">
        <f>ROUND(IF(AQ191="0",BJ191,0),2)</f>
        <v>0</v>
      </c>
      <c r="AI191" s="10" t="s">
        <v>55</v>
      </c>
      <c r="AJ191" s="28">
        <f>IF(AN191=0,J191,0)</f>
        <v>0</v>
      </c>
      <c r="AK191" s="28">
        <f>IF(AN191=12,J191,0)</f>
        <v>0</v>
      </c>
      <c r="AL191" s="28">
        <f>IF(AN191=21,J191,0)</f>
        <v>0</v>
      </c>
      <c r="AN191" s="28">
        <v>21</v>
      </c>
      <c r="AO191" s="28">
        <f>G191*0.05</f>
        <v>0</v>
      </c>
      <c r="AP191" s="28">
        <f>G191*(1-0.05)</f>
        <v>0</v>
      </c>
      <c r="AQ191" s="30" t="s">
        <v>118</v>
      </c>
      <c r="AV191" s="28">
        <f>ROUND(AW191+AX191,2)</f>
        <v>0</v>
      </c>
      <c r="AW191" s="28">
        <f>ROUND(F191*AO191,2)</f>
        <v>0</v>
      </c>
      <c r="AX191" s="28">
        <f>ROUND(F191*AP191,2)</f>
        <v>0</v>
      </c>
      <c r="AY191" s="30" t="s">
        <v>366</v>
      </c>
      <c r="AZ191" s="30" t="s">
        <v>367</v>
      </c>
      <c r="BA191" s="10" t="s">
        <v>63</v>
      </c>
      <c r="BC191" s="28">
        <f>AW191+AX191</f>
        <v>0</v>
      </c>
      <c r="BD191" s="28">
        <f>G191/(100-BE191)*100</f>
        <v>0</v>
      </c>
      <c r="BE191" s="28">
        <v>0</v>
      </c>
      <c r="BF191" s="28">
        <f>194</f>
        <v>194</v>
      </c>
      <c r="BH191" s="28">
        <f>F191*AO191</f>
        <v>0</v>
      </c>
      <c r="BI191" s="28">
        <f>F191*AP191</f>
        <v>0</v>
      </c>
      <c r="BJ191" s="28">
        <f>F191*G191</f>
        <v>0</v>
      </c>
      <c r="BK191" s="28"/>
      <c r="BL191" s="28">
        <v>711</v>
      </c>
      <c r="BW191" s="28">
        <v>21</v>
      </c>
      <c r="BX191" s="4" t="s">
        <v>408</v>
      </c>
    </row>
    <row r="192" spans="1:76" x14ac:dyDescent="0.25">
      <c r="A192" s="31"/>
      <c r="C192" s="32" t="s">
        <v>368</v>
      </c>
      <c r="D192" s="32" t="s">
        <v>369</v>
      </c>
      <c r="F192" s="33">
        <v>28.5</v>
      </c>
      <c r="K192" s="34"/>
    </row>
    <row r="193" spans="1:76" x14ac:dyDescent="0.25">
      <c r="A193" s="31"/>
      <c r="C193" s="32" t="s">
        <v>370</v>
      </c>
      <c r="D193" s="32" t="s">
        <v>371</v>
      </c>
      <c r="F193" s="33">
        <v>67.5</v>
      </c>
      <c r="K193" s="34"/>
    </row>
    <row r="194" spans="1:76" x14ac:dyDescent="0.25">
      <c r="A194" s="31"/>
      <c r="C194" s="32" t="s">
        <v>372</v>
      </c>
      <c r="D194" s="32" t="s">
        <v>409</v>
      </c>
      <c r="F194" s="33">
        <v>20</v>
      </c>
      <c r="K194" s="34"/>
    </row>
    <row r="195" spans="1:76" x14ac:dyDescent="0.25">
      <c r="A195" s="31"/>
      <c r="B195" s="35" t="s">
        <v>68</v>
      </c>
      <c r="C195" s="94" t="s">
        <v>400</v>
      </c>
      <c r="D195" s="95"/>
      <c r="E195" s="95"/>
      <c r="F195" s="95"/>
      <c r="G195" s="95"/>
      <c r="H195" s="95"/>
      <c r="I195" s="95"/>
      <c r="J195" s="95"/>
      <c r="K195" s="96"/>
      <c r="BX195" s="36" t="s">
        <v>400</v>
      </c>
    </row>
    <row r="196" spans="1:76" x14ac:dyDescent="0.25">
      <c r="A196" s="2" t="s">
        <v>410</v>
      </c>
      <c r="B196" s="3" t="s">
        <v>411</v>
      </c>
      <c r="C196" s="76" t="s">
        <v>412</v>
      </c>
      <c r="D196" s="71"/>
      <c r="E196" s="3" t="s">
        <v>103</v>
      </c>
      <c r="F196" s="28">
        <v>319</v>
      </c>
      <c r="G196" s="28">
        <v>0</v>
      </c>
      <c r="H196" s="28">
        <f>ROUND(F196*AO196,2)</f>
        <v>0</v>
      </c>
      <c r="I196" s="28">
        <f>ROUND(F196*AP196,2)</f>
        <v>0</v>
      </c>
      <c r="J196" s="28">
        <f>ROUND(F196*G196,2)</f>
        <v>0</v>
      </c>
      <c r="K196" s="29" t="s">
        <v>60</v>
      </c>
      <c r="Z196" s="28">
        <f>ROUND(IF(AQ196="5",BJ196,0),2)</f>
        <v>0</v>
      </c>
      <c r="AB196" s="28">
        <f>ROUND(IF(AQ196="1",BH196,0),2)</f>
        <v>0</v>
      </c>
      <c r="AC196" s="28">
        <f>ROUND(IF(AQ196="1",BI196,0),2)</f>
        <v>0</v>
      </c>
      <c r="AD196" s="28">
        <f>ROUND(IF(AQ196="7",BH196,0),2)</f>
        <v>0</v>
      </c>
      <c r="AE196" s="28">
        <f>ROUND(IF(AQ196="7",BI196,0),2)</f>
        <v>0</v>
      </c>
      <c r="AF196" s="28">
        <f>ROUND(IF(AQ196="2",BH196,0),2)</f>
        <v>0</v>
      </c>
      <c r="AG196" s="28">
        <f>ROUND(IF(AQ196="2",BI196,0),2)</f>
        <v>0</v>
      </c>
      <c r="AH196" s="28">
        <f>ROUND(IF(AQ196="0",BJ196,0),2)</f>
        <v>0</v>
      </c>
      <c r="AI196" s="10" t="s">
        <v>55</v>
      </c>
      <c r="AJ196" s="28">
        <f>IF(AN196=0,J196,0)</f>
        <v>0</v>
      </c>
      <c r="AK196" s="28">
        <f>IF(AN196=12,J196,0)</f>
        <v>0</v>
      </c>
      <c r="AL196" s="28">
        <f>IF(AN196=21,J196,0)</f>
        <v>0</v>
      </c>
      <c r="AN196" s="28">
        <v>21</v>
      </c>
      <c r="AO196" s="28">
        <f>G196*0</f>
        <v>0</v>
      </c>
      <c r="AP196" s="28">
        <f>G196*(1-0)</f>
        <v>0</v>
      </c>
      <c r="AQ196" s="30" t="s">
        <v>118</v>
      </c>
      <c r="AV196" s="28">
        <f>ROUND(AW196+AX196,2)</f>
        <v>0</v>
      </c>
      <c r="AW196" s="28">
        <f>ROUND(F196*AO196,2)</f>
        <v>0</v>
      </c>
      <c r="AX196" s="28">
        <f>ROUND(F196*AP196,2)</f>
        <v>0</v>
      </c>
      <c r="AY196" s="30" t="s">
        <v>366</v>
      </c>
      <c r="AZ196" s="30" t="s">
        <v>367</v>
      </c>
      <c r="BA196" s="10" t="s">
        <v>63</v>
      </c>
      <c r="BC196" s="28">
        <f>AW196+AX196</f>
        <v>0</v>
      </c>
      <c r="BD196" s="28">
        <f>G196/(100-BE196)*100</f>
        <v>0</v>
      </c>
      <c r="BE196" s="28">
        <v>0</v>
      </c>
      <c r="BF196" s="28">
        <f>199</f>
        <v>199</v>
      </c>
      <c r="BH196" s="28">
        <f>F196*AO196</f>
        <v>0</v>
      </c>
      <c r="BI196" s="28">
        <f>F196*AP196</f>
        <v>0</v>
      </c>
      <c r="BJ196" s="28">
        <f>F196*G196</f>
        <v>0</v>
      </c>
      <c r="BK196" s="28"/>
      <c r="BL196" s="28">
        <v>711</v>
      </c>
      <c r="BW196" s="28">
        <v>21</v>
      </c>
      <c r="BX196" s="4" t="s">
        <v>412</v>
      </c>
    </row>
    <row r="197" spans="1:76" x14ac:dyDescent="0.25">
      <c r="A197" s="31"/>
      <c r="C197" s="32" t="s">
        <v>378</v>
      </c>
      <c r="D197" s="32" t="s">
        <v>379</v>
      </c>
      <c r="F197" s="33">
        <v>314</v>
      </c>
      <c r="K197" s="34"/>
    </row>
    <row r="198" spans="1:76" x14ac:dyDescent="0.25">
      <c r="A198" s="31"/>
      <c r="C198" s="32" t="s">
        <v>100</v>
      </c>
      <c r="D198" s="32" t="s">
        <v>380</v>
      </c>
      <c r="F198" s="33">
        <v>5</v>
      </c>
      <c r="K198" s="34"/>
    </row>
    <row r="199" spans="1:76" x14ac:dyDescent="0.25">
      <c r="A199" s="31"/>
      <c r="B199" s="35" t="s">
        <v>68</v>
      </c>
      <c r="C199" s="94" t="s">
        <v>400</v>
      </c>
      <c r="D199" s="95"/>
      <c r="E199" s="95"/>
      <c r="F199" s="95"/>
      <c r="G199" s="95"/>
      <c r="H199" s="95"/>
      <c r="I199" s="95"/>
      <c r="J199" s="95"/>
      <c r="K199" s="96"/>
      <c r="BX199" s="36" t="s">
        <v>400</v>
      </c>
    </row>
    <row r="200" spans="1:76" x14ac:dyDescent="0.25">
      <c r="A200" s="2" t="s">
        <v>413</v>
      </c>
      <c r="B200" s="3" t="s">
        <v>414</v>
      </c>
      <c r="C200" s="76" t="s">
        <v>415</v>
      </c>
      <c r="D200" s="71"/>
      <c r="E200" s="3" t="s">
        <v>103</v>
      </c>
      <c r="F200" s="28">
        <v>893.4</v>
      </c>
      <c r="G200" s="28">
        <v>0</v>
      </c>
      <c r="H200" s="28">
        <f>ROUND(F200*AO200,2)</f>
        <v>0</v>
      </c>
      <c r="I200" s="28">
        <f>ROUND(F200*AP200,2)</f>
        <v>0</v>
      </c>
      <c r="J200" s="28">
        <f>ROUND(F200*G200,2)</f>
        <v>0</v>
      </c>
      <c r="K200" s="29" t="s">
        <v>60</v>
      </c>
      <c r="Z200" s="28">
        <f>ROUND(IF(AQ200="5",BJ200,0),2)</f>
        <v>0</v>
      </c>
      <c r="AB200" s="28">
        <f>ROUND(IF(AQ200="1",BH200,0),2)</f>
        <v>0</v>
      </c>
      <c r="AC200" s="28">
        <f>ROUND(IF(AQ200="1",BI200,0),2)</f>
        <v>0</v>
      </c>
      <c r="AD200" s="28">
        <f>ROUND(IF(AQ200="7",BH200,0),2)</f>
        <v>0</v>
      </c>
      <c r="AE200" s="28">
        <f>ROUND(IF(AQ200="7",BI200,0),2)</f>
        <v>0</v>
      </c>
      <c r="AF200" s="28">
        <f>ROUND(IF(AQ200="2",BH200,0),2)</f>
        <v>0</v>
      </c>
      <c r="AG200" s="28">
        <f>ROUND(IF(AQ200="2",BI200,0),2)</f>
        <v>0</v>
      </c>
      <c r="AH200" s="28">
        <f>ROUND(IF(AQ200="0",BJ200,0),2)</f>
        <v>0</v>
      </c>
      <c r="AI200" s="10" t="s">
        <v>55</v>
      </c>
      <c r="AJ200" s="28">
        <f>IF(AN200=0,J200,0)</f>
        <v>0</v>
      </c>
      <c r="AK200" s="28">
        <f>IF(AN200=12,J200,0)</f>
        <v>0</v>
      </c>
      <c r="AL200" s="28">
        <f>IF(AN200=21,J200,0)</f>
        <v>0</v>
      </c>
      <c r="AN200" s="28">
        <v>21</v>
      </c>
      <c r="AO200" s="28">
        <f>G200*1</f>
        <v>0</v>
      </c>
      <c r="AP200" s="28">
        <f>G200*(1-1)</f>
        <v>0</v>
      </c>
      <c r="AQ200" s="30" t="s">
        <v>118</v>
      </c>
      <c r="AV200" s="28">
        <f>ROUND(AW200+AX200,2)</f>
        <v>0</v>
      </c>
      <c r="AW200" s="28">
        <f>ROUND(F200*AO200,2)</f>
        <v>0</v>
      </c>
      <c r="AX200" s="28">
        <f>ROUND(F200*AP200,2)</f>
        <v>0</v>
      </c>
      <c r="AY200" s="30" t="s">
        <v>366</v>
      </c>
      <c r="AZ200" s="30" t="s">
        <v>367</v>
      </c>
      <c r="BA200" s="10" t="s">
        <v>63</v>
      </c>
      <c r="BC200" s="28">
        <f>AW200+AX200</f>
        <v>0</v>
      </c>
      <c r="BD200" s="28">
        <f>G200/(100-BE200)*100</f>
        <v>0</v>
      </c>
      <c r="BE200" s="28">
        <v>0</v>
      </c>
      <c r="BF200" s="28">
        <f>203</f>
        <v>203</v>
      </c>
      <c r="BH200" s="28">
        <f>F200*AO200</f>
        <v>0</v>
      </c>
      <c r="BI200" s="28">
        <f>F200*AP200</f>
        <v>0</v>
      </c>
      <c r="BJ200" s="28">
        <f>F200*G200</f>
        <v>0</v>
      </c>
      <c r="BK200" s="28"/>
      <c r="BL200" s="28">
        <v>711</v>
      </c>
      <c r="BW200" s="28">
        <v>21</v>
      </c>
      <c r="BX200" s="4" t="s">
        <v>415</v>
      </c>
    </row>
    <row r="201" spans="1:76" x14ac:dyDescent="0.25">
      <c r="A201" s="31"/>
      <c r="C201" s="32" t="s">
        <v>416</v>
      </c>
      <c r="D201" s="32" t="s">
        <v>51</v>
      </c>
      <c r="F201" s="33">
        <v>744.5</v>
      </c>
      <c r="K201" s="34"/>
    </row>
    <row r="202" spans="1:76" x14ac:dyDescent="0.25">
      <c r="A202" s="31"/>
      <c r="C202" s="32" t="s">
        <v>417</v>
      </c>
      <c r="D202" s="32" t="s">
        <v>51</v>
      </c>
      <c r="F202" s="33">
        <v>148.9</v>
      </c>
      <c r="K202" s="34"/>
    </row>
    <row r="203" spans="1:76" x14ac:dyDescent="0.25">
      <c r="A203" s="24" t="s">
        <v>51</v>
      </c>
      <c r="B203" s="25" t="s">
        <v>418</v>
      </c>
      <c r="C203" s="87" t="s">
        <v>419</v>
      </c>
      <c r="D203" s="88"/>
      <c r="E203" s="26" t="s">
        <v>4</v>
      </c>
      <c r="F203" s="26" t="s">
        <v>4</v>
      </c>
      <c r="G203" s="26" t="s">
        <v>4</v>
      </c>
      <c r="H203" s="1">
        <f>SUM(H204:H205)</f>
        <v>0</v>
      </c>
      <c r="I203" s="1">
        <f>SUM(I204:I205)</f>
        <v>0</v>
      </c>
      <c r="J203" s="1">
        <f>SUM(J204:J205)</f>
        <v>0</v>
      </c>
      <c r="K203" s="27" t="s">
        <v>51</v>
      </c>
      <c r="AI203" s="10" t="s">
        <v>55</v>
      </c>
      <c r="AS203" s="1">
        <f>SUM(AJ204:AJ205)</f>
        <v>0</v>
      </c>
      <c r="AT203" s="1">
        <f>SUM(AK204:AK205)</f>
        <v>0</v>
      </c>
      <c r="AU203" s="1">
        <f>SUM(AL204:AL205)</f>
        <v>0</v>
      </c>
    </row>
    <row r="204" spans="1:76" x14ac:dyDescent="0.25">
      <c r="A204" s="2" t="s">
        <v>420</v>
      </c>
      <c r="B204" s="3" t="s">
        <v>421</v>
      </c>
      <c r="C204" s="76" t="s">
        <v>422</v>
      </c>
      <c r="D204" s="71"/>
      <c r="E204" s="3" t="s">
        <v>423</v>
      </c>
      <c r="F204" s="28">
        <v>2</v>
      </c>
      <c r="G204" s="28">
        <v>0</v>
      </c>
      <c r="H204" s="28">
        <f>ROUND(F204*AO204,2)</f>
        <v>0</v>
      </c>
      <c r="I204" s="28">
        <f>ROUND(F204*AP204,2)</f>
        <v>0</v>
      </c>
      <c r="J204" s="28">
        <f>ROUND(F204*G204,2)</f>
        <v>0</v>
      </c>
      <c r="K204" s="29" t="s">
        <v>424</v>
      </c>
      <c r="Z204" s="28">
        <f>ROUND(IF(AQ204="5",BJ204,0),2)</f>
        <v>0</v>
      </c>
      <c r="AB204" s="28">
        <f>ROUND(IF(AQ204="1",BH204,0),2)</f>
        <v>0</v>
      </c>
      <c r="AC204" s="28">
        <f>ROUND(IF(AQ204="1",BI204,0),2)</f>
        <v>0</v>
      </c>
      <c r="AD204" s="28">
        <f>ROUND(IF(AQ204="7",BH204,0),2)</f>
        <v>0</v>
      </c>
      <c r="AE204" s="28">
        <f>ROUND(IF(AQ204="7",BI204,0),2)</f>
        <v>0</v>
      </c>
      <c r="AF204" s="28">
        <f>ROUND(IF(AQ204="2",BH204,0),2)</f>
        <v>0</v>
      </c>
      <c r="AG204" s="28">
        <f>ROUND(IF(AQ204="2",BI204,0),2)</f>
        <v>0</v>
      </c>
      <c r="AH204" s="28">
        <f>ROUND(IF(AQ204="0",BJ204,0),2)</f>
        <v>0</v>
      </c>
      <c r="AI204" s="10" t="s">
        <v>55</v>
      </c>
      <c r="AJ204" s="28">
        <f>IF(AN204=0,J204,0)</f>
        <v>0</v>
      </c>
      <c r="AK204" s="28">
        <f>IF(AN204=12,J204,0)</f>
        <v>0</v>
      </c>
      <c r="AL204" s="28">
        <f>IF(AN204=21,J204,0)</f>
        <v>0</v>
      </c>
      <c r="AN204" s="28">
        <v>21</v>
      </c>
      <c r="AO204" s="28">
        <f>G204*0</f>
        <v>0</v>
      </c>
      <c r="AP204" s="28">
        <f>G204*(1-0)</f>
        <v>0</v>
      </c>
      <c r="AQ204" s="30" t="s">
        <v>118</v>
      </c>
      <c r="AV204" s="28">
        <f>ROUND(AW204+AX204,2)</f>
        <v>0</v>
      </c>
      <c r="AW204" s="28">
        <f>ROUND(F204*AO204,2)</f>
        <v>0</v>
      </c>
      <c r="AX204" s="28">
        <f>ROUND(F204*AP204,2)</f>
        <v>0</v>
      </c>
      <c r="AY204" s="30" t="s">
        <v>425</v>
      </c>
      <c r="AZ204" s="30" t="s">
        <v>426</v>
      </c>
      <c r="BA204" s="10" t="s">
        <v>63</v>
      </c>
      <c r="BC204" s="28">
        <f>AW204+AX204</f>
        <v>0</v>
      </c>
      <c r="BD204" s="28">
        <f>G204/(100-BE204)*100</f>
        <v>0</v>
      </c>
      <c r="BE204" s="28">
        <v>0</v>
      </c>
      <c r="BF204" s="28">
        <f>208</f>
        <v>208</v>
      </c>
      <c r="BH204" s="28">
        <f>F204*AO204</f>
        <v>0</v>
      </c>
      <c r="BI204" s="28">
        <f>F204*AP204</f>
        <v>0</v>
      </c>
      <c r="BJ204" s="28">
        <f>F204*G204</f>
        <v>0</v>
      </c>
      <c r="BK204" s="28"/>
      <c r="BL204" s="28">
        <v>722</v>
      </c>
      <c r="BW204" s="28">
        <v>21</v>
      </c>
      <c r="BX204" s="4" t="s">
        <v>422</v>
      </c>
    </row>
    <row r="205" spans="1:76" x14ac:dyDescent="0.25">
      <c r="A205" s="2" t="s">
        <v>427</v>
      </c>
      <c r="B205" s="3" t="s">
        <v>428</v>
      </c>
      <c r="C205" s="76" t="s">
        <v>429</v>
      </c>
      <c r="D205" s="71"/>
      <c r="E205" s="3" t="s">
        <v>293</v>
      </c>
      <c r="F205" s="28">
        <v>1</v>
      </c>
      <c r="G205" s="28">
        <v>0</v>
      </c>
      <c r="H205" s="28">
        <f>ROUND(F205*AO205,2)</f>
        <v>0</v>
      </c>
      <c r="I205" s="28">
        <f>ROUND(F205*AP205,2)</f>
        <v>0</v>
      </c>
      <c r="J205" s="28">
        <f>ROUND(F205*G205,2)</f>
        <v>0</v>
      </c>
      <c r="K205" s="29" t="s">
        <v>60</v>
      </c>
      <c r="Z205" s="28">
        <f>ROUND(IF(AQ205="5",BJ205,0),2)</f>
        <v>0</v>
      </c>
      <c r="AB205" s="28">
        <f>ROUND(IF(AQ205="1",BH205,0),2)</f>
        <v>0</v>
      </c>
      <c r="AC205" s="28">
        <f>ROUND(IF(AQ205="1",BI205,0),2)</f>
        <v>0</v>
      </c>
      <c r="AD205" s="28">
        <f>ROUND(IF(AQ205="7",BH205,0),2)</f>
        <v>0</v>
      </c>
      <c r="AE205" s="28">
        <f>ROUND(IF(AQ205="7",BI205,0),2)</f>
        <v>0</v>
      </c>
      <c r="AF205" s="28">
        <f>ROUND(IF(AQ205="2",BH205,0),2)</f>
        <v>0</v>
      </c>
      <c r="AG205" s="28">
        <f>ROUND(IF(AQ205="2",BI205,0),2)</f>
        <v>0</v>
      </c>
      <c r="AH205" s="28">
        <f>ROUND(IF(AQ205="0",BJ205,0),2)</f>
        <v>0</v>
      </c>
      <c r="AI205" s="10" t="s">
        <v>55</v>
      </c>
      <c r="AJ205" s="28">
        <f>IF(AN205=0,J205,0)</f>
        <v>0</v>
      </c>
      <c r="AK205" s="28">
        <f>IF(AN205=12,J205,0)</f>
        <v>0</v>
      </c>
      <c r="AL205" s="28">
        <f>IF(AN205=21,J205,0)</f>
        <v>0</v>
      </c>
      <c r="AN205" s="28">
        <v>21</v>
      </c>
      <c r="AO205" s="28">
        <f>G205*0</f>
        <v>0</v>
      </c>
      <c r="AP205" s="28">
        <f>G205*(1-0)</f>
        <v>0</v>
      </c>
      <c r="AQ205" s="30" t="s">
        <v>118</v>
      </c>
      <c r="AV205" s="28">
        <f>ROUND(AW205+AX205,2)</f>
        <v>0</v>
      </c>
      <c r="AW205" s="28">
        <f>ROUND(F205*AO205,2)</f>
        <v>0</v>
      </c>
      <c r="AX205" s="28">
        <f>ROUND(F205*AP205,2)</f>
        <v>0</v>
      </c>
      <c r="AY205" s="30" t="s">
        <v>425</v>
      </c>
      <c r="AZ205" s="30" t="s">
        <v>426</v>
      </c>
      <c r="BA205" s="10" t="s">
        <v>63</v>
      </c>
      <c r="BC205" s="28">
        <f>AW205+AX205</f>
        <v>0</v>
      </c>
      <c r="BD205" s="28">
        <f>G205/(100-BE205)*100</f>
        <v>0</v>
      </c>
      <c r="BE205" s="28">
        <v>0</v>
      </c>
      <c r="BF205" s="28">
        <f>209</f>
        <v>209</v>
      </c>
      <c r="BH205" s="28">
        <f>F205*AO205</f>
        <v>0</v>
      </c>
      <c r="BI205" s="28">
        <f>F205*AP205</f>
        <v>0</v>
      </c>
      <c r="BJ205" s="28">
        <f>F205*G205</f>
        <v>0</v>
      </c>
      <c r="BK205" s="28"/>
      <c r="BL205" s="28">
        <v>722</v>
      </c>
      <c r="BW205" s="28">
        <v>21</v>
      </c>
      <c r="BX205" s="4" t="s">
        <v>429</v>
      </c>
    </row>
    <row r="206" spans="1:76" x14ac:dyDescent="0.25">
      <c r="A206" s="31"/>
      <c r="B206" s="35" t="s">
        <v>68</v>
      </c>
      <c r="C206" s="94" t="s">
        <v>430</v>
      </c>
      <c r="D206" s="95"/>
      <c r="E206" s="95"/>
      <c r="F206" s="95"/>
      <c r="G206" s="95"/>
      <c r="H206" s="95"/>
      <c r="I206" s="95"/>
      <c r="J206" s="95"/>
      <c r="K206" s="96"/>
      <c r="BX206" s="36" t="s">
        <v>430</v>
      </c>
    </row>
    <row r="207" spans="1:76" x14ac:dyDescent="0.25">
      <c r="A207" s="24" t="s">
        <v>51</v>
      </c>
      <c r="B207" s="25" t="s">
        <v>431</v>
      </c>
      <c r="C207" s="87" t="s">
        <v>432</v>
      </c>
      <c r="D207" s="88"/>
      <c r="E207" s="26" t="s">
        <v>4</v>
      </c>
      <c r="F207" s="26" t="s">
        <v>4</v>
      </c>
      <c r="G207" s="26" t="s">
        <v>4</v>
      </c>
      <c r="H207" s="1">
        <f>SUM(H208:H212)</f>
        <v>0</v>
      </c>
      <c r="I207" s="1">
        <f>SUM(I208:I212)</f>
        <v>0</v>
      </c>
      <c r="J207" s="1">
        <f>SUM(J208:J212)</f>
        <v>0</v>
      </c>
      <c r="K207" s="27" t="s">
        <v>51</v>
      </c>
      <c r="AI207" s="10" t="s">
        <v>55</v>
      </c>
      <c r="AS207" s="1">
        <f>SUM(AJ208:AJ212)</f>
        <v>0</v>
      </c>
      <c r="AT207" s="1">
        <f>SUM(AK208:AK212)</f>
        <v>0</v>
      </c>
      <c r="AU207" s="1">
        <f>SUM(AL208:AL212)</f>
        <v>0</v>
      </c>
    </row>
    <row r="208" spans="1:76" x14ac:dyDescent="0.25">
      <c r="A208" s="2" t="s">
        <v>304</v>
      </c>
      <c r="B208" s="3" t="s">
        <v>433</v>
      </c>
      <c r="C208" s="76" t="s">
        <v>434</v>
      </c>
      <c r="D208" s="71"/>
      <c r="E208" s="3" t="s">
        <v>293</v>
      </c>
      <c r="F208" s="28">
        <v>3</v>
      </c>
      <c r="G208" s="28">
        <v>0</v>
      </c>
      <c r="H208" s="28">
        <f>ROUND(F208*AO208,2)</f>
        <v>0</v>
      </c>
      <c r="I208" s="28">
        <f>ROUND(F208*AP208,2)</f>
        <v>0</v>
      </c>
      <c r="J208" s="28">
        <f>ROUND(F208*G208,2)</f>
        <v>0</v>
      </c>
      <c r="K208" s="29" t="s">
        <v>60</v>
      </c>
      <c r="Z208" s="28">
        <f>ROUND(IF(AQ208="5",BJ208,0),2)</f>
        <v>0</v>
      </c>
      <c r="AB208" s="28">
        <f>ROUND(IF(AQ208="1",BH208,0),2)</f>
        <v>0</v>
      </c>
      <c r="AC208" s="28">
        <f>ROUND(IF(AQ208="1",BI208,0),2)</f>
        <v>0</v>
      </c>
      <c r="AD208" s="28">
        <f>ROUND(IF(AQ208="7",BH208,0),2)</f>
        <v>0</v>
      </c>
      <c r="AE208" s="28">
        <f>ROUND(IF(AQ208="7",BI208,0),2)</f>
        <v>0</v>
      </c>
      <c r="AF208" s="28">
        <f>ROUND(IF(AQ208="2",BH208,0),2)</f>
        <v>0</v>
      </c>
      <c r="AG208" s="28">
        <f>ROUND(IF(AQ208="2",BI208,0),2)</f>
        <v>0</v>
      </c>
      <c r="AH208" s="28">
        <f>ROUND(IF(AQ208="0",BJ208,0),2)</f>
        <v>0</v>
      </c>
      <c r="AI208" s="10" t="s">
        <v>55</v>
      </c>
      <c r="AJ208" s="28">
        <f>IF(AN208=0,J208,0)</f>
        <v>0</v>
      </c>
      <c r="AK208" s="28">
        <f>IF(AN208=12,J208,0)</f>
        <v>0</v>
      </c>
      <c r="AL208" s="28">
        <f>IF(AN208=21,J208,0)</f>
        <v>0</v>
      </c>
      <c r="AN208" s="28">
        <v>21</v>
      </c>
      <c r="AO208" s="28">
        <f>G208*0.147835991</f>
        <v>0</v>
      </c>
      <c r="AP208" s="28">
        <f>G208*(1-0.147835991)</f>
        <v>0</v>
      </c>
      <c r="AQ208" s="30" t="s">
        <v>118</v>
      </c>
      <c r="AV208" s="28">
        <f>ROUND(AW208+AX208,2)</f>
        <v>0</v>
      </c>
      <c r="AW208" s="28">
        <f>ROUND(F208*AO208,2)</f>
        <v>0</v>
      </c>
      <c r="AX208" s="28">
        <f>ROUND(F208*AP208,2)</f>
        <v>0</v>
      </c>
      <c r="AY208" s="30" t="s">
        <v>435</v>
      </c>
      <c r="AZ208" s="30" t="s">
        <v>436</v>
      </c>
      <c r="BA208" s="10" t="s">
        <v>63</v>
      </c>
      <c r="BC208" s="28">
        <f>AW208+AX208</f>
        <v>0</v>
      </c>
      <c r="BD208" s="28">
        <f>G208/(100-BE208)*100</f>
        <v>0</v>
      </c>
      <c r="BE208" s="28">
        <v>0</v>
      </c>
      <c r="BF208" s="28">
        <f>212</f>
        <v>212</v>
      </c>
      <c r="BH208" s="28">
        <f>F208*AO208</f>
        <v>0</v>
      </c>
      <c r="BI208" s="28">
        <f>F208*AP208</f>
        <v>0</v>
      </c>
      <c r="BJ208" s="28">
        <f>F208*G208</f>
        <v>0</v>
      </c>
      <c r="BK208" s="28"/>
      <c r="BL208" s="28">
        <v>764</v>
      </c>
      <c r="BW208" s="28">
        <v>21</v>
      </c>
      <c r="BX208" s="4" t="s">
        <v>434</v>
      </c>
    </row>
    <row r="209" spans="1:76" x14ac:dyDescent="0.25">
      <c r="A209" s="31"/>
      <c r="C209" s="32" t="s">
        <v>56</v>
      </c>
      <c r="D209" s="32" t="s">
        <v>437</v>
      </c>
      <c r="F209" s="33">
        <v>1</v>
      </c>
      <c r="K209" s="34"/>
    </row>
    <row r="210" spans="1:76" x14ac:dyDescent="0.25">
      <c r="A210" s="31"/>
      <c r="C210" s="32" t="s">
        <v>74</v>
      </c>
      <c r="D210" s="32" t="s">
        <v>438</v>
      </c>
      <c r="F210" s="33">
        <v>2</v>
      </c>
      <c r="K210" s="34"/>
    </row>
    <row r="211" spans="1:76" ht="25.5" x14ac:dyDescent="0.25">
      <c r="A211" s="31"/>
      <c r="B211" s="35" t="s">
        <v>68</v>
      </c>
      <c r="C211" s="94" t="s">
        <v>439</v>
      </c>
      <c r="D211" s="95"/>
      <c r="E211" s="95"/>
      <c r="F211" s="95"/>
      <c r="G211" s="95"/>
      <c r="H211" s="95"/>
      <c r="I211" s="95"/>
      <c r="J211" s="95"/>
      <c r="K211" s="96"/>
      <c r="BX211" s="36" t="s">
        <v>439</v>
      </c>
    </row>
    <row r="212" spans="1:76" x14ac:dyDescent="0.25">
      <c r="A212" s="2" t="s">
        <v>440</v>
      </c>
      <c r="B212" s="3" t="s">
        <v>441</v>
      </c>
      <c r="C212" s="76" t="s">
        <v>442</v>
      </c>
      <c r="D212" s="71"/>
      <c r="E212" s="3" t="s">
        <v>293</v>
      </c>
      <c r="F212" s="28">
        <v>3</v>
      </c>
      <c r="G212" s="28">
        <v>0</v>
      </c>
      <c r="H212" s="28">
        <f>ROUND(F212*AO212,2)</f>
        <v>0</v>
      </c>
      <c r="I212" s="28">
        <f>ROUND(F212*AP212,2)</f>
        <v>0</v>
      </c>
      <c r="J212" s="28">
        <f>ROUND(F212*G212,2)</f>
        <v>0</v>
      </c>
      <c r="K212" s="29" t="s">
        <v>60</v>
      </c>
      <c r="Z212" s="28">
        <f>ROUND(IF(AQ212="5",BJ212,0),2)</f>
        <v>0</v>
      </c>
      <c r="AB212" s="28">
        <f>ROUND(IF(AQ212="1",BH212,0),2)</f>
        <v>0</v>
      </c>
      <c r="AC212" s="28">
        <f>ROUND(IF(AQ212="1",BI212,0),2)</f>
        <v>0</v>
      </c>
      <c r="AD212" s="28">
        <f>ROUND(IF(AQ212="7",BH212,0),2)</f>
        <v>0</v>
      </c>
      <c r="AE212" s="28">
        <f>ROUND(IF(AQ212="7",BI212,0),2)</f>
        <v>0</v>
      </c>
      <c r="AF212" s="28">
        <f>ROUND(IF(AQ212="2",BH212,0),2)</f>
        <v>0</v>
      </c>
      <c r="AG212" s="28">
        <f>ROUND(IF(AQ212="2",BI212,0),2)</f>
        <v>0</v>
      </c>
      <c r="AH212" s="28">
        <f>ROUND(IF(AQ212="0",BJ212,0),2)</f>
        <v>0</v>
      </c>
      <c r="AI212" s="10" t="s">
        <v>55</v>
      </c>
      <c r="AJ212" s="28">
        <f>IF(AN212=0,J212,0)</f>
        <v>0</v>
      </c>
      <c r="AK212" s="28">
        <f>IF(AN212=12,J212,0)</f>
        <v>0</v>
      </c>
      <c r="AL212" s="28">
        <f>IF(AN212=21,J212,0)</f>
        <v>0</v>
      </c>
      <c r="AN212" s="28">
        <v>21</v>
      </c>
      <c r="AO212" s="28">
        <f>G212*1</f>
        <v>0</v>
      </c>
      <c r="AP212" s="28">
        <f>G212*(1-1)</f>
        <v>0</v>
      </c>
      <c r="AQ212" s="30" t="s">
        <v>118</v>
      </c>
      <c r="AV212" s="28">
        <f>ROUND(AW212+AX212,2)</f>
        <v>0</v>
      </c>
      <c r="AW212" s="28">
        <f>ROUND(F212*AO212,2)</f>
        <v>0</v>
      </c>
      <c r="AX212" s="28">
        <f>ROUND(F212*AP212,2)</f>
        <v>0</v>
      </c>
      <c r="AY212" s="30" t="s">
        <v>435</v>
      </c>
      <c r="AZ212" s="30" t="s">
        <v>436</v>
      </c>
      <c r="BA212" s="10" t="s">
        <v>63</v>
      </c>
      <c r="BC212" s="28">
        <f>AW212+AX212</f>
        <v>0</v>
      </c>
      <c r="BD212" s="28">
        <f>G212/(100-BE212)*100</f>
        <v>0</v>
      </c>
      <c r="BE212" s="28">
        <v>0</v>
      </c>
      <c r="BF212" s="28">
        <f>216</f>
        <v>216</v>
      </c>
      <c r="BH212" s="28">
        <f>F212*AO212</f>
        <v>0</v>
      </c>
      <c r="BI212" s="28">
        <f>F212*AP212</f>
        <v>0</v>
      </c>
      <c r="BJ212" s="28">
        <f>F212*G212</f>
        <v>0</v>
      </c>
      <c r="BK212" s="28"/>
      <c r="BL212" s="28">
        <v>764</v>
      </c>
      <c r="BW212" s="28">
        <v>21</v>
      </c>
      <c r="BX212" s="4" t="s">
        <v>442</v>
      </c>
    </row>
    <row r="213" spans="1:76" ht="25.5" x14ac:dyDescent="0.25">
      <c r="A213" s="31"/>
      <c r="B213" s="35" t="s">
        <v>68</v>
      </c>
      <c r="C213" s="94" t="s">
        <v>443</v>
      </c>
      <c r="D213" s="95"/>
      <c r="E213" s="95"/>
      <c r="F213" s="95"/>
      <c r="G213" s="95"/>
      <c r="H213" s="95"/>
      <c r="I213" s="95"/>
      <c r="J213" s="95"/>
      <c r="K213" s="96"/>
      <c r="BX213" s="36" t="s">
        <v>443</v>
      </c>
    </row>
    <row r="214" spans="1:76" x14ac:dyDescent="0.25">
      <c r="A214" s="24" t="s">
        <v>51</v>
      </c>
      <c r="B214" s="25" t="s">
        <v>444</v>
      </c>
      <c r="C214" s="87" t="s">
        <v>445</v>
      </c>
      <c r="D214" s="88"/>
      <c r="E214" s="26" t="s">
        <v>4</v>
      </c>
      <c r="F214" s="26" t="s">
        <v>4</v>
      </c>
      <c r="G214" s="26" t="s">
        <v>4</v>
      </c>
      <c r="H214" s="1">
        <f>SUM(H215:H216)</f>
        <v>0</v>
      </c>
      <c r="I214" s="1">
        <f>SUM(I215:I216)</f>
        <v>0</v>
      </c>
      <c r="J214" s="1">
        <f>SUM(J215:J216)</f>
        <v>0</v>
      </c>
      <c r="K214" s="27" t="s">
        <v>51</v>
      </c>
      <c r="AI214" s="10" t="s">
        <v>55</v>
      </c>
      <c r="AS214" s="1">
        <f>SUM(AJ215:AJ216)</f>
        <v>0</v>
      </c>
      <c r="AT214" s="1">
        <f>SUM(AK215:AK216)</f>
        <v>0</v>
      </c>
      <c r="AU214" s="1">
        <f>SUM(AL215:AL216)</f>
        <v>0</v>
      </c>
    </row>
    <row r="215" spans="1:76" x14ac:dyDescent="0.25">
      <c r="A215" s="2" t="s">
        <v>446</v>
      </c>
      <c r="B215" s="3" t="s">
        <v>447</v>
      </c>
      <c r="C215" s="76" t="s">
        <v>448</v>
      </c>
      <c r="D215" s="71"/>
      <c r="E215" s="3" t="s">
        <v>293</v>
      </c>
      <c r="F215" s="28">
        <v>1</v>
      </c>
      <c r="G215" s="28">
        <v>0</v>
      </c>
      <c r="H215" s="28">
        <f>ROUND(F215*AO215,2)</f>
        <v>0</v>
      </c>
      <c r="I215" s="28">
        <f>ROUND(F215*AP215,2)</f>
        <v>0</v>
      </c>
      <c r="J215" s="28">
        <f>ROUND(F215*G215,2)</f>
        <v>0</v>
      </c>
      <c r="K215" s="29" t="s">
        <v>60</v>
      </c>
      <c r="Z215" s="28">
        <f>ROUND(IF(AQ215="5",BJ215,0),2)</f>
        <v>0</v>
      </c>
      <c r="AB215" s="28">
        <f>ROUND(IF(AQ215="1",BH215,0),2)</f>
        <v>0</v>
      </c>
      <c r="AC215" s="28">
        <f>ROUND(IF(AQ215="1",BI215,0),2)</f>
        <v>0</v>
      </c>
      <c r="AD215" s="28">
        <f>ROUND(IF(AQ215="7",BH215,0),2)</f>
        <v>0</v>
      </c>
      <c r="AE215" s="28">
        <f>ROUND(IF(AQ215="7",BI215,0),2)</f>
        <v>0</v>
      </c>
      <c r="AF215" s="28">
        <f>ROUND(IF(AQ215="2",BH215,0),2)</f>
        <v>0</v>
      </c>
      <c r="AG215" s="28">
        <f>ROUND(IF(AQ215="2",BI215,0),2)</f>
        <v>0</v>
      </c>
      <c r="AH215" s="28">
        <f>ROUND(IF(AQ215="0",BJ215,0),2)</f>
        <v>0</v>
      </c>
      <c r="AI215" s="10" t="s">
        <v>55</v>
      </c>
      <c r="AJ215" s="28">
        <f>IF(AN215=0,J215,0)</f>
        <v>0</v>
      </c>
      <c r="AK215" s="28">
        <f>IF(AN215=12,J215,0)</f>
        <v>0</v>
      </c>
      <c r="AL215" s="28">
        <f>IF(AN215=21,J215,0)</f>
        <v>0</v>
      </c>
      <c r="AN215" s="28">
        <v>21</v>
      </c>
      <c r="AO215" s="28">
        <f>G215*0.8</f>
        <v>0</v>
      </c>
      <c r="AP215" s="28">
        <f>G215*(1-0.8)</f>
        <v>0</v>
      </c>
      <c r="AQ215" s="30" t="s">
        <v>118</v>
      </c>
      <c r="AV215" s="28">
        <f>ROUND(AW215+AX215,2)</f>
        <v>0</v>
      </c>
      <c r="AW215" s="28">
        <f>ROUND(F215*AO215,2)</f>
        <v>0</v>
      </c>
      <c r="AX215" s="28">
        <f>ROUND(F215*AP215,2)</f>
        <v>0</v>
      </c>
      <c r="AY215" s="30" t="s">
        <v>449</v>
      </c>
      <c r="AZ215" s="30" t="s">
        <v>436</v>
      </c>
      <c r="BA215" s="10" t="s">
        <v>63</v>
      </c>
      <c r="BC215" s="28">
        <f>AW215+AX215</f>
        <v>0</v>
      </c>
      <c r="BD215" s="28">
        <f>G215/(100-BE215)*100</f>
        <v>0</v>
      </c>
      <c r="BE215" s="28">
        <v>0</v>
      </c>
      <c r="BF215" s="28">
        <f>219</f>
        <v>219</v>
      </c>
      <c r="BH215" s="28">
        <f>F215*AO215</f>
        <v>0</v>
      </c>
      <c r="BI215" s="28">
        <f>F215*AP215</f>
        <v>0</v>
      </c>
      <c r="BJ215" s="28">
        <f>F215*G215</f>
        <v>0</v>
      </c>
      <c r="BK215" s="28"/>
      <c r="BL215" s="28">
        <v>767</v>
      </c>
      <c r="BW215" s="28">
        <v>21</v>
      </c>
      <c r="BX215" s="4" t="s">
        <v>448</v>
      </c>
    </row>
    <row r="216" spans="1:76" x14ac:dyDescent="0.25">
      <c r="A216" s="2" t="s">
        <v>450</v>
      </c>
      <c r="B216" s="3" t="s">
        <v>451</v>
      </c>
      <c r="C216" s="76" t="s">
        <v>452</v>
      </c>
      <c r="D216" s="71"/>
      <c r="E216" s="3" t="s">
        <v>188</v>
      </c>
      <c r="F216" s="28">
        <v>71</v>
      </c>
      <c r="G216" s="28">
        <v>0</v>
      </c>
      <c r="H216" s="28">
        <f>ROUND(F216*AO216,2)</f>
        <v>0</v>
      </c>
      <c r="I216" s="28">
        <f>ROUND(F216*AP216,2)</f>
        <v>0</v>
      </c>
      <c r="J216" s="28">
        <f>ROUND(F216*G216,2)</f>
        <v>0</v>
      </c>
      <c r="K216" s="29" t="s">
        <v>60</v>
      </c>
      <c r="Z216" s="28">
        <f>ROUND(IF(AQ216="5",BJ216,0),2)</f>
        <v>0</v>
      </c>
      <c r="AB216" s="28">
        <f>ROUND(IF(AQ216="1",BH216,0),2)</f>
        <v>0</v>
      </c>
      <c r="AC216" s="28">
        <f>ROUND(IF(AQ216="1",BI216,0),2)</f>
        <v>0</v>
      </c>
      <c r="AD216" s="28">
        <f>ROUND(IF(AQ216="7",BH216,0),2)</f>
        <v>0</v>
      </c>
      <c r="AE216" s="28">
        <f>ROUND(IF(AQ216="7",BI216,0),2)</f>
        <v>0</v>
      </c>
      <c r="AF216" s="28">
        <f>ROUND(IF(AQ216="2",BH216,0),2)</f>
        <v>0</v>
      </c>
      <c r="AG216" s="28">
        <f>ROUND(IF(AQ216="2",BI216,0),2)</f>
        <v>0</v>
      </c>
      <c r="AH216" s="28">
        <f>ROUND(IF(AQ216="0",BJ216,0),2)</f>
        <v>0</v>
      </c>
      <c r="AI216" s="10" t="s">
        <v>55</v>
      </c>
      <c r="AJ216" s="28">
        <f>IF(AN216=0,J216,0)</f>
        <v>0</v>
      </c>
      <c r="AK216" s="28">
        <f>IF(AN216=12,J216,0)</f>
        <v>0</v>
      </c>
      <c r="AL216" s="28">
        <f>IF(AN216=21,J216,0)</f>
        <v>0</v>
      </c>
      <c r="AN216" s="28">
        <v>21</v>
      </c>
      <c r="AO216" s="28">
        <f>G216*1</f>
        <v>0</v>
      </c>
      <c r="AP216" s="28">
        <f>G216*(1-1)</f>
        <v>0</v>
      </c>
      <c r="AQ216" s="30" t="s">
        <v>118</v>
      </c>
      <c r="AV216" s="28">
        <f>ROUND(AW216+AX216,2)</f>
        <v>0</v>
      </c>
      <c r="AW216" s="28">
        <f>ROUND(F216*AO216,2)</f>
        <v>0</v>
      </c>
      <c r="AX216" s="28">
        <f>ROUND(F216*AP216,2)</f>
        <v>0</v>
      </c>
      <c r="AY216" s="30" t="s">
        <v>449</v>
      </c>
      <c r="AZ216" s="30" t="s">
        <v>436</v>
      </c>
      <c r="BA216" s="10" t="s">
        <v>63</v>
      </c>
      <c r="BC216" s="28">
        <f>AW216+AX216</f>
        <v>0</v>
      </c>
      <c r="BD216" s="28">
        <f>G216/(100-BE216)*100</f>
        <v>0</v>
      </c>
      <c r="BE216" s="28">
        <v>0</v>
      </c>
      <c r="BF216" s="28">
        <f>220</f>
        <v>220</v>
      </c>
      <c r="BH216" s="28">
        <f>F216*AO216</f>
        <v>0</v>
      </c>
      <c r="BI216" s="28">
        <f>F216*AP216</f>
        <v>0</v>
      </c>
      <c r="BJ216" s="28">
        <f>F216*G216</f>
        <v>0</v>
      </c>
      <c r="BK216" s="28"/>
      <c r="BL216" s="28">
        <v>767</v>
      </c>
      <c r="BW216" s="28">
        <v>21</v>
      </c>
      <c r="BX216" s="4" t="s">
        <v>452</v>
      </c>
    </row>
    <row r="217" spans="1:76" x14ac:dyDescent="0.25">
      <c r="A217" s="31"/>
      <c r="C217" s="32" t="s">
        <v>453</v>
      </c>
      <c r="D217" s="32" t="s">
        <v>51</v>
      </c>
      <c r="F217" s="33">
        <v>71</v>
      </c>
      <c r="K217" s="34"/>
    </row>
    <row r="218" spans="1:76" x14ac:dyDescent="0.25">
      <c r="A218" s="24" t="s">
        <v>51</v>
      </c>
      <c r="B218" s="25" t="s">
        <v>127</v>
      </c>
      <c r="C218" s="87" t="s">
        <v>454</v>
      </c>
      <c r="D218" s="88"/>
      <c r="E218" s="26" t="s">
        <v>4</v>
      </c>
      <c r="F218" s="26" t="s">
        <v>4</v>
      </c>
      <c r="G218" s="26" t="s">
        <v>4</v>
      </c>
      <c r="H218" s="1">
        <f>SUM(H219:H225)</f>
        <v>0</v>
      </c>
      <c r="I218" s="1">
        <f>SUM(I219:I225)</f>
        <v>0</v>
      </c>
      <c r="J218" s="1">
        <f>SUM(J219:J225)</f>
        <v>0</v>
      </c>
      <c r="K218" s="27" t="s">
        <v>51</v>
      </c>
      <c r="AI218" s="10" t="s">
        <v>55</v>
      </c>
      <c r="AS218" s="1">
        <f>SUM(AJ219:AJ225)</f>
        <v>0</v>
      </c>
      <c r="AT218" s="1">
        <f>SUM(AK219:AK225)</f>
        <v>0</v>
      </c>
      <c r="AU218" s="1">
        <f>SUM(AL219:AL225)</f>
        <v>0</v>
      </c>
    </row>
    <row r="219" spans="1:76" x14ac:dyDescent="0.25">
      <c r="A219" s="2" t="s">
        <v>325</v>
      </c>
      <c r="B219" s="3" t="s">
        <v>455</v>
      </c>
      <c r="C219" s="76" t="s">
        <v>456</v>
      </c>
      <c r="D219" s="71"/>
      <c r="E219" s="3" t="s">
        <v>457</v>
      </c>
      <c r="F219" s="28">
        <v>2</v>
      </c>
      <c r="G219" s="28">
        <v>0</v>
      </c>
      <c r="H219" s="28">
        <f>ROUND(F219*AO219,2)</f>
        <v>0</v>
      </c>
      <c r="I219" s="28">
        <f>ROUND(F219*AP219,2)</f>
        <v>0</v>
      </c>
      <c r="J219" s="28">
        <f>ROUND(F219*G219,2)</f>
        <v>0</v>
      </c>
      <c r="K219" s="29" t="s">
        <v>60</v>
      </c>
      <c r="Z219" s="28">
        <f>ROUND(IF(AQ219="5",BJ219,0),2)</f>
        <v>0</v>
      </c>
      <c r="AB219" s="28">
        <f>ROUND(IF(AQ219="1",BH219,0),2)</f>
        <v>0</v>
      </c>
      <c r="AC219" s="28">
        <f>ROUND(IF(AQ219="1",BI219,0),2)</f>
        <v>0</v>
      </c>
      <c r="AD219" s="28">
        <f>ROUND(IF(AQ219="7",BH219,0),2)</f>
        <v>0</v>
      </c>
      <c r="AE219" s="28">
        <f>ROUND(IF(AQ219="7",BI219,0),2)</f>
        <v>0</v>
      </c>
      <c r="AF219" s="28">
        <f>ROUND(IF(AQ219="2",BH219,0),2)</f>
        <v>0</v>
      </c>
      <c r="AG219" s="28">
        <f>ROUND(IF(AQ219="2",BI219,0),2)</f>
        <v>0</v>
      </c>
      <c r="AH219" s="28">
        <f>ROUND(IF(AQ219="0",BJ219,0),2)</f>
        <v>0</v>
      </c>
      <c r="AI219" s="10" t="s">
        <v>55</v>
      </c>
      <c r="AJ219" s="28">
        <f>IF(AN219=0,J219,0)</f>
        <v>0</v>
      </c>
      <c r="AK219" s="28">
        <f>IF(AN219=12,J219,0)</f>
        <v>0</v>
      </c>
      <c r="AL219" s="28">
        <f>IF(AN219=21,J219,0)</f>
        <v>0</v>
      </c>
      <c r="AN219" s="28">
        <v>21</v>
      </c>
      <c r="AO219" s="28">
        <f>G219*0.943396226</f>
        <v>0</v>
      </c>
      <c r="AP219" s="28">
        <f>G219*(1-0.943396226)</f>
        <v>0</v>
      </c>
      <c r="AQ219" s="30" t="s">
        <v>56</v>
      </c>
      <c r="AV219" s="28">
        <f>ROUND(AW219+AX219,2)</f>
        <v>0</v>
      </c>
      <c r="AW219" s="28">
        <f>ROUND(F219*AO219,2)</f>
        <v>0</v>
      </c>
      <c r="AX219" s="28">
        <f>ROUND(F219*AP219,2)</f>
        <v>0</v>
      </c>
      <c r="AY219" s="30" t="s">
        <v>458</v>
      </c>
      <c r="AZ219" s="30" t="s">
        <v>459</v>
      </c>
      <c r="BA219" s="10" t="s">
        <v>63</v>
      </c>
      <c r="BC219" s="28">
        <f>AW219+AX219</f>
        <v>0</v>
      </c>
      <c r="BD219" s="28">
        <f>G219/(100-BE219)*100</f>
        <v>0</v>
      </c>
      <c r="BE219" s="28">
        <v>0</v>
      </c>
      <c r="BF219" s="28">
        <f>223</f>
        <v>223</v>
      </c>
      <c r="BH219" s="28">
        <f>F219*AO219</f>
        <v>0</v>
      </c>
      <c r="BI219" s="28">
        <f>F219*AP219</f>
        <v>0</v>
      </c>
      <c r="BJ219" s="28">
        <f>F219*G219</f>
        <v>0</v>
      </c>
      <c r="BK219" s="28"/>
      <c r="BL219" s="28">
        <v>8</v>
      </c>
      <c r="BW219" s="28">
        <v>21</v>
      </c>
      <c r="BX219" s="4" t="s">
        <v>456</v>
      </c>
    </row>
    <row r="220" spans="1:76" x14ac:dyDescent="0.25">
      <c r="A220" s="2" t="s">
        <v>460</v>
      </c>
      <c r="B220" s="3" t="s">
        <v>461</v>
      </c>
      <c r="C220" s="76" t="s">
        <v>462</v>
      </c>
      <c r="D220" s="71"/>
      <c r="E220" s="3" t="s">
        <v>188</v>
      </c>
      <c r="F220" s="28">
        <v>40</v>
      </c>
      <c r="G220" s="28">
        <v>0</v>
      </c>
      <c r="H220" s="28">
        <f>ROUND(F220*AO220,2)</f>
        <v>0</v>
      </c>
      <c r="I220" s="28">
        <f>ROUND(F220*AP220,2)</f>
        <v>0</v>
      </c>
      <c r="J220" s="28">
        <f>ROUND(F220*G220,2)</f>
        <v>0</v>
      </c>
      <c r="K220" s="29" t="s">
        <v>60</v>
      </c>
      <c r="Z220" s="28">
        <f>ROUND(IF(AQ220="5",BJ220,0),2)</f>
        <v>0</v>
      </c>
      <c r="AB220" s="28">
        <f>ROUND(IF(AQ220="1",BH220,0),2)</f>
        <v>0</v>
      </c>
      <c r="AC220" s="28">
        <f>ROUND(IF(AQ220="1",BI220,0),2)</f>
        <v>0</v>
      </c>
      <c r="AD220" s="28">
        <f>ROUND(IF(AQ220="7",BH220,0),2)</f>
        <v>0</v>
      </c>
      <c r="AE220" s="28">
        <f>ROUND(IF(AQ220="7",BI220,0),2)</f>
        <v>0</v>
      </c>
      <c r="AF220" s="28">
        <f>ROUND(IF(AQ220="2",BH220,0),2)</f>
        <v>0</v>
      </c>
      <c r="AG220" s="28">
        <f>ROUND(IF(AQ220="2",BI220,0),2)</f>
        <v>0</v>
      </c>
      <c r="AH220" s="28">
        <f>ROUND(IF(AQ220="0",BJ220,0),2)</f>
        <v>0</v>
      </c>
      <c r="AI220" s="10" t="s">
        <v>55</v>
      </c>
      <c r="AJ220" s="28">
        <f>IF(AN220=0,J220,0)</f>
        <v>0</v>
      </c>
      <c r="AK220" s="28">
        <f>IF(AN220=12,J220,0)</f>
        <v>0</v>
      </c>
      <c r="AL220" s="28">
        <f>IF(AN220=21,J220,0)</f>
        <v>0</v>
      </c>
      <c r="AN220" s="28">
        <v>21</v>
      </c>
      <c r="AO220" s="28">
        <f>G220*0.020979021</f>
        <v>0</v>
      </c>
      <c r="AP220" s="28">
        <f>G220*(1-0.020979021)</f>
        <v>0</v>
      </c>
      <c r="AQ220" s="30" t="s">
        <v>56</v>
      </c>
      <c r="AV220" s="28">
        <f>ROUND(AW220+AX220,2)</f>
        <v>0</v>
      </c>
      <c r="AW220" s="28">
        <f>ROUND(F220*AO220,2)</f>
        <v>0</v>
      </c>
      <c r="AX220" s="28">
        <f>ROUND(F220*AP220,2)</f>
        <v>0</v>
      </c>
      <c r="AY220" s="30" t="s">
        <v>458</v>
      </c>
      <c r="AZ220" s="30" t="s">
        <v>459</v>
      </c>
      <c r="BA220" s="10" t="s">
        <v>63</v>
      </c>
      <c r="BC220" s="28">
        <f>AW220+AX220</f>
        <v>0</v>
      </c>
      <c r="BD220" s="28">
        <f>G220/(100-BE220)*100</f>
        <v>0</v>
      </c>
      <c r="BE220" s="28">
        <v>0</v>
      </c>
      <c r="BF220" s="28">
        <f>224</f>
        <v>224</v>
      </c>
      <c r="BH220" s="28">
        <f>F220*AO220</f>
        <v>0</v>
      </c>
      <c r="BI220" s="28">
        <f>F220*AP220</f>
        <v>0</v>
      </c>
      <c r="BJ220" s="28">
        <f>F220*G220</f>
        <v>0</v>
      </c>
      <c r="BK220" s="28"/>
      <c r="BL220" s="28">
        <v>8</v>
      </c>
      <c r="BW220" s="28">
        <v>21</v>
      </c>
      <c r="BX220" s="4" t="s">
        <v>462</v>
      </c>
    </row>
    <row r="221" spans="1:76" x14ac:dyDescent="0.25">
      <c r="A221" s="2" t="s">
        <v>463</v>
      </c>
      <c r="B221" s="3" t="s">
        <v>464</v>
      </c>
      <c r="C221" s="76" t="s">
        <v>465</v>
      </c>
      <c r="D221" s="71"/>
      <c r="E221" s="3" t="s">
        <v>293</v>
      </c>
      <c r="F221" s="28">
        <v>2</v>
      </c>
      <c r="G221" s="28">
        <v>0</v>
      </c>
      <c r="H221" s="28">
        <f>ROUND(F221*AO221,2)</f>
        <v>0</v>
      </c>
      <c r="I221" s="28">
        <f>ROUND(F221*AP221,2)</f>
        <v>0</v>
      </c>
      <c r="J221" s="28">
        <f>ROUND(F221*G221,2)</f>
        <v>0</v>
      </c>
      <c r="K221" s="29" t="s">
        <v>60</v>
      </c>
      <c r="Z221" s="28">
        <f>ROUND(IF(AQ221="5",BJ221,0),2)</f>
        <v>0</v>
      </c>
      <c r="AB221" s="28">
        <f>ROUND(IF(AQ221="1",BH221,0),2)</f>
        <v>0</v>
      </c>
      <c r="AC221" s="28">
        <f>ROUND(IF(AQ221="1",BI221,0),2)</f>
        <v>0</v>
      </c>
      <c r="AD221" s="28">
        <f>ROUND(IF(AQ221="7",BH221,0),2)</f>
        <v>0</v>
      </c>
      <c r="AE221" s="28">
        <f>ROUND(IF(AQ221="7",BI221,0),2)</f>
        <v>0</v>
      </c>
      <c r="AF221" s="28">
        <f>ROUND(IF(AQ221="2",BH221,0),2)</f>
        <v>0</v>
      </c>
      <c r="AG221" s="28">
        <f>ROUND(IF(AQ221="2",BI221,0),2)</f>
        <v>0</v>
      </c>
      <c r="AH221" s="28">
        <f>ROUND(IF(AQ221="0",BJ221,0),2)</f>
        <v>0</v>
      </c>
      <c r="AI221" s="10" t="s">
        <v>55</v>
      </c>
      <c r="AJ221" s="28">
        <f>IF(AN221=0,J221,0)</f>
        <v>0</v>
      </c>
      <c r="AK221" s="28">
        <f>IF(AN221=12,J221,0)</f>
        <v>0</v>
      </c>
      <c r="AL221" s="28">
        <f>IF(AN221=21,J221,0)</f>
        <v>0</v>
      </c>
      <c r="AN221" s="28">
        <v>21</v>
      </c>
      <c r="AO221" s="28">
        <f>G221*0.979322932</f>
        <v>0</v>
      </c>
      <c r="AP221" s="28">
        <f>G221*(1-0.979322932)</f>
        <v>0</v>
      </c>
      <c r="AQ221" s="30" t="s">
        <v>56</v>
      </c>
      <c r="AV221" s="28">
        <f>ROUND(AW221+AX221,2)</f>
        <v>0</v>
      </c>
      <c r="AW221" s="28">
        <f>ROUND(F221*AO221,2)</f>
        <v>0</v>
      </c>
      <c r="AX221" s="28">
        <f>ROUND(F221*AP221,2)</f>
        <v>0</v>
      </c>
      <c r="AY221" s="30" t="s">
        <v>458</v>
      </c>
      <c r="AZ221" s="30" t="s">
        <v>459</v>
      </c>
      <c r="BA221" s="10" t="s">
        <v>63</v>
      </c>
      <c r="BC221" s="28">
        <f>AW221+AX221</f>
        <v>0</v>
      </c>
      <c r="BD221" s="28">
        <f>G221/(100-BE221)*100</f>
        <v>0</v>
      </c>
      <c r="BE221" s="28">
        <v>0</v>
      </c>
      <c r="BF221" s="28">
        <f>225</f>
        <v>225</v>
      </c>
      <c r="BH221" s="28">
        <f>F221*AO221</f>
        <v>0</v>
      </c>
      <c r="BI221" s="28">
        <f>F221*AP221</f>
        <v>0</v>
      </c>
      <c r="BJ221" s="28">
        <f>F221*G221</f>
        <v>0</v>
      </c>
      <c r="BK221" s="28"/>
      <c r="BL221" s="28">
        <v>8</v>
      </c>
      <c r="BW221" s="28">
        <v>21</v>
      </c>
      <c r="BX221" s="4" t="s">
        <v>465</v>
      </c>
    </row>
    <row r="222" spans="1:76" x14ac:dyDescent="0.25">
      <c r="A222" s="31"/>
      <c r="C222" s="32" t="s">
        <v>56</v>
      </c>
      <c r="D222" s="32" t="s">
        <v>466</v>
      </c>
      <c r="F222" s="33">
        <v>1</v>
      </c>
      <c r="K222" s="34"/>
    </row>
    <row r="223" spans="1:76" x14ac:dyDescent="0.25">
      <c r="A223" s="31"/>
      <c r="C223" s="32" t="s">
        <v>56</v>
      </c>
      <c r="D223" s="32" t="s">
        <v>467</v>
      </c>
      <c r="F223" s="33">
        <v>1</v>
      </c>
      <c r="K223" s="34"/>
    </row>
    <row r="224" spans="1:76" x14ac:dyDescent="0.25">
      <c r="A224" s="2" t="s">
        <v>468</v>
      </c>
      <c r="B224" s="3" t="s">
        <v>469</v>
      </c>
      <c r="C224" s="76" t="s">
        <v>470</v>
      </c>
      <c r="D224" s="71"/>
      <c r="E224" s="3" t="s">
        <v>188</v>
      </c>
      <c r="F224" s="28">
        <v>40</v>
      </c>
      <c r="G224" s="28">
        <v>0</v>
      </c>
      <c r="H224" s="28">
        <f>ROUND(F224*AO224,2)</f>
        <v>0</v>
      </c>
      <c r="I224" s="28">
        <f>ROUND(F224*AP224,2)</f>
        <v>0</v>
      </c>
      <c r="J224" s="28">
        <f>ROUND(F224*G224,2)</f>
        <v>0</v>
      </c>
      <c r="K224" s="29" t="s">
        <v>60</v>
      </c>
      <c r="Z224" s="28">
        <f>ROUND(IF(AQ224="5",BJ224,0),2)</f>
        <v>0</v>
      </c>
      <c r="AB224" s="28">
        <f>ROUND(IF(AQ224="1",BH224,0),2)</f>
        <v>0</v>
      </c>
      <c r="AC224" s="28">
        <f>ROUND(IF(AQ224="1",BI224,0),2)</f>
        <v>0</v>
      </c>
      <c r="AD224" s="28">
        <f>ROUND(IF(AQ224="7",BH224,0),2)</f>
        <v>0</v>
      </c>
      <c r="AE224" s="28">
        <f>ROUND(IF(AQ224="7",BI224,0),2)</f>
        <v>0</v>
      </c>
      <c r="AF224" s="28">
        <f>ROUND(IF(AQ224="2",BH224,0),2)</f>
        <v>0</v>
      </c>
      <c r="AG224" s="28">
        <f>ROUND(IF(AQ224="2",BI224,0),2)</f>
        <v>0</v>
      </c>
      <c r="AH224" s="28">
        <f>ROUND(IF(AQ224="0",BJ224,0),2)</f>
        <v>0</v>
      </c>
      <c r="AI224" s="10" t="s">
        <v>55</v>
      </c>
      <c r="AJ224" s="28">
        <f>IF(AN224=0,J224,0)</f>
        <v>0</v>
      </c>
      <c r="AK224" s="28">
        <f>IF(AN224=12,J224,0)</f>
        <v>0</v>
      </c>
      <c r="AL224" s="28">
        <f>IF(AN224=21,J224,0)</f>
        <v>0</v>
      </c>
      <c r="AN224" s="28">
        <v>21</v>
      </c>
      <c r="AO224" s="28">
        <f>G224*1</f>
        <v>0</v>
      </c>
      <c r="AP224" s="28">
        <f>G224*(1-1)</f>
        <v>0</v>
      </c>
      <c r="AQ224" s="30" t="s">
        <v>56</v>
      </c>
      <c r="AV224" s="28">
        <f>ROUND(AW224+AX224,2)</f>
        <v>0</v>
      </c>
      <c r="AW224" s="28">
        <f>ROUND(F224*AO224,2)</f>
        <v>0</v>
      </c>
      <c r="AX224" s="28">
        <f>ROUND(F224*AP224,2)</f>
        <v>0</v>
      </c>
      <c r="AY224" s="30" t="s">
        <v>458</v>
      </c>
      <c r="AZ224" s="30" t="s">
        <v>459</v>
      </c>
      <c r="BA224" s="10" t="s">
        <v>63</v>
      </c>
      <c r="BC224" s="28">
        <f>AW224+AX224</f>
        <v>0</v>
      </c>
      <c r="BD224" s="28">
        <f>G224/(100-BE224)*100</f>
        <v>0</v>
      </c>
      <c r="BE224" s="28">
        <v>0</v>
      </c>
      <c r="BF224" s="28">
        <f>228</f>
        <v>228</v>
      </c>
      <c r="BH224" s="28">
        <f>F224*AO224</f>
        <v>0</v>
      </c>
      <c r="BI224" s="28">
        <f>F224*AP224</f>
        <v>0</v>
      </c>
      <c r="BJ224" s="28">
        <f>F224*G224</f>
        <v>0</v>
      </c>
      <c r="BK224" s="28"/>
      <c r="BL224" s="28">
        <v>8</v>
      </c>
      <c r="BW224" s="28">
        <v>21</v>
      </c>
      <c r="BX224" s="4" t="s">
        <v>470</v>
      </c>
    </row>
    <row r="225" spans="1:76" x14ac:dyDescent="0.25">
      <c r="A225" s="2" t="s">
        <v>471</v>
      </c>
      <c r="B225" s="3" t="s">
        <v>472</v>
      </c>
      <c r="C225" s="76" t="s">
        <v>473</v>
      </c>
      <c r="D225" s="71"/>
      <c r="E225" s="3" t="s">
        <v>188</v>
      </c>
      <c r="F225" s="28">
        <v>73.13</v>
      </c>
      <c r="G225" s="28">
        <v>0</v>
      </c>
      <c r="H225" s="28">
        <f>ROUND(F225*AO225,2)</f>
        <v>0</v>
      </c>
      <c r="I225" s="28">
        <f>ROUND(F225*AP225,2)</f>
        <v>0</v>
      </c>
      <c r="J225" s="28">
        <f>ROUND(F225*G225,2)</f>
        <v>0</v>
      </c>
      <c r="K225" s="29" t="s">
        <v>60</v>
      </c>
      <c r="Z225" s="28">
        <f>ROUND(IF(AQ225="5",BJ225,0),2)</f>
        <v>0</v>
      </c>
      <c r="AB225" s="28">
        <f>ROUND(IF(AQ225="1",BH225,0),2)</f>
        <v>0</v>
      </c>
      <c r="AC225" s="28">
        <f>ROUND(IF(AQ225="1",BI225,0),2)</f>
        <v>0</v>
      </c>
      <c r="AD225" s="28">
        <f>ROUND(IF(AQ225="7",BH225,0),2)</f>
        <v>0</v>
      </c>
      <c r="AE225" s="28">
        <f>ROUND(IF(AQ225="7",BI225,0),2)</f>
        <v>0</v>
      </c>
      <c r="AF225" s="28">
        <f>ROUND(IF(AQ225="2",BH225,0),2)</f>
        <v>0</v>
      </c>
      <c r="AG225" s="28">
        <f>ROUND(IF(AQ225="2",BI225,0),2)</f>
        <v>0</v>
      </c>
      <c r="AH225" s="28">
        <f>ROUND(IF(AQ225="0",BJ225,0),2)</f>
        <v>0</v>
      </c>
      <c r="AI225" s="10" t="s">
        <v>55</v>
      </c>
      <c r="AJ225" s="28">
        <f>IF(AN225=0,J225,0)</f>
        <v>0</v>
      </c>
      <c r="AK225" s="28">
        <f>IF(AN225=12,J225,0)</f>
        <v>0</v>
      </c>
      <c r="AL225" s="28">
        <f>IF(AN225=21,J225,0)</f>
        <v>0</v>
      </c>
      <c r="AN225" s="28">
        <v>21</v>
      </c>
      <c r="AO225" s="28">
        <f>G225*1.000000773</f>
        <v>0</v>
      </c>
      <c r="AP225" s="28">
        <f>G225*(1-1.000000773)</f>
        <v>0</v>
      </c>
      <c r="AQ225" s="30" t="s">
        <v>56</v>
      </c>
      <c r="AV225" s="28">
        <f>ROUND(AW225+AX225,2)</f>
        <v>0</v>
      </c>
      <c r="AW225" s="28">
        <f>ROUND(F225*AO225,2)</f>
        <v>0</v>
      </c>
      <c r="AX225" s="28">
        <f>ROUND(F225*AP225,2)</f>
        <v>0</v>
      </c>
      <c r="AY225" s="30" t="s">
        <v>458</v>
      </c>
      <c r="AZ225" s="30" t="s">
        <v>459</v>
      </c>
      <c r="BA225" s="10" t="s">
        <v>63</v>
      </c>
      <c r="BC225" s="28">
        <f>AW225+AX225</f>
        <v>0</v>
      </c>
      <c r="BD225" s="28">
        <f>G225/(100-BE225)*100</f>
        <v>0</v>
      </c>
      <c r="BE225" s="28">
        <v>0</v>
      </c>
      <c r="BF225" s="28">
        <f>229</f>
        <v>229</v>
      </c>
      <c r="BH225" s="28">
        <f>F225*AO225</f>
        <v>0</v>
      </c>
      <c r="BI225" s="28">
        <f>F225*AP225</f>
        <v>0</v>
      </c>
      <c r="BJ225" s="28">
        <f>F225*G225</f>
        <v>0</v>
      </c>
      <c r="BK225" s="28"/>
      <c r="BL225" s="28">
        <v>8</v>
      </c>
      <c r="BW225" s="28">
        <v>21</v>
      </c>
      <c r="BX225" s="4" t="s">
        <v>473</v>
      </c>
    </row>
    <row r="226" spans="1:76" x14ac:dyDescent="0.25">
      <c r="A226" s="31"/>
      <c r="C226" s="32" t="s">
        <v>474</v>
      </c>
      <c r="D226" s="32" t="s">
        <v>51</v>
      </c>
      <c r="F226" s="33">
        <v>73.13</v>
      </c>
      <c r="K226" s="34"/>
    </row>
    <row r="227" spans="1:76" x14ac:dyDescent="0.25">
      <c r="A227" s="24" t="s">
        <v>51</v>
      </c>
      <c r="B227" s="25" t="s">
        <v>475</v>
      </c>
      <c r="C227" s="87" t="s">
        <v>476</v>
      </c>
      <c r="D227" s="88"/>
      <c r="E227" s="26" t="s">
        <v>4</v>
      </c>
      <c r="F227" s="26" t="s">
        <v>4</v>
      </c>
      <c r="G227" s="26" t="s">
        <v>4</v>
      </c>
      <c r="H227" s="1">
        <f>SUM(H228:H228)</f>
        <v>0</v>
      </c>
      <c r="I227" s="1">
        <f>SUM(I228:I228)</f>
        <v>0</v>
      </c>
      <c r="J227" s="1">
        <f>SUM(J228:J228)</f>
        <v>0</v>
      </c>
      <c r="K227" s="27" t="s">
        <v>51</v>
      </c>
      <c r="AI227" s="10" t="s">
        <v>55</v>
      </c>
      <c r="AS227" s="1">
        <f>SUM(AJ228:AJ228)</f>
        <v>0</v>
      </c>
      <c r="AT227" s="1">
        <f>SUM(AK228:AK228)</f>
        <v>0</v>
      </c>
      <c r="AU227" s="1">
        <f>SUM(AL228:AL228)</f>
        <v>0</v>
      </c>
    </row>
    <row r="228" spans="1:76" x14ac:dyDescent="0.25">
      <c r="A228" s="2" t="s">
        <v>477</v>
      </c>
      <c r="B228" s="3" t="s">
        <v>478</v>
      </c>
      <c r="C228" s="76" t="s">
        <v>479</v>
      </c>
      <c r="D228" s="71"/>
      <c r="E228" s="3" t="s">
        <v>293</v>
      </c>
      <c r="F228" s="28">
        <v>1</v>
      </c>
      <c r="G228" s="28">
        <v>0</v>
      </c>
      <c r="H228" s="28">
        <f>ROUND(F228*AO228,2)</f>
        <v>0</v>
      </c>
      <c r="I228" s="28">
        <f>ROUND(F228*AP228,2)</f>
        <v>0</v>
      </c>
      <c r="J228" s="28">
        <f>ROUND(F228*G228,2)</f>
        <v>0</v>
      </c>
      <c r="K228" s="29" t="s">
        <v>60</v>
      </c>
      <c r="Z228" s="28">
        <f>ROUND(IF(AQ228="5",BJ228,0),2)</f>
        <v>0</v>
      </c>
      <c r="AB228" s="28">
        <f>ROUND(IF(AQ228="1",BH228,0),2)</f>
        <v>0</v>
      </c>
      <c r="AC228" s="28">
        <f>ROUND(IF(AQ228="1",BI228,0),2)</f>
        <v>0</v>
      </c>
      <c r="AD228" s="28">
        <f>ROUND(IF(AQ228="7",BH228,0),2)</f>
        <v>0</v>
      </c>
      <c r="AE228" s="28">
        <f>ROUND(IF(AQ228="7",BI228,0),2)</f>
        <v>0</v>
      </c>
      <c r="AF228" s="28">
        <f>ROUND(IF(AQ228="2",BH228,0),2)</f>
        <v>0</v>
      </c>
      <c r="AG228" s="28">
        <f>ROUND(IF(AQ228="2",BI228,0),2)</f>
        <v>0</v>
      </c>
      <c r="AH228" s="28">
        <f>ROUND(IF(AQ228="0",BJ228,0),2)</f>
        <v>0</v>
      </c>
      <c r="AI228" s="10" t="s">
        <v>55</v>
      </c>
      <c r="AJ228" s="28">
        <f>IF(AN228=0,J228,0)</f>
        <v>0</v>
      </c>
      <c r="AK228" s="28">
        <f>IF(AN228=12,J228,0)</f>
        <v>0</v>
      </c>
      <c r="AL228" s="28">
        <f>IF(AN228=21,J228,0)</f>
        <v>0</v>
      </c>
      <c r="AN228" s="28">
        <v>21</v>
      </c>
      <c r="AO228" s="28">
        <f>G228*0.475345485</f>
        <v>0</v>
      </c>
      <c r="AP228" s="28">
        <f>G228*(1-0.475345485)</f>
        <v>0</v>
      </c>
      <c r="AQ228" s="30" t="s">
        <v>56</v>
      </c>
      <c r="AV228" s="28">
        <f>ROUND(AW228+AX228,2)</f>
        <v>0</v>
      </c>
      <c r="AW228" s="28">
        <f>ROUND(F228*AO228,2)</f>
        <v>0</v>
      </c>
      <c r="AX228" s="28">
        <f>ROUND(F228*AP228,2)</f>
        <v>0</v>
      </c>
      <c r="AY228" s="30" t="s">
        <v>480</v>
      </c>
      <c r="AZ228" s="30" t="s">
        <v>459</v>
      </c>
      <c r="BA228" s="10" t="s">
        <v>63</v>
      </c>
      <c r="BC228" s="28">
        <f>AW228+AX228</f>
        <v>0</v>
      </c>
      <c r="BD228" s="28">
        <f>G228/(100-BE228)*100</f>
        <v>0</v>
      </c>
      <c r="BE228" s="28">
        <v>0</v>
      </c>
      <c r="BF228" s="28">
        <f>232</f>
        <v>232</v>
      </c>
      <c r="BH228" s="28">
        <f>F228*AO228</f>
        <v>0</v>
      </c>
      <c r="BI228" s="28">
        <f>F228*AP228</f>
        <v>0</v>
      </c>
      <c r="BJ228" s="28">
        <f>F228*G228</f>
        <v>0</v>
      </c>
      <c r="BK228" s="28"/>
      <c r="BL228" s="28">
        <v>84</v>
      </c>
      <c r="BW228" s="28">
        <v>21</v>
      </c>
      <c r="BX228" s="4" t="s">
        <v>479</v>
      </c>
    </row>
    <row r="229" spans="1:76" ht="13.5" customHeight="1" x14ac:dyDescent="0.25">
      <c r="A229" s="31"/>
      <c r="B229" s="35" t="s">
        <v>105</v>
      </c>
      <c r="C229" s="97" t="s">
        <v>481</v>
      </c>
      <c r="D229" s="98"/>
      <c r="E229" s="98"/>
      <c r="F229" s="98"/>
      <c r="G229" s="98"/>
      <c r="H229" s="98"/>
      <c r="I229" s="98"/>
      <c r="J229" s="98"/>
      <c r="K229" s="99"/>
    </row>
    <row r="230" spans="1:76" ht="81" customHeight="1" x14ac:dyDescent="0.25">
      <c r="A230" s="31"/>
      <c r="B230" s="35" t="s">
        <v>68</v>
      </c>
      <c r="C230" s="94" t="s">
        <v>2454</v>
      </c>
      <c r="D230" s="95"/>
      <c r="E230" s="95"/>
      <c r="F230" s="95"/>
      <c r="G230" s="95"/>
      <c r="H230" s="95"/>
      <c r="I230" s="95"/>
      <c r="J230" s="95"/>
      <c r="K230" s="96"/>
      <c r="BX230" s="36" t="s">
        <v>482</v>
      </c>
    </row>
    <row r="231" spans="1:76" x14ac:dyDescent="0.25">
      <c r="A231" s="24" t="s">
        <v>51</v>
      </c>
      <c r="B231" s="25" t="s">
        <v>483</v>
      </c>
      <c r="C231" s="87" t="s">
        <v>484</v>
      </c>
      <c r="D231" s="88"/>
      <c r="E231" s="26" t="s">
        <v>4</v>
      </c>
      <c r="F231" s="26" t="s">
        <v>4</v>
      </c>
      <c r="G231" s="26" t="s">
        <v>4</v>
      </c>
      <c r="H231" s="1">
        <f>SUM(H232:H254)</f>
        <v>0</v>
      </c>
      <c r="I231" s="1">
        <f>SUM(I232:I254)</f>
        <v>0</v>
      </c>
      <c r="J231" s="1">
        <f>SUM(J232:J254)</f>
        <v>0</v>
      </c>
      <c r="K231" s="27" t="s">
        <v>51</v>
      </c>
      <c r="AI231" s="10" t="s">
        <v>55</v>
      </c>
      <c r="AS231" s="1">
        <f>SUM(AJ232:AJ254)</f>
        <v>0</v>
      </c>
      <c r="AT231" s="1">
        <f>SUM(AK232:AK254)</f>
        <v>0</v>
      </c>
      <c r="AU231" s="1">
        <f>SUM(AL232:AL254)</f>
        <v>0</v>
      </c>
    </row>
    <row r="232" spans="1:76" x14ac:dyDescent="0.25">
      <c r="A232" s="2" t="s">
        <v>485</v>
      </c>
      <c r="B232" s="3" t="s">
        <v>486</v>
      </c>
      <c r="C232" s="76" t="s">
        <v>487</v>
      </c>
      <c r="D232" s="71"/>
      <c r="E232" s="3" t="s">
        <v>188</v>
      </c>
      <c r="F232" s="28">
        <v>60</v>
      </c>
      <c r="G232" s="28">
        <v>0</v>
      </c>
      <c r="H232" s="28">
        <f>ROUND(F232*AO232,2)</f>
        <v>0</v>
      </c>
      <c r="I232" s="28">
        <f>ROUND(F232*AP232,2)</f>
        <v>0</v>
      </c>
      <c r="J232" s="28">
        <f>ROUND(F232*G232,2)</f>
        <v>0</v>
      </c>
      <c r="K232" s="29" t="s">
        <v>60</v>
      </c>
      <c r="Z232" s="28">
        <f>ROUND(IF(AQ232="5",BJ232,0),2)</f>
        <v>0</v>
      </c>
      <c r="AB232" s="28">
        <f>ROUND(IF(AQ232="1",BH232,0),2)</f>
        <v>0</v>
      </c>
      <c r="AC232" s="28">
        <f>ROUND(IF(AQ232="1",BI232,0),2)</f>
        <v>0</v>
      </c>
      <c r="AD232" s="28">
        <f>ROUND(IF(AQ232="7",BH232,0),2)</f>
        <v>0</v>
      </c>
      <c r="AE232" s="28">
        <f>ROUND(IF(AQ232="7",BI232,0),2)</f>
        <v>0</v>
      </c>
      <c r="AF232" s="28">
        <f>ROUND(IF(AQ232="2",BH232,0),2)</f>
        <v>0</v>
      </c>
      <c r="AG232" s="28">
        <f>ROUND(IF(AQ232="2",BI232,0),2)</f>
        <v>0</v>
      </c>
      <c r="AH232" s="28">
        <f>ROUND(IF(AQ232="0",BJ232,0),2)</f>
        <v>0</v>
      </c>
      <c r="AI232" s="10" t="s">
        <v>55</v>
      </c>
      <c r="AJ232" s="28">
        <f>IF(AN232=0,J232,0)</f>
        <v>0</v>
      </c>
      <c r="AK232" s="28">
        <f>IF(AN232=12,J232,0)</f>
        <v>0</v>
      </c>
      <c r="AL232" s="28">
        <f>IF(AN232=21,J232,0)</f>
        <v>0</v>
      </c>
      <c r="AN232" s="28">
        <v>21</v>
      </c>
      <c r="AO232" s="28">
        <f>G232*0</f>
        <v>0</v>
      </c>
      <c r="AP232" s="28">
        <f>G232*(1-0)</f>
        <v>0</v>
      </c>
      <c r="AQ232" s="30" t="s">
        <v>56</v>
      </c>
      <c r="AV232" s="28">
        <f>ROUND(AW232+AX232,2)</f>
        <v>0</v>
      </c>
      <c r="AW232" s="28">
        <f>ROUND(F232*AO232,2)</f>
        <v>0</v>
      </c>
      <c r="AX232" s="28">
        <f>ROUND(F232*AP232,2)</f>
        <v>0</v>
      </c>
      <c r="AY232" s="30" t="s">
        <v>488</v>
      </c>
      <c r="AZ232" s="30" t="s">
        <v>459</v>
      </c>
      <c r="BA232" s="10" t="s">
        <v>63</v>
      </c>
      <c r="BC232" s="28">
        <f>AW232+AX232</f>
        <v>0</v>
      </c>
      <c r="BD232" s="28">
        <f>G232/(100-BE232)*100</f>
        <v>0</v>
      </c>
      <c r="BE232" s="28">
        <v>0</v>
      </c>
      <c r="BF232" s="28">
        <f>236</f>
        <v>236</v>
      </c>
      <c r="BH232" s="28">
        <f>F232*AO232</f>
        <v>0</v>
      </c>
      <c r="BI232" s="28">
        <f>F232*AP232</f>
        <v>0</v>
      </c>
      <c r="BJ232" s="28">
        <f>F232*G232</f>
        <v>0</v>
      </c>
      <c r="BK232" s="28"/>
      <c r="BL232" s="28">
        <v>87</v>
      </c>
      <c r="BW232" s="28">
        <v>21</v>
      </c>
      <c r="BX232" s="4" t="s">
        <v>487</v>
      </c>
    </row>
    <row r="233" spans="1:76" x14ac:dyDescent="0.25">
      <c r="A233" s="31"/>
      <c r="C233" s="32" t="s">
        <v>295</v>
      </c>
      <c r="D233" s="32" t="s">
        <v>489</v>
      </c>
      <c r="F233" s="33">
        <v>35</v>
      </c>
      <c r="K233" s="34"/>
    </row>
    <row r="234" spans="1:76" x14ac:dyDescent="0.25">
      <c r="A234" s="31"/>
      <c r="C234" s="32" t="s">
        <v>98</v>
      </c>
      <c r="D234" s="32" t="s">
        <v>490</v>
      </c>
      <c r="F234" s="33">
        <v>15</v>
      </c>
      <c r="K234" s="34"/>
    </row>
    <row r="235" spans="1:76" x14ac:dyDescent="0.25">
      <c r="A235" s="31"/>
      <c r="C235" s="32" t="s">
        <v>135</v>
      </c>
      <c r="D235" s="32" t="s">
        <v>491</v>
      </c>
      <c r="F235" s="33">
        <v>10</v>
      </c>
      <c r="K235" s="34"/>
    </row>
    <row r="236" spans="1:76" ht="63.75" x14ac:dyDescent="0.25">
      <c r="A236" s="31"/>
      <c r="B236" s="35" t="s">
        <v>68</v>
      </c>
      <c r="C236" s="94" t="s">
        <v>492</v>
      </c>
      <c r="D236" s="95"/>
      <c r="E236" s="95"/>
      <c r="F236" s="95"/>
      <c r="G236" s="95"/>
      <c r="H236" s="95"/>
      <c r="I236" s="95"/>
      <c r="J236" s="95"/>
      <c r="K236" s="96"/>
      <c r="BX236" s="36" t="s">
        <v>492</v>
      </c>
    </row>
    <row r="237" spans="1:76" x14ac:dyDescent="0.25">
      <c r="A237" s="2" t="s">
        <v>493</v>
      </c>
      <c r="B237" s="3" t="s">
        <v>494</v>
      </c>
      <c r="C237" s="76" t="s">
        <v>2455</v>
      </c>
      <c r="D237" s="71"/>
      <c r="E237" s="3" t="s">
        <v>293</v>
      </c>
      <c r="F237" s="28">
        <v>7</v>
      </c>
      <c r="G237" s="28">
        <v>0</v>
      </c>
      <c r="H237" s="28">
        <f>ROUND(F237*AO237,2)</f>
        <v>0</v>
      </c>
      <c r="I237" s="28">
        <f>ROUND(F237*AP237,2)</f>
        <v>0</v>
      </c>
      <c r="J237" s="28">
        <f>ROUND(F237*G237,2)</f>
        <v>0</v>
      </c>
      <c r="K237" s="29" t="s">
        <v>60</v>
      </c>
      <c r="Z237" s="28">
        <f>ROUND(IF(AQ237="5",BJ237,0),2)</f>
        <v>0</v>
      </c>
      <c r="AB237" s="28">
        <f>ROUND(IF(AQ237="1",BH237,0),2)</f>
        <v>0</v>
      </c>
      <c r="AC237" s="28">
        <f>ROUND(IF(AQ237="1",BI237,0),2)</f>
        <v>0</v>
      </c>
      <c r="AD237" s="28">
        <f>ROUND(IF(AQ237="7",BH237,0),2)</f>
        <v>0</v>
      </c>
      <c r="AE237" s="28">
        <f>ROUND(IF(AQ237="7",BI237,0),2)</f>
        <v>0</v>
      </c>
      <c r="AF237" s="28">
        <f>ROUND(IF(AQ237="2",BH237,0),2)</f>
        <v>0</v>
      </c>
      <c r="AG237" s="28">
        <f>ROUND(IF(AQ237="2",BI237,0),2)</f>
        <v>0</v>
      </c>
      <c r="AH237" s="28">
        <f>ROUND(IF(AQ237="0",BJ237,0),2)</f>
        <v>0</v>
      </c>
      <c r="AI237" s="10" t="s">
        <v>55</v>
      </c>
      <c r="AJ237" s="28">
        <f>IF(AN237=0,J237,0)</f>
        <v>0</v>
      </c>
      <c r="AK237" s="28">
        <f>IF(AN237=12,J237,0)</f>
        <v>0</v>
      </c>
      <c r="AL237" s="28">
        <f>IF(AN237=21,J237,0)</f>
        <v>0</v>
      </c>
      <c r="AN237" s="28">
        <v>21</v>
      </c>
      <c r="AO237" s="28">
        <f>G237*1</f>
        <v>0</v>
      </c>
      <c r="AP237" s="28">
        <f>G237*(1-1)</f>
        <v>0</v>
      </c>
      <c r="AQ237" s="30" t="s">
        <v>56</v>
      </c>
      <c r="AV237" s="28">
        <f>ROUND(AW237+AX237,2)</f>
        <v>0</v>
      </c>
      <c r="AW237" s="28">
        <f>ROUND(F237*AO237,2)</f>
        <v>0</v>
      </c>
      <c r="AX237" s="28">
        <f>ROUND(F237*AP237,2)</f>
        <v>0</v>
      </c>
      <c r="AY237" s="30" t="s">
        <v>488</v>
      </c>
      <c r="AZ237" s="30" t="s">
        <v>459</v>
      </c>
      <c r="BA237" s="10" t="s">
        <v>63</v>
      </c>
      <c r="BC237" s="28">
        <f>AW237+AX237</f>
        <v>0</v>
      </c>
      <c r="BD237" s="28">
        <f>G237/(100-BE237)*100</f>
        <v>0</v>
      </c>
      <c r="BE237" s="28">
        <v>0</v>
      </c>
      <c r="BF237" s="28">
        <f>241</f>
        <v>241</v>
      </c>
      <c r="BH237" s="28">
        <f>F237*AO237</f>
        <v>0</v>
      </c>
      <c r="BI237" s="28">
        <f>F237*AP237</f>
        <v>0</v>
      </c>
      <c r="BJ237" s="28">
        <f>F237*G237</f>
        <v>0</v>
      </c>
      <c r="BK237" s="28"/>
      <c r="BL237" s="28">
        <v>87</v>
      </c>
      <c r="BW237" s="28">
        <v>21</v>
      </c>
      <c r="BX237" s="4" t="s">
        <v>495</v>
      </c>
    </row>
    <row r="238" spans="1:76" ht="114.75" x14ac:dyDescent="0.25">
      <c r="A238" s="31"/>
      <c r="B238" s="35" t="s">
        <v>68</v>
      </c>
      <c r="C238" s="94" t="s">
        <v>496</v>
      </c>
      <c r="D238" s="95"/>
      <c r="E238" s="95"/>
      <c r="F238" s="95"/>
      <c r="G238" s="95"/>
      <c r="H238" s="95"/>
      <c r="I238" s="95"/>
      <c r="J238" s="95"/>
      <c r="K238" s="96"/>
      <c r="BX238" s="36" t="s">
        <v>496</v>
      </c>
    </row>
    <row r="239" spans="1:76" x14ac:dyDescent="0.25">
      <c r="A239" s="2" t="s">
        <v>497</v>
      </c>
      <c r="B239" s="3" t="s">
        <v>498</v>
      </c>
      <c r="C239" s="76" t="s">
        <v>2456</v>
      </c>
      <c r="D239" s="71"/>
      <c r="E239" s="3" t="s">
        <v>293</v>
      </c>
      <c r="F239" s="28">
        <v>1</v>
      </c>
      <c r="G239" s="28">
        <v>0</v>
      </c>
      <c r="H239" s="28">
        <f>ROUND(F239*AO239,2)</f>
        <v>0</v>
      </c>
      <c r="I239" s="28">
        <f>ROUND(F239*AP239,2)</f>
        <v>0</v>
      </c>
      <c r="J239" s="28">
        <f>ROUND(F239*G239,2)</f>
        <v>0</v>
      </c>
      <c r="K239" s="29" t="s">
        <v>60</v>
      </c>
      <c r="Z239" s="28">
        <f>ROUND(IF(AQ239="5",BJ239,0),2)</f>
        <v>0</v>
      </c>
      <c r="AB239" s="28">
        <f>ROUND(IF(AQ239="1",BH239,0),2)</f>
        <v>0</v>
      </c>
      <c r="AC239" s="28">
        <f>ROUND(IF(AQ239="1",BI239,0),2)</f>
        <v>0</v>
      </c>
      <c r="AD239" s="28">
        <f>ROUND(IF(AQ239="7",BH239,0),2)</f>
        <v>0</v>
      </c>
      <c r="AE239" s="28">
        <f>ROUND(IF(AQ239="7",BI239,0),2)</f>
        <v>0</v>
      </c>
      <c r="AF239" s="28">
        <f>ROUND(IF(AQ239="2",BH239,0),2)</f>
        <v>0</v>
      </c>
      <c r="AG239" s="28">
        <f>ROUND(IF(AQ239="2",BI239,0),2)</f>
        <v>0</v>
      </c>
      <c r="AH239" s="28">
        <f>ROUND(IF(AQ239="0",BJ239,0),2)</f>
        <v>0</v>
      </c>
      <c r="AI239" s="10" t="s">
        <v>55</v>
      </c>
      <c r="AJ239" s="28">
        <f>IF(AN239=0,J239,0)</f>
        <v>0</v>
      </c>
      <c r="AK239" s="28">
        <f>IF(AN239=12,J239,0)</f>
        <v>0</v>
      </c>
      <c r="AL239" s="28">
        <f>IF(AN239=21,J239,0)</f>
        <v>0</v>
      </c>
      <c r="AN239" s="28">
        <v>21</v>
      </c>
      <c r="AO239" s="28">
        <f>G239*1</f>
        <v>0</v>
      </c>
      <c r="AP239" s="28">
        <f>G239*(1-1)</f>
        <v>0</v>
      </c>
      <c r="AQ239" s="30" t="s">
        <v>56</v>
      </c>
      <c r="AV239" s="28">
        <f>ROUND(AW239+AX239,2)</f>
        <v>0</v>
      </c>
      <c r="AW239" s="28">
        <f>ROUND(F239*AO239,2)</f>
        <v>0</v>
      </c>
      <c r="AX239" s="28">
        <f>ROUND(F239*AP239,2)</f>
        <v>0</v>
      </c>
      <c r="AY239" s="30" t="s">
        <v>488</v>
      </c>
      <c r="AZ239" s="30" t="s">
        <v>459</v>
      </c>
      <c r="BA239" s="10" t="s">
        <v>63</v>
      </c>
      <c r="BC239" s="28">
        <f>AW239+AX239</f>
        <v>0</v>
      </c>
      <c r="BD239" s="28">
        <f>G239/(100-BE239)*100</f>
        <v>0</v>
      </c>
      <c r="BE239" s="28">
        <v>0</v>
      </c>
      <c r="BF239" s="28">
        <f>243</f>
        <v>243</v>
      </c>
      <c r="BH239" s="28">
        <f>F239*AO239</f>
        <v>0</v>
      </c>
      <c r="BI239" s="28">
        <f>F239*AP239</f>
        <v>0</v>
      </c>
      <c r="BJ239" s="28">
        <f>F239*G239</f>
        <v>0</v>
      </c>
      <c r="BK239" s="28"/>
      <c r="BL239" s="28">
        <v>87</v>
      </c>
      <c r="BW239" s="28">
        <v>21</v>
      </c>
      <c r="BX239" s="4" t="s">
        <v>499</v>
      </c>
    </row>
    <row r="240" spans="1:76" ht="114.75" x14ac:dyDescent="0.25">
      <c r="A240" s="31"/>
      <c r="B240" s="35" t="s">
        <v>68</v>
      </c>
      <c r="C240" s="94" t="s">
        <v>500</v>
      </c>
      <c r="D240" s="95"/>
      <c r="E240" s="95"/>
      <c r="F240" s="95"/>
      <c r="G240" s="95"/>
      <c r="H240" s="95"/>
      <c r="I240" s="95"/>
      <c r="J240" s="95"/>
      <c r="K240" s="96"/>
      <c r="BX240" s="36" t="s">
        <v>500</v>
      </c>
    </row>
    <row r="241" spans="1:76" x14ac:dyDescent="0.25">
      <c r="A241" s="2" t="s">
        <v>501</v>
      </c>
      <c r="B241" s="3" t="s">
        <v>502</v>
      </c>
      <c r="C241" s="76" t="s">
        <v>2457</v>
      </c>
      <c r="D241" s="71"/>
      <c r="E241" s="3" t="s">
        <v>293</v>
      </c>
      <c r="F241" s="28">
        <v>2</v>
      </c>
      <c r="G241" s="28">
        <v>0</v>
      </c>
      <c r="H241" s="28">
        <f>ROUND(F241*AO241,2)</f>
        <v>0</v>
      </c>
      <c r="I241" s="28">
        <f>ROUND(F241*AP241,2)</f>
        <v>0</v>
      </c>
      <c r="J241" s="28">
        <f>ROUND(F241*G241,2)</f>
        <v>0</v>
      </c>
      <c r="K241" s="29" t="s">
        <v>60</v>
      </c>
      <c r="Z241" s="28">
        <f>ROUND(IF(AQ241="5",BJ241,0),2)</f>
        <v>0</v>
      </c>
      <c r="AB241" s="28">
        <f>ROUND(IF(AQ241="1",BH241,0),2)</f>
        <v>0</v>
      </c>
      <c r="AC241" s="28">
        <f>ROUND(IF(AQ241="1",BI241,0),2)</f>
        <v>0</v>
      </c>
      <c r="AD241" s="28">
        <f>ROUND(IF(AQ241="7",BH241,0),2)</f>
        <v>0</v>
      </c>
      <c r="AE241" s="28">
        <f>ROUND(IF(AQ241="7",BI241,0),2)</f>
        <v>0</v>
      </c>
      <c r="AF241" s="28">
        <f>ROUND(IF(AQ241="2",BH241,0),2)</f>
        <v>0</v>
      </c>
      <c r="AG241" s="28">
        <f>ROUND(IF(AQ241="2",BI241,0),2)</f>
        <v>0</v>
      </c>
      <c r="AH241" s="28">
        <f>ROUND(IF(AQ241="0",BJ241,0),2)</f>
        <v>0</v>
      </c>
      <c r="AI241" s="10" t="s">
        <v>55</v>
      </c>
      <c r="AJ241" s="28">
        <f>IF(AN241=0,J241,0)</f>
        <v>0</v>
      </c>
      <c r="AK241" s="28">
        <f>IF(AN241=12,J241,0)</f>
        <v>0</v>
      </c>
      <c r="AL241" s="28">
        <f>IF(AN241=21,J241,0)</f>
        <v>0</v>
      </c>
      <c r="AN241" s="28">
        <v>21</v>
      </c>
      <c r="AO241" s="28">
        <f>G241*1</f>
        <v>0</v>
      </c>
      <c r="AP241" s="28">
        <f>G241*(1-1)</f>
        <v>0</v>
      </c>
      <c r="AQ241" s="30" t="s">
        <v>56</v>
      </c>
      <c r="AV241" s="28">
        <f>ROUND(AW241+AX241,2)</f>
        <v>0</v>
      </c>
      <c r="AW241" s="28">
        <f>ROUND(F241*AO241,2)</f>
        <v>0</v>
      </c>
      <c r="AX241" s="28">
        <f>ROUND(F241*AP241,2)</f>
        <v>0</v>
      </c>
      <c r="AY241" s="30" t="s">
        <v>488</v>
      </c>
      <c r="AZ241" s="30" t="s">
        <v>459</v>
      </c>
      <c r="BA241" s="10" t="s">
        <v>63</v>
      </c>
      <c r="BC241" s="28">
        <f>AW241+AX241</f>
        <v>0</v>
      </c>
      <c r="BD241" s="28">
        <f>G241/(100-BE241)*100</f>
        <v>0</v>
      </c>
      <c r="BE241" s="28">
        <v>0</v>
      </c>
      <c r="BF241" s="28">
        <f>245</f>
        <v>245</v>
      </c>
      <c r="BH241" s="28">
        <f>F241*AO241</f>
        <v>0</v>
      </c>
      <c r="BI241" s="28">
        <f>F241*AP241</f>
        <v>0</v>
      </c>
      <c r="BJ241" s="28">
        <f>F241*G241</f>
        <v>0</v>
      </c>
      <c r="BK241" s="28"/>
      <c r="BL241" s="28">
        <v>87</v>
      </c>
      <c r="BW241" s="28">
        <v>21</v>
      </c>
      <c r="BX241" s="4" t="s">
        <v>503</v>
      </c>
    </row>
    <row r="242" spans="1:76" ht="114.75" x14ac:dyDescent="0.25">
      <c r="A242" s="31"/>
      <c r="B242" s="35" t="s">
        <v>68</v>
      </c>
      <c r="C242" s="94" t="s">
        <v>504</v>
      </c>
      <c r="D242" s="95"/>
      <c r="E242" s="95"/>
      <c r="F242" s="95"/>
      <c r="G242" s="95"/>
      <c r="H242" s="95"/>
      <c r="I242" s="95"/>
      <c r="J242" s="95"/>
      <c r="K242" s="96"/>
      <c r="BX242" s="36" t="s">
        <v>504</v>
      </c>
    </row>
    <row r="243" spans="1:76" x14ac:dyDescent="0.25">
      <c r="A243" s="2" t="s">
        <v>505</v>
      </c>
      <c r="B243" s="3" t="s">
        <v>506</v>
      </c>
      <c r="C243" s="76" t="s">
        <v>2458</v>
      </c>
      <c r="D243" s="71"/>
      <c r="E243" s="3" t="s">
        <v>293</v>
      </c>
      <c r="F243" s="28">
        <v>1</v>
      </c>
      <c r="G243" s="28">
        <v>0</v>
      </c>
      <c r="H243" s="28">
        <f>ROUND(F243*AO243,2)</f>
        <v>0</v>
      </c>
      <c r="I243" s="28">
        <f>ROUND(F243*AP243,2)</f>
        <v>0</v>
      </c>
      <c r="J243" s="28">
        <f>ROUND(F243*G243,2)</f>
        <v>0</v>
      </c>
      <c r="K243" s="29" t="s">
        <v>60</v>
      </c>
      <c r="Z243" s="28">
        <f>ROUND(IF(AQ243="5",BJ243,0),2)</f>
        <v>0</v>
      </c>
      <c r="AB243" s="28">
        <f>ROUND(IF(AQ243="1",BH243,0),2)</f>
        <v>0</v>
      </c>
      <c r="AC243" s="28">
        <f>ROUND(IF(AQ243="1",BI243,0),2)</f>
        <v>0</v>
      </c>
      <c r="AD243" s="28">
        <f>ROUND(IF(AQ243="7",BH243,0),2)</f>
        <v>0</v>
      </c>
      <c r="AE243" s="28">
        <f>ROUND(IF(AQ243="7",BI243,0),2)</f>
        <v>0</v>
      </c>
      <c r="AF243" s="28">
        <f>ROUND(IF(AQ243="2",BH243,0),2)</f>
        <v>0</v>
      </c>
      <c r="AG243" s="28">
        <f>ROUND(IF(AQ243="2",BI243,0),2)</f>
        <v>0</v>
      </c>
      <c r="AH243" s="28">
        <f>ROUND(IF(AQ243="0",BJ243,0),2)</f>
        <v>0</v>
      </c>
      <c r="AI243" s="10" t="s">
        <v>55</v>
      </c>
      <c r="AJ243" s="28">
        <f>IF(AN243=0,J243,0)</f>
        <v>0</v>
      </c>
      <c r="AK243" s="28">
        <f>IF(AN243=12,J243,0)</f>
        <v>0</v>
      </c>
      <c r="AL243" s="28">
        <f>IF(AN243=21,J243,0)</f>
        <v>0</v>
      </c>
      <c r="AN243" s="28">
        <v>21</v>
      </c>
      <c r="AO243" s="28">
        <f>G243*1</f>
        <v>0</v>
      </c>
      <c r="AP243" s="28">
        <f>G243*(1-1)</f>
        <v>0</v>
      </c>
      <c r="AQ243" s="30" t="s">
        <v>56</v>
      </c>
      <c r="AV243" s="28">
        <f>ROUND(AW243+AX243,2)</f>
        <v>0</v>
      </c>
      <c r="AW243" s="28">
        <f>ROUND(F243*AO243,2)</f>
        <v>0</v>
      </c>
      <c r="AX243" s="28">
        <f>ROUND(F243*AP243,2)</f>
        <v>0</v>
      </c>
      <c r="AY243" s="30" t="s">
        <v>488</v>
      </c>
      <c r="AZ243" s="30" t="s">
        <v>459</v>
      </c>
      <c r="BA243" s="10" t="s">
        <v>63</v>
      </c>
      <c r="BC243" s="28">
        <f>AW243+AX243</f>
        <v>0</v>
      </c>
      <c r="BD243" s="28">
        <f>G243/(100-BE243)*100</f>
        <v>0</v>
      </c>
      <c r="BE243" s="28">
        <v>0</v>
      </c>
      <c r="BF243" s="28">
        <f>247</f>
        <v>247</v>
      </c>
      <c r="BH243" s="28">
        <f>F243*AO243</f>
        <v>0</v>
      </c>
      <c r="BI243" s="28">
        <f>F243*AP243</f>
        <v>0</v>
      </c>
      <c r="BJ243" s="28">
        <f>F243*G243</f>
        <v>0</v>
      </c>
      <c r="BK243" s="28"/>
      <c r="BL243" s="28">
        <v>87</v>
      </c>
      <c r="BW243" s="28">
        <v>21</v>
      </c>
      <c r="BX243" s="4" t="s">
        <v>507</v>
      </c>
    </row>
    <row r="244" spans="1:76" ht="114.75" x14ac:dyDescent="0.25">
      <c r="A244" s="31"/>
      <c r="B244" s="35" t="s">
        <v>68</v>
      </c>
      <c r="C244" s="94" t="s">
        <v>508</v>
      </c>
      <c r="D244" s="95"/>
      <c r="E244" s="95"/>
      <c r="F244" s="95"/>
      <c r="G244" s="95"/>
      <c r="H244" s="95"/>
      <c r="I244" s="95"/>
      <c r="J244" s="95"/>
      <c r="K244" s="96"/>
      <c r="BX244" s="36" t="s">
        <v>508</v>
      </c>
    </row>
    <row r="245" spans="1:76" x14ac:dyDescent="0.25">
      <c r="A245" s="2" t="s">
        <v>509</v>
      </c>
      <c r="B245" s="3" t="s">
        <v>510</v>
      </c>
      <c r="C245" s="76" t="s">
        <v>511</v>
      </c>
      <c r="D245" s="71"/>
      <c r="E245" s="3" t="s">
        <v>293</v>
      </c>
      <c r="F245" s="28">
        <v>6</v>
      </c>
      <c r="G245" s="28">
        <v>0</v>
      </c>
      <c r="H245" s="28">
        <f>ROUND(F245*AO245,2)</f>
        <v>0</v>
      </c>
      <c r="I245" s="28">
        <f>ROUND(F245*AP245,2)</f>
        <v>0</v>
      </c>
      <c r="J245" s="28">
        <f>ROUND(F245*G245,2)</f>
        <v>0</v>
      </c>
      <c r="K245" s="29" t="s">
        <v>60</v>
      </c>
      <c r="Z245" s="28">
        <f>ROUND(IF(AQ245="5",BJ245,0),2)</f>
        <v>0</v>
      </c>
      <c r="AB245" s="28">
        <f>ROUND(IF(AQ245="1",BH245,0),2)</f>
        <v>0</v>
      </c>
      <c r="AC245" s="28">
        <f>ROUND(IF(AQ245="1",BI245,0),2)</f>
        <v>0</v>
      </c>
      <c r="AD245" s="28">
        <f>ROUND(IF(AQ245="7",BH245,0),2)</f>
        <v>0</v>
      </c>
      <c r="AE245" s="28">
        <f>ROUND(IF(AQ245="7",BI245,0),2)</f>
        <v>0</v>
      </c>
      <c r="AF245" s="28">
        <f>ROUND(IF(AQ245="2",BH245,0),2)</f>
        <v>0</v>
      </c>
      <c r="AG245" s="28">
        <f>ROUND(IF(AQ245="2",BI245,0),2)</f>
        <v>0</v>
      </c>
      <c r="AH245" s="28">
        <f>ROUND(IF(AQ245="0",BJ245,0),2)</f>
        <v>0</v>
      </c>
      <c r="AI245" s="10" t="s">
        <v>55</v>
      </c>
      <c r="AJ245" s="28">
        <f>IF(AN245=0,J245,0)</f>
        <v>0</v>
      </c>
      <c r="AK245" s="28">
        <f>IF(AN245=12,J245,0)</f>
        <v>0</v>
      </c>
      <c r="AL245" s="28">
        <f>IF(AN245=21,J245,0)</f>
        <v>0</v>
      </c>
      <c r="AN245" s="28">
        <v>21</v>
      </c>
      <c r="AO245" s="28">
        <f>G245*0.009624413</f>
        <v>0</v>
      </c>
      <c r="AP245" s="28">
        <f>G245*(1-0.009624413)</f>
        <v>0</v>
      </c>
      <c r="AQ245" s="30" t="s">
        <v>56</v>
      </c>
      <c r="AV245" s="28">
        <f>ROUND(AW245+AX245,2)</f>
        <v>0</v>
      </c>
      <c r="AW245" s="28">
        <f>ROUND(F245*AO245,2)</f>
        <v>0</v>
      </c>
      <c r="AX245" s="28">
        <f>ROUND(F245*AP245,2)</f>
        <v>0</v>
      </c>
      <c r="AY245" s="30" t="s">
        <v>488</v>
      </c>
      <c r="AZ245" s="30" t="s">
        <v>459</v>
      </c>
      <c r="BA245" s="10" t="s">
        <v>63</v>
      </c>
      <c r="BC245" s="28">
        <f>AW245+AX245</f>
        <v>0</v>
      </c>
      <c r="BD245" s="28">
        <f>G245/(100-BE245)*100</f>
        <v>0</v>
      </c>
      <c r="BE245" s="28">
        <v>0</v>
      </c>
      <c r="BF245" s="28">
        <f>249</f>
        <v>249</v>
      </c>
      <c r="BH245" s="28">
        <f>F245*AO245</f>
        <v>0</v>
      </c>
      <c r="BI245" s="28">
        <f>F245*AP245</f>
        <v>0</v>
      </c>
      <c r="BJ245" s="28">
        <f>F245*G245</f>
        <v>0</v>
      </c>
      <c r="BK245" s="28"/>
      <c r="BL245" s="28">
        <v>87</v>
      </c>
      <c r="BW245" s="28">
        <v>21</v>
      </c>
      <c r="BX245" s="4" t="s">
        <v>511</v>
      </c>
    </row>
    <row r="246" spans="1:76" ht="63.75" x14ac:dyDescent="0.25">
      <c r="A246" s="31"/>
      <c r="B246" s="35" t="s">
        <v>68</v>
      </c>
      <c r="C246" s="94" t="s">
        <v>512</v>
      </c>
      <c r="D246" s="95"/>
      <c r="E246" s="95"/>
      <c r="F246" s="95"/>
      <c r="G246" s="95"/>
      <c r="H246" s="95"/>
      <c r="I246" s="95"/>
      <c r="J246" s="95"/>
      <c r="K246" s="96"/>
      <c r="BX246" s="36" t="s">
        <v>512</v>
      </c>
    </row>
    <row r="247" spans="1:76" x14ac:dyDescent="0.25">
      <c r="A247" s="2" t="s">
        <v>132</v>
      </c>
      <c r="B247" s="3" t="s">
        <v>513</v>
      </c>
      <c r="C247" s="76" t="s">
        <v>514</v>
      </c>
      <c r="D247" s="71"/>
      <c r="E247" s="3" t="s">
        <v>293</v>
      </c>
      <c r="F247" s="28">
        <v>3</v>
      </c>
      <c r="G247" s="28">
        <v>0</v>
      </c>
      <c r="H247" s="28">
        <f>ROUND(F247*AO247,2)</f>
        <v>0</v>
      </c>
      <c r="I247" s="28">
        <f>ROUND(F247*AP247,2)</f>
        <v>0</v>
      </c>
      <c r="J247" s="28">
        <f>ROUND(F247*G247,2)</f>
        <v>0</v>
      </c>
      <c r="K247" s="29" t="s">
        <v>60</v>
      </c>
      <c r="Z247" s="28">
        <f>ROUND(IF(AQ247="5",BJ247,0),2)</f>
        <v>0</v>
      </c>
      <c r="AB247" s="28">
        <f>ROUND(IF(AQ247="1",BH247,0),2)</f>
        <v>0</v>
      </c>
      <c r="AC247" s="28">
        <f>ROUND(IF(AQ247="1",BI247,0),2)</f>
        <v>0</v>
      </c>
      <c r="AD247" s="28">
        <f>ROUND(IF(AQ247="7",BH247,0),2)</f>
        <v>0</v>
      </c>
      <c r="AE247" s="28">
        <f>ROUND(IF(AQ247="7",BI247,0),2)</f>
        <v>0</v>
      </c>
      <c r="AF247" s="28">
        <f>ROUND(IF(AQ247="2",BH247,0),2)</f>
        <v>0</v>
      </c>
      <c r="AG247" s="28">
        <f>ROUND(IF(AQ247="2",BI247,0),2)</f>
        <v>0</v>
      </c>
      <c r="AH247" s="28">
        <f>ROUND(IF(AQ247="0",BJ247,0),2)</f>
        <v>0</v>
      </c>
      <c r="AI247" s="10" t="s">
        <v>55</v>
      </c>
      <c r="AJ247" s="28">
        <f>IF(AN247=0,J247,0)</f>
        <v>0</v>
      </c>
      <c r="AK247" s="28">
        <f>IF(AN247=12,J247,0)</f>
        <v>0</v>
      </c>
      <c r="AL247" s="28">
        <f>IF(AN247=21,J247,0)</f>
        <v>0</v>
      </c>
      <c r="AN247" s="28">
        <v>21</v>
      </c>
      <c r="AO247" s="28">
        <f>G247*1</f>
        <v>0</v>
      </c>
      <c r="AP247" s="28">
        <f>G247*(1-1)</f>
        <v>0</v>
      </c>
      <c r="AQ247" s="30" t="s">
        <v>56</v>
      </c>
      <c r="AV247" s="28">
        <f>ROUND(AW247+AX247,2)</f>
        <v>0</v>
      </c>
      <c r="AW247" s="28">
        <f>ROUND(F247*AO247,2)</f>
        <v>0</v>
      </c>
      <c r="AX247" s="28">
        <f>ROUND(F247*AP247,2)</f>
        <v>0</v>
      </c>
      <c r="AY247" s="30" t="s">
        <v>488</v>
      </c>
      <c r="AZ247" s="30" t="s">
        <v>459</v>
      </c>
      <c r="BA247" s="10" t="s">
        <v>63</v>
      </c>
      <c r="BC247" s="28">
        <f>AW247+AX247</f>
        <v>0</v>
      </c>
      <c r="BD247" s="28">
        <f>G247/(100-BE247)*100</f>
        <v>0</v>
      </c>
      <c r="BE247" s="28">
        <v>0</v>
      </c>
      <c r="BF247" s="28">
        <f>251</f>
        <v>251</v>
      </c>
      <c r="BH247" s="28">
        <f>F247*AO247</f>
        <v>0</v>
      </c>
      <c r="BI247" s="28">
        <f>F247*AP247</f>
        <v>0</v>
      </c>
      <c r="BJ247" s="28">
        <f>F247*G247</f>
        <v>0</v>
      </c>
      <c r="BK247" s="28"/>
      <c r="BL247" s="28">
        <v>87</v>
      </c>
      <c r="BW247" s="28">
        <v>21</v>
      </c>
      <c r="BX247" s="4" t="s">
        <v>514</v>
      </c>
    </row>
    <row r="248" spans="1:76" x14ac:dyDescent="0.25">
      <c r="A248" s="2" t="s">
        <v>515</v>
      </c>
      <c r="B248" s="3" t="s">
        <v>516</v>
      </c>
      <c r="C248" s="76" t="s">
        <v>517</v>
      </c>
      <c r="D248" s="71"/>
      <c r="E248" s="3" t="s">
        <v>293</v>
      </c>
      <c r="F248" s="28">
        <v>3</v>
      </c>
      <c r="G248" s="28">
        <v>0</v>
      </c>
      <c r="H248" s="28">
        <f>ROUND(F248*AO248,2)</f>
        <v>0</v>
      </c>
      <c r="I248" s="28">
        <f>ROUND(F248*AP248,2)</f>
        <v>0</v>
      </c>
      <c r="J248" s="28">
        <f>ROUND(F248*G248,2)</f>
        <v>0</v>
      </c>
      <c r="K248" s="29" t="s">
        <v>60</v>
      </c>
      <c r="Z248" s="28">
        <f>ROUND(IF(AQ248="5",BJ248,0),2)</f>
        <v>0</v>
      </c>
      <c r="AB248" s="28">
        <f>ROUND(IF(AQ248="1",BH248,0),2)</f>
        <v>0</v>
      </c>
      <c r="AC248" s="28">
        <f>ROUND(IF(AQ248="1",BI248,0),2)</f>
        <v>0</v>
      </c>
      <c r="AD248" s="28">
        <f>ROUND(IF(AQ248="7",BH248,0),2)</f>
        <v>0</v>
      </c>
      <c r="AE248" s="28">
        <f>ROUND(IF(AQ248="7",BI248,0),2)</f>
        <v>0</v>
      </c>
      <c r="AF248" s="28">
        <f>ROUND(IF(AQ248="2",BH248,0),2)</f>
        <v>0</v>
      </c>
      <c r="AG248" s="28">
        <f>ROUND(IF(AQ248="2",BI248,0),2)</f>
        <v>0</v>
      </c>
      <c r="AH248" s="28">
        <f>ROUND(IF(AQ248="0",BJ248,0),2)</f>
        <v>0</v>
      </c>
      <c r="AI248" s="10" t="s">
        <v>55</v>
      </c>
      <c r="AJ248" s="28">
        <f>IF(AN248=0,J248,0)</f>
        <v>0</v>
      </c>
      <c r="AK248" s="28">
        <f>IF(AN248=12,J248,0)</f>
        <v>0</v>
      </c>
      <c r="AL248" s="28">
        <f>IF(AN248=21,J248,0)</f>
        <v>0</v>
      </c>
      <c r="AN248" s="28">
        <v>21</v>
      </c>
      <c r="AO248" s="28">
        <f>G248*1</f>
        <v>0</v>
      </c>
      <c r="AP248" s="28">
        <f>G248*(1-1)</f>
        <v>0</v>
      </c>
      <c r="AQ248" s="30" t="s">
        <v>56</v>
      </c>
      <c r="AV248" s="28">
        <f>ROUND(AW248+AX248,2)</f>
        <v>0</v>
      </c>
      <c r="AW248" s="28">
        <f>ROUND(F248*AO248,2)</f>
        <v>0</v>
      </c>
      <c r="AX248" s="28">
        <f>ROUND(F248*AP248,2)</f>
        <v>0</v>
      </c>
      <c r="AY248" s="30" t="s">
        <v>488</v>
      </c>
      <c r="AZ248" s="30" t="s">
        <v>459</v>
      </c>
      <c r="BA248" s="10" t="s">
        <v>63</v>
      </c>
      <c r="BC248" s="28">
        <f>AW248+AX248</f>
        <v>0</v>
      </c>
      <c r="BD248" s="28">
        <f>G248/(100-BE248)*100</f>
        <v>0</v>
      </c>
      <c r="BE248" s="28">
        <v>0</v>
      </c>
      <c r="BF248" s="28">
        <f>252</f>
        <v>252</v>
      </c>
      <c r="BH248" s="28">
        <f>F248*AO248</f>
        <v>0</v>
      </c>
      <c r="BI248" s="28">
        <f>F248*AP248</f>
        <v>0</v>
      </c>
      <c r="BJ248" s="28">
        <f>F248*G248</f>
        <v>0</v>
      </c>
      <c r="BK248" s="28"/>
      <c r="BL248" s="28">
        <v>87</v>
      </c>
      <c r="BW248" s="28">
        <v>21</v>
      </c>
      <c r="BX248" s="4" t="s">
        <v>517</v>
      </c>
    </row>
    <row r="249" spans="1:76" x14ac:dyDescent="0.25">
      <c r="A249" s="2" t="s">
        <v>518</v>
      </c>
      <c r="B249" s="3" t="s">
        <v>519</v>
      </c>
      <c r="C249" s="76" t="s">
        <v>520</v>
      </c>
      <c r="D249" s="71"/>
      <c r="E249" s="3" t="s">
        <v>188</v>
      </c>
      <c r="F249" s="28">
        <v>13</v>
      </c>
      <c r="G249" s="28">
        <v>0</v>
      </c>
      <c r="H249" s="28">
        <f>ROUND(F249*AO249,2)</f>
        <v>0</v>
      </c>
      <c r="I249" s="28">
        <f>ROUND(F249*AP249,2)</f>
        <v>0</v>
      </c>
      <c r="J249" s="28">
        <f>ROUND(F249*G249,2)</f>
        <v>0</v>
      </c>
      <c r="K249" s="29" t="s">
        <v>60</v>
      </c>
      <c r="Z249" s="28">
        <f>ROUND(IF(AQ249="5",BJ249,0),2)</f>
        <v>0</v>
      </c>
      <c r="AB249" s="28">
        <f>ROUND(IF(AQ249="1",BH249,0),2)</f>
        <v>0</v>
      </c>
      <c r="AC249" s="28">
        <f>ROUND(IF(AQ249="1",BI249,0),2)</f>
        <v>0</v>
      </c>
      <c r="AD249" s="28">
        <f>ROUND(IF(AQ249="7",BH249,0),2)</f>
        <v>0</v>
      </c>
      <c r="AE249" s="28">
        <f>ROUND(IF(AQ249="7",BI249,0),2)</f>
        <v>0</v>
      </c>
      <c r="AF249" s="28">
        <f>ROUND(IF(AQ249="2",BH249,0),2)</f>
        <v>0</v>
      </c>
      <c r="AG249" s="28">
        <f>ROUND(IF(AQ249="2",BI249,0),2)</f>
        <v>0</v>
      </c>
      <c r="AH249" s="28">
        <f>ROUND(IF(AQ249="0",BJ249,0),2)</f>
        <v>0</v>
      </c>
      <c r="AI249" s="10" t="s">
        <v>55</v>
      </c>
      <c r="AJ249" s="28">
        <f>IF(AN249=0,J249,0)</f>
        <v>0</v>
      </c>
      <c r="AK249" s="28">
        <f>IF(AN249=12,J249,0)</f>
        <v>0</v>
      </c>
      <c r="AL249" s="28">
        <f>IF(AN249=21,J249,0)</f>
        <v>0</v>
      </c>
      <c r="AN249" s="28">
        <v>21</v>
      </c>
      <c r="AO249" s="28">
        <f>G249*0</f>
        <v>0</v>
      </c>
      <c r="AP249" s="28">
        <f>G249*(1-0)</f>
        <v>0</v>
      </c>
      <c r="AQ249" s="30" t="s">
        <v>56</v>
      </c>
      <c r="AV249" s="28">
        <f>ROUND(AW249+AX249,2)</f>
        <v>0</v>
      </c>
      <c r="AW249" s="28">
        <f>ROUND(F249*AO249,2)</f>
        <v>0</v>
      </c>
      <c r="AX249" s="28">
        <f>ROUND(F249*AP249,2)</f>
        <v>0</v>
      </c>
      <c r="AY249" s="30" t="s">
        <v>488</v>
      </c>
      <c r="AZ249" s="30" t="s">
        <v>459</v>
      </c>
      <c r="BA249" s="10" t="s">
        <v>63</v>
      </c>
      <c r="BC249" s="28">
        <f>AW249+AX249</f>
        <v>0</v>
      </c>
      <c r="BD249" s="28">
        <f>G249/(100-BE249)*100</f>
        <v>0</v>
      </c>
      <c r="BE249" s="28">
        <v>0</v>
      </c>
      <c r="BF249" s="28">
        <f>253</f>
        <v>253</v>
      </c>
      <c r="BH249" s="28">
        <f>F249*AO249</f>
        <v>0</v>
      </c>
      <c r="BI249" s="28">
        <f>F249*AP249</f>
        <v>0</v>
      </c>
      <c r="BJ249" s="28">
        <f>F249*G249</f>
        <v>0</v>
      </c>
      <c r="BK249" s="28"/>
      <c r="BL249" s="28">
        <v>87</v>
      </c>
      <c r="BW249" s="28">
        <v>21</v>
      </c>
      <c r="BX249" s="4" t="s">
        <v>520</v>
      </c>
    </row>
    <row r="250" spans="1:76" x14ac:dyDescent="0.25">
      <c r="A250" s="31"/>
      <c r="C250" s="32" t="s">
        <v>53</v>
      </c>
      <c r="D250" s="32" t="s">
        <v>521</v>
      </c>
      <c r="F250" s="33">
        <v>13</v>
      </c>
      <c r="K250" s="34"/>
    </row>
    <row r="251" spans="1:76" ht="63.75" x14ac:dyDescent="0.25">
      <c r="A251" s="31"/>
      <c r="B251" s="35" t="s">
        <v>68</v>
      </c>
      <c r="C251" s="94" t="s">
        <v>492</v>
      </c>
      <c r="D251" s="95"/>
      <c r="E251" s="95"/>
      <c r="F251" s="95"/>
      <c r="G251" s="95"/>
      <c r="H251" s="95"/>
      <c r="I251" s="95"/>
      <c r="J251" s="95"/>
      <c r="K251" s="96"/>
      <c r="BX251" s="36" t="s">
        <v>492</v>
      </c>
    </row>
    <row r="252" spans="1:76" x14ac:dyDescent="0.25">
      <c r="A252" s="2" t="s">
        <v>522</v>
      </c>
      <c r="B252" s="3" t="s">
        <v>523</v>
      </c>
      <c r="C252" s="76" t="s">
        <v>2459</v>
      </c>
      <c r="D252" s="71"/>
      <c r="E252" s="3" t="s">
        <v>293</v>
      </c>
      <c r="F252" s="28">
        <v>1</v>
      </c>
      <c r="G252" s="28">
        <v>0</v>
      </c>
      <c r="H252" s="28">
        <f>ROUND(F252*AO252,2)</f>
        <v>0</v>
      </c>
      <c r="I252" s="28">
        <f>ROUND(F252*AP252,2)</f>
        <v>0</v>
      </c>
      <c r="J252" s="28">
        <f>ROUND(F252*G252,2)</f>
        <v>0</v>
      </c>
      <c r="K252" s="29" t="s">
        <v>60</v>
      </c>
      <c r="Z252" s="28">
        <f>ROUND(IF(AQ252="5",BJ252,0),2)</f>
        <v>0</v>
      </c>
      <c r="AB252" s="28">
        <f>ROUND(IF(AQ252="1",BH252,0),2)</f>
        <v>0</v>
      </c>
      <c r="AC252" s="28">
        <f>ROUND(IF(AQ252="1",BI252,0),2)</f>
        <v>0</v>
      </c>
      <c r="AD252" s="28">
        <f>ROUND(IF(AQ252="7",BH252,0),2)</f>
        <v>0</v>
      </c>
      <c r="AE252" s="28">
        <f>ROUND(IF(AQ252="7",BI252,0),2)</f>
        <v>0</v>
      </c>
      <c r="AF252" s="28">
        <f>ROUND(IF(AQ252="2",BH252,0),2)</f>
        <v>0</v>
      </c>
      <c r="AG252" s="28">
        <f>ROUND(IF(AQ252="2",BI252,0),2)</f>
        <v>0</v>
      </c>
      <c r="AH252" s="28">
        <f>ROUND(IF(AQ252="0",BJ252,0),2)</f>
        <v>0</v>
      </c>
      <c r="AI252" s="10" t="s">
        <v>55</v>
      </c>
      <c r="AJ252" s="28">
        <f>IF(AN252=0,J252,0)</f>
        <v>0</v>
      </c>
      <c r="AK252" s="28">
        <f>IF(AN252=12,J252,0)</f>
        <v>0</v>
      </c>
      <c r="AL252" s="28">
        <f>IF(AN252=21,J252,0)</f>
        <v>0</v>
      </c>
      <c r="AN252" s="28">
        <v>21</v>
      </c>
      <c r="AO252" s="28">
        <f>G252*1</f>
        <v>0</v>
      </c>
      <c r="AP252" s="28">
        <f>G252*(1-1)</f>
        <v>0</v>
      </c>
      <c r="AQ252" s="30" t="s">
        <v>56</v>
      </c>
      <c r="AV252" s="28">
        <f>ROUND(AW252+AX252,2)</f>
        <v>0</v>
      </c>
      <c r="AW252" s="28">
        <f>ROUND(F252*AO252,2)</f>
        <v>0</v>
      </c>
      <c r="AX252" s="28">
        <f>ROUND(F252*AP252,2)</f>
        <v>0</v>
      </c>
      <c r="AY252" s="30" t="s">
        <v>488</v>
      </c>
      <c r="AZ252" s="30" t="s">
        <v>459</v>
      </c>
      <c r="BA252" s="10" t="s">
        <v>63</v>
      </c>
      <c r="BC252" s="28">
        <f>AW252+AX252</f>
        <v>0</v>
      </c>
      <c r="BD252" s="28">
        <f>G252/(100-BE252)*100</f>
        <v>0</v>
      </c>
      <c r="BE252" s="28">
        <v>0</v>
      </c>
      <c r="BF252" s="28">
        <f>256</f>
        <v>256</v>
      </c>
      <c r="BH252" s="28">
        <f>F252*AO252</f>
        <v>0</v>
      </c>
      <c r="BI252" s="28">
        <f>F252*AP252</f>
        <v>0</v>
      </c>
      <c r="BJ252" s="28">
        <f>F252*G252</f>
        <v>0</v>
      </c>
      <c r="BK252" s="28"/>
      <c r="BL252" s="28">
        <v>87</v>
      </c>
      <c r="BW252" s="28">
        <v>21</v>
      </c>
      <c r="BX252" s="4" t="s">
        <v>524</v>
      </c>
    </row>
    <row r="253" spans="1:76" ht="114.75" x14ac:dyDescent="0.25">
      <c r="A253" s="31"/>
      <c r="B253" s="35" t="s">
        <v>68</v>
      </c>
      <c r="C253" s="94" t="s">
        <v>525</v>
      </c>
      <c r="D253" s="95"/>
      <c r="E253" s="95"/>
      <c r="F253" s="95"/>
      <c r="G253" s="95"/>
      <c r="H253" s="95"/>
      <c r="I253" s="95"/>
      <c r="J253" s="95"/>
      <c r="K253" s="96"/>
      <c r="BX253" s="36" t="s">
        <v>525</v>
      </c>
    </row>
    <row r="254" spans="1:76" x14ac:dyDescent="0.25">
      <c r="A254" s="2" t="s">
        <v>526</v>
      </c>
      <c r="B254" s="3" t="s">
        <v>527</v>
      </c>
      <c r="C254" s="76" t="s">
        <v>2460</v>
      </c>
      <c r="D254" s="71"/>
      <c r="E254" s="3" t="s">
        <v>293</v>
      </c>
      <c r="F254" s="28">
        <v>2</v>
      </c>
      <c r="G254" s="28">
        <v>0</v>
      </c>
      <c r="H254" s="28">
        <f>ROUND(F254*AO254,2)</f>
        <v>0</v>
      </c>
      <c r="I254" s="28">
        <f>ROUND(F254*AP254,2)</f>
        <v>0</v>
      </c>
      <c r="J254" s="28">
        <f>ROUND(F254*G254,2)</f>
        <v>0</v>
      </c>
      <c r="K254" s="29" t="s">
        <v>60</v>
      </c>
      <c r="Z254" s="28">
        <f>ROUND(IF(AQ254="5",BJ254,0),2)</f>
        <v>0</v>
      </c>
      <c r="AB254" s="28">
        <f>ROUND(IF(AQ254="1",BH254,0),2)</f>
        <v>0</v>
      </c>
      <c r="AC254" s="28">
        <f>ROUND(IF(AQ254="1",BI254,0),2)</f>
        <v>0</v>
      </c>
      <c r="AD254" s="28">
        <f>ROUND(IF(AQ254="7",BH254,0),2)</f>
        <v>0</v>
      </c>
      <c r="AE254" s="28">
        <f>ROUND(IF(AQ254="7",BI254,0),2)</f>
        <v>0</v>
      </c>
      <c r="AF254" s="28">
        <f>ROUND(IF(AQ254="2",BH254,0),2)</f>
        <v>0</v>
      </c>
      <c r="AG254" s="28">
        <f>ROUND(IF(AQ254="2",BI254,0),2)</f>
        <v>0</v>
      </c>
      <c r="AH254" s="28">
        <f>ROUND(IF(AQ254="0",BJ254,0),2)</f>
        <v>0</v>
      </c>
      <c r="AI254" s="10" t="s">
        <v>55</v>
      </c>
      <c r="AJ254" s="28">
        <f>IF(AN254=0,J254,0)</f>
        <v>0</v>
      </c>
      <c r="AK254" s="28">
        <f>IF(AN254=12,J254,0)</f>
        <v>0</v>
      </c>
      <c r="AL254" s="28">
        <f>IF(AN254=21,J254,0)</f>
        <v>0</v>
      </c>
      <c r="AN254" s="28">
        <v>21</v>
      </c>
      <c r="AO254" s="28">
        <f>G254*1</f>
        <v>0</v>
      </c>
      <c r="AP254" s="28">
        <f>G254*(1-1)</f>
        <v>0</v>
      </c>
      <c r="AQ254" s="30" t="s">
        <v>56</v>
      </c>
      <c r="AV254" s="28">
        <f>ROUND(AW254+AX254,2)</f>
        <v>0</v>
      </c>
      <c r="AW254" s="28">
        <f>ROUND(F254*AO254,2)</f>
        <v>0</v>
      </c>
      <c r="AX254" s="28">
        <f>ROUND(F254*AP254,2)</f>
        <v>0</v>
      </c>
      <c r="AY254" s="30" t="s">
        <v>488</v>
      </c>
      <c r="AZ254" s="30" t="s">
        <v>459</v>
      </c>
      <c r="BA254" s="10" t="s">
        <v>63</v>
      </c>
      <c r="BC254" s="28">
        <f>AW254+AX254</f>
        <v>0</v>
      </c>
      <c r="BD254" s="28">
        <f>G254/(100-BE254)*100</f>
        <v>0</v>
      </c>
      <c r="BE254" s="28">
        <v>0</v>
      </c>
      <c r="BF254" s="28">
        <f>258</f>
        <v>258</v>
      </c>
      <c r="BH254" s="28">
        <f>F254*AO254</f>
        <v>0</v>
      </c>
      <c r="BI254" s="28">
        <f>F254*AP254</f>
        <v>0</v>
      </c>
      <c r="BJ254" s="28">
        <f>F254*G254</f>
        <v>0</v>
      </c>
      <c r="BK254" s="28"/>
      <c r="BL254" s="28">
        <v>87</v>
      </c>
      <c r="BW254" s="28">
        <v>21</v>
      </c>
      <c r="BX254" s="4" t="s">
        <v>528</v>
      </c>
    </row>
    <row r="255" spans="1:76" ht="114.75" x14ac:dyDescent="0.25">
      <c r="A255" s="31"/>
      <c r="B255" s="35" t="s">
        <v>68</v>
      </c>
      <c r="C255" s="94" t="s">
        <v>529</v>
      </c>
      <c r="D255" s="95"/>
      <c r="E255" s="95"/>
      <c r="F255" s="95"/>
      <c r="G255" s="95"/>
      <c r="H255" s="95"/>
      <c r="I255" s="95"/>
      <c r="J255" s="95"/>
      <c r="K255" s="96"/>
      <c r="BX255" s="36" t="s">
        <v>529</v>
      </c>
    </row>
    <row r="256" spans="1:76" x14ac:dyDescent="0.25">
      <c r="A256" s="24" t="s">
        <v>51</v>
      </c>
      <c r="B256" s="25" t="s">
        <v>530</v>
      </c>
      <c r="C256" s="87" t="s">
        <v>531</v>
      </c>
      <c r="D256" s="88"/>
      <c r="E256" s="26" t="s">
        <v>4</v>
      </c>
      <c r="F256" s="26" t="s">
        <v>4</v>
      </c>
      <c r="G256" s="26" t="s">
        <v>4</v>
      </c>
      <c r="H256" s="1">
        <f>SUM(H257:H292)</f>
        <v>0</v>
      </c>
      <c r="I256" s="1">
        <f>SUM(I257:I292)</f>
        <v>0</v>
      </c>
      <c r="J256" s="1">
        <f>SUM(J257:J292)</f>
        <v>0</v>
      </c>
      <c r="K256" s="27" t="s">
        <v>51</v>
      </c>
      <c r="AI256" s="10" t="s">
        <v>55</v>
      </c>
      <c r="AS256" s="1">
        <f>SUM(AJ257:AJ292)</f>
        <v>0</v>
      </c>
      <c r="AT256" s="1">
        <f>SUM(AK257:AK292)</f>
        <v>0</v>
      </c>
      <c r="AU256" s="1">
        <f>SUM(AL257:AL292)</f>
        <v>0</v>
      </c>
    </row>
    <row r="257" spans="1:76" x14ac:dyDescent="0.25">
      <c r="A257" s="2" t="s">
        <v>532</v>
      </c>
      <c r="B257" s="3" t="s">
        <v>533</v>
      </c>
      <c r="C257" s="76" t="s">
        <v>534</v>
      </c>
      <c r="D257" s="71"/>
      <c r="E257" s="3" t="s">
        <v>293</v>
      </c>
      <c r="F257" s="28">
        <v>2</v>
      </c>
      <c r="G257" s="28">
        <v>0</v>
      </c>
      <c r="H257" s="28">
        <f>ROUND(F257*AO257,2)</f>
        <v>0</v>
      </c>
      <c r="I257" s="28">
        <f>ROUND(F257*AP257,2)</f>
        <v>0</v>
      </c>
      <c r="J257" s="28">
        <f>ROUND(F257*G257,2)</f>
        <v>0</v>
      </c>
      <c r="K257" s="29" t="s">
        <v>60</v>
      </c>
      <c r="Z257" s="28">
        <f>ROUND(IF(AQ257="5",BJ257,0),2)</f>
        <v>0</v>
      </c>
      <c r="AB257" s="28">
        <f>ROUND(IF(AQ257="1",BH257,0),2)</f>
        <v>0</v>
      </c>
      <c r="AC257" s="28">
        <f>ROUND(IF(AQ257="1",BI257,0),2)</f>
        <v>0</v>
      </c>
      <c r="AD257" s="28">
        <f>ROUND(IF(AQ257="7",BH257,0),2)</f>
        <v>0</v>
      </c>
      <c r="AE257" s="28">
        <f>ROUND(IF(AQ257="7",BI257,0),2)</f>
        <v>0</v>
      </c>
      <c r="AF257" s="28">
        <f>ROUND(IF(AQ257="2",BH257,0),2)</f>
        <v>0</v>
      </c>
      <c r="AG257" s="28">
        <f>ROUND(IF(AQ257="2",BI257,0),2)</f>
        <v>0</v>
      </c>
      <c r="AH257" s="28">
        <f>ROUND(IF(AQ257="0",BJ257,0),2)</f>
        <v>0</v>
      </c>
      <c r="AI257" s="10" t="s">
        <v>55</v>
      </c>
      <c r="AJ257" s="28">
        <f>IF(AN257=0,J257,0)</f>
        <v>0</v>
      </c>
      <c r="AK257" s="28">
        <f>IF(AN257=12,J257,0)</f>
        <v>0</v>
      </c>
      <c r="AL257" s="28">
        <f>IF(AN257=21,J257,0)</f>
        <v>0</v>
      </c>
      <c r="AN257" s="28">
        <v>21</v>
      </c>
      <c r="AO257" s="28">
        <f>G257*0.252352332</f>
        <v>0</v>
      </c>
      <c r="AP257" s="28">
        <f>G257*(1-0.252352332)</f>
        <v>0</v>
      </c>
      <c r="AQ257" s="30" t="s">
        <v>56</v>
      </c>
      <c r="AV257" s="28">
        <f>ROUND(AW257+AX257,2)</f>
        <v>0</v>
      </c>
      <c r="AW257" s="28">
        <f>ROUND(F257*AO257,2)</f>
        <v>0</v>
      </c>
      <c r="AX257" s="28">
        <f>ROUND(F257*AP257,2)</f>
        <v>0</v>
      </c>
      <c r="AY257" s="30" t="s">
        <v>535</v>
      </c>
      <c r="AZ257" s="30" t="s">
        <v>459</v>
      </c>
      <c r="BA257" s="10" t="s">
        <v>63</v>
      </c>
      <c r="BC257" s="28">
        <f>AW257+AX257</f>
        <v>0</v>
      </c>
      <c r="BD257" s="28">
        <f>G257/(100-BE257)*100</f>
        <v>0</v>
      </c>
      <c r="BE257" s="28">
        <v>0</v>
      </c>
      <c r="BF257" s="28">
        <f>261</f>
        <v>261</v>
      </c>
      <c r="BH257" s="28">
        <f>F257*AO257</f>
        <v>0</v>
      </c>
      <c r="BI257" s="28">
        <f>F257*AP257</f>
        <v>0</v>
      </c>
      <c r="BJ257" s="28">
        <f>F257*G257</f>
        <v>0</v>
      </c>
      <c r="BK257" s="28"/>
      <c r="BL257" s="28">
        <v>89</v>
      </c>
      <c r="BW257" s="28">
        <v>21</v>
      </c>
      <c r="BX257" s="4" t="s">
        <v>534</v>
      </c>
    </row>
    <row r="258" spans="1:76" ht="153" x14ac:dyDescent="0.25">
      <c r="A258" s="31"/>
      <c r="B258" s="35" t="s">
        <v>68</v>
      </c>
      <c r="C258" s="94" t="s">
        <v>536</v>
      </c>
      <c r="D258" s="95"/>
      <c r="E258" s="95"/>
      <c r="F258" s="95"/>
      <c r="G258" s="95"/>
      <c r="H258" s="95"/>
      <c r="I258" s="95"/>
      <c r="J258" s="95"/>
      <c r="K258" s="96"/>
      <c r="BX258" s="36" t="s">
        <v>536</v>
      </c>
    </row>
    <row r="259" spans="1:76" x14ac:dyDescent="0.25">
      <c r="A259" s="2" t="s">
        <v>537</v>
      </c>
      <c r="B259" s="3" t="s">
        <v>538</v>
      </c>
      <c r="C259" s="76" t="s">
        <v>539</v>
      </c>
      <c r="D259" s="71"/>
      <c r="E259" s="3" t="s">
        <v>293</v>
      </c>
      <c r="F259" s="28">
        <v>2</v>
      </c>
      <c r="G259" s="28">
        <v>0</v>
      </c>
      <c r="H259" s="28">
        <f>ROUND(F259*AO259,2)</f>
        <v>0</v>
      </c>
      <c r="I259" s="28">
        <f>ROUND(F259*AP259,2)</f>
        <v>0</v>
      </c>
      <c r="J259" s="28">
        <f>ROUND(F259*G259,2)</f>
        <v>0</v>
      </c>
      <c r="K259" s="29" t="s">
        <v>60</v>
      </c>
      <c r="Z259" s="28">
        <f>ROUND(IF(AQ259="5",BJ259,0),2)</f>
        <v>0</v>
      </c>
      <c r="AB259" s="28">
        <f>ROUND(IF(AQ259="1",BH259,0),2)</f>
        <v>0</v>
      </c>
      <c r="AC259" s="28">
        <f>ROUND(IF(AQ259="1",BI259,0),2)</f>
        <v>0</v>
      </c>
      <c r="AD259" s="28">
        <f>ROUND(IF(AQ259="7",BH259,0),2)</f>
        <v>0</v>
      </c>
      <c r="AE259" s="28">
        <f>ROUND(IF(AQ259="7",BI259,0),2)</f>
        <v>0</v>
      </c>
      <c r="AF259" s="28">
        <f>ROUND(IF(AQ259="2",BH259,0),2)</f>
        <v>0</v>
      </c>
      <c r="AG259" s="28">
        <f>ROUND(IF(AQ259="2",BI259,0),2)</f>
        <v>0</v>
      </c>
      <c r="AH259" s="28">
        <f>ROUND(IF(AQ259="0",BJ259,0),2)</f>
        <v>0</v>
      </c>
      <c r="AI259" s="10" t="s">
        <v>55</v>
      </c>
      <c r="AJ259" s="28">
        <f>IF(AN259=0,J259,0)</f>
        <v>0</v>
      </c>
      <c r="AK259" s="28">
        <f>IF(AN259=12,J259,0)</f>
        <v>0</v>
      </c>
      <c r="AL259" s="28">
        <f>IF(AN259=21,J259,0)</f>
        <v>0</v>
      </c>
      <c r="AN259" s="28">
        <v>21</v>
      </c>
      <c r="AO259" s="28">
        <f>G259*1</f>
        <v>0</v>
      </c>
      <c r="AP259" s="28">
        <f>G259*(1-1)</f>
        <v>0</v>
      </c>
      <c r="AQ259" s="30" t="s">
        <v>56</v>
      </c>
      <c r="AV259" s="28">
        <f>ROUND(AW259+AX259,2)</f>
        <v>0</v>
      </c>
      <c r="AW259" s="28">
        <f>ROUND(F259*AO259,2)</f>
        <v>0</v>
      </c>
      <c r="AX259" s="28">
        <f>ROUND(F259*AP259,2)</f>
        <v>0</v>
      </c>
      <c r="AY259" s="30" t="s">
        <v>535</v>
      </c>
      <c r="AZ259" s="30" t="s">
        <v>459</v>
      </c>
      <c r="BA259" s="10" t="s">
        <v>63</v>
      </c>
      <c r="BC259" s="28">
        <f>AW259+AX259</f>
        <v>0</v>
      </c>
      <c r="BD259" s="28">
        <f>G259/(100-BE259)*100</f>
        <v>0</v>
      </c>
      <c r="BE259" s="28">
        <v>0</v>
      </c>
      <c r="BF259" s="28">
        <f>263</f>
        <v>263</v>
      </c>
      <c r="BH259" s="28">
        <f>F259*AO259</f>
        <v>0</v>
      </c>
      <c r="BI259" s="28">
        <f>F259*AP259</f>
        <v>0</v>
      </c>
      <c r="BJ259" s="28">
        <f>F259*G259</f>
        <v>0</v>
      </c>
      <c r="BK259" s="28"/>
      <c r="BL259" s="28">
        <v>89</v>
      </c>
      <c r="BW259" s="28">
        <v>21</v>
      </c>
      <c r="BX259" s="4" t="s">
        <v>539</v>
      </c>
    </row>
    <row r="260" spans="1:76" x14ac:dyDescent="0.25">
      <c r="A260" s="2" t="s">
        <v>540</v>
      </c>
      <c r="B260" s="3" t="s">
        <v>541</v>
      </c>
      <c r="C260" s="76" t="s">
        <v>542</v>
      </c>
      <c r="D260" s="71"/>
      <c r="E260" s="3" t="s">
        <v>293</v>
      </c>
      <c r="F260" s="28">
        <v>2</v>
      </c>
      <c r="G260" s="28">
        <v>0</v>
      </c>
      <c r="H260" s="28">
        <f>ROUND(F260*AO260,2)</f>
        <v>0</v>
      </c>
      <c r="I260" s="28">
        <f>ROUND(F260*AP260,2)</f>
        <v>0</v>
      </c>
      <c r="J260" s="28">
        <f>ROUND(F260*G260,2)</f>
        <v>0</v>
      </c>
      <c r="K260" s="29" t="s">
        <v>60</v>
      </c>
      <c r="Z260" s="28">
        <f>ROUND(IF(AQ260="5",BJ260,0),2)</f>
        <v>0</v>
      </c>
      <c r="AB260" s="28">
        <f>ROUND(IF(AQ260="1",BH260,0),2)</f>
        <v>0</v>
      </c>
      <c r="AC260" s="28">
        <f>ROUND(IF(AQ260="1",BI260,0),2)</f>
        <v>0</v>
      </c>
      <c r="AD260" s="28">
        <f>ROUND(IF(AQ260="7",BH260,0),2)</f>
        <v>0</v>
      </c>
      <c r="AE260" s="28">
        <f>ROUND(IF(AQ260="7",BI260,0),2)</f>
        <v>0</v>
      </c>
      <c r="AF260" s="28">
        <f>ROUND(IF(AQ260="2",BH260,0),2)</f>
        <v>0</v>
      </c>
      <c r="AG260" s="28">
        <f>ROUND(IF(AQ260="2",BI260,0),2)</f>
        <v>0</v>
      </c>
      <c r="AH260" s="28">
        <f>ROUND(IF(AQ260="0",BJ260,0),2)</f>
        <v>0</v>
      </c>
      <c r="AI260" s="10" t="s">
        <v>55</v>
      </c>
      <c r="AJ260" s="28">
        <f>IF(AN260=0,J260,0)</f>
        <v>0</v>
      </c>
      <c r="AK260" s="28">
        <f>IF(AN260=12,J260,0)</f>
        <v>0</v>
      </c>
      <c r="AL260" s="28">
        <f>IF(AN260=21,J260,0)</f>
        <v>0</v>
      </c>
      <c r="AN260" s="28">
        <v>21</v>
      </c>
      <c r="AO260" s="28">
        <f>G260*1</f>
        <v>0</v>
      </c>
      <c r="AP260" s="28">
        <f>G260*(1-1)</f>
        <v>0</v>
      </c>
      <c r="AQ260" s="30" t="s">
        <v>56</v>
      </c>
      <c r="AV260" s="28">
        <f>ROUND(AW260+AX260,2)</f>
        <v>0</v>
      </c>
      <c r="AW260" s="28">
        <f>ROUND(F260*AO260,2)</f>
        <v>0</v>
      </c>
      <c r="AX260" s="28">
        <f>ROUND(F260*AP260,2)</f>
        <v>0</v>
      </c>
      <c r="AY260" s="30" t="s">
        <v>535</v>
      </c>
      <c r="AZ260" s="30" t="s">
        <v>459</v>
      </c>
      <c r="BA260" s="10" t="s">
        <v>63</v>
      </c>
      <c r="BC260" s="28">
        <f>AW260+AX260</f>
        <v>0</v>
      </c>
      <c r="BD260" s="28">
        <f>G260/(100-BE260)*100</f>
        <v>0</v>
      </c>
      <c r="BE260" s="28">
        <v>0</v>
      </c>
      <c r="BF260" s="28">
        <f>265</f>
        <v>265</v>
      </c>
      <c r="BH260" s="28">
        <f>F260*AO260</f>
        <v>0</v>
      </c>
      <c r="BI260" s="28">
        <f>F260*AP260</f>
        <v>0</v>
      </c>
      <c r="BJ260" s="28">
        <f>F260*G260</f>
        <v>0</v>
      </c>
      <c r="BK260" s="28"/>
      <c r="BL260" s="28">
        <v>89</v>
      </c>
      <c r="BW260" s="28">
        <v>21</v>
      </c>
      <c r="BX260" s="4" t="s">
        <v>542</v>
      </c>
    </row>
    <row r="261" spans="1:76" x14ac:dyDescent="0.25">
      <c r="A261" s="2" t="s">
        <v>543</v>
      </c>
      <c r="B261" s="3" t="s">
        <v>544</v>
      </c>
      <c r="C261" s="76" t="s">
        <v>545</v>
      </c>
      <c r="D261" s="71"/>
      <c r="E261" s="3" t="s">
        <v>293</v>
      </c>
      <c r="F261" s="28">
        <v>1</v>
      </c>
      <c r="G261" s="28">
        <v>0</v>
      </c>
      <c r="H261" s="28">
        <f>ROUND(F261*AO261,2)</f>
        <v>0</v>
      </c>
      <c r="I261" s="28">
        <f>ROUND(F261*AP261,2)</f>
        <v>0</v>
      </c>
      <c r="J261" s="28">
        <f>ROUND(F261*G261,2)</f>
        <v>0</v>
      </c>
      <c r="K261" s="29" t="s">
        <v>60</v>
      </c>
      <c r="Z261" s="28">
        <f>ROUND(IF(AQ261="5",BJ261,0),2)</f>
        <v>0</v>
      </c>
      <c r="AB261" s="28">
        <f>ROUND(IF(AQ261="1",BH261,0),2)</f>
        <v>0</v>
      </c>
      <c r="AC261" s="28">
        <f>ROUND(IF(AQ261="1",BI261,0),2)</f>
        <v>0</v>
      </c>
      <c r="AD261" s="28">
        <f>ROUND(IF(AQ261="7",BH261,0),2)</f>
        <v>0</v>
      </c>
      <c r="AE261" s="28">
        <f>ROUND(IF(AQ261="7",BI261,0),2)</f>
        <v>0</v>
      </c>
      <c r="AF261" s="28">
        <f>ROUND(IF(AQ261="2",BH261,0),2)</f>
        <v>0</v>
      </c>
      <c r="AG261" s="28">
        <f>ROUND(IF(AQ261="2",BI261,0),2)</f>
        <v>0</v>
      </c>
      <c r="AH261" s="28">
        <f>ROUND(IF(AQ261="0",BJ261,0),2)</f>
        <v>0</v>
      </c>
      <c r="AI261" s="10" t="s">
        <v>55</v>
      </c>
      <c r="AJ261" s="28">
        <f>IF(AN261=0,J261,0)</f>
        <v>0</v>
      </c>
      <c r="AK261" s="28">
        <f>IF(AN261=12,J261,0)</f>
        <v>0</v>
      </c>
      <c r="AL261" s="28">
        <f>IF(AN261=21,J261,0)</f>
        <v>0</v>
      </c>
      <c r="AN261" s="28">
        <v>21</v>
      </c>
      <c r="AO261" s="28">
        <f>G261*1</f>
        <v>0</v>
      </c>
      <c r="AP261" s="28">
        <f>G261*(1-1)</f>
        <v>0</v>
      </c>
      <c r="AQ261" s="30" t="s">
        <v>56</v>
      </c>
      <c r="AV261" s="28">
        <f>ROUND(AW261+AX261,2)</f>
        <v>0</v>
      </c>
      <c r="AW261" s="28">
        <f>ROUND(F261*AO261,2)</f>
        <v>0</v>
      </c>
      <c r="AX261" s="28">
        <f>ROUND(F261*AP261,2)</f>
        <v>0</v>
      </c>
      <c r="AY261" s="30" t="s">
        <v>535</v>
      </c>
      <c r="AZ261" s="30" t="s">
        <v>459</v>
      </c>
      <c r="BA261" s="10" t="s">
        <v>63</v>
      </c>
      <c r="BC261" s="28">
        <f>AW261+AX261</f>
        <v>0</v>
      </c>
      <c r="BD261" s="28">
        <f>G261/(100-BE261)*100</f>
        <v>0</v>
      </c>
      <c r="BE261" s="28">
        <v>0</v>
      </c>
      <c r="BF261" s="28">
        <f>267</f>
        <v>267</v>
      </c>
      <c r="BH261" s="28">
        <f>F261*AO261</f>
        <v>0</v>
      </c>
      <c r="BI261" s="28">
        <f>F261*AP261</f>
        <v>0</v>
      </c>
      <c r="BJ261" s="28">
        <f>F261*G261</f>
        <v>0</v>
      </c>
      <c r="BK261" s="28"/>
      <c r="BL261" s="28">
        <v>89</v>
      </c>
      <c r="BW261" s="28">
        <v>21</v>
      </c>
      <c r="BX261" s="4" t="s">
        <v>545</v>
      </c>
    </row>
    <row r="262" spans="1:76" x14ac:dyDescent="0.25">
      <c r="A262" s="2" t="s">
        <v>475</v>
      </c>
      <c r="B262" s="3" t="s">
        <v>546</v>
      </c>
      <c r="C262" s="76" t="s">
        <v>547</v>
      </c>
      <c r="D262" s="71"/>
      <c r="E262" s="3" t="s">
        <v>188</v>
      </c>
      <c r="F262" s="28">
        <v>64</v>
      </c>
      <c r="G262" s="28">
        <v>0</v>
      </c>
      <c r="H262" s="28">
        <f>ROUND(F262*AO262,2)</f>
        <v>0</v>
      </c>
      <c r="I262" s="28">
        <f>ROUND(F262*AP262,2)</f>
        <v>0</v>
      </c>
      <c r="J262" s="28">
        <f>ROUND(F262*G262,2)</f>
        <v>0</v>
      </c>
      <c r="K262" s="29" t="s">
        <v>60</v>
      </c>
      <c r="Z262" s="28">
        <f>ROUND(IF(AQ262="5",BJ262,0),2)</f>
        <v>0</v>
      </c>
      <c r="AB262" s="28">
        <f>ROUND(IF(AQ262="1",BH262,0),2)</f>
        <v>0</v>
      </c>
      <c r="AC262" s="28">
        <f>ROUND(IF(AQ262="1",BI262,0),2)</f>
        <v>0</v>
      </c>
      <c r="AD262" s="28">
        <f>ROUND(IF(AQ262="7",BH262,0),2)</f>
        <v>0</v>
      </c>
      <c r="AE262" s="28">
        <f>ROUND(IF(AQ262="7",BI262,0),2)</f>
        <v>0</v>
      </c>
      <c r="AF262" s="28">
        <f>ROUND(IF(AQ262="2",BH262,0),2)</f>
        <v>0</v>
      </c>
      <c r="AG262" s="28">
        <f>ROUND(IF(AQ262="2",BI262,0),2)</f>
        <v>0</v>
      </c>
      <c r="AH262" s="28">
        <f>ROUND(IF(AQ262="0",BJ262,0),2)</f>
        <v>0</v>
      </c>
      <c r="AI262" s="10" t="s">
        <v>55</v>
      </c>
      <c r="AJ262" s="28">
        <f>IF(AN262=0,J262,0)</f>
        <v>0</v>
      </c>
      <c r="AK262" s="28">
        <f>IF(AN262=12,J262,0)</f>
        <v>0</v>
      </c>
      <c r="AL262" s="28">
        <f>IF(AN262=21,J262,0)</f>
        <v>0</v>
      </c>
      <c r="AN262" s="28">
        <v>21</v>
      </c>
      <c r="AO262" s="28">
        <f>G262*0.090781563</f>
        <v>0</v>
      </c>
      <c r="AP262" s="28">
        <f>G262*(1-0.090781563)</f>
        <v>0</v>
      </c>
      <c r="AQ262" s="30" t="s">
        <v>56</v>
      </c>
      <c r="AV262" s="28">
        <f>ROUND(AW262+AX262,2)</f>
        <v>0</v>
      </c>
      <c r="AW262" s="28">
        <f>ROUND(F262*AO262,2)</f>
        <v>0</v>
      </c>
      <c r="AX262" s="28">
        <f>ROUND(F262*AP262,2)</f>
        <v>0</v>
      </c>
      <c r="AY262" s="30" t="s">
        <v>535</v>
      </c>
      <c r="AZ262" s="30" t="s">
        <v>459</v>
      </c>
      <c r="BA262" s="10" t="s">
        <v>63</v>
      </c>
      <c r="BC262" s="28">
        <f>AW262+AX262</f>
        <v>0</v>
      </c>
      <c r="BD262" s="28">
        <f>G262/(100-BE262)*100</f>
        <v>0</v>
      </c>
      <c r="BE262" s="28">
        <v>0</v>
      </c>
      <c r="BF262" s="28">
        <f>268</f>
        <v>268</v>
      </c>
      <c r="BH262" s="28">
        <f>F262*AO262</f>
        <v>0</v>
      </c>
      <c r="BI262" s="28">
        <f>F262*AP262</f>
        <v>0</v>
      </c>
      <c r="BJ262" s="28">
        <f>F262*G262</f>
        <v>0</v>
      </c>
      <c r="BK262" s="28"/>
      <c r="BL262" s="28">
        <v>89</v>
      </c>
      <c r="BW262" s="28">
        <v>21</v>
      </c>
      <c r="BX262" s="4" t="s">
        <v>547</v>
      </c>
    </row>
    <row r="263" spans="1:76" x14ac:dyDescent="0.25">
      <c r="A263" s="31"/>
      <c r="C263" s="32" t="s">
        <v>548</v>
      </c>
      <c r="D263" s="32" t="s">
        <v>51</v>
      </c>
      <c r="F263" s="33">
        <v>64</v>
      </c>
      <c r="K263" s="34"/>
    </row>
    <row r="264" spans="1:76" ht="25.5" x14ac:dyDescent="0.25">
      <c r="A264" s="31"/>
      <c r="B264" s="35" t="s">
        <v>68</v>
      </c>
      <c r="C264" s="94" t="s">
        <v>549</v>
      </c>
      <c r="D264" s="95"/>
      <c r="E264" s="95"/>
      <c r="F264" s="95"/>
      <c r="G264" s="95"/>
      <c r="H264" s="95"/>
      <c r="I264" s="95"/>
      <c r="J264" s="95"/>
      <c r="K264" s="96"/>
      <c r="BX264" s="36" t="s">
        <v>549</v>
      </c>
    </row>
    <row r="265" spans="1:76" x14ac:dyDescent="0.25">
      <c r="A265" s="2" t="s">
        <v>550</v>
      </c>
      <c r="B265" s="3" t="s">
        <v>551</v>
      </c>
      <c r="C265" s="76" t="s">
        <v>552</v>
      </c>
      <c r="D265" s="71"/>
      <c r="E265" s="3" t="s">
        <v>553</v>
      </c>
      <c r="F265" s="28">
        <v>6</v>
      </c>
      <c r="G265" s="28">
        <v>0</v>
      </c>
      <c r="H265" s="28">
        <f>ROUND(F265*AO265,2)</f>
        <v>0</v>
      </c>
      <c r="I265" s="28">
        <f>ROUND(F265*AP265,2)</f>
        <v>0</v>
      </c>
      <c r="J265" s="28">
        <f>ROUND(F265*G265,2)</f>
        <v>0</v>
      </c>
      <c r="K265" s="29" t="s">
        <v>60</v>
      </c>
      <c r="Z265" s="28">
        <f>ROUND(IF(AQ265="5",BJ265,0),2)</f>
        <v>0</v>
      </c>
      <c r="AB265" s="28">
        <f>ROUND(IF(AQ265="1",BH265,0),2)</f>
        <v>0</v>
      </c>
      <c r="AC265" s="28">
        <f>ROUND(IF(AQ265="1",BI265,0),2)</f>
        <v>0</v>
      </c>
      <c r="AD265" s="28">
        <f>ROUND(IF(AQ265="7",BH265,0),2)</f>
        <v>0</v>
      </c>
      <c r="AE265" s="28">
        <f>ROUND(IF(AQ265="7",BI265,0),2)</f>
        <v>0</v>
      </c>
      <c r="AF265" s="28">
        <f>ROUND(IF(AQ265="2",BH265,0),2)</f>
        <v>0</v>
      </c>
      <c r="AG265" s="28">
        <f>ROUND(IF(AQ265="2",BI265,0),2)</f>
        <v>0</v>
      </c>
      <c r="AH265" s="28">
        <f>ROUND(IF(AQ265="0",BJ265,0),2)</f>
        <v>0</v>
      </c>
      <c r="AI265" s="10" t="s">
        <v>55</v>
      </c>
      <c r="AJ265" s="28">
        <f>IF(AN265=0,J265,0)</f>
        <v>0</v>
      </c>
      <c r="AK265" s="28">
        <f>IF(AN265=12,J265,0)</f>
        <v>0</v>
      </c>
      <c r="AL265" s="28">
        <f>IF(AN265=21,J265,0)</f>
        <v>0</v>
      </c>
      <c r="AN265" s="28">
        <v>21</v>
      </c>
      <c r="AO265" s="28">
        <f>G265*0.095862173</f>
        <v>0</v>
      </c>
      <c r="AP265" s="28">
        <f>G265*(1-0.095862173)</f>
        <v>0</v>
      </c>
      <c r="AQ265" s="30" t="s">
        <v>56</v>
      </c>
      <c r="AV265" s="28">
        <f>ROUND(AW265+AX265,2)</f>
        <v>0</v>
      </c>
      <c r="AW265" s="28">
        <f>ROUND(F265*AO265,2)</f>
        <v>0</v>
      </c>
      <c r="AX265" s="28">
        <f>ROUND(F265*AP265,2)</f>
        <v>0</v>
      </c>
      <c r="AY265" s="30" t="s">
        <v>535</v>
      </c>
      <c r="AZ265" s="30" t="s">
        <v>459</v>
      </c>
      <c r="BA265" s="10" t="s">
        <v>63</v>
      </c>
      <c r="BC265" s="28">
        <f>AW265+AX265</f>
        <v>0</v>
      </c>
      <c r="BD265" s="28">
        <f>G265/(100-BE265)*100</f>
        <v>0</v>
      </c>
      <c r="BE265" s="28">
        <v>0</v>
      </c>
      <c r="BF265" s="28">
        <f>271</f>
        <v>271</v>
      </c>
      <c r="BH265" s="28">
        <f>F265*AO265</f>
        <v>0</v>
      </c>
      <c r="BI265" s="28">
        <f>F265*AP265</f>
        <v>0</v>
      </c>
      <c r="BJ265" s="28">
        <f>F265*G265</f>
        <v>0</v>
      </c>
      <c r="BK265" s="28"/>
      <c r="BL265" s="28">
        <v>89</v>
      </c>
      <c r="BW265" s="28">
        <v>21</v>
      </c>
      <c r="BX265" s="4" t="s">
        <v>552</v>
      </c>
    </row>
    <row r="266" spans="1:76" ht="127.5" x14ac:dyDescent="0.25">
      <c r="A266" s="31"/>
      <c r="B266" s="35" t="s">
        <v>68</v>
      </c>
      <c r="C266" s="94" t="s">
        <v>554</v>
      </c>
      <c r="D266" s="95"/>
      <c r="E266" s="95"/>
      <c r="F266" s="95"/>
      <c r="G266" s="95"/>
      <c r="H266" s="95"/>
      <c r="I266" s="95"/>
      <c r="J266" s="95"/>
      <c r="K266" s="96"/>
      <c r="BX266" s="36" t="s">
        <v>554</v>
      </c>
    </row>
    <row r="267" spans="1:76" x14ac:dyDescent="0.25">
      <c r="A267" s="2" t="s">
        <v>555</v>
      </c>
      <c r="B267" s="3" t="s">
        <v>556</v>
      </c>
      <c r="C267" s="76" t="s">
        <v>557</v>
      </c>
      <c r="D267" s="71"/>
      <c r="E267" s="3" t="s">
        <v>59</v>
      </c>
      <c r="F267" s="28">
        <v>2</v>
      </c>
      <c r="G267" s="28">
        <v>0</v>
      </c>
      <c r="H267" s="28">
        <f>ROUND(F267*AO267,2)</f>
        <v>0</v>
      </c>
      <c r="I267" s="28">
        <f>ROUND(F267*AP267,2)</f>
        <v>0</v>
      </c>
      <c r="J267" s="28">
        <f>ROUND(F267*G267,2)</f>
        <v>0</v>
      </c>
      <c r="K267" s="29" t="s">
        <v>60</v>
      </c>
      <c r="Z267" s="28">
        <f>ROUND(IF(AQ267="5",BJ267,0),2)</f>
        <v>0</v>
      </c>
      <c r="AB267" s="28">
        <f>ROUND(IF(AQ267="1",BH267,0),2)</f>
        <v>0</v>
      </c>
      <c r="AC267" s="28">
        <f>ROUND(IF(AQ267="1",BI267,0),2)</f>
        <v>0</v>
      </c>
      <c r="AD267" s="28">
        <f>ROUND(IF(AQ267="7",BH267,0),2)</f>
        <v>0</v>
      </c>
      <c r="AE267" s="28">
        <f>ROUND(IF(AQ267="7",BI267,0),2)</f>
        <v>0</v>
      </c>
      <c r="AF267" s="28">
        <f>ROUND(IF(AQ267="2",BH267,0),2)</f>
        <v>0</v>
      </c>
      <c r="AG267" s="28">
        <f>ROUND(IF(AQ267="2",BI267,0),2)</f>
        <v>0</v>
      </c>
      <c r="AH267" s="28">
        <f>ROUND(IF(AQ267="0",BJ267,0),2)</f>
        <v>0</v>
      </c>
      <c r="AI267" s="10" t="s">
        <v>55</v>
      </c>
      <c r="AJ267" s="28">
        <f>IF(AN267=0,J267,0)</f>
        <v>0</v>
      </c>
      <c r="AK267" s="28">
        <f>IF(AN267=12,J267,0)</f>
        <v>0</v>
      </c>
      <c r="AL267" s="28">
        <f>IF(AN267=21,J267,0)</f>
        <v>0</v>
      </c>
      <c r="AN267" s="28">
        <v>21</v>
      </c>
      <c r="AO267" s="28">
        <f>G267*0.875005291</f>
        <v>0</v>
      </c>
      <c r="AP267" s="28">
        <f>G267*(1-0.875005291)</f>
        <v>0</v>
      </c>
      <c r="AQ267" s="30" t="s">
        <v>56</v>
      </c>
      <c r="AV267" s="28">
        <f>ROUND(AW267+AX267,2)</f>
        <v>0</v>
      </c>
      <c r="AW267" s="28">
        <f>ROUND(F267*AO267,2)</f>
        <v>0</v>
      </c>
      <c r="AX267" s="28">
        <f>ROUND(F267*AP267,2)</f>
        <v>0</v>
      </c>
      <c r="AY267" s="30" t="s">
        <v>535</v>
      </c>
      <c r="AZ267" s="30" t="s">
        <v>459</v>
      </c>
      <c r="BA267" s="10" t="s">
        <v>63</v>
      </c>
      <c r="BC267" s="28">
        <f>AW267+AX267</f>
        <v>0</v>
      </c>
      <c r="BD267" s="28">
        <f>G267/(100-BE267)*100</f>
        <v>0</v>
      </c>
      <c r="BE267" s="28">
        <v>0</v>
      </c>
      <c r="BF267" s="28">
        <f>273</f>
        <v>273</v>
      </c>
      <c r="BH267" s="28">
        <f>F267*AO267</f>
        <v>0</v>
      </c>
      <c r="BI267" s="28">
        <f>F267*AP267</f>
        <v>0</v>
      </c>
      <c r="BJ267" s="28">
        <f>F267*G267</f>
        <v>0</v>
      </c>
      <c r="BK267" s="28"/>
      <c r="BL267" s="28">
        <v>89</v>
      </c>
      <c r="BW267" s="28">
        <v>21</v>
      </c>
      <c r="BX267" s="4" t="s">
        <v>557</v>
      </c>
    </row>
    <row r="268" spans="1:76" ht="38.25" x14ac:dyDescent="0.25">
      <c r="A268" s="31"/>
      <c r="B268" s="35" t="s">
        <v>68</v>
      </c>
      <c r="C268" s="94" t="s">
        <v>558</v>
      </c>
      <c r="D268" s="95"/>
      <c r="E268" s="95"/>
      <c r="F268" s="95"/>
      <c r="G268" s="95"/>
      <c r="H268" s="95"/>
      <c r="I268" s="95"/>
      <c r="J268" s="95"/>
      <c r="K268" s="96"/>
      <c r="BX268" s="36" t="s">
        <v>558</v>
      </c>
    </row>
    <row r="269" spans="1:76" x14ac:dyDescent="0.25">
      <c r="A269" s="2" t="s">
        <v>483</v>
      </c>
      <c r="B269" s="3" t="s">
        <v>559</v>
      </c>
      <c r="C269" s="76" t="s">
        <v>560</v>
      </c>
      <c r="D269" s="71"/>
      <c r="E269" s="3" t="s">
        <v>103</v>
      </c>
      <c r="F269" s="28">
        <v>17</v>
      </c>
      <c r="G269" s="28">
        <v>0</v>
      </c>
      <c r="H269" s="28">
        <f>ROUND(F269*AO269,2)</f>
        <v>0</v>
      </c>
      <c r="I269" s="28">
        <f>ROUND(F269*AP269,2)</f>
        <v>0</v>
      </c>
      <c r="J269" s="28">
        <f>ROUND(F269*G269,2)</f>
        <v>0</v>
      </c>
      <c r="K269" s="29" t="s">
        <v>60</v>
      </c>
      <c r="Z269" s="28">
        <f>ROUND(IF(AQ269="5",BJ269,0),2)</f>
        <v>0</v>
      </c>
      <c r="AB269" s="28">
        <f>ROUND(IF(AQ269="1",BH269,0),2)</f>
        <v>0</v>
      </c>
      <c r="AC269" s="28">
        <f>ROUND(IF(AQ269="1",BI269,0),2)</f>
        <v>0</v>
      </c>
      <c r="AD269" s="28">
        <f>ROUND(IF(AQ269="7",BH269,0),2)</f>
        <v>0</v>
      </c>
      <c r="AE269" s="28">
        <f>ROUND(IF(AQ269="7",BI269,0),2)</f>
        <v>0</v>
      </c>
      <c r="AF269" s="28">
        <f>ROUND(IF(AQ269="2",BH269,0),2)</f>
        <v>0</v>
      </c>
      <c r="AG269" s="28">
        <f>ROUND(IF(AQ269="2",BI269,0),2)</f>
        <v>0</v>
      </c>
      <c r="AH269" s="28">
        <f>ROUND(IF(AQ269="0",BJ269,0),2)</f>
        <v>0</v>
      </c>
      <c r="AI269" s="10" t="s">
        <v>55</v>
      </c>
      <c r="AJ269" s="28">
        <f>IF(AN269=0,J269,0)</f>
        <v>0</v>
      </c>
      <c r="AK269" s="28">
        <f>IF(AN269=12,J269,0)</f>
        <v>0</v>
      </c>
      <c r="AL269" s="28">
        <f>IF(AN269=21,J269,0)</f>
        <v>0</v>
      </c>
      <c r="AN269" s="28">
        <v>21</v>
      </c>
      <c r="AO269" s="28">
        <f>G269*0.127532816</f>
        <v>0</v>
      </c>
      <c r="AP269" s="28">
        <f>G269*(1-0.127532816)</f>
        <v>0</v>
      </c>
      <c r="AQ269" s="30" t="s">
        <v>56</v>
      </c>
      <c r="AV269" s="28">
        <f>ROUND(AW269+AX269,2)</f>
        <v>0</v>
      </c>
      <c r="AW269" s="28">
        <f>ROUND(F269*AO269,2)</f>
        <v>0</v>
      </c>
      <c r="AX269" s="28">
        <f>ROUND(F269*AP269,2)</f>
        <v>0</v>
      </c>
      <c r="AY269" s="30" t="s">
        <v>535</v>
      </c>
      <c r="AZ269" s="30" t="s">
        <v>459</v>
      </c>
      <c r="BA269" s="10" t="s">
        <v>63</v>
      </c>
      <c r="BC269" s="28">
        <f>AW269+AX269</f>
        <v>0</v>
      </c>
      <c r="BD269" s="28">
        <f>G269/(100-BE269)*100</f>
        <v>0</v>
      </c>
      <c r="BE269" s="28">
        <v>0</v>
      </c>
      <c r="BF269" s="28">
        <f>275</f>
        <v>275</v>
      </c>
      <c r="BH269" s="28">
        <f>F269*AO269</f>
        <v>0</v>
      </c>
      <c r="BI269" s="28">
        <f>F269*AP269</f>
        <v>0</v>
      </c>
      <c r="BJ269" s="28">
        <f>F269*G269</f>
        <v>0</v>
      </c>
      <c r="BK269" s="28"/>
      <c r="BL269" s="28">
        <v>89</v>
      </c>
      <c r="BW269" s="28">
        <v>21</v>
      </c>
      <c r="BX269" s="4" t="s">
        <v>560</v>
      </c>
    </row>
    <row r="270" spans="1:76" x14ac:dyDescent="0.25">
      <c r="A270" s="31"/>
      <c r="C270" s="32" t="s">
        <v>561</v>
      </c>
      <c r="D270" s="32" t="s">
        <v>51</v>
      </c>
      <c r="F270" s="33">
        <v>17</v>
      </c>
      <c r="K270" s="34"/>
    </row>
    <row r="271" spans="1:76" x14ac:dyDescent="0.25">
      <c r="A271" s="31"/>
      <c r="B271" s="35" t="s">
        <v>68</v>
      </c>
      <c r="C271" s="94" t="s">
        <v>562</v>
      </c>
      <c r="D271" s="95"/>
      <c r="E271" s="95"/>
      <c r="F271" s="95"/>
      <c r="G271" s="95"/>
      <c r="H271" s="95"/>
      <c r="I271" s="95"/>
      <c r="J271" s="95"/>
      <c r="K271" s="96"/>
      <c r="BX271" s="36" t="s">
        <v>562</v>
      </c>
    </row>
    <row r="272" spans="1:76" x14ac:dyDescent="0.25">
      <c r="A272" s="2" t="s">
        <v>563</v>
      </c>
      <c r="B272" s="3" t="s">
        <v>564</v>
      </c>
      <c r="C272" s="76" t="s">
        <v>565</v>
      </c>
      <c r="D272" s="71"/>
      <c r="E272" s="3" t="s">
        <v>566</v>
      </c>
      <c r="F272" s="28">
        <v>18</v>
      </c>
      <c r="G272" s="28">
        <v>0</v>
      </c>
      <c r="H272" s="28">
        <f>ROUND(F272*AO272,2)</f>
        <v>0</v>
      </c>
      <c r="I272" s="28">
        <f>ROUND(F272*AP272,2)</f>
        <v>0</v>
      </c>
      <c r="J272" s="28">
        <f>ROUND(F272*G272,2)</f>
        <v>0</v>
      </c>
      <c r="K272" s="29" t="s">
        <v>60</v>
      </c>
      <c r="Z272" s="28">
        <f>ROUND(IF(AQ272="5",BJ272,0),2)</f>
        <v>0</v>
      </c>
      <c r="AB272" s="28">
        <f>ROUND(IF(AQ272="1",BH272,0),2)</f>
        <v>0</v>
      </c>
      <c r="AC272" s="28">
        <f>ROUND(IF(AQ272="1",BI272,0),2)</f>
        <v>0</v>
      </c>
      <c r="AD272" s="28">
        <f>ROUND(IF(AQ272="7",BH272,0),2)</f>
        <v>0</v>
      </c>
      <c r="AE272" s="28">
        <f>ROUND(IF(AQ272="7",BI272,0),2)</f>
        <v>0</v>
      </c>
      <c r="AF272" s="28">
        <f>ROUND(IF(AQ272="2",BH272,0),2)</f>
        <v>0</v>
      </c>
      <c r="AG272" s="28">
        <f>ROUND(IF(AQ272="2",BI272,0),2)</f>
        <v>0</v>
      </c>
      <c r="AH272" s="28">
        <f>ROUND(IF(AQ272="0",BJ272,0),2)</f>
        <v>0</v>
      </c>
      <c r="AI272" s="10" t="s">
        <v>55</v>
      </c>
      <c r="AJ272" s="28">
        <f>IF(AN272=0,J272,0)</f>
        <v>0</v>
      </c>
      <c r="AK272" s="28">
        <f>IF(AN272=12,J272,0)</f>
        <v>0</v>
      </c>
      <c r="AL272" s="28">
        <f>IF(AN272=21,J272,0)</f>
        <v>0</v>
      </c>
      <c r="AN272" s="28">
        <v>21</v>
      </c>
      <c r="AO272" s="28">
        <f>G272*0.464116456</f>
        <v>0</v>
      </c>
      <c r="AP272" s="28">
        <f>G272*(1-0.464116456)</f>
        <v>0</v>
      </c>
      <c r="AQ272" s="30" t="s">
        <v>56</v>
      </c>
      <c r="AV272" s="28">
        <f>ROUND(AW272+AX272,2)</f>
        <v>0</v>
      </c>
      <c r="AW272" s="28">
        <f>ROUND(F272*AO272,2)</f>
        <v>0</v>
      </c>
      <c r="AX272" s="28">
        <f>ROUND(F272*AP272,2)</f>
        <v>0</v>
      </c>
      <c r="AY272" s="30" t="s">
        <v>535</v>
      </c>
      <c r="AZ272" s="30" t="s">
        <v>459</v>
      </c>
      <c r="BA272" s="10" t="s">
        <v>63</v>
      </c>
      <c r="BC272" s="28">
        <f>AW272+AX272</f>
        <v>0</v>
      </c>
      <c r="BD272" s="28">
        <f>G272/(100-BE272)*100</f>
        <v>0</v>
      </c>
      <c r="BE272" s="28">
        <v>0</v>
      </c>
      <c r="BF272" s="28">
        <f>278</f>
        <v>278</v>
      </c>
      <c r="BH272" s="28">
        <f>F272*AO272</f>
        <v>0</v>
      </c>
      <c r="BI272" s="28">
        <f>F272*AP272</f>
        <v>0</v>
      </c>
      <c r="BJ272" s="28">
        <f>F272*G272</f>
        <v>0</v>
      </c>
      <c r="BK272" s="28"/>
      <c r="BL272" s="28">
        <v>89</v>
      </c>
      <c r="BW272" s="28">
        <v>21</v>
      </c>
      <c r="BX272" s="4" t="s">
        <v>565</v>
      </c>
    </row>
    <row r="273" spans="1:76" x14ac:dyDescent="0.25">
      <c r="A273" s="31"/>
      <c r="C273" s="32" t="s">
        <v>53</v>
      </c>
      <c r="D273" s="32" t="s">
        <v>567</v>
      </c>
      <c r="F273" s="33">
        <v>13</v>
      </c>
      <c r="K273" s="34"/>
    </row>
    <row r="274" spans="1:76" x14ac:dyDescent="0.25">
      <c r="A274" s="31"/>
      <c r="C274" s="32" t="s">
        <v>100</v>
      </c>
      <c r="D274" s="32" t="s">
        <v>568</v>
      </c>
      <c r="F274" s="33">
        <v>5</v>
      </c>
      <c r="K274" s="34"/>
    </row>
    <row r="275" spans="1:76" x14ac:dyDescent="0.25">
      <c r="A275" s="2" t="s">
        <v>530</v>
      </c>
      <c r="B275" s="3" t="s">
        <v>569</v>
      </c>
      <c r="C275" s="76" t="s">
        <v>570</v>
      </c>
      <c r="D275" s="71"/>
      <c r="E275" s="3" t="s">
        <v>188</v>
      </c>
      <c r="F275" s="28">
        <v>77</v>
      </c>
      <c r="G275" s="28">
        <v>0</v>
      </c>
      <c r="H275" s="28">
        <f>ROUND(F275*AO275,2)</f>
        <v>0</v>
      </c>
      <c r="I275" s="28">
        <f>ROUND(F275*AP275,2)</f>
        <v>0</v>
      </c>
      <c r="J275" s="28">
        <f>ROUND(F275*G275,2)</f>
        <v>0</v>
      </c>
      <c r="K275" s="29" t="s">
        <v>60</v>
      </c>
      <c r="Z275" s="28">
        <f>ROUND(IF(AQ275="5",BJ275,0),2)</f>
        <v>0</v>
      </c>
      <c r="AB275" s="28">
        <f>ROUND(IF(AQ275="1",BH275,0),2)</f>
        <v>0</v>
      </c>
      <c r="AC275" s="28">
        <f>ROUND(IF(AQ275="1",BI275,0),2)</f>
        <v>0</v>
      </c>
      <c r="AD275" s="28">
        <f>ROUND(IF(AQ275="7",BH275,0),2)</f>
        <v>0</v>
      </c>
      <c r="AE275" s="28">
        <f>ROUND(IF(AQ275="7",BI275,0),2)</f>
        <v>0</v>
      </c>
      <c r="AF275" s="28">
        <f>ROUND(IF(AQ275="2",BH275,0),2)</f>
        <v>0</v>
      </c>
      <c r="AG275" s="28">
        <f>ROUND(IF(AQ275="2",BI275,0),2)</f>
        <v>0</v>
      </c>
      <c r="AH275" s="28">
        <f>ROUND(IF(AQ275="0",BJ275,0),2)</f>
        <v>0</v>
      </c>
      <c r="AI275" s="10" t="s">
        <v>55</v>
      </c>
      <c r="AJ275" s="28">
        <f>IF(AN275=0,J275,0)</f>
        <v>0</v>
      </c>
      <c r="AK275" s="28">
        <f>IF(AN275=12,J275,0)</f>
        <v>0</v>
      </c>
      <c r="AL275" s="28">
        <f>IF(AN275=21,J275,0)</f>
        <v>0</v>
      </c>
      <c r="AN275" s="28">
        <v>21</v>
      </c>
      <c r="AO275" s="28">
        <f>G275*0</f>
        <v>0</v>
      </c>
      <c r="AP275" s="28">
        <f>G275*(1-0)</f>
        <v>0</v>
      </c>
      <c r="AQ275" s="30" t="s">
        <v>56</v>
      </c>
      <c r="AV275" s="28">
        <f>ROUND(AW275+AX275,2)</f>
        <v>0</v>
      </c>
      <c r="AW275" s="28">
        <f>ROUND(F275*AO275,2)</f>
        <v>0</v>
      </c>
      <c r="AX275" s="28">
        <f>ROUND(F275*AP275,2)</f>
        <v>0</v>
      </c>
      <c r="AY275" s="30" t="s">
        <v>535</v>
      </c>
      <c r="AZ275" s="30" t="s">
        <v>459</v>
      </c>
      <c r="BA275" s="10" t="s">
        <v>63</v>
      </c>
      <c r="BC275" s="28">
        <f>AW275+AX275</f>
        <v>0</v>
      </c>
      <c r="BD275" s="28">
        <f>G275/(100-BE275)*100</f>
        <v>0</v>
      </c>
      <c r="BE275" s="28">
        <v>0</v>
      </c>
      <c r="BF275" s="28">
        <f>281</f>
        <v>281</v>
      </c>
      <c r="BH275" s="28">
        <f>F275*AO275</f>
        <v>0</v>
      </c>
      <c r="BI275" s="28">
        <f>F275*AP275</f>
        <v>0</v>
      </c>
      <c r="BJ275" s="28">
        <f>F275*G275</f>
        <v>0</v>
      </c>
      <c r="BK275" s="28"/>
      <c r="BL275" s="28">
        <v>89</v>
      </c>
      <c r="BW275" s="28">
        <v>21</v>
      </c>
      <c r="BX275" s="4" t="s">
        <v>570</v>
      </c>
    </row>
    <row r="276" spans="1:76" x14ac:dyDescent="0.25">
      <c r="A276" s="31"/>
      <c r="C276" s="32" t="s">
        <v>548</v>
      </c>
      <c r="D276" s="32" t="s">
        <v>571</v>
      </c>
      <c r="F276" s="33">
        <v>64</v>
      </c>
      <c r="K276" s="34"/>
    </row>
    <row r="277" spans="1:76" x14ac:dyDescent="0.25">
      <c r="A277" s="31"/>
      <c r="C277" s="32" t="s">
        <v>53</v>
      </c>
      <c r="D277" s="32" t="s">
        <v>51</v>
      </c>
      <c r="F277" s="33">
        <v>13</v>
      </c>
      <c r="K277" s="34"/>
    </row>
    <row r="278" spans="1:76" x14ac:dyDescent="0.25">
      <c r="A278" s="2" t="s">
        <v>196</v>
      </c>
      <c r="B278" s="3" t="s">
        <v>572</v>
      </c>
      <c r="C278" s="76" t="s">
        <v>573</v>
      </c>
      <c r="D278" s="71"/>
      <c r="E278" s="3" t="s">
        <v>293</v>
      </c>
      <c r="F278" s="28">
        <v>1</v>
      </c>
      <c r="G278" s="28">
        <v>0</v>
      </c>
      <c r="H278" s="28">
        <f>ROUND(F278*AO278,2)</f>
        <v>0</v>
      </c>
      <c r="I278" s="28">
        <f>ROUND(F278*AP278,2)</f>
        <v>0</v>
      </c>
      <c r="J278" s="28">
        <f>ROUND(F278*G278,2)</f>
        <v>0</v>
      </c>
      <c r="K278" s="29" t="s">
        <v>60</v>
      </c>
      <c r="Z278" s="28">
        <f>ROUND(IF(AQ278="5",BJ278,0),2)</f>
        <v>0</v>
      </c>
      <c r="AB278" s="28">
        <f>ROUND(IF(AQ278="1",BH278,0),2)</f>
        <v>0</v>
      </c>
      <c r="AC278" s="28">
        <f>ROUND(IF(AQ278="1",BI278,0),2)</f>
        <v>0</v>
      </c>
      <c r="AD278" s="28">
        <f>ROUND(IF(AQ278="7",BH278,0),2)</f>
        <v>0</v>
      </c>
      <c r="AE278" s="28">
        <f>ROUND(IF(AQ278="7",BI278,0),2)</f>
        <v>0</v>
      </c>
      <c r="AF278" s="28">
        <f>ROUND(IF(AQ278="2",BH278,0),2)</f>
        <v>0</v>
      </c>
      <c r="AG278" s="28">
        <f>ROUND(IF(AQ278="2",BI278,0),2)</f>
        <v>0</v>
      </c>
      <c r="AH278" s="28">
        <f>ROUND(IF(AQ278="0",BJ278,0),2)</f>
        <v>0</v>
      </c>
      <c r="AI278" s="10" t="s">
        <v>55</v>
      </c>
      <c r="AJ278" s="28">
        <f>IF(AN278=0,J278,0)</f>
        <v>0</v>
      </c>
      <c r="AK278" s="28">
        <f>IF(AN278=12,J278,0)</f>
        <v>0</v>
      </c>
      <c r="AL278" s="28">
        <f>IF(AN278=21,J278,0)</f>
        <v>0</v>
      </c>
      <c r="AN278" s="28">
        <v>21</v>
      </c>
      <c r="AO278" s="28">
        <f>G278*0.833333333</f>
        <v>0</v>
      </c>
      <c r="AP278" s="28">
        <f>G278*(1-0.833333333)</f>
        <v>0</v>
      </c>
      <c r="AQ278" s="30" t="s">
        <v>56</v>
      </c>
      <c r="AV278" s="28">
        <f>ROUND(AW278+AX278,2)</f>
        <v>0</v>
      </c>
      <c r="AW278" s="28">
        <f>ROUND(F278*AO278,2)</f>
        <v>0</v>
      </c>
      <c r="AX278" s="28">
        <f>ROUND(F278*AP278,2)</f>
        <v>0</v>
      </c>
      <c r="AY278" s="30" t="s">
        <v>535</v>
      </c>
      <c r="AZ278" s="30" t="s">
        <v>459</v>
      </c>
      <c r="BA278" s="10" t="s">
        <v>63</v>
      </c>
      <c r="BC278" s="28">
        <f>AW278+AX278</f>
        <v>0</v>
      </c>
      <c r="BD278" s="28">
        <f>G278/(100-BE278)*100</f>
        <v>0</v>
      </c>
      <c r="BE278" s="28">
        <v>0</v>
      </c>
      <c r="BF278" s="28">
        <f>284</f>
        <v>284</v>
      </c>
      <c r="BH278" s="28">
        <f>F278*AO278</f>
        <v>0</v>
      </c>
      <c r="BI278" s="28">
        <f>F278*AP278</f>
        <v>0</v>
      </c>
      <c r="BJ278" s="28">
        <f>F278*G278</f>
        <v>0</v>
      </c>
      <c r="BK278" s="28"/>
      <c r="BL278" s="28">
        <v>89</v>
      </c>
      <c r="BW278" s="28">
        <v>21</v>
      </c>
      <c r="BX278" s="4" t="s">
        <v>573</v>
      </c>
    </row>
    <row r="279" spans="1:76" x14ac:dyDescent="0.25">
      <c r="A279" s="2" t="s">
        <v>574</v>
      </c>
      <c r="B279" s="3" t="s">
        <v>575</v>
      </c>
      <c r="C279" s="76" t="s">
        <v>576</v>
      </c>
      <c r="D279" s="71"/>
      <c r="E279" s="3" t="s">
        <v>293</v>
      </c>
      <c r="F279" s="28">
        <v>3</v>
      </c>
      <c r="G279" s="28">
        <v>0</v>
      </c>
      <c r="H279" s="28">
        <f>ROUND(F279*AO279,2)</f>
        <v>0</v>
      </c>
      <c r="I279" s="28">
        <f>ROUND(F279*AP279,2)</f>
        <v>0</v>
      </c>
      <c r="J279" s="28">
        <f>ROUND(F279*G279,2)</f>
        <v>0</v>
      </c>
      <c r="K279" s="29" t="s">
        <v>60</v>
      </c>
      <c r="Z279" s="28">
        <f>ROUND(IF(AQ279="5",BJ279,0),2)</f>
        <v>0</v>
      </c>
      <c r="AB279" s="28">
        <f>ROUND(IF(AQ279="1",BH279,0),2)</f>
        <v>0</v>
      </c>
      <c r="AC279" s="28">
        <f>ROUND(IF(AQ279="1",BI279,0),2)</f>
        <v>0</v>
      </c>
      <c r="AD279" s="28">
        <f>ROUND(IF(AQ279="7",BH279,0),2)</f>
        <v>0</v>
      </c>
      <c r="AE279" s="28">
        <f>ROUND(IF(AQ279="7",BI279,0),2)</f>
        <v>0</v>
      </c>
      <c r="AF279" s="28">
        <f>ROUND(IF(AQ279="2",BH279,0),2)</f>
        <v>0</v>
      </c>
      <c r="AG279" s="28">
        <f>ROUND(IF(AQ279="2",BI279,0),2)</f>
        <v>0</v>
      </c>
      <c r="AH279" s="28">
        <f>ROUND(IF(AQ279="0",BJ279,0),2)</f>
        <v>0</v>
      </c>
      <c r="AI279" s="10" t="s">
        <v>55</v>
      </c>
      <c r="AJ279" s="28">
        <f>IF(AN279=0,J279,0)</f>
        <v>0</v>
      </c>
      <c r="AK279" s="28">
        <f>IF(AN279=12,J279,0)</f>
        <v>0</v>
      </c>
      <c r="AL279" s="28">
        <f>IF(AN279=21,J279,0)</f>
        <v>0</v>
      </c>
      <c r="AN279" s="28">
        <v>21</v>
      </c>
      <c r="AO279" s="28">
        <f>G279*0.050502814</f>
        <v>0</v>
      </c>
      <c r="AP279" s="28">
        <f>G279*(1-0.050502814)</f>
        <v>0</v>
      </c>
      <c r="AQ279" s="30" t="s">
        <v>56</v>
      </c>
      <c r="AV279" s="28">
        <f>ROUND(AW279+AX279,2)</f>
        <v>0</v>
      </c>
      <c r="AW279" s="28">
        <f>ROUND(F279*AO279,2)</f>
        <v>0</v>
      </c>
      <c r="AX279" s="28">
        <f>ROUND(F279*AP279,2)</f>
        <v>0</v>
      </c>
      <c r="AY279" s="30" t="s">
        <v>535</v>
      </c>
      <c r="AZ279" s="30" t="s">
        <v>459</v>
      </c>
      <c r="BA279" s="10" t="s">
        <v>63</v>
      </c>
      <c r="BC279" s="28">
        <f>AW279+AX279</f>
        <v>0</v>
      </c>
      <c r="BD279" s="28">
        <f>G279/(100-BE279)*100</f>
        <v>0</v>
      </c>
      <c r="BE279" s="28">
        <v>0</v>
      </c>
      <c r="BF279" s="28">
        <f>285</f>
        <v>285</v>
      </c>
      <c r="BH279" s="28">
        <f>F279*AO279</f>
        <v>0</v>
      </c>
      <c r="BI279" s="28">
        <f>F279*AP279</f>
        <v>0</v>
      </c>
      <c r="BJ279" s="28">
        <f>F279*G279</f>
        <v>0</v>
      </c>
      <c r="BK279" s="28"/>
      <c r="BL279" s="28">
        <v>89</v>
      </c>
      <c r="BW279" s="28">
        <v>21</v>
      </c>
      <c r="BX279" s="4" t="s">
        <v>576</v>
      </c>
    </row>
    <row r="280" spans="1:76" ht="89.25" x14ac:dyDescent="0.25">
      <c r="A280" s="31"/>
      <c r="B280" s="35" t="s">
        <v>68</v>
      </c>
      <c r="C280" s="94" t="s">
        <v>577</v>
      </c>
      <c r="D280" s="95"/>
      <c r="E280" s="95"/>
      <c r="F280" s="95"/>
      <c r="G280" s="95"/>
      <c r="H280" s="95"/>
      <c r="I280" s="95"/>
      <c r="J280" s="95"/>
      <c r="K280" s="96"/>
      <c r="BX280" s="36" t="s">
        <v>577</v>
      </c>
    </row>
    <row r="281" spans="1:76" x14ac:dyDescent="0.25">
      <c r="A281" s="2" t="s">
        <v>578</v>
      </c>
      <c r="B281" s="3" t="s">
        <v>579</v>
      </c>
      <c r="C281" s="76" t="s">
        <v>580</v>
      </c>
      <c r="D281" s="71"/>
      <c r="E281" s="3" t="s">
        <v>293</v>
      </c>
      <c r="F281" s="28">
        <v>2</v>
      </c>
      <c r="G281" s="28">
        <v>0</v>
      </c>
      <c r="H281" s="28">
        <f>ROUND(F281*AO281,2)</f>
        <v>0</v>
      </c>
      <c r="I281" s="28">
        <f>ROUND(F281*AP281,2)</f>
        <v>0</v>
      </c>
      <c r="J281" s="28">
        <f>ROUND(F281*G281,2)</f>
        <v>0</v>
      </c>
      <c r="K281" s="29" t="s">
        <v>60</v>
      </c>
      <c r="Z281" s="28">
        <f>ROUND(IF(AQ281="5",BJ281,0),2)</f>
        <v>0</v>
      </c>
      <c r="AB281" s="28">
        <f>ROUND(IF(AQ281="1",BH281,0),2)</f>
        <v>0</v>
      </c>
      <c r="AC281" s="28">
        <f>ROUND(IF(AQ281="1",BI281,0),2)</f>
        <v>0</v>
      </c>
      <c r="AD281" s="28">
        <f>ROUND(IF(AQ281="7",BH281,0),2)</f>
        <v>0</v>
      </c>
      <c r="AE281" s="28">
        <f>ROUND(IF(AQ281="7",BI281,0),2)</f>
        <v>0</v>
      </c>
      <c r="AF281" s="28">
        <f>ROUND(IF(AQ281="2",BH281,0),2)</f>
        <v>0</v>
      </c>
      <c r="AG281" s="28">
        <f>ROUND(IF(AQ281="2",BI281,0),2)</f>
        <v>0</v>
      </c>
      <c r="AH281" s="28">
        <f>ROUND(IF(AQ281="0",BJ281,0),2)</f>
        <v>0</v>
      </c>
      <c r="AI281" s="10" t="s">
        <v>55</v>
      </c>
      <c r="AJ281" s="28">
        <f>IF(AN281=0,J281,0)</f>
        <v>0</v>
      </c>
      <c r="AK281" s="28">
        <f>IF(AN281=12,J281,0)</f>
        <v>0</v>
      </c>
      <c r="AL281" s="28">
        <f>IF(AN281=21,J281,0)</f>
        <v>0</v>
      </c>
      <c r="AN281" s="28">
        <v>21</v>
      </c>
      <c r="AO281" s="28">
        <f>G281*0.823258792</f>
        <v>0</v>
      </c>
      <c r="AP281" s="28">
        <f>G281*(1-0.823258792)</f>
        <v>0</v>
      </c>
      <c r="AQ281" s="30" t="s">
        <v>56</v>
      </c>
      <c r="AV281" s="28">
        <f>ROUND(AW281+AX281,2)</f>
        <v>0</v>
      </c>
      <c r="AW281" s="28">
        <f>ROUND(F281*AO281,2)</f>
        <v>0</v>
      </c>
      <c r="AX281" s="28">
        <f>ROUND(F281*AP281,2)</f>
        <v>0</v>
      </c>
      <c r="AY281" s="30" t="s">
        <v>535</v>
      </c>
      <c r="AZ281" s="30" t="s">
        <v>459</v>
      </c>
      <c r="BA281" s="10" t="s">
        <v>63</v>
      </c>
      <c r="BC281" s="28">
        <f>AW281+AX281</f>
        <v>0</v>
      </c>
      <c r="BD281" s="28">
        <f>G281/(100-BE281)*100</f>
        <v>0</v>
      </c>
      <c r="BE281" s="28">
        <v>0</v>
      </c>
      <c r="BF281" s="28">
        <f>287</f>
        <v>287</v>
      </c>
      <c r="BH281" s="28">
        <f>F281*AO281</f>
        <v>0</v>
      </c>
      <c r="BI281" s="28">
        <f>F281*AP281</f>
        <v>0</v>
      </c>
      <c r="BJ281" s="28">
        <f>F281*G281</f>
        <v>0</v>
      </c>
      <c r="BK281" s="28"/>
      <c r="BL281" s="28">
        <v>89</v>
      </c>
      <c r="BW281" s="28">
        <v>21</v>
      </c>
      <c r="BX281" s="4" t="s">
        <v>580</v>
      </c>
    </row>
    <row r="282" spans="1:76" ht="13.5" customHeight="1" x14ac:dyDescent="0.25">
      <c r="A282" s="31"/>
      <c r="B282" s="35" t="s">
        <v>105</v>
      </c>
      <c r="C282" s="97" t="s">
        <v>581</v>
      </c>
      <c r="D282" s="98"/>
      <c r="E282" s="98"/>
      <c r="F282" s="98"/>
      <c r="G282" s="98"/>
      <c r="H282" s="98"/>
      <c r="I282" s="98"/>
      <c r="J282" s="98"/>
      <c r="K282" s="99"/>
    </row>
    <row r="283" spans="1:76" ht="51" x14ac:dyDescent="0.25">
      <c r="A283" s="31"/>
      <c r="B283" s="35" t="s">
        <v>68</v>
      </c>
      <c r="C283" s="94" t="s">
        <v>582</v>
      </c>
      <c r="D283" s="95"/>
      <c r="E283" s="95"/>
      <c r="F283" s="95"/>
      <c r="G283" s="95"/>
      <c r="H283" s="95"/>
      <c r="I283" s="95"/>
      <c r="J283" s="95"/>
      <c r="K283" s="96"/>
      <c r="BX283" s="36" t="s">
        <v>582</v>
      </c>
    </row>
    <row r="284" spans="1:76" x14ac:dyDescent="0.25">
      <c r="A284" s="2" t="s">
        <v>583</v>
      </c>
      <c r="B284" s="3" t="s">
        <v>584</v>
      </c>
      <c r="C284" s="76" t="s">
        <v>585</v>
      </c>
      <c r="D284" s="71"/>
      <c r="E284" s="3" t="s">
        <v>293</v>
      </c>
      <c r="F284" s="28">
        <v>1</v>
      </c>
      <c r="G284" s="28">
        <v>0</v>
      </c>
      <c r="H284" s="28">
        <f>ROUND(F284*AO284,2)</f>
        <v>0</v>
      </c>
      <c r="I284" s="28">
        <f>ROUND(F284*AP284,2)</f>
        <v>0</v>
      </c>
      <c r="J284" s="28">
        <f>ROUND(F284*G284,2)</f>
        <v>0</v>
      </c>
      <c r="K284" s="29" t="s">
        <v>60</v>
      </c>
      <c r="Z284" s="28">
        <f>ROUND(IF(AQ284="5",BJ284,0),2)</f>
        <v>0</v>
      </c>
      <c r="AB284" s="28">
        <f>ROUND(IF(AQ284="1",BH284,0),2)</f>
        <v>0</v>
      </c>
      <c r="AC284" s="28">
        <f>ROUND(IF(AQ284="1",BI284,0),2)</f>
        <v>0</v>
      </c>
      <c r="AD284" s="28">
        <f>ROUND(IF(AQ284="7",BH284,0),2)</f>
        <v>0</v>
      </c>
      <c r="AE284" s="28">
        <f>ROUND(IF(AQ284="7",BI284,0),2)</f>
        <v>0</v>
      </c>
      <c r="AF284" s="28">
        <f>ROUND(IF(AQ284="2",BH284,0),2)</f>
        <v>0</v>
      </c>
      <c r="AG284" s="28">
        <f>ROUND(IF(AQ284="2",BI284,0),2)</f>
        <v>0</v>
      </c>
      <c r="AH284" s="28">
        <f>ROUND(IF(AQ284="0",BJ284,0),2)</f>
        <v>0</v>
      </c>
      <c r="AI284" s="10" t="s">
        <v>55</v>
      </c>
      <c r="AJ284" s="28">
        <f>IF(AN284=0,J284,0)</f>
        <v>0</v>
      </c>
      <c r="AK284" s="28">
        <f>IF(AN284=12,J284,0)</f>
        <v>0</v>
      </c>
      <c r="AL284" s="28">
        <f>IF(AN284=21,J284,0)</f>
        <v>0</v>
      </c>
      <c r="AN284" s="28">
        <v>21</v>
      </c>
      <c r="AO284" s="28">
        <f>G284*0</f>
        <v>0</v>
      </c>
      <c r="AP284" s="28">
        <f>G284*(1-0)</f>
        <v>0</v>
      </c>
      <c r="AQ284" s="30" t="s">
        <v>56</v>
      </c>
      <c r="AV284" s="28">
        <f>ROUND(AW284+AX284,2)</f>
        <v>0</v>
      </c>
      <c r="AW284" s="28">
        <f>ROUND(F284*AO284,2)</f>
        <v>0</v>
      </c>
      <c r="AX284" s="28">
        <f>ROUND(F284*AP284,2)</f>
        <v>0</v>
      </c>
      <c r="AY284" s="30" t="s">
        <v>535</v>
      </c>
      <c r="AZ284" s="30" t="s">
        <v>459</v>
      </c>
      <c r="BA284" s="10" t="s">
        <v>63</v>
      </c>
      <c r="BC284" s="28">
        <f>AW284+AX284</f>
        <v>0</v>
      </c>
      <c r="BD284" s="28">
        <f>G284/(100-BE284)*100</f>
        <v>0</v>
      </c>
      <c r="BE284" s="28">
        <v>0</v>
      </c>
      <c r="BF284" s="28">
        <f>290</f>
        <v>290</v>
      </c>
      <c r="BH284" s="28">
        <f>F284*AO284</f>
        <v>0</v>
      </c>
      <c r="BI284" s="28">
        <f>F284*AP284</f>
        <v>0</v>
      </c>
      <c r="BJ284" s="28">
        <f>F284*G284</f>
        <v>0</v>
      </c>
      <c r="BK284" s="28"/>
      <c r="BL284" s="28">
        <v>89</v>
      </c>
      <c r="BW284" s="28">
        <v>21</v>
      </c>
      <c r="BX284" s="4" t="s">
        <v>585</v>
      </c>
    </row>
    <row r="285" spans="1:76" ht="13.5" customHeight="1" x14ac:dyDescent="0.25">
      <c r="A285" s="31"/>
      <c r="B285" s="35" t="s">
        <v>105</v>
      </c>
      <c r="C285" s="97" t="s">
        <v>586</v>
      </c>
      <c r="D285" s="98"/>
      <c r="E285" s="98"/>
      <c r="F285" s="98"/>
      <c r="G285" s="98"/>
      <c r="H285" s="98"/>
      <c r="I285" s="98"/>
      <c r="J285" s="98"/>
      <c r="K285" s="99"/>
    </row>
    <row r="286" spans="1:76" ht="38.25" x14ac:dyDescent="0.25">
      <c r="A286" s="31"/>
      <c r="B286" s="35" t="s">
        <v>68</v>
      </c>
      <c r="C286" s="94" t="s">
        <v>587</v>
      </c>
      <c r="D286" s="95"/>
      <c r="E286" s="95"/>
      <c r="F286" s="95"/>
      <c r="G286" s="95"/>
      <c r="H286" s="95"/>
      <c r="I286" s="95"/>
      <c r="J286" s="95"/>
      <c r="K286" s="96"/>
      <c r="BX286" s="36" t="s">
        <v>587</v>
      </c>
    </row>
    <row r="287" spans="1:76" x14ac:dyDescent="0.25">
      <c r="A287" s="2" t="s">
        <v>588</v>
      </c>
      <c r="B287" s="3" t="s">
        <v>589</v>
      </c>
      <c r="C287" s="76" t="s">
        <v>590</v>
      </c>
      <c r="D287" s="71"/>
      <c r="E287" s="3" t="s">
        <v>293</v>
      </c>
      <c r="F287" s="28">
        <v>1</v>
      </c>
      <c r="G287" s="28">
        <v>0</v>
      </c>
      <c r="H287" s="28">
        <f>ROUND(F287*AO287,2)</f>
        <v>0</v>
      </c>
      <c r="I287" s="28">
        <f>ROUND(F287*AP287,2)</f>
        <v>0</v>
      </c>
      <c r="J287" s="28">
        <f>ROUND(F287*G287,2)</f>
        <v>0</v>
      </c>
      <c r="K287" s="29" t="s">
        <v>60</v>
      </c>
      <c r="Z287" s="28">
        <f>ROUND(IF(AQ287="5",BJ287,0),2)</f>
        <v>0</v>
      </c>
      <c r="AB287" s="28">
        <f>ROUND(IF(AQ287="1",BH287,0),2)</f>
        <v>0</v>
      </c>
      <c r="AC287" s="28">
        <f>ROUND(IF(AQ287="1",BI287,0),2)</f>
        <v>0</v>
      </c>
      <c r="AD287" s="28">
        <f>ROUND(IF(AQ287="7",BH287,0),2)</f>
        <v>0</v>
      </c>
      <c r="AE287" s="28">
        <f>ROUND(IF(AQ287="7",BI287,0),2)</f>
        <v>0</v>
      </c>
      <c r="AF287" s="28">
        <f>ROUND(IF(AQ287="2",BH287,0),2)</f>
        <v>0</v>
      </c>
      <c r="AG287" s="28">
        <f>ROUND(IF(AQ287="2",BI287,0),2)</f>
        <v>0</v>
      </c>
      <c r="AH287" s="28">
        <f>ROUND(IF(AQ287="0",BJ287,0),2)</f>
        <v>0</v>
      </c>
      <c r="AI287" s="10" t="s">
        <v>55</v>
      </c>
      <c r="AJ287" s="28">
        <f>IF(AN287=0,J287,0)</f>
        <v>0</v>
      </c>
      <c r="AK287" s="28">
        <f>IF(AN287=12,J287,0)</f>
        <v>0</v>
      </c>
      <c r="AL287" s="28">
        <f>IF(AN287=21,J287,0)</f>
        <v>0</v>
      </c>
      <c r="AN287" s="28">
        <v>21</v>
      </c>
      <c r="AO287" s="28">
        <f>G287*1</f>
        <v>0</v>
      </c>
      <c r="AP287" s="28">
        <f>G287*(1-1)</f>
        <v>0</v>
      </c>
      <c r="AQ287" s="30" t="s">
        <v>56</v>
      </c>
      <c r="AV287" s="28">
        <f>ROUND(AW287+AX287,2)</f>
        <v>0</v>
      </c>
      <c r="AW287" s="28">
        <f>ROUND(F287*AO287,2)</f>
        <v>0</v>
      </c>
      <c r="AX287" s="28">
        <f>ROUND(F287*AP287,2)</f>
        <v>0</v>
      </c>
      <c r="AY287" s="30" t="s">
        <v>535</v>
      </c>
      <c r="AZ287" s="30" t="s">
        <v>459</v>
      </c>
      <c r="BA287" s="10" t="s">
        <v>63</v>
      </c>
      <c r="BC287" s="28">
        <f>AW287+AX287</f>
        <v>0</v>
      </c>
      <c r="BD287" s="28">
        <f>G287/(100-BE287)*100</f>
        <v>0</v>
      </c>
      <c r="BE287" s="28">
        <v>0</v>
      </c>
      <c r="BF287" s="28">
        <f>293</f>
        <v>293</v>
      </c>
      <c r="BH287" s="28">
        <f>F287*AO287</f>
        <v>0</v>
      </c>
      <c r="BI287" s="28">
        <f>F287*AP287</f>
        <v>0</v>
      </c>
      <c r="BJ287" s="28">
        <f>F287*G287</f>
        <v>0</v>
      </c>
      <c r="BK287" s="28"/>
      <c r="BL287" s="28">
        <v>89</v>
      </c>
      <c r="BW287" s="28">
        <v>21</v>
      </c>
      <c r="BX287" s="4" t="s">
        <v>590</v>
      </c>
    </row>
    <row r="288" spans="1:76" x14ac:dyDescent="0.25">
      <c r="A288" s="31"/>
      <c r="B288" s="35" t="s">
        <v>68</v>
      </c>
      <c r="C288" s="94" t="s">
        <v>591</v>
      </c>
      <c r="D288" s="95"/>
      <c r="E288" s="95"/>
      <c r="F288" s="95"/>
      <c r="G288" s="95"/>
      <c r="H288" s="95"/>
      <c r="I288" s="95"/>
      <c r="J288" s="95"/>
      <c r="K288" s="96"/>
      <c r="BX288" s="36" t="s">
        <v>591</v>
      </c>
    </row>
    <row r="289" spans="1:76" x14ac:dyDescent="0.25">
      <c r="A289" s="2" t="s">
        <v>592</v>
      </c>
      <c r="B289" s="3" t="s">
        <v>593</v>
      </c>
      <c r="C289" s="76" t="s">
        <v>594</v>
      </c>
      <c r="D289" s="71"/>
      <c r="E289" s="3" t="s">
        <v>293</v>
      </c>
      <c r="F289" s="28">
        <v>1</v>
      </c>
      <c r="G289" s="28">
        <v>0</v>
      </c>
      <c r="H289" s="28">
        <f>ROUND(F289*AO289,2)</f>
        <v>0</v>
      </c>
      <c r="I289" s="28">
        <f>ROUND(F289*AP289,2)</f>
        <v>0</v>
      </c>
      <c r="J289" s="28">
        <f>ROUND(F289*G289,2)</f>
        <v>0</v>
      </c>
      <c r="K289" s="29" t="s">
        <v>424</v>
      </c>
      <c r="Z289" s="28">
        <f>ROUND(IF(AQ289="5",BJ289,0),2)</f>
        <v>0</v>
      </c>
      <c r="AB289" s="28">
        <f>ROUND(IF(AQ289="1",BH289,0),2)</f>
        <v>0</v>
      </c>
      <c r="AC289" s="28">
        <f>ROUND(IF(AQ289="1",BI289,0),2)</f>
        <v>0</v>
      </c>
      <c r="AD289" s="28">
        <f>ROUND(IF(AQ289="7",BH289,0),2)</f>
        <v>0</v>
      </c>
      <c r="AE289" s="28">
        <f>ROUND(IF(AQ289="7",BI289,0),2)</f>
        <v>0</v>
      </c>
      <c r="AF289" s="28">
        <f>ROUND(IF(AQ289="2",BH289,0),2)</f>
        <v>0</v>
      </c>
      <c r="AG289" s="28">
        <f>ROUND(IF(AQ289="2",BI289,0),2)</f>
        <v>0</v>
      </c>
      <c r="AH289" s="28">
        <f>ROUND(IF(AQ289="0",BJ289,0),2)</f>
        <v>0</v>
      </c>
      <c r="AI289" s="10" t="s">
        <v>55</v>
      </c>
      <c r="AJ289" s="28">
        <f>IF(AN289=0,J289,0)</f>
        <v>0</v>
      </c>
      <c r="AK289" s="28">
        <f>IF(AN289=12,J289,0)</f>
        <v>0</v>
      </c>
      <c r="AL289" s="28">
        <f>IF(AN289=21,J289,0)</f>
        <v>0</v>
      </c>
      <c r="AN289" s="28">
        <v>21</v>
      </c>
      <c r="AO289" s="28">
        <f>G289*0.366270376</f>
        <v>0</v>
      </c>
      <c r="AP289" s="28">
        <f>G289*(1-0.366270376)</f>
        <v>0</v>
      </c>
      <c r="AQ289" s="30" t="s">
        <v>56</v>
      </c>
      <c r="AV289" s="28">
        <f>ROUND(AW289+AX289,2)</f>
        <v>0</v>
      </c>
      <c r="AW289" s="28">
        <f>ROUND(F289*AO289,2)</f>
        <v>0</v>
      </c>
      <c r="AX289" s="28">
        <f>ROUND(F289*AP289,2)</f>
        <v>0</v>
      </c>
      <c r="AY289" s="30" t="s">
        <v>535</v>
      </c>
      <c r="AZ289" s="30" t="s">
        <v>459</v>
      </c>
      <c r="BA289" s="10" t="s">
        <v>63</v>
      </c>
      <c r="BC289" s="28">
        <f>AW289+AX289</f>
        <v>0</v>
      </c>
      <c r="BD289" s="28">
        <f>G289/(100-BE289)*100</f>
        <v>0</v>
      </c>
      <c r="BE289" s="28">
        <v>0</v>
      </c>
      <c r="BF289" s="28">
        <f>295</f>
        <v>295</v>
      </c>
      <c r="BH289" s="28">
        <f>F289*AO289</f>
        <v>0</v>
      </c>
      <c r="BI289" s="28">
        <f>F289*AP289</f>
        <v>0</v>
      </c>
      <c r="BJ289" s="28">
        <f>F289*G289</f>
        <v>0</v>
      </c>
      <c r="BK289" s="28"/>
      <c r="BL289" s="28">
        <v>89</v>
      </c>
      <c r="BW289" s="28">
        <v>21</v>
      </c>
      <c r="BX289" s="4" t="s">
        <v>594</v>
      </c>
    </row>
    <row r="290" spans="1:76" ht="13.5" customHeight="1" x14ac:dyDescent="0.25">
      <c r="A290" s="31"/>
      <c r="B290" s="35" t="s">
        <v>105</v>
      </c>
      <c r="C290" s="97" t="s">
        <v>595</v>
      </c>
      <c r="D290" s="98"/>
      <c r="E290" s="98"/>
      <c r="F290" s="98"/>
      <c r="G290" s="98"/>
      <c r="H290" s="98"/>
      <c r="I290" s="98"/>
      <c r="J290" s="98"/>
      <c r="K290" s="99"/>
    </row>
    <row r="291" spans="1:76" x14ac:dyDescent="0.25">
      <c r="A291" s="31"/>
      <c r="B291" s="35" t="s">
        <v>68</v>
      </c>
      <c r="C291" s="94" t="s">
        <v>4</v>
      </c>
      <c r="D291" s="95"/>
      <c r="E291" s="95"/>
      <c r="F291" s="95"/>
      <c r="G291" s="95"/>
      <c r="H291" s="95"/>
      <c r="I291" s="95"/>
      <c r="J291" s="95"/>
      <c r="K291" s="96"/>
      <c r="BX291" s="36" t="s">
        <v>4</v>
      </c>
    </row>
    <row r="292" spans="1:76" x14ac:dyDescent="0.25">
      <c r="A292" s="2" t="s">
        <v>596</v>
      </c>
      <c r="B292" s="3" t="s">
        <v>597</v>
      </c>
      <c r="C292" s="76" t="s">
        <v>598</v>
      </c>
      <c r="D292" s="71"/>
      <c r="E292" s="3" t="s">
        <v>293</v>
      </c>
      <c r="F292" s="28">
        <v>1</v>
      </c>
      <c r="G292" s="28">
        <v>0</v>
      </c>
      <c r="H292" s="28">
        <f>ROUND(F292*AO292,2)</f>
        <v>0</v>
      </c>
      <c r="I292" s="28">
        <f>ROUND(F292*AP292,2)</f>
        <v>0</v>
      </c>
      <c r="J292" s="28">
        <f>ROUND(F292*G292,2)</f>
        <v>0</v>
      </c>
      <c r="K292" s="29" t="s">
        <v>424</v>
      </c>
      <c r="Z292" s="28">
        <f>ROUND(IF(AQ292="5",BJ292,0),2)</f>
        <v>0</v>
      </c>
      <c r="AB292" s="28">
        <f>ROUND(IF(AQ292="1",BH292,0),2)</f>
        <v>0</v>
      </c>
      <c r="AC292" s="28">
        <f>ROUND(IF(AQ292="1",BI292,0),2)</f>
        <v>0</v>
      </c>
      <c r="AD292" s="28">
        <f>ROUND(IF(AQ292="7",BH292,0),2)</f>
        <v>0</v>
      </c>
      <c r="AE292" s="28">
        <f>ROUND(IF(AQ292="7",BI292,0),2)</f>
        <v>0</v>
      </c>
      <c r="AF292" s="28">
        <f>ROUND(IF(AQ292="2",BH292,0),2)</f>
        <v>0</v>
      </c>
      <c r="AG292" s="28">
        <f>ROUND(IF(AQ292="2",BI292,0),2)</f>
        <v>0</v>
      </c>
      <c r="AH292" s="28">
        <f>ROUND(IF(AQ292="0",BJ292,0),2)</f>
        <v>0</v>
      </c>
      <c r="AI292" s="10" t="s">
        <v>55</v>
      </c>
      <c r="AJ292" s="28">
        <f>IF(AN292=0,J292,0)</f>
        <v>0</v>
      </c>
      <c r="AK292" s="28">
        <f>IF(AN292=12,J292,0)</f>
        <v>0</v>
      </c>
      <c r="AL292" s="28">
        <f>IF(AN292=21,J292,0)</f>
        <v>0</v>
      </c>
      <c r="AN292" s="28">
        <v>21</v>
      </c>
      <c r="AO292" s="28">
        <f>G292*0.416552611</f>
        <v>0</v>
      </c>
      <c r="AP292" s="28">
        <f>G292*(1-0.416552611)</f>
        <v>0</v>
      </c>
      <c r="AQ292" s="30" t="s">
        <v>56</v>
      </c>
      <c r="AV292" s="28">
        <f>ROUND(AW292+AX292,2)</f>
        <v>0</v>
      </c>
      <c r="AW292" s="28">
        <f>ROUND(F292*AO292,2)</f>
        <v>0</v>
      </c>
      <c r="AX292" s="28">
        <f>ROUND(F292*AP292,2)</f>
        <v>0</v>
      </c>
      <c r="AY292" s="30" t="s">
        <v>535</v>
      </c>
      <c r="AZ292" s="30" t="s">
        <v>459</v>
      </c>
      <c r="BA292" s="10" t="s">
        <v>63</v>
      </c>
      <c r="BC292" s="28">
        <f>AW292+AX292</f>
        <v>0</v>
      </c>
      <c r="BD292" s="28">
        <f>G292/(100-BE292)*100</f>
        <v>0</v>
      </c>
      <c r="BE292" s="28">
        <v>0</v>
      </c>
      <c r="BF292" s="28">
        <f>298</f>
        <v>298</v>
      </c>
      <c r="BH292" s="28">
        <f>F292*AO292</f>
        <v>0</v>
      </c>
      <c r="BI292" s="28">
        <f>F292*AP292</f>
        <v>0</v>
      </c>
      <c r="BJ292" s="28">
        <f>F292*G292</f>
        <v>0</v>
      </c>
      <c r="BK292" s="28"/>
      <c r="BL292" s="28">
        <v>89</v>
      </c>
      <c r="BW292" s="28">
        <v>21</v>
      </c>
      <c r="BX292" s="4" t="s">
        <v>598</v>
      </c>
    </row>
    <row r="293" spans="1:76" ht="13.5" customHeight="1" x14ac:dyDescent="0.25">
      <c r="A293" s="31"/>
      <c r="B293" s="35" t="s">
        <v>105</v>
      </c>
      <c r="C293" s="97" t="s">
        <v>599</v>
      </c>
      <c r="D293" s="98"/>
      <c r="E293" s="98"/>
      <c r="F293" s="98"/>
      <c r="G293" s="98"/>
      <c r="H293" s="98"/>
      <c r="I293" s="98"/>
      <c r="J293" s="98"/>
      <c r="K293" s="99"/>
    </row>
    <row r="294" spans="1:76" x14ac:dyDescent="0.25">
      <c r="A294" s="24" t="s">
        <v>51</v>
      </c>
      <c r="B294" s="25" t="s">
        <v>583</v>
      </c>
      <c r="C294" s="87" t="s">
        <v>600</v>
      </c>
      <c r="D294" s="88"/>
      <c r="E294" s="26" t="s">
        <v>4</v>
      </c>
      <c r="F294" s="26" t="s">
        <v>4</v>
      </c>
      <c r="G294" s="26" t="s">
        <v>4</v>
      </c>
      <c r="H294" s="1">
        <f>SUM(H295:H301)</f>
        <v>0</v>
      </c>
      <c r="I294" s="1">
        <f>SUM(I295:I301)</f>
        <v>0</v>
      </c>
      <c r="J294" s="1">
        <f>SUM(J295:J301)</f>
        <v>0</v>
      </c>
      <c r="K294" s="27" t="s">
        <v>51</v>
      </c>
      <c r="AI294" s="10" t="s">
        <v>55</v>
      </c>
      <c r="AS294" s="1">
        <f>SUM(AJ295:AJ301)</f>
        <v>0</v>
      </c>
      <c r="AT294" s="1">
        <f>SUM(AK295:AK301)</f>
        <v>0</v>
      </c>
      <c r="AU294" s="1">
        <f>SUM(AL295:AL301)</f>
        <v>0</v>
      </c>
    </row>
    <row r="295" spans="1:76" x14ac:dyDescent="0.25">
      <c r="A295" s="2" t="s">
        <v>601</v>
      </c>
      <c r="B295" s="3" t="s">
        <v>602</v>
      </c>
      <c r="C295" s="76" t="s">
        <v>603</v>
      </c>
      <c r="D295" s="71"/>
      <c r="E295" s="3" t="s">
        <v>59</v>
      </c>
      <c r="F295" s="28">
        <v>1.41</v>
      </c>
      <c r="G295" s="28">
        <v>0</v>
      </c>
      <c r="H295" s="28">
        <f>ROUND(F295*AO295,2)</f>
        <v>0</v>
      </c>
      <c r="I295" s="28">
        <f>ROUND(F295*AP295,2)</f>
        <v>0</v>
      </c>
      <c r="J295" s="28">
        <f>ROUND(F295*G295,2)</f>
        <v>0</v>
      </c>
      <c r="K295" s="29" t="s">
        <v>60</v>
      </c>
      <c r="Z295" s="28">
        <f>ROUND(IF(AQ295="5",BJ295,0),2)</f>
        <v>0</v>
      </c>
      <c r="AB295" s="28">
        <f>ROUND(IF(AQ295="1",BH295,0),2)</f>
        <v>0</v>
      </c>
      <c r="AC295" s="28">
        <f>ROUND(IF(AQ295="1",BI295,0),2)</f>
        <v>0</v>
      </c>
      <c r="AD295" s="28">
        <f>ROUND(IF(AQ295="7",BH295,0),2)</f>
        <v>0</v>
      </c>
      <c r="AE295" s="28">
        <f>ROUND(IF(AQ295="7",BI295,0),2)</f>
        <v>0</v>
      </c>
      <c r="AF295" s="28">
        <f>ROUND(IF(AQ295="2",BH295,0),2)</f>
        <v>0</v>
      </c>
      <c r="AG295" s="28">
        <f>ROUND(IF(AQ295="2",BI295,0),2)</f>
        <v>0</v>
      </c>
      <c r="AH295" s="28">
        <f>ROUND(IF(AQ295="0",BJ295,0),2)</f>
        <v>0</v>
      </c>
      <c r="AI295" s="10" t="s">
        <v>55</v>
      </c>
      <c r="AJ295" s="28">
        <f>IF(AN295=0,J295,0)</f>
        <v>0</v>
      </c>
      <c r="AK295" s="28">
        <f>IF(AN295=12,J295,0)</f>
        <v>0</v>
      </c>
      <c r="AL295" s="28">
        <f>IF(AN295=21,J295,0)</f>
        <v>0</v>
      </c>
      <c r="AN295" s="28">
        <v>21</v>
      </c>
      <c r="AO295" s="28">
        <f>G295*0.199963907</f>
        <v>0</v>
      </c>
      <c r="AP295" s="28">
        <f>G295*(1-0.199963907)</f>
        <v>0</v>
      </c>
      <c r="AQ295" s="30" t="s">
        <v>56</v>
      </c>
      <c r="AV295" s="28">
        <f>ROUND(AW295+AX295,2)</f>
        <v>0</v>
      </c>
      <c r="AW295" s="28">
        <f>ROUND(F295*AO295,2)</f>
        <v>0</v>
      </c>
      <c r="AX295" s="28">
        <f>ROUND(F295*AP295,2)</f>
        <v>0</v>
      </c>
      <c r="AY295" s="30" t="s">
        <v>604</v>
      </c>
      <c r="AZ295" s="30" t="s">
        <v>605</v>
      </c>
      <c r="BA295" s="10" t="s">
        <v>63</v>
      </c>
      <c r="BC295" s="28">
        <f>AW295+AX295</f>
        <v>0</v>
      </c>
      <c r="BD295" s="28">
        <f>G295/(100-BE295)*100</f>
        <v>0</v>
      </c>
      <c r="BE295" s="28">
        <v>0</v>
      </c>
      <c r="BF295" s="28">
        <f>301</f>
        <v>301</v>
      </c>
      <c r="BH295" s="28">
        <f>F295*AO295</f>
        <v>0</v>
      </c>
      <c r="BI295" s="28">
        <f>F295*AP295</f>
        <v>0</v>
      </c>
      <c r="BJ295" s="28">
        <f>F295*G295</f>
        <v>0</v>
      </c>
      <c r="BK295" s="28"/>
      <c r="BL295" s="28">
        <v>93</v>
      </c>
      <c r="BW295" s="28">
        <v>21</v>
      </c>
      <c r="BX295" s="4" t="s">
        <v>603</v>
      </c>
    </row>
    <row r="296" spans="1:76" x14ac:dyDescent="0.25">
      <c r="A296" s="31"/>
      <c r="C296" s="32" t="s">
        <v>606</v>
      </c>
      <c r="D296" s="32" t="s">
        <v>607</v>
      </c>
      <c r="F296" s="33">
        <v>1.41</v>
      </c>
      <c r="K296" s="34"/>
    </row>
    <row r="297" spans="1:76" x14ac:dyDescent="0.25">
      <c r="A297" s="2" t="s">
        <v>608</v>
      </c>
      <c r="B297" s="3" t="s">
        <v>609</v>
      </c>
      <c r="C297" s="76" t="s">
        <v>610</v>
      </c>
      <c r="D297" s="71"/>
      <c r="E297" s="3" t="s">
        <v>188</v>
      </c>
      <c r="F297" s="28">
        <v>55.6</v>
      </c>
      <c r="G297" s="28">
        <v>0</v>
      </c>
      <c r="H297" s="28">
        <f>ROUND(F297*AO297,2)</f>
        <v>0</v>
      </c>
      <c r="I297" s="28">
        <f>ROUND(F297*AP297,2)</f>
        <v>0</v>
      </c>
      <c r="J297" s="28">
        <f>ROUND(F297*G297,2)</f>
        <v>0</v>
      </c>
      <c r="K297" s="29" t="s">
        <v>60</v>
      </c>
      <c r="Z297" s="28">
        <f>ROUND(IF(AQ297="5",BJ297,0),2)</f>
        <v>0</v>
      </c>
      <c r="AB297" s="28">
        <f>ROUND(IF(AQ297="1",BH297,0),2)</f>
        <v>0</v>
      </c>
      <c r="AC297" s="28">
        <f>ROUND(IF(AQ297="1",BI297,0),2)</f>
        <v>0</v>
      </c>
      <c r="AD297" s="28">
        <f>ROUND(IF(AQ297="7",BH297,0),2)</f>
        <v>0</v>
      </c>
      <c r="AE297" s="28">
        <f>ROUND(IF(AQ297="7",BI297,0),2)</f>
        <v>0</v>
      </c>
      <c r="AF297" s="28">
        <f>ROUND(IF(AQ297="2",BH297,0),2)</f>
        <v>0</v>
      </c>
      <c r="AG297" s="28">
        <f>ROUND(IF(AQ297="2",BI297,0),2)</f>
        <v>0</v>
      </c>
      <c r="AH297" s="28">
        <f>ROUND(IF(AQ297="0",BJ297,0),2)</f>
        <v>0</v>
      </c>
      <c r="AI297" s="10" t="s">
        <v>55</v>
      </c>
      <c r="AJ297" s="28">
        <f>IF(AN297=0,J297,0)</f>
        <v>0</v>
      </c>
      <c r="AK297" s="28">
        <f>IF(AN297=12,J297,0)</f>
        <v>0</v>
      </c>
      <c r="AL297" s="28">
        <f>IF(AN297=21,J297,0)</f>
        <v>0</v>
      </c>
      <c r="AN297" s="28">
        <v>21</v>
      </c>
      <c r="AO297" s="28">
        <f>G297*0.698770343</f>
        <v>0</v>
      </c>
      <c r="AP297" s="28">
        <f>G297*(1-0.698770343)</f>
        <v>0</v>
      </c>
      <c r="AQ297" s="30" t="s">
        <v>56</v>
      </c>
      <c r="AV297" s="28">
        <f>ROUND(AW297+AX297,2)</f>
        <v>0</v>
      </c>
      <c r="AW297" s="28">
        <f>ROUND(F297*AO297,2)</f>
        <v>0</v>
      </c>
      <c r="AX297" s="28">
        <f>ROUND(F297*AP297,2)</f>
        <v>0</v>
      </c>
      <c r="AY297" s="30" t="s">
        <v>604</v>
      </c>
      <c r="AZ297" s="30" t="s">
        <v>605</v>
      </c>
      <c r="BA297" s="10" t="s">
        <v>63</v>
      </c>
      <c r="BC297" s="28">
        <f>AW297+AX297</f>
        <v>0</v>
      </c>
      <c r="BD297" s="28">
        <f>G297/(100-BE297)*100</f>
        <v>0</v>
      </c>
      <c r="BE297" s="28">
        <v>0</v>
      </c>
      <c r="BF297" s="28">
        <f>303</f>
        <v>303</v>
      </c>
      <c r="BH297" s="28">
        <f>F297*AO297</f>
        <v>0</v>
      </c>
      <c r="BI297" s="28">
        <f>F297*AP297</f>
        <v>0</v>
      </c>
      <c r="BJ297" s="28">
        <f>F297*G297</f>
        <v>0</v>
      </c>
      <c r="BK297" s="28"/>
      <c r="BL297" s="28">
        <v>93</v>
      </c>
      <c r="BW297" s="28">
        <v>21</v>
      </c>
      <c r="BX297" s="4" t="s">
        <v>610</v>
      </c>
    </row>
    <row r="298" spans="1:76" x14ac:dyDescent="0.25">
      <c r="A298" s="31"/>
      <c r="C298" s="32" t="s">
        <v>611</v>
      </c>
      <c r="D298" s="32" t="s">
        <v>51</v>
      </c>
      <c r="F298" s="33">
        <v>55.6</v>
      </c>
      <c r="K298" s="34"/>
    </row>
    <row r="299" spans="1:76" ht="38.25" x14ac:dyDescent="0.25">
      <c r="A299" s="31"/>
      <c r="B299" s="35" t="s">
        <v>68</v>
      </c>
      <c r="C299" s="94" t="s">
        <v>612</v>
      </c>
      <c r="D299" s="95"/>
      <c r="E299" s="95"/>
      <c r="F299" s="95"/>
      <c r="G299" s="95"/>
      <c r="H299" s="95"/>
      <c r="I299" s="95"/>
      <c r="J299" s="95"/>
      <c r="K299" s="96"/>
      <c r="BX299" s="36" t="s">
        <v>612</v>
      </c>
    </row>
    <row r="300" spans="1:76" x14ac:dyDescent="0.25">
      <c r="A300" s="2" t="s">
        <v>613</v>
      </c>
      <c r="B300" s="3" t="s">
        <v>614</v>
      </c>
      <c r="C300" s="76" t="s">
        <v>615</v>
      </c>
      <c r="D300" s="71"/>
      <c r="E300" s="3" t="s">
        <v>59</v>
      </c>
      <c r="F300" s="28">
        <v>280.5</v>
      </c>
      <c r="G300" s="28">
        <v>0</v>
      </c>
      <c r="H300" s="28">
        <f>ROUND(F300*AO300,2)</f>
        <v>0</v>
      </c>
      <c r="I300" s="28">
        <f>ROUND(F300*AP300,2)</f>
        <v>0</v>
      </c>
      <c r="J300" s="28">
        <f>ROUND(F300*G300,2)</f>
        <v>0</v>
      </c>
      <c r="K300" s="29" t="s">
        <v>60</v>
      </c>
      <c r="Z300" s="28">
        <f>ROUND(IF(AQ300="5",BJ300,0),2)</f>
        <v>0</v>
      </c>
      <c r="AB300" s="28">
        <f>ROUND(IF(AQ300="1",BH300,0),2)</f>
        <v>0</v>
      </c>
      <c r="AC300" s="28">
        <f>ROUND(IF(AQ300="1",BI300,0),2)</f>
        <v>0</v>
      </c>
      <c r="AD300" s="28">
        <f>ROUND(IF(AQ300="7",BH300,0),2)</f>
        <v>0</v>
      </c>
      <c r="AE300" s="28">
        <f>ROUND(IF(AQ300="7",BI300,0),2)</f>
        <v>0</v>
      </c>
      <c r="AF300" s="28">
        <f>ROUND(IF(AQ300="2",BH300,0),2)</f>
        <v>0</v>
      </c>
      <c r="AG300" s="28">
        <f>ROUND(IF(AQ300="2",BI300,0),2)</f>
        <v>0</v>
      </c>
      <c r="AH300" s="28">
        <f>ROUND(IF(AQ300="0",BJ300,0),2)</f>
        <v>0</v>
      </c>
      <c r="AI300" s="10" t="s">
        <v>55</v>
      </c>
      <c r="AJ300" s="28">
        <f>IF(AN300=0,J300,0)</f>
        <v>0</v>
      </c>
      <c r="AK300" s="28">
        <f>IF(AN300=12,J300,0)</f>
        <v>0</v>
      </c>
      <c r="AL300" s="28">
        <f>IF(AN300=21,J300,0)</f>
        <v>0</v>
      </c>
      <c r="AN300" s="28">
        <v>21</v>
      </c>
      <c r="AO300" s="28">
        <f>G300*0</f>
        <v>0</v>
      </c>
      <c r="AP300" s="28">
        <f>G300*(1-0)</f>
        <v>0</v>
      </c>
      <c r="AQ300" s="30" t="s">
        <v>56</v>
      </c>
      <c r="AV300" s="28">
        <f>ROUND(AW300+AX300,2)</f>
        <v>0</v>
      </c>
      <c r="AW300" s="28">
        <f>ROUND(F300*AO300,2)</f>
        <v>0</v>
      </c>
      <c r="AX300" s="28">
        <f>ROUND(F300*AP300,2)</f>
        <v>0</v>
      </c>
      <c r="AY300" s="30" t="s">
        <v>604</v>
      </c>
      <c r="AZ300" s="30" t="s">
        <v>605</v>
      </c>
      <c r="BA300" s="10" t="s">
        <v>63</v>
      </c>
      <c r="BC300" s="28">
        <f>AW300+AX300</f>
        <v>0</v>
      </c>
      <c r="BD300" s="28">
        <f>G300/(100-BE300)*100</f>
        <v>0</v>
      </c>
      <c r="BE300" s="28">
        <v>0</v>
      </c>
      <c r="BF300" s="28">
        <f>306</f>
        <v>306</v>
      </c>
      <c r="BH300" s="28">
        <f>F300*AO300</f>
        <v>0</v>
      </c>
      <c r="BI300" s="28">
        <f>F300*AP300</f>
        <v>0</v>
      </c>
      <c r="BJ300" s="28">
        <f>F300*G300</f>
        <v>0</v>
      </c>
      <c r="BK300" s="28"/>
      <c r="BL300" s="28">
        <v>93</v>
      </c>
      <c r="BW300" s="28">
        <v>21</v>
      </c>
      <c r="BX300" s="4" t="s">
        <v>615</v>
      </c>
    </row>
    <row r="301" spans="1:76" x14ac:dyDescent="0.25">
      <c r="A301" s="2" t="s">
        <v>616</v>
      </c>
      <c r="B301" s="3" t="s">
        <v>617</v>
      </c>
      <c r="C301" s="76" t="s">
        <v>618</v>
      </c>
      <c r="D301" s="71"/>
      <c r="E301" s="3" t="s">
        <v>59</v>
      </c>
      <c r="F301" s="28">
        <v>280.5</v>
      </c>
      <c r="G301" s="28">
        <v>0</v>
      </c>
      <c r="H301" s="28">
        <f>ROUND(F301*AO301,2)</f>
        <v>0</v>
      </c>
      <c r="I301" s="28">
        <f>ROUND(F301*AP301,2)</f>
        <v>0</v>
      </c>
      <c r="J301" s="28">
        <f>ROUND(F301*G301,2)</f>
        <v>0</v>
      </c>
      <c r="K301" s="29" t="s">
        <v>60</v>
      </c>
      <c r="Z301" s="28">
        <f>ROUND(IF(AQ301="5",BJ301,0),2)</f>
        <v>0</v>
      </c>
      <c r="AB301" s="28">
        <f>ROUND(IF(AQ301="1",BH301,0),2)</f>
        <v>0</v>
      </c>
      <c r="AC301" s="28">
        <f>ROUND(IF(AQ301="1",BI301,0),2)</f>
        <v>0</v>
      </c>
      <c r="AD301" s="28">
        <f>ROUND(IF(AQ301="7",BH301,0),2)</f>
        <v>0</v>
      </c>
      <c r="AE301" s="28">
        <f>ROUND(IF(AQ301="7",BI301,0),2)</f>
        <v>0</v>
      </c>
      <c r="AF301" s="28">
        <f>ROUND(IF(AQ301="2",BH301,0),2)</f>
        <v>0</v>
      </c>
      <c r="AG301" s="28">
        <f>ROUND(IF(AQ301="2",BI301,0),2)</f>
        <v>0</v>
      </c>
      <c r="AH301" s="28">
        <f>ROUND(IF(AQ301="0",BJ301,0),2)</f>
        <v>0</v>
      </c>
      <c r="AI301" s="10" t="s">
        <v>55</v>
      </c>
      <c r="AJ301" s="28">
        <f>IF(AN301=0,J301,0)</f>
        <v>0</v>
      </c>
      <c r="AK301" s="28">
        <f>IF(AN301=12,J301,0)</f>
        <v>0</v>
      </c>
      <c r="AL301" s="28">
        <f>IF(AN301=21,J301,0)</f>
        <v>0</v>
      </c>
      <c r="AN301" s="28">
        <v>21</v>
      </c>
      <c r="AO301" s="28">
        <f>G301*0.751896849</f>
        <v>0</v>
      </c>
      <c r="AP301" s="28">
        <f>G301*(1-0.751896849)</f>
        <v>0</v>
      </c>
      <c r="AQ301" s="30" t="s">
        <v>56</v>
      </c>
      <c r="AV301" s="28">
        <f>ROUND(AW301+AX301,2)</f>
        <v>0</v>
      </c>
      <c r="AW301" s="28">
        <f>ROUND(F301*AO301,2)</f>
        <v>0</v>
      </c>
      <c r="AX301" s="28">
        <f>ROUND(F301*AP301,2)</f>
        <v>0</v>
      </c>
      <c r="AY301" s="30" t="s">
        <v>604</v>
      </c>
      <c r="AZ301" s="30" t="s">
        <v>605</v>
      </c>
      <c r="BA301" s="10" t="s">
        <v>63</v>
      </c>
      <c r="BC301" s="28">
        <f>AW301+AX301</f>
        <v>0</v>
      </c>
      <c r="BD301" s="28">
        <f>G301/(100-BE301)*100</f>
        <v>0</v>
      </c>
      <c r="BE301" s="28">
        <v>0</v>
      </c>
      <c r="BF301" s="28">
        <f>307</f>
        <v>307</v>
      </c>
      <c r="BH301" s="28">
        <f>F301*AO301</f>
        <v>0</v>
      </c>
      <c r="BI301" s="28">
        <f>F301*AP301</f>
        <v>0</v>
      </c>
      <c r="BJ301" s="28">
        <f>F301*G301</f>
        <v>0</v>
      </c>
      <c r="BK301" s="28"/>
      <c r="BL301" s="28">
        <v>93</v>
      </c>
      <c r="BW301" s="28">
        <v>21</v>
      </c>
      <c r="BX301" s="4" t="s">
        <v>618</v>
      </c>
    </row>
    <row r="302" spans="1:76" x14ac:dyDescent="0.25">
      <c r="A302" s="24" t="s">
        <v>51</v>
      </c>
      <c r="B302" s="25" t="s">
        <v>596</v>
      </c>
      <c r="C302" s="87" t="s">
        <v>619</v>
      </c>
      <c r="D302" s="88"/>
      <c r="E302" s="26" t="s">
        <v>4</v>
      </c>
      <c r="F302" s="26" t="s">
        <v>4</v>
      </c>
      <c r="G302" s="26" t="s">
        <v>4</v>
      </c>
      <c r="H302" s="1">
        <f>SUM(H303:H303)</f>
        <v>0</v>
      </c>
      <c r="I302" s="1">
        <f>SUM(I303:I303)</f>
        <v>0</v>
      </c>
      <c r="J302" s="1">
        <f>SUM(J303:J303)</f>
        <v>0</v>
      </c>
      <c r="K302" s="27" t="s">
        <v>51</v>
      </c>
      <c r="AI302" s="10" t="s">
        <v>55</v>
      </c>
      <c r="AS302" s="1">
        <f>SUM(AJ303:AJ303)</f>
        <v>0</v>
      </c>
      <c r="AT302" s="1">
        <f>SUM(AK303:AK303)</f>
        <v>0</v>
      </c>
      <c r="AU302" s="1">
        <f>SUM(AL303:AL303)</f>
        <v>0</v>
      </c>
    </row>
    <row r="303" spans="1:76" x14ac:dyDescent="0.25">
      <c r="A303" s="2" t="s">
        <v>620</v>
      </c>
      <c r="B303" s="3" t="s">
        <v>621</v>
      </c>
      <c r="C303" s="76" t="s">
        <v>622</v>
      </c>
      <c r="D303" s="71"/>
      <c r="E303" s="3" t="s">
        <v>188</v>
      </c>
      <c r="F303" s="28">
        <v>50</v>
      </c>
      <c r="G303" s="28">
        <v>0</v>
      </c>
      <c r="H303" s="28">
        <f>ROUND(F303*AO303,2)</f>
        <v>0</v>
      </c>
      <c r="I303" s="28">
        <f>ROUND(F303*AP303,2)</f>
        <v>0</v>
      </c>
      <c r="J303" s="28">
        <f>ROUND(F303*G303,2)</f>
        <v>0</v>
      </c>
      <c r="K303" s="29" t="s">
        <v>60</v>
      </c>
      <c r="Z303" s="28">
        <f>ROUND(IF(AQ303="5",BJ303,0),2)</f>
        <v>0</v>
      </c>
      <c r="AB303" s="28">
        <f>ROUND(IF(AQ303="1",BH303,0),2)</f>
        <v>0</v>
      </c>
      <c r="AC303" s="28">
        <f>ROUND(IF(AQ303="1",BI303,0),2)</f>
        <v>0</v>
      </c>
      <c r="AD303" s="28">
        <f>ROUND(IF(AQ303="7",BH303,0),2)</f>
        <v>0</v>
      </c>
      <c r="AE303" s="28">
        <f>ROUND(IF(AQ303="7",BI303,0),2)</f>
        <v>0</v>
      </c>
      <c r="AF303" s="28">
        <f>ROUND(IF(AQ303="2",BH303,0),2)</f>
        <v>0</v>
      </c>
      <c r="AG303" s="28">
        <f>ROUND(IF(AQ303="2",BI303,0),2)</f>
        <v>0</v>
      </c>
      <c r="AH303" s="28">
        <f>ROUND(IF(AQ303="0",BJ303,0),2)</f>
        <v>0</v>
      </c>
      <c r="AI303" s="10" t="s">
        <v>55</v>
      </c>
      <c r="AJ303" s="28">
        <f>IF(AN303=0,J303,0)</f>
        <v>0</v>
      </c>
      <c r="AK303" s="28">
        <f>IF(AN303=12,J303,0)</f>
        <v>0</v>
      </c>
      <c r="AL303" s="28">
        <f>IF(AN303=21,J303,0)</f>
        <v>0</v>
      </c>
      <c r="AN303" s="28">
        <v>21</v>
      </c>
      <c r="AO303" s="28">
        <f>G303*0.054863563</f>
        <v>0</v>
      </c>
      <c r="AP303" s="28">
        <f>G303*(1-0.054863563)</f>
        <v>0</v>
      </c>
      <c r="AQ303" s="30" t="s">
        <v>56</v>
      </c>
      <c r="AV303" s="28">
        <f>ROUND(AW303+AX303,2)</f>
        <v>0</v>
      </c>
      <c r="AW303" s="28">
        <f>ROUND(F303*AO303,2)</f>
        <v>0</v>
      </c>
      <c r="AX303" s="28">
        <f>ROUND(F303*AP303,2)</f>
        <v>0</v>
      </c>
      <c r="AY303" s="30" t="s">
        <v>623</v>
      </c>
      <c r="AZ303" s="30" t="s">
        <v>605</v>
      </c>
      <c r="BA303" s="10" t="s">
        <v>63</v>
      </c>
      <c r="BC303" s="28">
        <f>AW303+AX303</f>
        <v>0</v>
      </c>
      <c r="BD303" s="28">
        <f>G303/(100-BE303)*100</f>
        <v>0</v>
      </c>
      <c r="BE303" s="28">
        <v>0</v>
      </c>
      <c r="BF303" s="28">
        <f>309</f>
        <v>309</v>
      </c>
      <c r="BH303" s="28">
        <f>F303*AO303</f>
        <v>0</v>
      </c>
      <c r="BI303" s="28">
        <f>F303*AP303</f>
        <v>0</v>
      </c>
      <c r="BJ303" s="28">
        <f>F303*G303</f>
        <v>0</v>
      </c>
      <c r="BK303" s="28"/>
      <c r="BL303" s="28">
        <v>96</v>
      </c>
      <c r="BW303" s="28">
        <v>21</v>
      </c>
      <c r="BX303" s="4" t="s">
        <v>622</v>
      </c>
    </row>
    <row r="304" spans="1:76" x14ac:dyDescent="0.25">
      <c r="A304" s="31"/>
      <c r="C304" s="32" t="s">
        <v>381</v>
      </c>
      <c r="D304" s="32" t="s">
        <v>51</v>
      </c>
      <c r="F304" s="33">
        <v>50</v>
      </c>
      <c r="K304" s="34"/>
    </row>
    <row r="305" spans="1:76" ht="25.5" x14ac:dyDescent="0.25">
      <c r="A305" s="31"/>
      <c r="B305" s="35" t="s">
        <v>68</v>
      </c>
      <c r="C305" s="94" t="s">
        <v>624</v>
      </c>
      <c r="D305" s="95"/>
      <c r="E305" s="95"/>
      <c r="F305" s="95"/>
      <c r="G305" s="95"/>
      <c r="H305" s="95"/>
      <c r="I305" s="95"/>
      <c r="J305" s="95"/>
      <c r="K305" s="96"/>
      <c r="BX305" s="36" t="s">
        <v>624</v>
      </c>
    </row>
    <row r="306" spans="1:76" x14ac:dyDescent="0.25">
      <c r="A306" s="24" t="s">
        <v>51</v>
      </c>
      <c r="B306" s="25" t="s">
        <v>601</v>
      </c>
      <c r="C306" s="87" t="s">
        <v>625</v>
      </c>
      <c r="D306" s="88"/>
      <c r="E306" s="26" t="s">
        <v>4</v>
      </c>
      <c r="F306" s="26" t="s">
        <v>4</v>
      </c>
      <c r="G306" s="26" t="s">
        <v>4</v>
      </c>
      <c r="H306" s="1">
        <f>SUM(H307:H309)</f>
        <v>0</v>
      </c>
      <c r="I306" s="1">
        <f>SUM(I307:I309)</f>
        <v>0</v>
      </c>
      <c r="J306" s="1">
        <f>SUM(J307:J309)</f>
        <v>0</v>
      </c>
      <c r="K306" s="27" t="s">
        <v>51</v>
      </c>
      <c r="AI306" s="10" t="s">
        <v>55</v>
      </c>
      <c r="AS306" s="1">
        <f>SUM(AJ307:AJ309)</f>
        <v>0</v>
      </c>
      <c r="AT306" s="1">
        <f>SUM(AK307:AK309)</f>
        <v>0</v>
      </c>
      <c r="AU306" s="1">
        <f>SUM(AL307:AL309)</f>
        <v>0</v>
      </c>
    </row>
    <row r="307" spans="1:76" x14ac:dyDescent="0.25">
      <c r="A307" s="2" t="s">
        <v>626</v>
      </c>
      <c r="B307" s="3" t="s">
        <v>627</v>
      </c>
      <c r="C307" s="76" t="s">
        <v>628</v>
      </c>
      <c r="D307" s="71"/>
      <c r="E307" s="3" t="s">
        <v>293</v>
      </c>
      <c r="F307" s="28">
        <v>2</v>
      </c>
      <c r="G307" s="28">
        <v>0</v>
      </c>
      <c r="H307" s="28">
        <f>ROUND(F307*AO307,2)</f>
        <v>0</v>
      </c>
      <c r="I307" s="28">
        <f>ROUND(F307*AP307,2)</f>
        <v>0</v>
      </c>
      <c r="J307" s="28">
        <f>ROUND(F307*G307,2)</f>
        <v>0</v>
      </c>
      <c r="K307" s="29" t="s">
        <v>60</v>
      </c>
      <c r="Z307" s="28">
        <f>ROUND(IF(AQ307="5",BJ307,0),2)</f>
        <v>0</v>
      </c>
      <c r="AB307" s="28">
        <f>ROUND(IF(AQ307="1",BH307,0),2)</f>
        <v>0</v>
      </c>
      <c r="AC307" s="28">
        <f>ROUND(IF(AQ307="1",BI307,0),2)</f>
        <v>0</v>
      </c>
      <c r="AD307" s="28">
        <f>ROUND(IF(AQ307="7",BH307,0),2)</f>
        <v>0</v>
      </c>
      <c r="AE307" s="28">
        <f>ROUND(IF(AQ307="7",BI307,0),2)</f>
        <v>0</v>
      </c>
      <c r="AF307" s="28">
        <f>ROUND(IF(AQ307="2",BH307,0),2)</f>
        <v>0</v>
      </c>
      <c r="AG307" s="28">
        <f>ROUND(IF(AQ307="2",BI307,0),2)</f>
        <v>0</v>
      </c>
      <c r="AH307" s="28">
        <f>ROUND(IF(AQ307="0",BJ307,0),2)</f>
        <v>0</v>
      </c>
      <c r="AI307" s="10" t="s">
        <v>55</v>
      </c>
      <c r="AJ307" s="28">
        <f>IF(AN307=0,J307,0)</f>
        <v>0</v>
      </c>
      <c r="AK307" s="28">
        <f>IF(AN307=12,J307,0)</f>
        <v>0</v>
      </c>
      <c r="AL307" s="28">
        <f>IF(AN307=21,J307,0)</f>
        <v>0</v>
      </c>
      <c r="AN307" s="28">
        <v>21</v>
      </c>
      <c r="AO307" s="28">
        <f>G307*0</f>
        <v>0</v>
      </c>
      <c r="AP307" s="28">
        <f>G307*(1-0)</f>
        <v>0</v>
      </c>
      <c r="AQ307" s="30" t="s">
        <v>56</v>
      </c>
      <c r="AV307" s="28">
        <f>ROUND(AW307+AX307,2)</f>
        <v>0</v>
      </c>
      <c r="AW307" s="28">
        <f>ROUND(F307*AO307,2)</f>
        <v>0</v>
      </c>
      <c r="AX307" s="28">
        <f>ROUND(F307*AP307,2)</f>
        <v>0</v>
      </c>
      <c r="AY307" s="30" t="s">
        <v>629</v>
      </c>
      <c r="AZ307" s="30" t="s">
        <v>605</v>
      </c>
      <c r="BA307" s="10" t="s">
        <v>63</v>
      </c>
      <c r="BC307" s="28">
        <f>AW307+AX307</f>
        <v>0</v>
      </c>
      <c r="BD307" s="28">
        <f>G307/(100-BE307)*100</f>
        <v>0</v>
      </c>
      <c r="BE307" s="28">
        <v>0</v>
      </c>
      <c r="BF307" s="28">
        <f>313</f>
        <v>313</v>
      </c>
      <c r="BH307" s="28">
        <f>F307*AO307</f>
        <v>0</v>
      </c>
      <c r="BI307" s="28">
        <f>F307*AP307</f>
        <v>0</v>
      </c>
      <c r="BJ307" s="28">
        <f>F307*G307</f>
        <v>0</v>
      </c>
      <c r="BK307" s="28"/>
      <c r="BL307" s="28">
        <v>97</v>
      </c>
      <c r="BW307" s="28">
        <v>21</v>
      </c>
      <c r="BX307" s="4" t="s">
        <v>628</v>
      </c>
    </row>
    <row r="308" spans="1:76" ht="25.5" x14ac:dyDescent="0.25">
      <c r="A308" s="31"/>
      <c r="B308" s="35" t="s">
        <v>68</v>
      </c>
      <c r="C308" s="94" t="s">
        <v>624</v>
      </c>
      <c r="D308" s="95"/>
      <c r="E308" s="95"/>
      <c r="F308" s="95"/>
      <c r="G308" s="95"/>
      <c r="H308" s="95"/>
      <c r="I308" s="95"/>
      <c r="J308" s="95"/>
      <c r="K308" s="96"/>
      <c r="BX308" s="36" t="s">
        <v>624</v>
      </c>
    </row>
    <row r="309" spans="1:76" x14ac:dyDescent="0.25">
      <c r="A309" s="2" t="s">
        <v>630</v>
      </c>
      <c r="B309" s="3" t="s">
        <v>631</v>
      </c>
      <c r="C309" s="76" t="s">
        <v>632</v>
      </c>
      <c r="D309" s="71"/>
      <c r="E309" s="3" t="s">
        <v>457</v>
      </c>
      <c r="F309" s="28">
        <v>6</v>
      </c>
      <c r="G309" s="28">
        <v>0</v>
      </c>
      <c r="H309" s="28">
        <f>ROUND(F309*AO309,2)</f>
        <v>0</v>
      </c>
      <c r="I309" s="28">
        <f>ROUND(F309*AP309,2)</f>
        <v>0</v>
      </c>
      <c r="J309" s="28">
        <f>ROUND(F309*G309,2)</f>
        <v>0</v>
      </c>
      <c r="K309" s="29" t="s">
        <v>60</v>
      </c>
      <c r="Z309" s="28">
        <f>ROUND(IF(AQ309="5",BJ309,0),2)</f>
        <v>0</v>
      </c>
      <c r="AB309" s="28">
        <f>ROUND(IF(AQ309="1",BH309,0),2)</f>
        <v>0</v>
      </c>
      <c r="AC309" s="28">
        <f>ROUND(IF(AQ309="1",BI309,0),2)</f>
        <v>0</v>
      </c>
      <c r="AD309" s="28">
        <f>ROUND(IF(AQ309="7",BH309,0),2)</f>
        <v>0</v>
      </c>
      <c r="AE309" s="28">
        <f>ROUND(IF(AQ309="7",BI309,0),2)</f>
        <v>0</v>
      </c>
      <c r="AF309" s="28">
        <f>ROUND(IF(AQ309="2",BH309,0),2)</f>
        <v>0</v>
      </c>
      <c r="AG309" s="28">
        <f>ROUND(IF(AQ309="2",BI309,0),2)</f>
        <v>0</v>
      </c>
      <c r="AH309" s="28">
        <f>ROUND(IF(AQ309="0",BJ309,0),2)</f>
        <v>0</v>
      </c>
      <c r="AI309" s="10" t="s">
        <v>55</v>
      </c>
      <c r="AJ309" s="28">
        <f>IF(AN309=0,J309,0)</f>
        <v>0</v>
      </c>
      <c r="AK309" s="28">
        <f>IF(AN309=12,J309,0)</f>
        <v>0</v>
      </c>
      <c r="AL309" s="28">
        <f>IF(AN309=21,J309,0)</f>
        <v>0</v>
      </c>
      <c r="AN309" s="28">
        <v>21</v>
      </c>
      <c r="AO309" s="28">
        <f>G309*0</f>
        <v>0</v>
      </c>
      <c r="AP309" s="28">
        <f>G309*(1-0)</f>
        <v>0</v>
      </c>
      <c r="AQ309" s="30" t="s">
        <v>56</v>
      </c>
      <c r="AV309" s="28">
        <f>ROUND(AW309+AX309,2)</f>
        <v>0</v>
      </c>
      <c r="AW309" s="28">
        <f>ROUND(F309*AO309,2)</f>
        <v>0</v>
      </c>
      <c r="AX309" s="28">
        <f>ROUND(F309*AP309,2)</f>
        <v>0</v>
      </c>
      <c r="AY309" s="30" t="s">
        <v>629</v>
      </c>
      <c r="AZ309" s="30" t="s">
        <v>605</v>
      </c>
      <c r="BA309" s="10" t="s">
        <v>63</v>
      </c>
      <c r="BC309" s="28">
        <f>AW309+AX309</f>
        <v>0</v>
      </c>
      <c r="BD309" s="28">
        <f>G309/(100-BE309)*100</f>
        <v>0</v>
      </c>
      <c r="BE309" s="28">
        <v>0</v>
      </c>
      <c r="BF309" s="28">
        <f>315</f>
        <v>315</v>
      </c>
      <c r="BH309" s="28">
        <f>F309*AO309</f>
        <v>0</v>
      </c>
      <c r="BI309" s="28">
        <f>F309*AP309</f>
        <v>0</v>
      </c>
      <c r="BJ309" s="28">
        <f>F309*G309</f>
        <v>0</v>
      </c>
      <c r="BK309" s="28"/>
      <c r="BL309" s="28">
        <v>97</v>
      </c>
      <c r="BW309" s="28">
        <v>21</v>
      </c>
      <c r="BX309" s="4" t="s">
        <v>632</v>
      </c>
    </row>
    <row r="310" spans="1:76" ht="13.5" customHeight="1" x14ac:dyDescent="0.25">
      <c r="A310" s="31"/>
      <c r="B310" s="35" t="s">
        <v>105</v>
      </c>
      <c r="C310" s="97" t="s">
        <v>633</v>
      </c>
      <c r="D310" s="98"/>
      <c r="E310" s="98"/>
      <c r="F310" s="98"/>
      <c r="G310" s="98"/>
      <c r="H310" s="98"/>
      <c r="I310" s="98"/>
      <c r="J310" s="98"/>
      <c r="K310" s="99"/>
    </row>
    <row r="311" spans="1:76" x14ac:dyDescent="0.25">
      <c r="A311" s="24" t="s">
        <v>51</v>
      </c>
      <c r="B311" s="25" t="s">
        <v>634</v>
      </c>
      <c r="C311" s="87" t="s">
        <v>635</v>
      </c>
      <c r="D311" s="88"/>
      <c r="E311" s="26" t="s">
        <v>4</v>
      </c>
      <c r="F311" s="26" t="s">
        <v>4</v>
      </c>
      <c r="G311" s="26" t="s">
        <v>4</v>
      </c>
      <c r="H311" s="1">
        <f>SUM(H312:H312)</f>
        <v>0</v>
      </c>
      <c r="I311" s="1">
        <f>SUM(I312:I312)</f>
        <v>0</v>
      </c>
      <c r="J311" s="1">
        <f>SUM(J312:J312)</f>
        <v>0</v>
      </c>
      <c r="K311" s="27" t="s">
        <v>51</v>
      </c>
      <c r="AI311" s="10" t="s">
        <v>55</v>
      </c>
      <c r="AS311" s="1">
        <f>SUM(AJ312:AJ312)</f>
        <v>0</v>
      </c>
      <c r="AT311" s="1">
        <f>SUM(AK312:AK312)</f>
        <v>0</v>
      </c>
      <c r="AU311" s="1">
        <f>SUM(AL312:AL312)</f>
        <v>0</v>
      </c>
    </row>
    <row r="312" spans="1:76" x14ac:dyDescent="0.25">
      <c r="A312" s="2" t="s">
        <v>636</v>
      </c>
      <c r="B312" s="3" t="s">
        <v>637</v>
      </c>
      <c r="C312" s="76" t="s">
        <v>638</v>
      </c>
      <c r="D312" s="71"/>
      <c r="E312" s="3" t="s">
        <v>201</v>
      </c>
      <c r="F312" s="28">
        <v>762.94</v>
      </c>
      <c r="G312" s="28">
        <v>0</v>
      </c>
      <c r="H312" s="28">
        <f>ROUND(F312*AO312,2)</f>
        <v>0</v>
      </c>
      <c r="I312" s="28">
        <f>ROUND(F312*AP312,2)</f>
        <v>0</v>
      </c>
      <c r="J312" s="28">
        <f>ROUND(F312*G312,2)</f>
        <v>0</v>
      </c>
      <c r="K312" s="29" t="s">
        <v>60</v>
      </c>
      <c r="Z312" s="28">
        <f>ROUND(IF(AQ312="5",BJ312,0),2)</f>
        <v>0</v>
      </c>
      <c r="AB312" s="28">
        <f>ROUND(IF(AQ312="1",BH312,0),2)</f>
        <v>0</v>
      </c>
      <c r="AC312" s="28">
        <f>ROUND(IF(AQ312="1",BI312,0),2)</f>
        <v>0</v>
      </c>
      <c r="AD312" s="28">
        <f>ROUND(IF(AQ312="7",BH312,0),2)</f>
        <v>0</v>
      </c>
      <c r="AE312" s="28">
        <f>ROUND(IF(AQ312="7",BI312,0),2)</f>
        <v>0</v>
      </c>
      <c r="AF312" s="28">
        <f>ROUND(IF(AQ312="2",BH312,0),2)</f>
        <v>0</v>
      </c>
      <c r="AG312" s="28">
        <f>ROUND(IF(AQ312="2",BI312,0),2)</f>
        <v>0</v>
      </c>
      <c r="AH312" s="28">
        <f>ROUND(IF(AQ312="0",BJ312,0),2)</f>
        <v>0</v>
      </c>
      <c r="AI312" s="10" t="s">
        <v>55</v>
      </c>
      <c r="AJ312" s="28">
        <f>IF(AN312=0,J312,0)</f>
        <v>0</v>
      </c>
      <c r="AK312" s="28">
        <f>IF(AN312=12,J312,0)</f>
        <v>0</v>
      </c>
      <c r="AL312" s="28">
        <f>IF(AN312=21,J312,0)</f>
        <v>0</v>
      </c>
      <c r="AN312" s="28">
        <v>21</v>
      </c>
      <c r="AO312" s="28">
        <f>G312*0</f>
        <v>0</v>
      </c>
      <c r="AP312" s="28">
        <f>G312*(1-0)</f>
        <v>0</v>
      </c>
      <c r="AQ312" s="30" t="s">
        <v>100</v>
      </c>
      <c r="AV312" s="28">
        <f>ROUND(AW312+AX312,2)</f>
        <v>0</v>
      </c>
      <c r="AW312" s="28">
        <f>ROUND(F312*AO312,2)</f>
        <v>0</v>
      </c>
      <c r="AX312" s="28">
        <f>ROUND(F312*AP312,2)</f>
        <v>0</v>
      </c>
      <c r="AY312" s="30" t="s">
        <v>639</v>
      </c>
      <c r="AZ312" s="30" t="s">
        <v>605</v>
      </c>
      <c r="BA312" s="10" t="s">
        <v>63</v>
      </c>
      <c r="BC312" s="28">
        <f>AW312+AX312</f>
        <v>0</v>
      </c>
      <c r="BD312" s="28">
        <f>G312/(100-BE312)*100</f>
        <v>0</v>
      </c>
      <c r="BE312" s="28">
        <v>0</v>
      </c>
      <c r="BF312" s="28">
        <f>318</f>
        <v>318</v>
      </c>
      <c r="BH312" s="28">
        <f>F312*AO312</f>
        <v>0</v>
      </c>
      <c r="BI312" s="28">
        <f>F312*AP312</f>
        <v>0</v>
      </c>
      <c r="BJ312" s="28">
        <f>F312*G312</f>
        <v>0</v>
      </c>
      <c r="BK312" s="28"/>
      <c r="BL312" s="28"/>
      <c r="BW312" s="28">
        <v>21</v>
      </c>
      <c r="BX312" s="4" t="s">
        <v>638</v>
      </c>
    </row>
    <row r="313" spans="1:76" x14ac:dyDescent="0.25">
      <c r="A313" s="24" t="s">
        <v>51</v>
      </c>
      <c r="B313" s="25" t="s">
        <v>51</v>
      </c>
      <c r="C313" s="87" t="s">
        <v>640</v>
      </c>
      <c r="D313" s="88"/>
      <c r="E313" s="26" t="s">
        <v>4</v>
      </c>
      <c r="F313" s="26" t="s">
        <v>4</v>
      </c>
      <c r="G313" s="26" t="s">
        <v>4</v>
      </c>
      <c r="H313" s="1">
        <f>H314+H322+H333+H341+H348+H351+H356+H362</f>
        <v>0</v>
      </c>
      <c r="I313" s="1">
        <f>I314+I322+I333+I341+I348+I351+I356+I362</f>
        <v>0</v>
      </c>
      <c r="J313" s="1">
        <f>J314+J322+J333+J341+J348+J351+J356+J362</f>
        <v>0</v>
      </c>
      <c r="K313" s="27" t="s">
        <v>51</v>
      </c>
    </row>
    <row r="314" spans="1:76" x14ac:dyDescent="0.25">
      <c r="A314" s="24" t="s">
        <v>51</v>
      </c>
      <c r="B314" s="25" t="s">
        <v>53</v>
      </c>
      <c r="C314" s="87" t="s">
        <v>54</v>
      </c>
      <c r="D314" s="88"/>
      <c r="E314" s="26" t="s">
        <v>4</v>
      </c>
      <c r="F314" s="26" t="s">
        <v>4</v>
      </c>
      <c r="G314" s="26" t="s">
        <v>4</v>
      </c>
      <c r="H314" s="1">
        <f>SUM(H315:H320)</f>
        <v>0</v>
      </c>
      <c r="I314" s="1">
        <f>SUM(I315:I320)</f>
        <v>0</v>
      </c>
      <c r="J314" s="1">
        <f>SUM(J315:J320)</f>
        <v>0</v>
      </c>
      <c r="K314" s="27" t="s">
        <v>51</v>
      </c>
      <c r="AI314" s="10" t="s">
        <v>641</v>
      </c>
      <c r="AS314" s="1">
        <f>SUM(AJ315:AJ320)</f>
        <v>0</v>
      </c>
      <c r="AT314" s="1">
        <f>SUM(AK315:AK320)</f>
        <v>0</v>
      </c>
      <c r="AU314" s="1">
        <f>SUM(AL315:AL320)</f>
        <v>0</v>
      </c>
    </row>
    <row r="315" spans="1:76" x14ac:dyDescent="0.25">
      <c r="A315" s="2" t="s">
        <v>642</v>
      </c>
      <c r="B315" s="3" t="s">
        <v>643</v>
      </c>
      <c r="C315" s="76" t="s">
        <v>644</v>
      </c>
      <c r="D315" s="71"/>
      <c r="E315" s="3" t="s">
        <v>59</v>
      </c>
      <c r="F315" s="28">
        <v>14.4</v>
      </c>
      <c r="G315" s="28">
        <v>0</v>
      </c>
      <c r="H315" s="28">
        <f>ROUND(F315*AO315,2)</f>
        <v>0</v>
      </c>
      <c r="I315" s="28">
        <f>ROUND(F315*AP315,2)</f>
        <v>0</v>
      </c>
      <c r="J315" s="28">
        <f>ROUND(F315*G315,2)</f>
        <v>0</v>
      </c>
      <c r="K315" s="29" t="s">
        <v>60</v>
      </c>
      <c r="Z315" s="28">
        <f>ROUND(IF(AQ315="5",BJ315,0),2)</f>
        <v>0</v>
      </c>
      <c r="AB315" s="28">
        <f>ROUND(IF(AQ315="1",BH315,0),2)</f>
        <v>0</v>
      </c>
      <c r="AC315" s="28">
        <f>ROUND(IF(AQ315="1",BI315,0),2)</f>
        <v>0</v>
      </c>
      <c r="AD315" s="28">
        <f>ROUND(IF(AQ315="7",BH315,0),2)</f>
        <v>0</v>
      </c>
      <c r="AE315" s="28">
        <f>ROUND(IF(AQ315="7",BI315,0),2)</f>
        <v>0</v>
      </c>
      <c r="AF315" s="28">
        <f>ROUND(IF(AQ315="2",BH315,0),2)</f>
        <v>0</v>
      </c>
      <c r="AG315" s="28">
        <f>ROUND(IF(AQ315="2",BI315,0),2)</f>
        <v>0</v>
      </c>
      <c r="AH315" s="28">
        <f>ROUND(IF(AQ315="0",BJ315,0),2)</f>
        <v>0</v>
      </c>
      <c r="AI315" s="10" t="s">
        <v>641</v>
      </c>
      <c r="AJ315" s="28">
        <f>IF(AN315=0,J315,0)</f>
        <v>0</v>
      </c>
      <c r="AK315" s="28">
        <f>IF(AN315=12,J315,0)</f>
        <v>0</v>
      </c>
      <c r="AL315" s="28">
        <f>IF(AN315=21,J315,0)</f>
        <v>0</v>
      </c>
      <c r="AN315" s="28">
        <v>21</v>
      </c>
      <c r="AO315" s="28">
        <f>G315*0</f>
        <v>0</v>
      </c>
      <c r="AP315" s="28">
        <f>G315*(1-0)</f>
        <v>0</v>
      </c>
      <c r="AQ315" s="30" t="s">
        <v>56</v>
      </c>
      <c r="AV315" s="28">
        <f>ROUND(AW315+AX315,2)</f>
        <v>0</v>
      </c>
      <c r="AW315" s="28">
        <f>ROUND(F315*AO315,2)</f>
        <v>0</v>
      </c>
      <c r="AX315" s="28">
        <f>ROUND(F315*AP315,2)</f>
        <v>0</v>
      </c>
      <c r="AY315" s="30" t="s">
        <v>61</v>
      </c>
      <c r="AZ315" s="30" t="s">
        <v>645</v>
      </c>
      <c r="BA315" s="10" t="s">
        <v>646</v>
      </c>
      <c r="BC315" s="28">
        <f>AW315+AX315</f>
        <v>0</v>
      </c>
      <c r="BD315" s="28">
        <f>G315/(100-BE315)*100</f>
        <v>0</v>
      </c>
      <c r="BE315" s="28">
        <v>0</v>
      </c>
      <c r="BF315" s="28">
        <f>321</f>
        <v>321</v>
      </c>
      <c r="BH315" s="28">
        <f>F315*AO315</f>
        <v>0</v>
      </c>
      <c r="BI315" s="28">
        <f>F315*AP315</f>
        <v>0</v>
      </c>
      <c r="BJ315" s="28">
        <f>F315*G315</f>
        <v>0</v>
      </c>
      <c r="BK315" s="28"/>
      <c r="BL315" s="28">
        <v>13</v>
      </c>
      <c r="BW315" s="28">
        <v>21</v>
      </c>
      <c r="BX315" s="4" t="s">
        <v>644</v>
      </c>
    </row>
    <row r="316" spans="1:76" x14ac:dyDescent="0.25">
      <c r="A316" s="31"/>
      <c r="C316" s="32" t="s">
        <v>647</v>
      </c>
      <c r="D316" s="32" t="s">
        <v>648</v>
      </c>
      <c r="F316" s="33">
        <v>14.4</v>
      </c>
      <c r="K316" s="34"/>
    </row>
    <row r="317" spans="1:76" ht="63.75" x14ac:dyDescent="0.25">
      <c r="A317" s="31"/>
      <c r="B317" s="35" t="s">
        <v>68</v>
      </c>
      <c r="C317" s="94" t="s">
        <v>69</v>
      </c>
      <c r="D317" s="95"/>
      <c r="E317" s="95"/>
      <c r="F317" s="95"/>
      <c r="G317" s="95"/>
      <c r="H317" s="95"/>
      <c r="I317" s="95"/>
      <c r="J317" s="95"/>
      <c r="K317" s="96"/>
      <c r="BX317" s="36" t="s">
        <v>69</v>
      </c>
    </row>
    <row r="318" spans="1:76" ht="27" customHeight="1" x14ac:dyDescent="0.25">
      <c r="A318" s="31"/>
      <c r="B318" s="37" t="s">
        <v>70</v>
      </c>
      <c r="C318" s="97" t="s">
        <v>71</v>
      </c>
      <c r="D318" s="98"/>
      <c r="E318" s="98"/>
      <c r="F318" s="98"/>
      <c r="G318" s="98"/>
      <c r="H318" s="98"/>
      <c r="I318" s="98"/>
      <c r="J318" s="98"/>
      <c r="K318" s="99"/>
    </row>
    <row r="319" spans="1:76" ht="13.5" customHeight="1" x14ac:dyDescent="0.25">
      <c r="A319" s="31"/>
      <c r="B319" s="37" t="s">
        <v>72</v>
      </c>
      <c r="C319" s="97" t="s">
        <v>73</v>
      </c>
      <c r="D319" s="98"/>
      <c r="E319" s="98"/>
      <c r="F319" s="98"/>
      <c r="G319" s="98"/>
      <c r="H319" s="98"/>
      <c r="I319" s="98"/>
      <c r="J319" s="98"/>
      <c r="K319" s="99"/>
    </row>
    <row r="320" spans="1:76" x14ac:dyDescent="0.25">
      <c r="A320" s="2" t="s">
        <v>649</v>
      </c>
      <c r="B320" s="3" t="s">
        <v>75</v>
      </c>
      <c r="C320" s="76" t="s">
        <v>76</v>
      </c>
      <c r="D320" s="71"/>
      <c r="E320" s="3" t="s">
        <v>59</v>
      </c>
      <c r="F320" s="28">
        <v>14.4</v>
      </c>
      <c r="G320" s="28">
        <v>0</v>
      </c>
      <c r="H320" s="28">
        <f>ROUND(F320*AO320,2)</f>
        <v>0</v>
      </c>
      <c r="I320" s="28">
        <f>ROUND(F320*AP320,2)</f>
        <v>0</v>
      </c>
      <c r="J320" s="28">
        <f>ROUND(F320*G320,2)</f>
        <v>0</v>
      </c>
      <c r="K320" s="29" t="s">
        <v>60</v>
      </c>
      <c r="Z320" s="28">
        <f>ROUND(IF(AQ320="5",BJ320,0),2)</f>
        <v>0</v>
      </c>
      <c r="AB320" s="28">
        <f>ROUND(IF(AQ320="1",BH320,0),2)</f>
        <v>0</v>
      </c>
      <c r="AC320" s="28">
        <f>ROUND(IF(AQ320="1",BI320,0),2)</f>
        <v>0</v>
      </c>
      <c r="AD320" s="28">
        <f>ROUND(IF(AQ320="7",BH320,0),2)</f>
        <v>0</v>
      </c>
      <c r="AE320" s="28">
        <f>ROUND(IF(AQ320="7",BI320,0),2)</f>
        <v>0</v>
      </c>
      <c r="AF320" s="28">
        <f>ROUND(IF(AQ320="2",BH320,0),2)</f>
        <v>0</v>
      </c>
      <c r="AG320" s="28">
        <f>ROUND(IF(AQ320="2",BI320,0),2)</f>
        <v>0</v>
      </c>
      <c r="AH320" s="28">
        <f>ROUND(IF(AQ320="0",BJ320,0),2)</f>
        <v>0</v>
      </c>
      <c r="AI320" s="10" t="s">
        <v>641</v>
      </c>
      <c r="AJ320" s="28">
        <f>IF(AN320=0,J320,0)</f>
        <v>0</v>
      </c>
      <c r="AK320" s="28">
        <f>IF(AN320=12,J320,0)</f>
        <v>0</v>
      </c>
      <c r="AL320" s="28">
        <f>IF(AN320=21,J320,0)</f>
        <v>0</v>
      </c>
      <c r="AN320" s="28">
        <v>21</v>
      </c>
      <c r="AO320" s="28">
        <f>G320*0</f>
        <v>0</v>
      </c>
      <c r="AP320" s="28">
        <f>G320*(1-0)</f>
        <v>0</v>
      </c>
      <c r="AQ320" s="30" t="s">
        <v>56</v>
      </c>
      <c r="AV320" s="28">
        <f>ROUND(AW320+AX320,2)</f>
        <v>0</v>
      </c>
      <c r="AW320" s="28">
        <f>ROUND(F320*AO320,2)</f>
        <v>0</v>
      </c>
      <c r="AX320" s="28">
        <f>ROUND(F320*AP320,2)</f>
        <v>0</v>
      </c>
      <c r="AY320" s="30" t="s">
        <v>61</v>
      </c>
      <c r="AZ320" s="30" t="s">
        <v>645</v>
      </c>
      <c r="BA320" s="10" t="s">
        <v>646</v>
      </c>
      <c r="BC320" s="28">
        <f>AW320+AX320</f>
        <v>0</v>
      </c>
      <c r="BD320" s="28">
        <f>G320/(100-BE320)*100</f>
        <v>0</v>
      </c>
      <c r="BE320" s="28">
        <v>0</v>
      </c>
      <c r="BF320" s="28">
        <f>326</f>
        <v>326</v>
      </c>
      <c r="BH320" s="28">
        <f>F320*AO320</f>
        <v>0</v>
      </c>
      <c r="BI320" s="28">
        <f>F320*AP320</f>
        <v>0</v>
      </c>
      <c r="BJ320" s="28">
        <f>F320*G320</f>
        <v>0</v>
      </c>
      <c r="BK320" s="28"/>
      <c r="BL320" s="28">
        <v>13</v>
      </c>
      <c r="BW320" s="28">
        <v>21</v>
      </c>
      <c r="BX320" s="4" t="s">
        <v>76</v>
      </c>
    </row>
    <row r="321" spans="1:76" x14ac:dyDescent="0.25">
      <c r="A321" s="31"/>
      <c r="C321" s="32" t="s">
        <v>647</v>
      </c>
      <c r="D321" s="32" t="s">
        <v>650</v>
      </c>
      <c r="F321" s="33">
        <v>14.4</v>
      </c>
      <c r="K321" s="34"/>
    </row>
    <row r="322" spans="1:76" x14ac:dyDescent="0.25">
      <c r="A322" s="24" t="s">
        <v>51</v>
      </c>
      <c r="B322" s="25" t="s">
        <v>98</v>
      </c>
      <c r="C322" s="87" t="s">
        <v>99</v>
      </c>
      <c r="D322" s="88"/>
      <c r="E322" s="26" t="s">
        <v>4</v>
      </c>
      <c r="F322" s="26" t="s">
        <v>4</v>
      </c>
      <c r="G322" s="26" t="s">
        <v>4</v>
      </c>
      <c r="H322" s="1">
        <f>SUM(H323:H331)</f>
        <v>0</v>
      </c>
      <c r="I322" s="1">
        <f>SUM(I323:I331)</f>
        <v>0</v>
      </c>
      <c r="J322" s="1">
        <f>SUM(J323:J331)</f>
        <v>0</v>
      </c>
      <c r="K322" s="27" t="s">
        <v>51</v>
      </c>
      <c r="AI322" s="10" t="s">
        <v>641</v>
      </c>
      <c r="AS322" s="1">
        <f>SUM(AJ323:AJ331)</f>
        <v>0</v>
      </c>
      <c r="AT322" s="1">
        <f>SUM(AK323:AK331)</f>
        <v>0</v>
      </c>
      <c r="AU322" s="1">
        <f>SUM(AL323:AL331)</f>
        <v>0</v>
      </c>
    </row>
    <row r="323" spans="1:76" x14ac:dyDescent="0.25">
      <c r="A323" s="2" t="s">
        <v>651</v>
      </c>
      <c r="B323" s="3" t="s">
        <v>652</v>
      </c>
      <c r="C323" s="76" t="s">
        <v>653</v>
      </c>
      <c r="D323" s="71"/>
      <c r="E323" s="3" t="s">
        <v>103</v>
      </c>
      <c r="F323" s="28">
        <v>57.6</v>
      </c>
      <c r="G323" s="28">
        <v>0</v>
      </c>
      <c r="H323" s="28">
        <f>ROUND(F323*AO323,2)</f>
        <v>0</v>
      </c>
      <c r="I323" s="28">
        <f>ROUND(F323*AP323,2)</f>
        <v>0</v>
      </c>
      <c r="J323" s="28">
        <f>ROUND(F323*G323,2)</f>
        <v>0</v>
      </c>
      <c r="K323" s="29" t="s">
        <v>60</v>
      </c>
      <c r="Z323" s="28">
        <f>ROUND(IF(AQ323="5",BJ323,0),2)</f>
        <v>0</v>
      </c>
      <c r="AB323" s="28">
        <f>ROUND(IF(AQ323="1",BH323,0),2)</f>
        <v>0</v>
      </c>
      <c r="AC323" s="28">
        <f>ROUND(IF(AQ323="1",BI323,0),2)</f>
        <v>0</v>
      </c>
      <c r="AD323" s="28">
        <f>ROUND(IF(AQ323="7",BH323,0),2)</f>
        <v>0</v>
      </c>
      <c r="AE323" s="28">
        <f>ROUND(IF(AQ323="7",BI323,0),2)</f>
        <v>0</v>
      </c>
      <c r="AF323" s="28">
        <f>ROUND(IF(AQ323="2",BH323,0),2)</f>
        <v>0</v>
      </c>
      <c r="AG323" s="28">
        <f>ROUND(IF(AQ323="2",BI323,0),2)</f>
        <v>0</v>
      </c>
      <c r="AH323" s="28">
        <f>ROUND(IF(AQ323="0",BJ323,0),2)</f>
        <v>0</v>
      </c>
      <c r="AI323" s="10" t="s">
        <v>641</v>
      </c>
      <c r="AJ323" s="28">
        <f>IF(AN323=0,J323,0)</f>
        <v>0</v>
      </c>
      <c r="AK323" s="28">
        <f>IF(AN323=12,J323,0)</f>
        <v>0</v>
      </c>
      <c r="AL323" s="28">
        <f>IF(AN323=21,J323,0)</f>
        <v>0</v>
      </c>
      <c r="AN323" s="28">
        <v>21</v>
      </c>
      <c r="AO323" s="28">
        <f>G323*0.088676601</f>
        <v>0</v>
      </c>
      <c r="AP323" s="28">
        <f>G323*(1-0.088676601)</f>
        <v>0</v>
      </c>
      <c r="AQ323" s="30" t="s">
        <v>56</v>
      </c>
      <c r="AV323" s="28">
        <f>ROUND(AW323+AX323,2)</f>
        <v>0</v>
      </c>
      <c r="AW323" s="28">
        <f>ROUND(F323*AO323,2)</f>
        <v>0</v>
      </c>
      <c r="AX323" s="28">
        <f>ROUND(F323*AP323,2)</f>
        <v>0</v>
      </c>
      <c r="AY323" s="30" t="s">
        <v>104</v>
      </c>
      <c r="AZ323" s="30" t="s">
        <v>645</v>
      </c>
      <c r="BA323" s="10" t="s">
        <v>646</v>
      </c>
      <c r="BC323" s="28">
        <f>AW323+AX323</f>
        <v>0</v>
      </c>
      <c r="BD323" s="28">
        <f>G323/(100-BE323)*100</f>
        <v>0</v>
      </c>
      <c r="BE323" s="28">
        <v>0</v>
      </c>
      <c r="BF323" s="28">
        <f>329</f>
        <v>329</v>
      </c>
      <c r="BH323" s="28">
        <f>F323*AO323</f>
        <v>0</v>
      </c>
      <c r="BI323" s="28">
        <f>F323*AP323</f>
        <v>0</v>
      </c>
      <c r="BJ323" s="28">
        <f>F323*G323</f>
        <v>0</v>
      </c>
      <c r="BK323" s="28"/>
      <c r="BL323" s="28">
        <v>15</v>
      </c>
      <c r="BW323" s="28">
        <v>21</v>
      </c>
      <c r="BX323" s="4" t="s">
        <v>653</v>
      </c>
    </row>
    <row r="324" spans="1:76" x14ac:dyDescent="0.25">
      <c r="A324" s="31"/>
      <c r="C324" s="32" t="s">
        <v>654</v>
      </c>
      <c r="D324" s="32" t="s">
        <v>655</v>
      </c>
      <c r="F324" s="33">
        <v>57.6</v>
      </c>
      <c r="K324" s="34"/>
    </row>
    <row r="325" spans="1:76" x14ac:dyDescent="0.25">
      <c r="A325" s="31"/>
      <c r="B325" s="35" t="s">
        <v>68</v>
      </c>
      <c r="C325" s="94" t="s">
        <v>111</v>
      </c>
      <c r="D325" s="95"/>
      <c r="E325" s="95"/>
      <c r="F325" s="95"/>
      <c r="G325" s="95"/>
      <c r="H325" s="95"/>
      <c r="I325" s="95"/>
      <c r="J325" s="95"/>
      <c r="K325" s="96"/>
      <c r="BX325" s="36" t="s">
        <v>111</v>
      </c>
    </row>
    <row r="326" spans="1:76" x14ac:dyDescent="0.25">
      <c r="A326" s="2" t="s">
        <v>656</v>
      </c>
      <c r="B326" s="3" t="s">
        <v>657</v>
      </c>
      <c r="C326" s="76" t="s">
        <v>658</v>
      </c>
      <c r="D326" s="71"/>
      <c r="E326" s="3" t="s">
        <v>103</v>
      </c>
      <c r="F326" s="28">
        <v>57.6</v>
      </c>
      <c r="G326" s="28">
        <v>0</v>
      </c>
      <c r="H326" s="28">
        <f>ROUND(F326*AO326,2)</f>
        <v>0</v>
      </c>
      <c r="I326" s="28">
        <f>ROUND(F326*AP326,2)</f>
        <v>0</v>
      </c>
      <c r="J326" s="28">
        <f>ROUND(F326*G326,2)</f>
        <v>0</v>
      </c>
      <c r="K326" s="29" t="s">
        <v>60</v>
      </c>
      <c r="Z326" s="28">
        <f>ROUND(IF(AQ326="5",BJ326,0),2)</f>
        <v>0</v>
      </c>
      <c r="AB326" s="28">
        <f>ROUND(IF(AQ326="1",BH326,0),2)</f>
        <v>0</v>
      </c>
      <c r="AC326" s="28">
        <f>ROUND(IF(AQ326="1",BI326,0),2)</f>
        <v>0</v>
      </c>
      <c r="AD326" s="28">
        <f>ROUND(IF(AQ326="7",BH326,0),2)</f>
        <v>0</v>
      </c>
      <c r="AE326" s="28">
        <f>ROUND(IF(AQ326="7",BI326,0),2)</f>
        <v>0</v>
      </c>
      <c r="AF326" s="28">
        <f>ROUND(IF(AQ326="2",BH326,0),2)</f>
        <v>0</v>
      </c>
      <c r="AG326" s="28">
        <f>ROUND(IF(AQ326="2",BI326,0),2)</f>
        <v>0</v>
      </c>
      <c r="AH326" s="28">
        <f>ROUND(IF(AQ326="0",BJ326,0),2)</f>
        <v>0</v>
      </c>
      <c r="AI326" s="10" t="s">
        <v>641</v>
      </c>
      <c r="AJ326" s="28">
        <f>IF(AN326=0,J326,0)</f>
        <v>0</v>
      </c>
      <c r="AK326" s="28">
        <f>IF(AN326=12,J326,0)</f>
        <v>0</v>
      </c>
      <c r="AL326" s="28">
        <f>IF(AN326=21,J326,0)</f>
        <v>0</v>
      </c>
      <c r="AN326" s="28">
        <v>21</v>
      </c>
      <c r="AO326" s="28">
        <f>G326*0</f>
        <v>0</v>
      </c>
      <c r="AP326" s="28">
        <f>G326*(1-0)</f>
        <v>0</v>
      </c>
      <c r="AQ326" s="30" t="s">
        <v>56</v>
      </c>
      <c r="AV326" s="28">
        <f>ROUND(AW326+AX326,2)</f>
        <v>0</v>
      </c>
      <c r="AW326" s="28">
        <f>ROUND(F326*AO326,2)</f>
        <v>0</v>
      </c>
      <c r="AX326" s="28">
        <f>ROUND(F326*AP326,2)</f>
        <v>0</v>
      </c>
      <c r="AY326" s="30" t="s">
        <v>104</v>
      </c>
      <c r="AZ326" s="30" t="s">
        <v>645</v>
      </c>
      <c r="BA326" s="10" t="s">
        <v>646</v>
      </c>
      <c r="BC326" s="28">
        <f>AW326+AX326</f>
        <v>0</v>
      </c>
      <c r="BD326" s="28">
        <f>G326/(100-BE326)*100</f>
        <v>0</v>
      </c>
      <c r="BE326" s="28">
        <v>0</v>
      </c>
      <c r="BF326" s="28">
        <f>332</f>
        <v>332</v>
      </c>
      <c r="BH326" s="28">
        <f>F326*AO326</f>
        <v>0</v>
      </c>
      <c r="BI326" s="28">
        <f>F326*AP326</f>
        <v>0</v>
      </c>
      <c r="BJ326" s="28">
        <f>F326*G326</f>
        <v>0</v>
      </c>
      <c r="BK326" s="28"/>
      <c r="BL326" s="28">
        <v>15</v>
      </c>
      <c r="BW326" s="28">
        <v>21</v>
      </c>
      <c r="BX326" s="4" t="s">
        <v>658</v>
      </c>
    </row>
    <row r="327" spans="1:76" x14ac:dyDescent="0.25">
      <c r="A327" s="31"/>
      <c r="C327" s="32" t="s">
        <v>654</v>
      </c>
      <c r="D327" s="32" t="s">
        <v>659</v>
      </c>
      <c r="F327" s="33">
        <v>57.6</v>
      </c>
      <c r="K327" s="34"/>
    </row>
    <row r="328" spans="1:76" x14ac:dyDescent="0.25">
      <c r="A328" s="2" t="s">
        <v>660</v>
      </c>
      <c r="B328" s="3" t="s">
        <v>101</v>
      </c>
      <c r="C328" s="76" t="s">
        <v>102</v>
      </c>
      <c r="D328" s="71"/>
      <c r="E328" s="3" t="s">
        <v>103</v>
      </c>
      <c r="F328" s="28">
        <v>13</v>
      </c>
      <c r="G328" s="28">
        <v>0</v>
      </c>
      <c r="H328" s="28">
        <f>ROUND(F328*AO328,2)</f>
        <v>0</v>
      </c>
      <c r="I328" s="28">
        <f>ROUND(F328*AP328,2)</f>
        <v>0</v>
      </c>
      <c r="J328" s="28">
        <f>ROUND(F328*G328,2)</f>
        <v>0</v>
      </c>
      <c r="K328" s="29" t="s">
        <v>60</v>
      </c>
      <c r="Z328" s="28">
        <f>ROUND(IF(AQ328="5",BJ328,0),2)</f>
        <v>0</v>
      </c>
      <c r="AB328" s="28">
        <f>ROUND(IF(AQ328="1",BH328,0),2)</f>
        <v>0</v>
      </c>
      <c r="AC328" s="28">
        <f>ROUND(IF(AQ328="1",BI328,0),2)</f>
        <v>0</v>
      </c>
      <c r="AD328" s="28">
        <f>ROUND(IF(AQ328="7",BH328,0),2)</f>
        <v>0</v>
      </c>
      <c r="AE328" s="28">
        <f>ROUND(IF(AQ328="7",BI328,0),2)</f>
        <v>0</v>
      </c>
      <c r="AF328" s="28">
        <f>ROUND(IF(AQ328="2",BH328,0),2)</f>
        <v>0</v>
      </c>
      <c r="AG328" s="28">
        <f>ROUND(IF(AQ328="2",BI328,0),2)</f>
        <v>0</v>
      </c>
      <c r="AH328" s="28">
        <f>ROUND(IF(AQ328="0",BJ328,0),2)</f>
        <v>0</v>
      </c>
      <c r="AI328" s="10" t="s">
        <v>641</v>
      </c>
      <c r="AJ328" s="28">
        <f>IF(AN328=0,J328,0)</f>
        <v>0</v>
      </c>
      <c r="AK328" s="28">
        <f>IF(AN328=12,J328,0)</f>
        <v>0</v>
      </c>
      <c r="AL328" s="28">
        <f>IF(AN328=21,J328,0)</f>
        <v>0</v>
      </c>
      <c r="AN328" s="28">
        <v>21</v>
      </c>
      <c r="AO328" s="28">
        <f>G328*0.091290323</f>
        <v>0</v>
      </c>
      <c r="AP328" s="28">
        <f>G328*(1-0.091290323)</f>
        <v>0</v>
      </c>
      <c r="AQ328" s="30" t="s">
        <v>56</v>
      </c>
      <c r="AV328" s="28">
        <f>ROUND(AW328+AX328,2)</f>
        <v>0</v>
      </c>
      <c r="AW328" s="28">
        <f>ROUND(F328*AO328,2)</f>
        <v>0</v>
      </c>
      <c r="AX328" s="28">
        <f>ROUND(F328*AP328,2)</f>
        <v>0</v>
      </c>
      <c r="AY328" s="30" t="s">
        <v>104</v>
      </c>
      <c r="AZ328" s="30" t="s">
        <v>645</v>
      </c>
      <c r="BA328" s="10" t="s">
        <v>646</v>
      </c>
      <c r="BC328" s="28">
        <f>AW328+AX328</f>
        <v>0</v>
      </c>
      <c r="BD328" s="28">
        <f>G328/(100-BE328)*100</f>
        <v>0</v>
      </c>
      <c r="BE328" s="28">
        <v>0</v>
      </c>
      <c r="BF328" s="28">
        <f>334</f>
        <v>334</v>
      </c>
      <c r="BH328" s="28">
        <f>F328*AO328</f>
        <v>0</v>
      </c>
      <c r="BI328" s="28">
        <f>F328*AP328</f>
        <v>0</v>
      </c>
      <c r="BJ328" s="28">
        <f>F328*G328</f>
        <v>0</v>
      </c>
      <c r="BK328" s="28"/>
      <c r="BL328" s="28">
        <v>15</v>
      </c>
      <c r="BW328" s="28">
        <v>21</v>
      </c>
      <c r="BX328" s="4" t="s">
        <v>102</v>
      </c>
    </row>
    <row r="329" spans="1:76" ht="13.5" customHeight="1" x14ac:dyDescent="0.25">
      <c r="A329" s="31"/>
      <c r="B329" s="35" t="s">
        <v>105</v>
      </c>
      <c r="C329" s="97" t="s">
        <v>106</v>
      </c>
      <c r="D329" s="98"/>
      <c r="E329" s="98"/>
      <c r="F329" s="98"/>
      <c r="G329" s="98"/>
      <c r="H329" s="98"/>
      <c r="I329" s="98"/>
      <c r="J329" s="98"/>
      <c r="K329" s="99"/>
    </row>
    <row r="330" spans="1:76" x14ac:dyDescent="0.25">
      <c r="A330" s="31"/>
      <c r="C330" s="32" t="s">
        <v>661</v>
      </c>
      <c r="D330" s="32" t="s">
        <v>662</v>
      </c>
      <c r="F330" s="33">
        <v>13</v>
      </c>
      <c r="K330" s="34"/>
    </row>
    <row r="331" spans="1:76" x14ac:dyDescent="0.25">
      <c r="A331" s="2" t="s">
        <v>663</v>
      </c>
      <c r="B331" s="3" t="s">
        <v>113</v>
      </c>
      <c r="C331" s="76" t="s">
        <v>114</v>
      </c>
      <c r="D331" s="71"/>
      <c r="E331" s="3" t="s">
        <v>103</v>
      </c>
      <c r="F331" s="28">
        <v>14</v>
      </c>
      <c r="G331" s="28">
        <v>0</v>
      </c>
      <c r="H331" s="28">
        <f>ROUND(F331*AO331,2)</f>
        <v>0</v>
      </c>
      <c r="I331" s="28">
        <f>ROUND(F331*AP331,2)</f>
        <v>0</v>
      </c>
      <c r="J331" s="28">
        <f>ROUND(F331*G331,2)</f>
        <v>0</v>
      </c>
      <c r="K331" s="29" t="s">
        <v>60</v>
      </c>
      <c r="Z331" s="28">
        <f>ROUND(IF(AQ331="5",BJ331,0),2)</f>
        <v>0</v>
      </c>
      <c r="AB331" s="28">
        <f>ROUND(IF(AQ331="1",BH331,0),2)</f>
        <v>0</v>
      </c>
      <c r="AC331" s="28">
        <f>ROUND(IF(AQ331="1",BI331,0),2)</f>
        <v>0</v>
      </c>
      <c r="AD331" s="28">
        <f>ROUND(IF(AQ331="7",BH331,0),2)</f>
        <v>0</v>
      </c>
      <c r="AE331" s="28">
        <f>ROUND(IF(AQ331="7",BI331,0),2)</f>
        <v>0</v>
      </c>
      <c r="AF331" s="28">
        <f>ROUND(IF(AQ331="2",BH331,0),2)</f>
        <v>0</v>
      </c>
      <c r="AG331" s="28">
        <f>ROUND(IF(AQ331="2",BI331,0),2)</f>
        <v>0</v>
      </c>
      <c r="AH331" s="28">
        <f>ROUND(IF(AQ331="0",BJ331,0),2)</f>
        <v>0</v>
      </c>
      <c r="AI331" s="10" t="s">
        <v>641</v>
      </c>
      <c r="AJ331" s="28">
        <f>IF(AN331=0,J331,0)</f>
        <v>0</v>
      </c>
      <c r="AK331" s="28">
        <f>IF(AN331=12,J331,0)</f>
        <v>0</v>
      </c>
      <c r="AL331" s="28">
        <f>IF(AN331=21,J331,0)</f>
        <v>0</v>
      </c>
      <c r="AN331" s="28">
        <v>21</v>
      </c>
      <c r="AO331" s="28">
        <f>G331*0</f>
        <v>0</v>
      </c>
      <c r="AP331" s="28">
        <f>G331*(1-0)</f>
        <v>0</v>
      </c>
      <c r="AQ331" s="30" t="s">
        <v>56</v>
      </c>
      <c r="AV331" s="28">
        <f>ROUND(AW331+AX331,2)</f>
        <v>0</v>
      </c>
      <c r="AW331" s="28">
        <f>ROUND(F331*AO331,2)</f>
        <v>0</v>
      </c>
      <c r="AX331" s="28">
        <f>ROUND(F331*AP331,2)</f>
        <v>0</v>
      </c>
      <c r="AY331" s="30" t="s">
        <v>104</v>
      </c>
      <c r="AZ331" s="30" t="s">
        <v>645</v>
      </c>
      <c r="BA331" s="10" t="s">
        <v>646</v>
      </c>
      <c r="BC331" s="28">
        <f>AW331+AX331</f>
        <v>0</v>
      </c>
      <c r="BD331" s="28">
        <f>G331/(100-BE331)*100</f>
        <v>0</v>
      </c>
      <c r="BE331" s="28">
        <v>0</v>
      </c>
      <c r="BF331" s="28">
        <f>337</f>
        <v>337</v>
      </c>
      <c r="BH331" s="28">
        <f>F331*AO331</f>
        <v>0</v>
      </c>
      <c r="BI331" s="28">
        <f>F331*AP331</f>
        <v>0</v>
      </c>
      <c r="BJ331" s="28">
        <f>F331*G331</f>
        <v>0</v>
      </c>
      <c r="BK331" s="28"/>
      <c r="BL331" s="28">
        <v>15</v>
      </c>
      <c r="BW331" s="28">
        <v>21</v>
      </c>
      <c r="BX331" s="4" t="s">
        <v>114</v>
      </c>
    </row>
    <row r="332" spans="1:76" x14ac:dyDescent="0.25">
      <c r="A332" s="31"/>
      <c r="C332" s="32" t="s">
        <v>664</v>
      </c>
      <c r="D332" s="32" t="s">
        <v>665</v>
      </c>
      <c r="F332" s="33">
        <v>14</v>
      </c>
      <c r="K332" s="34"/>
    </row>
    <row r="333" spans="1:76" x14ac:dyDescent="0.25">
      <c r="A333" s="24" t="s">
        <v>51</v>
      </c>
      <c r="B333" s="25" t="s">
        <v>116</v>
      </c>
      <c r="C333" s="87" t="s">
        <v>117</v>
      </c>
      <c r="D333" s="88"/>
      <c r="E333" s="26" t="s">
        <v>4</v>
      </c>
      <c r="F333" s="26" t="s">
        <v>4</v>
      </c>
      <c r="G333" s="26" t="s">
        <v>4</v>
      </c>
      <c r="H333" s="1">
        <f>SUM(H334:H340)</f>
        <v>0</v>
      </c>
      <c r="I333" s="1">
        <f>SUM(I334:I340)</f>
        <v>0</v>
      </c>
      <c r="J333" s="1">
        <f>SUM(J334:J340)</f>
        <v>0</v>
      </c>
      <c r="K333" s="27" t="s">
        <v>51</v>
      </c>
      <c r="AI333" s="10" t="s">
        <v>641</v>
      </c>
      <c r="AS333" s="1">
        <f>SUM(AJ334:AJ340)</f>
        <v>0</v>
      </c>
      <c r="AT333" s="1">
        <f>SUM(AK334:AK340)</f>
        <v>0</v>
      </c>
      <c r="AU333" s="1">
        <f>SUM(AL334:AL340)</f>
        <v>0</v>
      </c>
    </row>
    <row r="334" spans="1:76" x14ac:dyDescent="0.25">
      <c r="A334" s="2" t="s">
        <v>666</v>
      </c>
      <c r="B334" s="3" t="s">
        <v>119</v>
      </c>
      <c r="C334" s="76" t="s">
        <v>120</v>
      </c>
      <c r="D334" s="71"/>
      <c r="E334" s="3" t="s">
        <v>59</v>
      </c>
      <c r="F334" s="28">
        <v>7.12</v>
      </c>
      <c r="G334" s="28">
        <v>0</v>
      </c>
      <c r="H334" s="28">
        <f>ROUND(F334*AO334,2)</f>
        <v>0</v>
      </c>
      <c r="I334" s="28">
        <f>ROUND(F334*AP334,2)</f>
        <v>0</v>
      </c>
      <c r="J334" s="28">
        <f>ROUND(F334*G334,2)</f>
        <v>0</v>
      </c>
      <c r="K334" s="29" t="s">
        <v>60</v>
      </c>
      <c r="Z334" s="28">
        <f>ROUND(IF(AQ334="5",BJ334,0),2)</f>
        <v>0</v>
      </c>
      <c r="AB334" s="28">
        <f>ROUND(IF(AQ334="1",BH334,0),2)</f>
        <v>0</v>
      </c>
      <c r="AC334" s="28">
        <f>ROUND(IF(AQ334="1",BI334,0),2)</f>
        <v>0</v>
      </c>
      <c r="AD334" s="28">
        <f>ROUND(IF(AQ334="7",BH334,0),2)</f>
        <v>0</v>
      </c>
      <c r="AE334" s="28">
        <f>ROUND(IF(AQ334="7",BI334,0),2)</f>
        <v>0</v>
      </c>
      <c r="AF334" s="28">
        <f>ROUND(IF(AQ334="2",BH334,0),2)</f>
        <v>0</v>
      </c>
      <c r="AG334" s="28">
        <f>ROUND(IF(AQ334="2",BI334,0),2)</f>
        <v>0</v>
      </c>
      <c r="AH334" s="28">
        <f>ROUND(IF(AQ334="0",BJ334,0),2)</f>
        <v>0</v>
      </c>
      <c r="AI334" s="10" t="s">
        <v>641</v>
      </c>
      <c r="AJ334" s="28">
        <f>IF(AN334=0,J334,0)</f>
        <v>0</v>
      </c>
      <c r="AK334" s="28">
        <f>IF(AN334=12,J334,0)</f>
        <v>0</v>
      </c>
      <c r="AL334" s="28">
        <f>IF(AN334=21,J334,0)</f>
        <v>0</v>
      </c>
      <c r="AN334" s="28">
        <v>21</v>
      </c>
      <c r="AO334" s="28">
        <f>G334*0</f>
        <v>0</v>
      </c>
      <c r="AP334" s="28">
        <f>G334*(1-0)</f>
        <v>0</v>
      </c>
      <c r="AQ334" s="30" t="s">
        <v>56</v>
      </c>
      <c r="AV334" s="28">
        <f>ROUND(AW334+AX334,2)</f>
        <v>0</v>
      </c>
      <c r="AW334" s="28">
        <f>ROUND(F334*AO334,2)</f>
        <v>0</v>
      </c>
      <c r="AX334" s="28">
        <f>ROUND(F334*AP334,2)</f>
        <v>0</v>
      </c>
      <c r="AY334" s="30" t="s">
        <v>121</v>
      </c>
      <c r="AZ334" s="30" t="s">
        <v>645</v>
      </c>
      <c r="BA334" s="10" t="s">
        <v>646</v>
      </c>
      <c r="BC334" s="28">
        <f>AW334+AX334</f>
        <v>0</v>
      </c>
      <c r="BD334" s="28">
        <f>G334/(100-BE334)*100</f>
        <v>0</v>
      </c>
      <c r="BE334" s="28">
        <v>0</v>
      </c>
      <c r="BF334" s="28">
        <f>340</f>
        <v>340</v>
      </c>
      <c r="BH334" s="28">
        <f>F334*AO334</f>
        <v>0</v>
      </c>
      <c r="BI334" s="28">
        <f>F334*AP334</f>
        <v>0</v>
      </c>
      <c r="BJ334" s="28">
        <f>F334*G334</f>
        <v>0</v>
      </c>
      <c r="BK334" s="28"/>
      <c r="BL334" s="28">
        <v>16</v>
      </c>
      <c r="BW334" s="28">
        <v>21</v>
      </c>
      <c r="BX334" s="4" t="s">
        <v>120</v>
      </c>
    </row>
    <row r="335" spans="1:76" x14ac:dyDescent="0.25">
      <c r="A335" s="31"/>
      <c r="C335" s="32" t="s">
        <v>667</v>
      </c>
      <c r="D335" s="32" t="s">
        <v>668</v>
      </c>
      <c r="F335" s="33">
        <v>7.12</v>
      </c>
      <c r="K335" s="34"/>
    </row>
    <row r="336" spans="1:76" ht="13.5" customHeight="1" x14ac:dyDescent="0.25">
      <c r="A336" s="31"/>
      <c r="B336" s="37" t="s">
        <v>70</v>
      </c>
      <c r="C336" s="97" t="s">
        <v>126</v>
      </c>
      <c r="D336" s="98"/>
      <c r="E336" s="98"/>
      <c r="F336" s="98"/>
      <c r="G336" s="98"/>
      <c r="H336" s="98"/>
      <c r="I336" s="98"/>
      <c r="J336" s="98"/>
      <c r="K336" s="99"/>
    </row>
    <row r="337" spans="1:76" x14ac:dyDescent="0.25">
      <c r="A337" s="2" t="s">
        <v>669</v>
      </c>
      <c r="B337" s="3" t="s">
        <v>139</v>
      </c>
      <c r="C337" s="76" t="s">
        <v>140</v>
      </c>
      <c r="D337" s="71"/>
      <c r="E337" s="3" t="s">
        <v>59</v>
      </c>
      <c r="F337" s="28">
        <v>7.12</v>
      </c>
      <c r="G337" s="28">
        <v>0</v>
      </c>
      <c r="H337" s="28">
        <f>ROUND(F337*AO337,2)</f>
        <v>0</v>
      </c>
      <c r="I337" s="28">
        <f>ROUND(F337*AP337,2)</f>
        <v>0</v>
      </c>
      <c r="J337" s="28">
        <f>ROUND(F337*G337,2)</f>
        <v>0</v>
      </c>
      <c r="K337" s="29" t="s">
        <v>60</v>
      </c>
      <c r="Z337" s="28">
        <f>ROUND(IF(AQ337="5",BJ337,0),2)</f>
        <v>0</v>
      </c>
      <c r="AB337" s="28">
        <f>ROUND(IF(AQ337="1",BH337,0),2)</f>
        <v>0</v>
      </c>
      <c r="AC337" s="28">
        <f>ROUND(IF(AQ337="1",BI337,0),2)</f>
        <v>0</v>
      </c>
      <c r="AD337" s="28">
        <f>ROUND(IF(AQ337="7",BH337,0),2)</f>
        <v>0</v>
      </c>
      <c r="AE337" s="28">
        <f>ROUND(IF(AQ337="7",BI337,0),2)</f>
        <v>0</v>
      </c>
      <c r="AF337" s="28">
        <f>ROUND(IF(AQ337="2",BH337,0),2)</f>
        <v>0</v>
      </c>
      <c r="AG337" s="28">
        <f>ROUND(IF(AQ337="2",BI337,0),2)</f>
        <v>0</v>
      </c>
      <c r="AH337" s="28">
        <f>ROUND(IF(AQ337="0",BJ337,0),2)</f>
        <v>0</v>
      </c>
      <c r="AI337" s="10" t="s">
        <v>641</v>
      </c>
      <c r="AJ337" s="28">
        <f>IF(AN337=0,J337,0)</f>
        <v>0</v>
      </c>
      <c r="AK337" s="28">
        <f>IF(AN337=12,J337,0)</f>
        <v>0</v>
      </c>
      <c r="AL337" s="28">
        <f>IF(AN337=21,J337,0)</f>
        <v>0</v>
      </c>
      <c r="AN337" s="28">
        <v>21</v>
      </c>
      <c r="AO337" s="28">
        <f>G337*0</f>
        <v>0</v>
      </c>
      <c r="AP337" s="28">
        <f>G337*(1-0)</f>
        <v>0</v>
      </c>
      <c r="AQ337" s="30" t="s">
        <v>56</v>
      </c>
      <c r="AV337" s="28">
        <f>ROUND(AW337+AX337,2)</f>
        <v>0</v>
      </c>
      <c r="AW337" s="28">
        <f>ROUND(F337*AO337,2)</f>
        <v>0</v>
      </c>
      <c r="AX337" s="28">
        <f>ROUND(F337*AP337,2)</f>
        <v>0</v>
      </c>
      <c r="AY337" s="30" t="s">
        <v>121</v>
      </c>
      <c r="AZ337" s="30" t="s">
        <v>645</v>
      </c>
      <c r="BA337" s="10" t="s">
        <v>646</v>
      </c>
      <c r="BC337" s="28">
        <f>AW337+AX337</f>
        <v>0</v>
      </c>
      <c r="BD337" s="28">
        <f>G337/(100-BE337)*100</f>
        <v>0</v>
      </c>
      <c r="BE337" s="28">
        <v>0</v>
      </c>
      <c r="BF337" s="28">
        <f>343</f>
        <v>343</v>
      </c>
      <c r="BH337" s="28">
        <f>F337*AO337</f>
        <v>0</v>
      </c>
      <c r="BI337" s="28">
        <f>F337*AP337</f>
        <v>0</v>
      </c>
      <c r="BJ337" s="28">
        <f>F337*G337</f>
        <v>0</v>
      </c>
      <c r="BK337" s="28"/>
      <c r="BL337" s="28">
        <v>16</v>
      </c>
      <c r="BW337" s="28">
        <v>21</v>
      </c>
      <c r="BX337" s="4" t="s">
        <v>140</v>
      </c>
    </row>
    <row r="338" spans="1:76" x14ac:dyDescent="0.25">
      <c r="A338" s="2" t="s">
        <v>670</v>
      </c>
      <c r="B338" s="3" t="s">
        <v>143</v>
      </c>
      <c r="C338" s="76" t="s">
        <v>144</v>
      </c>
      <c r="D338" s="71"/>
      <c r="E338" s="3" t="s">
        <v>59</v>
      </c>
      <c r="F338" s="28">
        <v>7.12</v>
      </c>
      <c r="G338" s="28">
        <v>0</v>
      </c>
      <c r="H338" s="28">
        <f>ROUND(F338*AO338,2)</f>
        <v>0</v>
      </c>
      <c r="I338" s="28">
        <f>ROUND(F338*AP338,2)</f>
        <v>0</v>
      </c>
      <c r="J338" s="28">
        <f>ROUND(F338*G338,2)</f>
        <v>0</v>
      </c>
      <c r="K338" s="29" t="s">
        <v>60</v>
      </c>
      <c r="Z338" s="28">
        <f>ROUND(IF(AQ338="5",BJ338,0),2)</f>
        <v>0</v>
      </c>
      <c r="AB338" s="28">
        <f>ROUND(IF(AQ338="1",BH338,0),2)</f>
        <v>0</v>
      </c>
      <c r="AC338" s="28">
        <f>ROUND(IF(AQ338="1",BI338,0),2)</f>
        <v>0</v>
      </c>
      <c r="AD338" s="28">
        <f>ROUND(IF(AQ338="7",BH338,0),2)</f>
        <v>0</v>
      </c>
      <c r="AE338" s="28">
        <f>ROUND(IF(AQ338="7",BI338,0),2)</f>
        <v>0</v>
      </c>
      <c r="AF338" s="28">
        <f>ROUND(IF(AQ338="2",BH338,0),2)</f>
        <v>0</v>
      </c>
      <c r="AG338" s="28">
        <f>ROUND(IF(AQ338="2",BI338,0),2)</f>
        <v>0</v>
      </c>
      <c r="AH338" s="28">
        <f>ROUND(IF(AQ338="0",BJ338,0),2)</f>
        <v>0</v>
      </c>
      <c r="AI338" s="10" t="s">
        <v>641</v>
      </c>
      <c r="AJ338" s="28">
        <f>IF(AN338=0,J338,0)</f>
        <v>0</v>
      </c>
      <c r="AK338" s="28">
        <f>IF(AN338=12,J338,0)</f>
        <v>0</v>
      </c>
      <c r="AL338" s="28">
        <f>IF(AN338=21,J338,0)</f>
        <v>0</v>
      </c>
      <c r="AN338" s="28">
        <v>21</v>
      </c>
      <c r="AO338" s="28">
        <f>G338*0</f>
        <v>0</v>
      </c>
      <c r="AP338" s="28">
        <f>G338*(1-0)</f>
        <v>0</v>
      </c>
      <c r="AQ338" s="30" t="s">
        <v>56</v>
      </c>
      <c r="AV338" s="28">
        <f>ROUND(AW338+AX338,2)</f>
        <v>0</v>
      </c>
      <c r="AW338" s="28">
        <f>ROUND(F338*AO338,2)</f>
        <v>0</v>
      </c>
      <c r="AX338" s="28">
        <f>ROUND(F338*AP338,2)</f>
        <v>0</v>
      </c>
      <c r="AY338" s="30" t="s">
        <v>121</v>
      </c>
      <c r="AZ338" s="30" t="s">
        <v>645</v>
      </c>
      <c r="BA338" s="10" t="s">
        <v>646</v>
      </c>
      <c r="BC338" s="28">
        <f>AW338+AX338</f>
        <v>0</v>
      </c>
      <c r="BD338" s="28">
        <f>G338/(100-BE338)*100</f>
        <v>0</v>
      </c>
      <c r="BE338" s="28">
        <v>0</v>
      </c>
      <c r="BF338" s="28">
        <f>344</f>
        <v>344</v>
      </c>
      <c r="BH338" s="28">
        <f>F338*AO338</f>
        <v>0</v>
      </c>
      <c r="BI338" s="28">
        <f>F338*AP338</f>
        <v>0</v>
      </c>
      <c r="BJ338" s="28">
        <f>F338*G338</f>
        <v>0</v>
      </c>
      <c r="BK338" s="28"/>
      <c r="BL338" s="28">
        <v>16</v>
      </c>
      <c r="BW338" s="28">
        <v>21</v>
      </c>
      <c r="BX338" s="4" t="s">
        <v>144</v>
      </c>
    </row>
    <row r="339" spans="1:76" x14ac:dyDescent="0.25">
      <c r="A339" s="2" t="s">
        <v>671</v>
      </c>
      <c r="B339" s="3" t="s">
        <v>672</v>
      </c>
      <c r="C339" s="76" t="s">
        <v>673</v>
      </c>
      <c r="D339" s="71"/>
      <c r="E339" s="3" t="s">
        <v>59</v>
      </c>
      <c r="F339" s="28">
        <v>7.12</v>
      </c>
      <c r="G339" s="28">
        <v>0</v>
      </c>
      <c r="H339" s="28">
        <f>ROUND(F339*AO339,2)</f>
        <v>0</v>
      </c>
      <c r="I339" s="28">
        <f>ROUND(F339*AP339,2)</f>
        <v>0</v>
      </c>
      <c r="J339" s="28">
        <f>ROUND(F339*G339,2)</f>
        <v>0</v>
      </c>
      <c r="K339" s="29" t="s">
        <v>60</v>
      </c>
      <c r="Z339" s="28">
        <f>ROUND(IF(AQ339="5",BJ339,0),2)</f>
        <v>0</v>
      </c>
      <c r="AB339" s="28">
        <f>ROUND(IF(AQ339="1",BH339,0),2)</f>
        <v>0</v>
      </c>
      <c r="AC339" s="28">
        <f>ROUND(IF(AQ339="1",BI339,0),2)</f>
        <v>0</v>
      </c>
      <c r="AD339" s="28">
        <f>ROUND(IF(AQ339="7",BH339,0),2)</f>
        <v>0</v>
      </c>
      <c r="AE339" s="28">
        <f>ROUND(IF(AQ339="7",BI339,0),2)</f>
        <v>0</v>
      </c>
      <c r="AF339" s="28">
        <f>ROUND(IF(AQ339="2",BH339,0),2)</f>
        <v>0</v>
      </c>
      <c r="AG339" s="28">
        <f>ROUND(IF(AQ339="2",BI339,0),2)</f>
        <v>0</v>
      </c>
      <c r="AH339" s="28">
        <f>ROUND(IF(AQ339="0",BJ339,0),2)</f>
        <v>0</v>
      </c>
      <c r="AI339" s="10" t="s">
        <v>641</v>
      </c>
      <c r="AJ339" s="28">
        <f>IF(AN339=0,J339,0)</f>
        <v>0</v>
      </c>
      <c r="AK339" s="28">
        <f>IF(AN339=12,J339,0)</f>
        <v>0</v>
      </c>
      <c r="AL339" s="28">
        <f>IF(AN339=21,J339,0)</f>
        <v>0</v>
      </c>
      <c r="AN339" s="28">
        <v>21</v>
      </c>
      <c r="AO339" s="28">
        <f>G339*0</f>
        <v>0</v>
      </c>
      <c r="AP339" s="28">
        <f>G339*(1-0)</f>
        <v>0</v>
      </c>
      <c r="AQ339" s="30" t="s">
        <v>56</v>
      </c>
      <c r="AV339" s="28">
        <f>ROUND(AW339+AX339,2)</f>
        <v>0</v>
      </c>
      <c r="AW339" s="28">
        <f>ROUND(F339*AO339,2)</f>
        <v>0</v>
      </c>
      <c r="AX339" s="28">
        <f>ROUND(F339*AP339,2)</f>
        <v>0</v>
      </c>
      <c r="AY339" s="30" t="s">
        <v>121</v>
      </c>
      <c r="AZ339" s="30" t="s">
        <v>645</v>
      </c>
      <c r="BA339" s="10" t="s">
        <v>646</v>
      </c>
      <c r="BC339" s="28">
        <f>AW339+AX339</f>
        <v>0</v>
      </c>
      <c r="BD339" s="28">
        <f>G339/(100-BE339)*100</f>
        <v>0</v>
      </c>
      <c r="BE339" s="28">
        <v>0</v>
      </c>
      <c r="BF339" s="28">
        <f>345</f>
        <v>345</v>
      </c>
      <c r="BH339" s="28">
        <f>F339*AO339</f>
        <v>0</v>
      </c>
      <c r="BI339" s="28">
        <f>F339*AP339</f>
        <v>0</v>
      </c>
      <c r="BJ339" s="28">
        <f>F339*G339</f>
        <v>0</v>
      </c>
      <c r="BK339" s="28"/>
      <c r="BL339" s="28">
        <v>16</v>
      </c>
      <c r="BW339" s="28">
        <v>21</v>
      </c>
      <c r="BX339" s="4" t="s">
        <v>673</v>
      </c>
    </row>
    <row r="340" spans="1:76" x14ac:dyDescent="0.25">
      <c r="A340" s="2" t="s">
        <v>674</v>
      </c>
      <c r="B340" s="3" t="s">
        <v>149</v>
      </c>
      <c r="C340" s="76" t="s">
        <v>150</v>
      </c>
      <c r="D340" s="71"/>
      <c r="E340" s="3" t="s">
        <v>59</v>
      </c>
      <c r="F340" s="28">
        <v>7.12</v>
      </c>
      <c r="G340" s="28">
        <v>0</v>
      </c>
      <c r="H340" s="28">
        <f>ROUND(F340*AO340,2)</f>
        <v>0</v>
      </c>
      <c r="I340" s="28">
        <f>ROUND(F340*AP340,2)</f>
        <v>0</v>
      </c>
      <c r="J340" s="28">
        <f>ROUND(F340*G340,2)</f>
        <v>0</v>
      </c>
      <c r="K340" s="29" t="s">
        <v>60</v>
      </c>
      <c r="Z340" s="28">
        <f>ROUND(IF(AQ340="5",BJ340,0),2)</f>
        <v>0</v>
      </c>
      <c r="AB340" s="28">
        <f>ROUND(IF(AQ340="1",BH340,0),2)</f>
        <v>0</v>
      </c>
      <c r="AC340" s="28">
        <f>ROUND(IF(AQ340="1",BI340,0),2)</f>
        <v>0</v>
      </c>
      <c r="AD340" s="28">
        <f>ROUND(IF(AQ340="7",BH340,0),2)</f>
        <v>0</v>
      </c>
      <c r="AE340" s="28">
        <f>ROUND(IF(AQ340="7",BI340,0),2)</f>
        <v>0</v>
      </c>
      <c r="AF340" s="28">
        <f>ROUND(IF(AQ340="2",BH340,0),2)</f>
        <v>0</v>
      </c>
      <c r="AG340" s="28">
        <f>ROUND(IF(AQ340="2",BI340,0),2)</f>
        <v>0</v>
      </c>
      <c r="AH340" s="28">
        <f>ROUND(IF(AQ340="0",BJ340,0),2)</f>
        <v>0</v>
      </c>
      <c r="AI340" s="10" t="s">
        <v>641</v>
      </c>
      <c r="AJ340" s="28">
        <f>IF(AN340=0,J340,0)</f>
        <v>0</v>
      </c>
      <c r="AK340" s="28">
        <f>IF(AN340=12,J340,0)</f>
        <v>0</v>
      </c>
      <c r="AL340" s="28">
        <f>IF(AN340=21,J340,0)</f>
        <v>0</v>
      </c>
      <c r="AN340" s="28">
        <v>21</v>
      </c>
      <c r="AO340" s="28">
        <f>G340*0</f>
        <v>0</v>
      </c>
      <c r="AP340" s="28">
        <f>G340*(1-0)</f>
        <v>0</v>
      </c>
      <c r="AQ340" s="30" t="s">
        <v>56</v>
      </c>
      <c r="AV340" s="28">
        <f>ROUND(AW340+AX340,2)</f>
        <v>0</v>
      </c>
      <c r="AW340" s="28">
        <f>ROUND(F340*AO340,2)</f>
        <v>0</v>
      </c>
      <c r="AX340" s="28">
        <f>ROUND(F340*AP340,2)</f>
        <v>0</v>
      </c>
      <c r="AY340" s="30" t="s">
        <v>121</v>
      </c>
      <c r="AZ340" s="30" t="s">
        <v>645</v>
      </c>
      <c r="BA340" s="10" t="s">
        <v>646</v>
      </c>
      <c r="BC340" s="28">
        <f>AW340+AX340</f>
        <v>0</v>
      </c>
      <c r="BD340" s="28">
        <f>G340/(100-BE340)*100</f>
        <v>0</v>
      </c>
      <c r="BE340" s="28">
        <v>0</v>
      </c>
      <c r="BF340" s="28">
        <f>346</f>
        <v>346</v>
      </c>
      <c r="BH340" s="28">
        <f>F340*AO340</f>
        <v>0</v>
      </c>
      <c r="BI340" s="28">
        <f>F340*AP340</f>
        <v>0</v>
      </c>
      <c r="BJ340" s="28">
        <f>F340*G340</f>
        <v>0</v>
      </c>
      <c r="BK340" s="28"/>
      <c r="BL340" s="28">
        <v>16</v>
      </c>
      <c r="BW340" s="28">
        <v>21</v>
      </c>
      <c r="BX340" s="4" t="s">
        <v>150</v>
      </c>
    </row>
    <row r="341" spans="1:76" x14ac:dyDescent="0.25">
      <c r="A341" s="24" t="s">
        <v>51</v>
      </c>
      <c r="B341" s="25" t="s">
        <v>152</v>
      </c>
      <c r="C341" s="87" t="s">
        <v>153</v>
      </c>
      <c r="D341" s="88"/>
      <c r="E341" s="26" t="s">
        <v>4</v>
      </c>
      <c r="F341" s="26" t="s">
        <v>4</v>
      </c>
      <c r="G341" s="26" t="s">
        <v>4</v>
      </c>
      <c r="H341" s="1">
        <f>SUM(H342:H346)</f>
        <v>0</v>
      </c>
      <c r="I341" s="1">
        <f>SUM(I342:I346)</f>
        <v>0</v>
      </c>
      <c r="J341" s="1">
        <f>SUM(J342:J346)</f>
        <v>0</v>
      </c>
      <c r="K341" s="27" t="s">
        <v>51</v>
      </c>
      <c r="AI341" s="10" t="s">
        <v>641</v>
      </c>
      <c r="AS341" s="1">
        <f>SUM(AJ342:AJ346)</f>
        <v>0</v>
      </c>
      <c r="AT341" s="1">
        <f>SUM(AK342:AK346)</f>
        <v>0</v>
      </c>
      <c r="AU341" s="1">
        <f>SUM(AL342:AL346)</f>
        <v>0</v>
      </c>
    </row>
    <row r="342" spans="1:76" x14ac:dyDescent="0.25">
      <c r="A342" s="2" t="s">
        <v>675</v>
      </c>
      <c r="B342" s="3" t="s">
        <v>154</v>
      </c>
      <c r="C342" s="76" t="s">
        <v>155</v>
      </c>
      <c r="D342" s="71"/>
      <c r="E342" s="3" t="s">
        <v>59</v>
      </c>
      <c r="F342" s="28">
        <v>13.92</v>
      </c>
      <c r="G342" s="28">
        <v>0</v>
      </c>
      <c r="H342" s="28">
        <f>ROUND(F342*AO342,2)</f>
        <v>0</v>
      </c>
      <c r="I342" s="28">
        <f>ROUND(F342*AP342,2)</f>
        <v>0</v>
      </c>
      <c r="J342" s="28">
        <f>ROUND(F342*G342,2)</f>
        <v>0</v>
      </c>
      <c r="K342" s="29" t="s">
        <v>60</v>
      </c>
      <c r="Z342" s="28">
        <f>ROUND(IF(AQ342="5",BJ342,0),2)</f>
        <v>0</v>
      </c>
      <c r="AB342" s="28">
        <f>ROUND(IF(AQ342="1",BH342,0),2)</f>
        <v>0</v>
      </c>
      <c r="AC342" s="28">
        <f>ROUND(IF(AQ342="1",BI342,0),2)</f>
        <v>0</v>
      </c>
      <c r="AD342" s="28">
        <f>ROUND(IF(AQ342="7",BH342,0),2)</f>
        <v>0</v>
      </c>
      <c r="AE342" s="28">
        <f>ROUND(IF(AQ342="7",BI342,0),2)</f>
        <v>0</v>
      </c>
      <c r="AF342" s="28">
        <f>ROUND(IF(AQ342="2",BH342,0),2)</f>
        <v>0</v>
      </c>
      <c r="AG342" s="28">
        <f>ROUND(IF(AQ342="2",BI342,0),2)</f>
        <v>0</v>
      </c>
      <c r="AH342" s="28">
        <f>ROUND(IF(AQ342="0",BJ342,0),2)</f>
        <v>0</v>
      </c>
      <c r="AI342" s="10" t="s">
        <v>641</v>
      </c>
      <c r="AJ342" s="28">
        <f>IF(AN342=0,J342,0)</f>
        <v>0</v>
      </c>
      <c r="AK342" s="28">
        <f>IF(AN342=12,J342,0)</f>
        <v>0</v>
      </c>
      <c r="AL342" s="28">
        <f>IF(AN342=21,J342,0)</f>
        <v>0</v>
      </c>
      <c r="AN342" s="28">
        <v>21</v>
      </c>
      <c r="AO342" s="28">
        <f>G342*0</f>
        <v>0</v>
      </c>
      <c r="AP342" s="28">
        <f>G342*(1-0)</f>
        <v>0</v>
      </c>
      <c r="AQ342" s="30" t="s">
        <v>56</v>
      </c>
      <c r="AV342" s="28">
        <f>ROUND(AW342+AX342,2)</f>
        <v>0</v>
      </c>
      <c r="AW342" s="28">
        <f>ROUND(F342*AO342,2)</f>
        <v>0</v>
      </c>
      <c r="AX342" s="28">
        <f>ROUND(F342*AP342,2)</f>
        <v>0</v>
      </c>
      <c r="AY342" s="30" t="s">
        <v>156</v>
      </c>
      <c r="AZ342" s="30" t="s">
        <v>645</v>
      </c>
      <c r="BA342" s="10" t="s">
        <v>646</v>
      </c>
      <c r="BC342" s="28">
        <f>AW342+AX342</f>
        <v>0</v>
      </c>
      <c r="BD342" s="28">
        <f>G342/(100-BE342)*100</f>
        <v>0</v>
      </c>
      <c r="BE342" s="28">
        <v>0</v>
      </c>
      <c r="BF342" s="28">
        <f>348</f>
        <v>348</v>
      </c>
      <c r="BH342" s="28">
        <f>F342*AO342</f>
        <v>0</v>
      </c>
      <c r="BI342" s="28">
        <f>F342*AP342</f>
        <v>0</v>
      </c>
      <c r="BJ342" s="28">
        <f>F342*G342</f>
        <v>0</v>
      </c>
      <c r="BK342" s="28"/>
      <c r="BL342" s="28">
        <v>17</v>
      </c>
      <c r="BW342" s="28">
        <v>21</v>
      </c>
      <c r="BX342" s="4" t="s">
        <v>155</v>
      </c>
    </row>
    <row r="343" spans="1:76" x14ac:dyDescent="0.25">
      <c r="A343" s="31"/>
      <c r="C343" s="32" t="s">
        <v>676</v>
      </c>
      <c r="D343" s="32" t="s">
        <v>677</v>
      </c>
      <c r="F343" s="33">
        <v>13.92</v>
      </c>
      <c r="K343" s="34"/>
    </row>
    <row r="344" spans="1:76" x14ac:dyDescent="0.25">
      <c r="A344" s="2" t="s">
        <v>678</v>
      </c>
      <c r="B344" s="3" t="s">
        <v>163</v>
      </c>
      <c r="C344" s="76" t="s">
        <v>164</v>
      </c>
      <c r="D344" s="71"/>
      <c r="E344" s="3" t="s">
        <v>59</v>
      </c>
      <c r="F344" s="28">
        <v>20.88</v>
      </c>
      <c r="G344" s="28">
        <v>0</v>
      </c>
      <c r="H344" s="28">
        <f>ROUND(F344*AO344,2)</f>
        <v>0</v>
      </c>
      <c r="I344" s="28">
        <f>ROUND(F344*AP344,2)</f>
        <v>0</v>
      </c>
      <c r="J344" s="28">
        <f>ROUND(F344*G344,2)</f>
        <v>0</v>
      </c>
      <c r="K344" s="29" t="s">
        <v>60</v>
      </c>
      <c r="Z344" s="28">
        <f>ROUND(IF(AQ344="5",BJ344,0),2)</f>
        <v>0</v>
      </c>
      <c r="AB344" s="28">
        <f>ROUND(IF(AQ344="1",BH344,0),2)</f>
        <v>0</v>
      </c>
      <c r="AC344" s="28">
        <f>ROUND(IF(AQ344="1",BI344,0),2)</f>
        <v>0</v>
      </c>
      <c r="AD344" s="28">
        <f>ROUND(IF(AQ344="7",BH344,0),2)</f>
        <v>0</v>
      </c>
      <c r="AE344" s="28">
        <f>ROUND(IF(AQ344="7",BI344,0),2)</f>
        <v>0</v>
      </c>
      <c r="AF344" s="28">
        <f>ROUND(IF(AQ344="2",BH344,0),2)</f>
        <v>0</v>
      </c>
      <c r="AG344" s="28">
        <f>ROUND(IF(AQ344="2",BI344,0),2)</f>
        <v>0</v>
      </c>
      <c r="AH344" s="28">
        <f>ROUND(IF(AQ344="0",BJ344,0),2)</f>
        <v>0</v>
      </c>
      <c r="AI344" s="10" t="s">
        <v>641</v>
      </c>
      <c r="AJ344" s="28">
        <f>IF(AN344=0,J344,0)</f>
        <v>0</v>
      </c>
      <c r="AK344" s="28">
        <f>IF(AN344=12,J344,0)</f>
        <v>0</v>
      </c>
      <c r="AL344" s="28">
        <f>IF(AN344=21,J344,0)</f>
        <v>0</v>
      </c>
      <c r="AN344" s="28">
        <v>21</v>
      </c>
      <c r="AO344" s="28">
        <f>G344*0</f>
        <v>0</v>
      </c>
      <c r="AP344" s="28">
        <f>G344*(1-0)</f>
        <v>0</v>
      </c>
      <c r="AQ344" s="30" t="s">
        <v>56</v>
      </c>
      <c r="AV344" s="28">
        <f>ROUND(AW344+AX344,2)</f>
        <v>0</v>
      </c>
      <c r="AW344" s="28">
        <f>ROUND(F344*AO344,2)</f>
        <v>0</v>
      </c>
      <c r="AX344" s="28">
        <f>ROUND(F344*AP344,2)</f>
        <v>0</v>
      </c>
      <c r="AY344" s="30" t="s">
        <v>156</v>
      </c>
      <c r="AZ344" s="30" t="s">
        <v>645</v>
      </c>
      <c r="BA344" s="10" t="s">
        <v>646</v>
      </c>
      <c r="BC344" s="28">
        <f>AW344+AX344</f>
        <v>0</v>
      </c>
      <c r="BD344" s="28">
        <f>G344/(100-BE344)*100</f>
        <v>0</v>
      </c>
      <c r="BE344" s="28">
        <v>0</v>
      </c>
      <c r="BF344" s="28">
        <f>350</f>
        <v>350</v>
      </c>
      <c r="BH344" s="28">
        <f>F344*AO344</f>
        <v>0</v>
      </c>
      <c r="BI344" s="28">
        <f>F344*AP344</f>
        <v>0</v>
      </c>
      <c r="BJ344" s="28">
        <f>F344*G344</f>
        <v>0</v>
      </c>
      <c r="BK344" s="28"/>
      <c r="BL344" s="28">
        <v>17</v>
      </c>
      <c r="BW344" s="28">
        <v>21</v>
      </c>
      <c r="BX344" s="4" t="s">
        <v>164</v>
      </c>
    </row>
    <row r="345" spans="1:76" x14ac:dyDescent="0.25">
      <c r="A345" s="31"/>
      <c r="C345" s="32" t="s">
        <v>679</v>
      </c>
      <c r="D345" s="32" t="s">
        <v>166</v>
      </c>
      <c r="F345" s="33">
        <v>20.88</v>
      </c>
      <c r="K345" s="34"/>
    </row>
    <row r="346" spans="1:76" x14ac:dyDescent="0.25">
      <c r="A346" s="2" t="s">
        <v>680</v>
      </c>
      <c r="B346" s="3" t="s">
        <v>186</v>
      </c>
      <c r="C346" s="76" t="s">
        <v>187</v>
      </c>
      <c r="D346" s="71"/>
      <c r="E346" s="3" t="s">
        <v>188</v>
      </c>
      <c r="F346" s="28">
        <v>29</v>
      </c>
      <c r="G346" s="28">
        <v>0</v>
      </c>
      <c r="H346" s="28">
        <f>ROUND(F346*AO346,2)</f>
        <v>0</v>
      </c>
      <c r="I346" s="28">
        <f>ROUND(F346*AP346,2)</f>
        <v>0</v>
      </c>
      <c r="J346" s="28">
        <f>ROUND(F346*G346,2)</f>
        <v>0</v>
      </c>
      <c r="K346" s="29" t="s">
        <v>60</v>
      </c>
      <c r="Z346" s="28">
        <f>ROUND(IF(AQ346="5",BJ346,0),2)</f>
        <v>0</v>
      </c>
      <c r="AB346" s="28">
        <f>ROUND(IF(AQ346="1",BH346,0),2)</f>
        <v>0</v>
      </c>
      <c r="AC346" s="28">
        <f>ROUND(IF(AQ346="1",BI346,0),2)</f>
        <v>0</v>
      </c>
      <c r="AD346" s="28">
        <f>ROUND(IF(AQ346="7",BH346,0),2)</f>
        <v>0</v>
      </c>
      <c r="AE346" s="28">
        <f>ROUND(IF(AQ346="7",BI346,0),2)</f>
        <v>0</v>
      </c>
      <c r="AF346" s="28">
        <f>ROUND(IF(AQ346="2",BH346,0),2)</f>
        <v>0</v>
      </c>
      <c r="AG346" s="28">
        <f>ROUND(IF(AQ346="2",BI346,0),2)</f>
        <v>0</v>
      </c>
      <c r="AH346" s="28">
        <f>ROUND(IF(AQ346="0",BJ346,0),2)</f>
        <v>0</v>
      </c>
      <c r="AI346" s="10" t="s">
        <v>641</v>
      </c>
      <c r="AJ346" s="28">
        <f>IF(AN346=0,J346,0)</f>
        <v>0</v>
      </c>
      <c r="AK346" s="28">
        <f>IF(AN346=12,J346,0)</f>
        <v>0</v>
      </c>
      <c r="AL346" s="28">
        <f>IF(AN346=21,J346,0)</f>
        <v>0</v>
      </c>
      <c r="AN346" s="28">
        <v>21</v>
      </c>
      <c r="AO346" s="28">
        <f>G346*0.352747253</f>
        <v>0</v>
      </c>
      <c r="AP346" s="28">
        <f>G346*(1-0.352747253)</f>
        <v>0</v>
      </c>
      <c r="AQ346" s="30" t="s">
        <v>56</v>
      </c>
      <c r="AV346" s="28">
        <f>ROUND(AW346+AX346,2)</f>
        <v>0</v>
      </c>
      <c r="AW346" s="28">
        <f>ROUND(F346*AO346,2)</f>
        <v>0</v>
      </c>
      <c r="AX346" s="28">
        <f>ROUND(F346*AP346,2)</f>
        <v>0</v>
      </c>
      <c r="AY346" s="30" t="s">
        <v>156</v>
      </c>
      <c r="AZ346" s="30" t="s">
        <v>645</v>
      </c>
      <c r="BA346" s="10" t="s">
        <v>646</v>
      </c>
      <c r="BC346" s="28">
        <f>AW346+AX346</f>
        <v>0</v>
      </c>
      <c r="BD346" s="28">
        <f>G346/(100-BE346)*100</f>
        <v>0</v>
      </c>
      <c r="BE346" s="28">
        <v>0</v>
      </c>
      <c r="BF346" s="28">
        <f>352</f>
        <v>352</v>
      </c>
      <c r="BH346" s="28">
        <f>F346*AO346</f>
        <v>0</v>
      </c>
      <c r="BI346" s="28">
        <f>F346*AP346</f>
        <v>0</v>
      </c>
      <c r="BJ346" s="28">
        <f>F346*G346</f>
        <v>0</v>
      </c>
      <c r="BK346" s="28"/>
      <c r="BL346" s="28">
        <v>17</v>
      </c>
      <c r="BW346" s="28">
        <v>21</v>
      </c>
      <c r="BX346" s="4" t="s">
        <v>187</v>
      </c>
    </row>
    <row r="347" spans="1:76" ht="13.5" customHeight="1" x14ac:dyDescent="0.25">
      <c r="A347" s="31"/>
      <c r="B347" s="35" t="s">
        <v>105</v>
      </c>
      <c r="C347" s="97" t="s">
        <v>189</v>
      </c>
      <c r="D347" s="98"/>
      <c r="E347" s="98"/>
      <c r="F347" s="98"/>
      <c r="G347" s="98"/>
      <c r="H347" s="98"/>
      <c r="I347" s="98"/>
      <c r="J347" s="98"/>
      <c r="K347" s="99"/>
    </row>
    <row r="348" spans="1:76" x14ac:dyDescent="0.25">
      <c r="A348" s="24" t="s">
        <v>51</v>
      </c>
      <c r="B348" s="25" t="s">
        <v>413</v>
      </c>
      <c r="C348" s="87" t="s">
        <v>681</v>
      </c>
      <c r="D348" s="88"/>
      <c r="E348" s="26" t="s">
        <v>4</v>
      </c>
      <c r="F348" s="26" t="s">
        <v>4</v>
      </c>
      <c r="G348" s="26" t="s">
        <v>4</v>
      </c>
      <c r="H348" s="1">
        <f>SUM(H349:H349)</f>
        <v>0</v>
      </c>
      <c r="I348" s="1">
        <f>SUM(I349:I349)</f>
        <v>0</v>
      </c>
      <c r="J348" s="1">
        <f>SUM(J349:J349)</f>
        <v>0</v>
      </c>
      <c r="K348" s="27" t="s">
        <v>51</v>
      </c>
      <c r="AI348" s="10" t="s">
        <v>641</v>
      </c>
      <c r="AS348" s="1">
        <f>SUM(AJ349:AJ349)</f>
        <v>0</v>
      </c>
      <c r="AT348" s="1">
        <f>SUM(AK349:AK349)</f>
        <v>0</v>
      </c>
      <c r="AU348" s="1">
        <f>SUM(AL349:AL349)</f>
        <v>0</v>
      </c>
    </row>
    <row r="349" spans="1:76" x14ac:dyDescent="0.25">
      <c r="A349" s="2" t="s">
        <v>682</v>
      </c>
      <c r="B349" s="3" t="s">
        <v>683</v>
      </c>
      <c r="C349" s="76" t="s">
        <v>684</v>
      </c>
      <c r="D349" s="71"/>
      <c r="E349" s="3" t="s">
        <v>103</v>
      </c>
      <c r="F349" s="28">
        <v>65</v>
      </c>
      <c r="G349" s="28">
        <v>0</v>
      </c>
      <c r="H349" s="28">
        <f>ROUND(F349*AO349,2)</f>
        <v>0</v>
      </c>
      <c r="I349" s="28">
        <f>ROUND(F349*AP349,2)</f>
        <v>0</v>
      </c>
      <c r="J349" s="28">
        <f>ROUND(F349*G349,2)</f>
        <v>0</v>
      </c>
      <c r="K349" s="29" t="s">
        <v>60</v>
      </c>
      <c r="Z349" s="28">
        <f>ROUND(IF(AQ349="5",BJ349,0),2)</f>
        <v>0</v>
      </c>
      <c r="AB349" s="28">
        <f>ROUND(IF(AQ349="1",BH349,0),2)</f>
        <v>0</v>
      </c>
      <c r="AC349" s="28">
        <f>ROUND(IF(AQ349="1",BI349,0),2)</f>
        <v>0</v>
      </c>
      <c r="AD349" s="28">
        <f>ROUND(IF(AQ349="7",BH349,0),2)</f>
        <v>0</v>
      </c>
      <c r="AE349" s="28">
        <f>ROUND(IF(AQ349="7",BI349,0),2)</f>
        <v>0</v>
      </c>
      <c r="AF349" s="28">
        <f>ROUND(IF(AQ349="2",BH349,0),2)</f>
        <v>0</v>
      </c>
      <c r="AG349" s="28">
        <f>ROUND(IF(AQ349="2",BI349,0),2)</f>
        <v>0</v>
      </c>
      <c r="AH349" s="28">
        <f>ROUND(IF(AQ349="0",BJ349,0),2)</f>
        <v>0</v>
      </c>
      <c r="AI349" s="10" t="s">
        <v>641</v>
      </c>
      <c r="AJ349" s="28">
        <f>IF(AN349=0,J349,0)</f>
        <v>0</v>
      </c>
      <c r="AK349" s="28">
        <f>IF(AN349=12,J349,0)</f>
        <v>0</v>
      </c>
      <c r="AL349" s="28">
        <f>IF(AN349=21,J349,0)</f>
        <v>0</v>
      </c>
      <c r="AN349" s="28">
        <v>21</v>
      </c>
      <c r="AO349" s="28">
        <f>G349*0.833292683</f>
        <v>0</v>
      </c>
      <c r="AP349" s="28">
        <f>G349*(1-0.833292683)</f>
        <v>0</v>
      </c>
      <c r="AQ349" s="30" t="s">
        <v>56</v>
      </c>
      <c r="AV349" s="28">
        <f>ROUND(AW349+AX349,2)</f>
        <v>0</v>
      </c>
      <c r="AW349" s="28">
        <f>ROUND(F349*AO349,2)</f>
        <v>0</v>
      </c>
      <c r="AX349" s="28">
        <f>ROUND(F349*AP349,2)</f>
        <v>0</v>
      </c>
      <c r="AY349" s="30" t="s">
        <v>685</v>
      </c>
      <c r="AZ349" s="30" t="s">
        <v>686</v>
      </c>
      <c r="BA349" s="10" t="s">
        <v>646</v>
      </c>
      <c r="BC349" s="28">
        <f>AW349+AX349</f>
        <v>0</v>
      </c>
      <c r="BD349" s="28">
        <f>G349/(100-BE349)*100</f>
        <v>0</v>
      </c>
      <c r="BE349" s="28">
        <v>0</v>
      </c>
      <c r="BF349" s="28">
        <f>355</f>
        <v>355</v>
      </c>
      <c r="BH349" s="28">
        <f>F349*AO349</f>
        <v>0</v>
      </c>
      <c r="BI349" s="28">
        <f>F349*AP349</f>
        <v>0</v>
      </c>
      <c r="BJ349" s="28">
        <f>F349*G349</f>
        <v>0</v>
      </c>
      <c r="BK349" s="28"/>
      <c r="BL349" s="28">
        <v>56</v>
      </c>
      <c r="BW349" s="28">
        <v>21</v>
      </c>
      <c r="BX349" s="4" t="s">
        <v>684</v>
      </c>
    </row>
    <row r="350" spans="1:76" ht="25.5" x14ac:dyDescent="0.25">
      <c r="A350" s="31"/>
      <c r="B350" s="35" t="s">
        <v>68</v>
      </c>
      <c r="C350" s="94" t="s">
        <v>687</v>
      </c>
      <c r="D350" s="95"/>
      <c r="E350" s="95"/>
      <c r="F350" s="95"/>
      <c r="G350" s="95"/>
      <c r="H350" s="95"/>
      <c r="I350" s="95"/>
      <c r="J350" s="95"/>
      <c r="K350" s="96"/>
      <c r="BX350" s="36" t="s">
        <v>687</v>
      </c>
    </row>
    <row r="351" spans="1:76" x14ac:dyDescent="0.25">
      <c r="A351" s="24" t="s">
        <v>51</v>
      </c>
      <c r="B351" s="25" t="s">
        <v>420</v>
      </c>
      <c r="C351" s="87" t="s">
        <v>688</v>
      </c>
      <c r="D351" s="88"/>
      <c r="E351" s="26" t="s">
        <v>4</v>
      </c>
      <c r="F351" s="26" t="s">
        <v>4</v>
      </c>
      <c r="G351" s="26" t="s">
        <v>4</v>
      </c>
      <c r="H351" s="1">
        <f>SUM(H352:H355)</f>
        <v>0</v>
      </c>
      <c r="I351" s="1">
        <f>SUM(I352:I355)</f>
        <v>0</v>
      </c>
      <c r="J351" s="1">
        <f>SUM(J352:J355)</f>
        <v>0</v>
      </c>
      <c r="K351" s="27" t="s">
        <v>51</v>
      </c>
      <c r="AI351" s="10" t="s">
        <v>641</v>
      </c>
      <c r="AS351" s="1">
        <f>SUM(AJ352:AJ355)</f>
        <v>0</v>
      </c>
      <c r="AT351" s="1">
        <f>SUM(AK352:AK355)</f>
        <v>0</v>
      </c>
      <c r="AU351" s="1">
        <f>SUM(AL352:AL355)</f>
        <v>0</v>
      </c>
    </row>
    <row r="352" spans="1:76" x14ac:dyDescent="0.25">
      <c r="A352" s="2" t="s">
        <v>689</v>
      </c>
      <c r="B352" s="3" t="s">
        <v>690</v>
      </c>
      <c r="C352" s="76" t="s">
        <v>691</v>
      </c>
      <c r="D352" s="71"/>
      <c r="E352" s="3" t="s">
        <v>103</v>
      </c>
      <c r="F352" s="28">
        <v>65</v>
      </c>
      <c r="G352" s="28">
        <v>0</v>
      </c>
      <c r="H352" s="28">
        <f>ROUND(F352*AO352,2)</f>
        <v>0</v>
      </c>
      <c r="I352" s="28">
        <f>ROUND(F352*AP352,2)</f>
        <v>0</v>
      </c>
      <c r="J352" s="28">
        <f>ROUND(F352*G352,2)</f>
        <v>0</v>
      </c>
      <c r="K352" s="29" t="s">
        <v>60</v>
      </c>
      <c r="Z352" s="28">
        <f>ROUND(IF(AQ352="5",BJ352,0),2)</f>
        <v>0</v>
      </c>
      <c r="AB352" s="28">
        <f>ROUND(IF(AQ352="1",BH352,0),2)</f>
        <v>0</v>
      </c>
      <c r="AC352" s="28">
        <f>ROUND(IF(AQ352="1",BI352,0),2)</f>
        <v>0</v>
      </c>
      <c r="AD352" s="28">
        <f>ROUND(IF(AQ352="7",BH352,0),2)</f>
        <v>0</v>
      </c>
      <c r="AE352" s="28">
        <f>ROUND(IF(AQ352="7",BI352,0),2)</f>
        <v>0</v>
      </c>
      <c r="AF352" s="28">
        <f>ROUND(IF(AQ352="2",BH352,0),2)</f>
        <v>0</v>
      </c>
      <c r="AG352" s="28">
        <f>ROUND(IF(AQ352="2",BI352,0),2)</f>
        <v>0</v>
      </c>
      <c r="AH352" s="28">
        <f>ROUND(IF(AQ352="0",BJ352,0),2)</f>
        <v>0</v>
      </c>
      <c r="AI352" s="10" t="s">
        <v>641</v>
      </c>
      <c r="AJ352" s="28">
        <f>IF(AN352=0,J352,0)</f>
        <v>0</v>
      </c>
      <c r="AK352" s="28">
        <f>IF(AN352=12,J352,0)</f>
        <v>0</v>
      </c>
      <c r="AL352" s="28">
        <f>IF(AN352=21,J352,0)</f>
        <v>0</v>
      </c>
      <c r="AN352" s="28">
        <v>21</v>
      </c>
      <c r="AO352" s="28">
        <f>G352*0.912146597</f>
        <v>0</v>
      </c>
      <c r="AP352" s="28">
        <f>G352*(1-0.912146597)</f>
        <v>0</v>
      </c>
      <c r="AQ352" s="30" t="s">
        <v>56</v>
      </c>
      <c r="AV352" s="28">
        <f>ROUND(AW352+AX352,2)</f>
        <v>0</v>
      </c>
      <c r="AW352" s="28">
        <f>ROUND(F352*AO352,2)</f>
        <v>0</v>
      </c>
      <c r="AX352" s="28">
        <f>ROUND(F352*AP352,2)</f>
        <v>0</v>
      </c>
      <c r="AY352" s="30" t="s">
        <v>692</v>
      </c>
      <c r="AZ352" s="30" t="s">
        <v>686</v>
      </c>
      <c r="BA352" s="10" t="s">
        <v>646</v>
      </c>
      <c r="BC352" s="28">
        <f>AW352+AX352</f>
        <v>0</v>
      </c>
      <c r="BD352" s="28">
        <f>G352/(100-BE352)*100</f>
        <v>0</v>
      </c>
      <c r="BE352" s="28">
        <v>0</v>
      </c>
      <c r="BF352" s="28">
        <f>358</f>
        <v>358</v>
      </c>
      <c r="BH352" s="28">
        <f>F352*AO352</f>
        <v>0</v>
      </c>
      <c r="BI352" s="28">
        <f>F352*AP352</f>
        <v>0</v>
      </c>
      <c r="BJ352" s="28">
        <f>F352*G352</f>
        <v>0</v>
      </c>
      <c r="BK352" s="28"/>
      <c r="BL352" s="28">
        <v>57</v>
      </c>
      <c r="BW352" s="28">
        <v>21</v>
      </c>
      <c r="BX352" s="4" t="s">
        <v>691</v>
      </c>
    </row>
    <row r="353" spans="1:76" x14ac:dyDescent="0.25">
      <c r="A353" s="2" t="s">
        <v>693</v>
      </c>
      <c r="B353" s="3" t="s">
        <v>694</v>
      </c>
      <c r="C353" s="76" t="s">
        <v>695</v>
      </c>
      <c r="D353" s="71"/>
      <c r="E353" s="3" t="s">
        <v>103</v>
      </c>
      <c r="F353" s="28">
        <v>65</v>
      </c>
      <c r="G353" s="28">
        <v>0</v>
      </c>
      <c r="H353" s="28">
        <f>ROUND(F353*AO353,2)</f>
        <v>0</v>
      </c>
      <c r="I353" s="28">
        <f>ROUND(F353*AP353,2)</f>
        <v>0</v>
      </c>
      <c r="J353" s="28">
        <f>ROUND(F353*G353,2)</f>
        <v>0</v>
      </c>
      <c r="K353" s="29" t="s">
        <v>60</v>
      </c>
      <c r="Z353" s="28">
        <f>ROUND(IF(AQ353="5",BJ353,0),2)</f>
        <v>0</v>
      </c>
      <c r="AB353" s="28">
        <f>ROUND(IF(AQ353="1",BH353,0),2)</f>
        <v>0</v>
      </c>
      <c r="AC353" s="28">
        <f>ROUND(IF(AQ353="1",BI353,0),2)</f>
        <v>0</v>
      </c>
      <c r="AD353" s="28">
        <f>ROUND(IF(AQ353="7",BH353,0),2)</f>
        <v>0</v>
      </c>
      <c r="AE353" s="28">
        <f>ROUND(IF(AQ353="7",BI353,0),2)</f>
        <v>0</v>
      </c>
      <c r="AF353" s="28">
        <f>ROUND(IF(AQ353="2",BH353,0),2)</f>
        <v>0</v>
      </c>
      <c r="AG353" s="28">
        <f>ROUND(IF(AQ353="2",BI353,0),2)</f>
        <v>0</v>
      </c>
      <c r="AH353" s="28">
        <f>ROUND(IF(AQ353="0",BJ353,0),2)</f>
        <v>0</v>
      </c>
      <c r="AI353" s="10" t="s">
        <v>641</v>
      </c>
      <c r="AJ353" s="28">
        <f>IF(AN353=0,J353,0)</f>
        <v>0</v>
      </c>
      <c r="AK353" s="28">
        <f>IF(AN353=12,J353,0)</f>
        <v>0</v>
      </c>
      <c r="AL353" s="28">
        <f>IF(AN353=21,J353,0)</f>
        <v>0</v>
      </c>
      <c r="AN353" s="28">
        <v>21</v>
      </c>
      <c r="AO353" s="28">
        <f>G353*0.849473684</f>
        <v>0</v>
      </c>
      <c r="AP353" s="28">
        <f>G353*(1-0.849473684)</f>
        <v>0</v>
      </c>
      <c r="AQ353" s="30" t="s">
        <v>56</v>
      </c>
      <c r="AV353" s="28">
        <f>ROUND(AW353+AX353,2)</f>
        <v>0</v>
      </c>
      <c r="AW353" s="28">
        <f>ROUND(F353*AO353,2)</f>
        <v>0</v>
      </c>
      <c r="AX353" s="28">
        <f>ROUND(F353*AP353,2)</f>
        <v>0</v>
      </c>
      <c r="AY353" s="30" t="s">
        <v>692</v>
      </c>
      <c r="AZ353" s="30" t="s">
        <v>686</v>
      </c>
      <c r="BA353" s="10" t="s">
        <v>646</v>
      </c>
      <c r="BC353" s="28">
        <f>AW353+AX353</f>
        <v>0</v>
      </c>
      <c r="BD353" s="28">
        <f>G353/(100-BE353)*100</f>
        <v>0</v>
      </c>
      <c r="BE353" s="28">
        <v>0</v>
      </c>
      <c r="BF353" s="28">
        <f>359</f>
        <v>359</v>
      </c>
      <c r="BH353" s="28">
        <f>F353*AO353</f>
        <v>0</v>
      </c>
      <c r="BI353" s="28">
        <f>F353*AP353</f>
        <v>0</v>
      </c>
      <c r="BJ353" s="28">
        <f>F353*G353</f>
        <v>0</v>
      </c>
      <c r="BK353" s="28"/>
      <c r="BL353" s="28">
        <v>57</v>
      </c>
      <c r="BW353" s="28">
        <v>21</v>
      </c>
      <c r="BX353" s="4" t="s">
        <v>695</v>
      </c>
    </row>
    <row r="354" spans="1:76" x14ac:dyDescent="0.25">
      <c r="A354" s="2" t="s">
        <v>696</v>
      </c>
      <c r="B354" s="3" t="s">
        <v>697</v>
      </c>
      <c r="C354" s="76" t="s">
        <v>698</v>
      </c>
      <c r="D354" s="71"/>
      <c r="E354" s="3" t="s">
        <v>103</v>
      </c>
      <c r="F354" s="28">
        <v>65</v>
      </c>
      <c r="G354" s="28">
        <v>0</v>
      </c>
      <c r="H354" s="28">
        <f>ROUND(F354*AO354,2)</f>
        <v>0</v>
      </c>
      <c r="I354" s="28">
        <f>ROUND(F354*AP354,2)</f>
        <v>0</v>
      </c>
      <c r="J354" s="28">
        <f>ROUND(F354*G354,2)</f>
        <v>0</v>
      </c>
      <c r="K354" s="29" t="s">
        <v>60</v>
      </c>
      <c r="Z354" s="28">
        <f>ROUND(IF(AQ354="5",BJ354,0),2)</f>
        <v>0</v>
      </c>
      <c r="AB354" s="28">
        <f>ROUND(IF(AQ354="1",BH354,0),2)</f>
        <v>0</v>
      </c>
      <c r="AC354" s="28">
        <f>ROUND(IF(AQ354="1",BI354,0),2)</f>
        <v>0</v>
      </c>
      <c r="AD354" s="28">
        <f>ROUND(IF(AQ354="7",BH354,0),2)</f>
        <v>0</v>
      </c>
      <c r="AE354" s="28">
        <f>ROUND(IF(AQ354="7",BI354,0),2)</f>
        <v>0</v>
      </c>
      <c r="AF354" s="28">
        <f>ROUND(IF(AQ354="2",BH354,0),2)</f>
        <v>0</v>
      </c>
      <c r="AG354" s="28">
        <f>ROUND(IF(AQ354="2",BI354,0),2)</f>
        <v>0</v>
      </c>
      <c r="AH354" s="28">
        <f>ROUND(IF(AQ354="0",BJ354,0),2)</f>
        <v>0</v>
      </c>
      <c r="AI354" s="10" t="s">
        <v>641</v>
      </c>
      <c r="AJ354" s="28">
        <f>IF(AN354=0,J354,0)</f>
        <v>0</v>
      </c>
      <c r="AK354" s="28">
        <f>IF(AN354=12,J354,0)</f>
        <v>0</v>
      </c>
      <c r="AL354" s="28">
        <f>IF(AN354=21,J354,0)</f>
        <v>0</v>
      </c>
      <c r="AN354" s="28">
        <v>21</v>
      </c>
      <c r="AO354" s="28">
        <f>G354*0.79662803</f>
        <v>0</v>
      </c>
      <c r="AP354" s="28">
        <f>G354*(1-0.79662803)</f>
        <v>0</v>
      </c>
      <c r="AQ354" s="30" t="s">
        <v>56</v>
      </c>
      <c r="AV354" s="28">
        <f>ROUND(AW354+AX354,2)</f>
        <v>0</v>
      </c>
      <c r="AW354" s="28">
        <f>ROUND(F354*AO354,2)</f>
        <v>0</v>
      </c>
      <c r="AX354" s="28">
        <f>ROUND(F354*AP354,2)</f>
        <v>0</v>
      </c>
      <c r="AY354" s="30" t="s">
        <v>692</v>
      </c>
      <c r="AZ354" s="30" t="s">
        <v>686</v>
      </c>
      <c r="BA354" s="10" t="s">
        <v>646</v>
      </c>
      <c r="BC354" s="28">
        <f>AW354+AX354</f>
        <v>0</v>
      </c>
      <c r="BD354" s="28">
        <f>G354/(100-BE354)*100</f>
        <v>0</v>
      </c>
      <c r="BE354" s="28">
        <v>0</v>
      </c>
      <c r="BF354" s="28">
        <f>360</f>
        <v>360</v>
      </c>
      <c r="BH354" s="28">
        <f>F354*AO354</f>
        <v>0</v>
      </c>
      <c r="BI354" s="28">
        <f>F354*AP354</f>
        <v>0</v>
      </c>
      <c r="BJ354" s="28">
        <f>F354*G354</f>
        <v>0</v>
      </c>
      <c r="BK354" s="28"/>
      <c r="BL354" s="28">
        <v>57</v>
      </c>
      <c r="BW354" s="28">
        <v>21</v>
      </c>
      <c r="BX354" s="4" t="s">
        <v>698</v>
      </c>
    </row>
    <row r="355" spans="1:76" x14ac:dyDescent="0.25">
      <c r="A355" s="2" t="s">
        <v>699</v>
      </c>
      <c r="B355" s="3" t="s">
        <v>700</v>
      </c>
      <c r="C355" s="76" t="s">
        <v>701</v>
      </c>
      <c r="D355" s="71"/>
      <c r="E355" s="3" t="s">
        <v>188</v>
      </c>
      <c r="F355" s="28">
        <v>67</v>
      </c>
      <c r="G355" s="28">
        <v>0</v>
      </c>
      <c r="H355" s="28">
        <f>ROUND(F355*AO355,2)</f>
        <v>0</v>
      </c>
      <c r="I355" s="28">
        <f>ROUND(F355*AP355,2)</f>
        <v>0</v>
      </c>
      <c r="J355" s="28">
        <f>ROUND(F355*G355,2)</f>
        <v>0</v>
      </c>
      <c r="K355" s="29" t="s">
        <v>60</v>
      </c>
      <c r="Z355" s="28">
        <f>ROUND(IF(AQ355="5",BJ355,0),2)</f>
        <v>0</v>
      </c>
      <c r="AB355" s="28">
        <f>ROUND(IF(AQ355="1",BH355,0),2)</f>
        <v>0</v>
      </c>
      <c r="AC355" s="28">
        <f>ROUND(IF(AQ355="1",BI355,0),2)</f>
        <v>0</v>
      </c>
      <c r="AD355" s="28">
        <f>ROUND(IF(AQ355="7",BH355,0),2)</f>
        <v>0</v>
      </c>
      <c r="AE355" s="28">
        <f>ROUND(IF(AQ355="7",BI355,0),2)</f>
        <v>0</v>
      </c>
      <c r="AF355" s="28">
        <f>ROUND(IF(AQ355="2",BH355,0),2)</f>
        <v>0</v>
      </c>
      <c r="AG355" s="28">
        <f>ROUND(IF(AQ355="2",BI355,0),2)</f>
        <v>0</v>
      </c>
      <c r="AH355" s="28">
        <f>ROUND(IF(AQ355="0",BJ355,0),2)</f>
        <v>0</v>
      </c>
      <c r="AI355" s="10" t="s">
        <v>641</v>
      </c>
      <c r="AJ355" s="28">
        <f>IF(AN355=0,J355,0)</f>
        <v>0</v>
      </c>
      <c r="AK355" s="28">
        <f>IF(AN355=12,J355,0)</f>
        <v>0</v>
      </c>
      <c r="AL355" s="28">
        <f>IF(AN355=21,J355,0)</f>
        <v>0</v>
      </c>
      <c r="AN355" s="28">
        <v>21</v>
      </c>
      <c r="AO355" s="28">
        <f>G355*0.411415052</f>
        <v>0</v>
      </c>
      <c r="AP355" s="28">
        <f>G355*(1-0.411415052)</f>
        <v>0</v>
      </c>
      <c r="AQ355" s="30" t="s">
        <v>56</v>
      </c>
      <c r="AV355" s="28">
        <f>ROUND(AW355+AX355,2)</f>
        <v>0</v>
      </c>
      <c r="AW355" s="28">
        <f>ROUND(F355*AO355,2)</f>
        <v>0</v>
      </c>
      <c r="AX355" s="28">
        <f>ROUND(F355*AP355,2)</f>
        <v>0</v>
      </c>
      <c r="AY355" s="30" t="s">
        <v>692</v>
      </c>
      <c r="AZ355" s="30" t="s">
        <v>686</v>
      </c>
      <c r="BA355" s="10" t="s">
        <v>646</v>
      </c>
      <c r="BC355" s="28">
        <f>AW355+AX355</f>
        <v>0</v>
      </c>
      <c r="BD355" s="28">
        <f>G355/(100-BE355)*100</f>
        <v>0</v>
      </c>
      <c r="BE355" s="28">
        <v>0</v>
      </c>
      <c r="BF355" s="28">
        <f>361</f>
        <v>361</v>
      </c>
      <c r="BH355" s="28">
        <f>F355*AO355</f>
        <v>0</v>
      </c>
      <c r="BI355" s="28">
        <f>F355*AP355</f>
        <v>0</v>
      </c>
      <c r="BJ355" s="28">
        <f>F355*G355</f>
        <v>0</v>
      </c>
      <c r="BK355" s="28"/>
      <c r="BL355" s="28">
        <v>57</v>
      </c>
      <c r="BW355" s="28">
        <v>21</v>
      </c>
      <c r="BX355" s="4" t="s">
        <v>701</v>
      </c>
    </row>
    <row r="356" spans="1:76" x14ac:dyDescent="0.25">
      <c r="A356" s="24" t="s">
        <v>51</v>
      </c>
      <c r="B356" s="25" t="s">
        <v>483</v>
      </c>
      <c r="C356" s="87" t="s">
        <v>484</v>
      </c>
      <c r="D356" s="88"/>
      <c r="E356" s="26" t="s">
        <v>4</v>
      </c>
      <c r="F356" s="26" t="s">
        <v>4</v>
      </c>
      <c r="G356" s="26" t="s">
        <v>4</v>
      </c>
      <c r="H356" s="1">
        <f>SUM(H357:H361)</f>
        <v>0</v>
      </c>
      <c r="I356" s="1">
        <f>SUM(I357:I361)</f>
        <v>0</v>
      </c>
      <c r="J356" s="1">
        <f>SUM(J357:J361)</f>
        <v>0</v>
      </c>
      <c r="K356" s="27" t="s">
        <v>51</v>
      </c>
      <c r="AI356" s="10" t="s">
        <v>641</v>
      </c>
      <c r="AS356" s="1">
        <f>SUM(AJ357:AJ361)</f>
        <v>0</v>
      </c>
      <c r="AT356" s="1">
        <f>SUM(AK357:AK361)</f>
        <v>0</v>
      </c>
      <c r="AU356" s="1">
        <f>SUM(AL357:AL361)</f>
        <v>0</v>
      </c>
    </row>
    <row r="357" spans="1:76" x14ac:dyDescent="0.25">
      <c r="A357" s="2" t="s">
        <v>702</v>
      </c>
      <c r="B357" s="3" t="s">
        <v>486</v>
      </c>
      <c r="C357" s="76" t="s">
        <v>487</v>
      </c>
      <c r="D357" s="71"/>
      <c r="E357" s="3" t="s">
        <v>188</v>
      </c>
      <c r="F357" s="28">
        <v>28</v>
      </c>
      <c r="G357" s="28">
        <v>0</v>
      </c>
      <c r="H357" s="28">
        <f>ROUND(F357*AO357,2)</f>
        <v>0</v>
      </c>
      <c r="I357" s="28">
        <f>ROUND(F357*AP357,2)</f>
        <v>0</v>
      </c>
      <c r="J357" s="28">
        <f>ROUND(F357*G357,2)</f>
        <v>0</v>
      </c>
      <c r="K357" s="29" t="s">
        <v>60</v>
      </c>
      <c r="Z357" s="28">
        <f>ROUND(IF(AQ357="5",BJ357,0),2)</f>
        <v>0</v>
      </c>
      <c r="AB357" s="28">
        <f>ROUND(IF(AQ357="1",BH357,0),2)</f>
        <v>0</v>
      </c>
      <c r="AC357" s="28">
        <f>ROUND(IF(AQ357="1",BI357,0),2)</f>
        <v>0</v>
      </c>
      <c r="AD357" s="28">
        <f>ROUND(IF(AQ357="7",BH357,0),2)</f>
        <v>0</v>
      </c>
      <c r="AE357" s="28">
        <f>ROUND(IF(AQ357="7",BI357,0),2)</f>
        <v>0</v>
      </c>
      <c r="AF357" s="28">
        <f>ROUND(IF(AQ357="2",BH357,0),2)</f>
        <v>0</v>
      </c>
      <c r="AG357" s="28">
        <f>ROUND(IF(AQ357="2",BI357,0),2)</f>
        <v>0</v>
      </c>
      <c r="AH357" s="28">
        <f>ROUND(IF(AQ357="0",BJ357,0),2)</f>
        <v>0</v>
      </c>
      <c r="AI357" s="10" t="s">
        <v>641</v>
      </c>
      <c r="AJ357" s="28">
        <f>IF(AN357=0,J357,0)</f>
        <v>0</v>
      </c>
      <c r="AK357" s="28">
        <f>IF(AN357=12,J357,0)</f>
        <v>0</v>
      </c>
      <c r="AL357" s="28">
        <f>IF(AN357=21,J357,0)</f>
        <v>0</v>
      </c>
      <c r="AN357" s="28">
        <v>21</v>
      </c>
      <c r="AO357" s="28">
        <f>G357*0</f>
        <v>0</v>
      </c>
      <c r="AP357" s="28">
        <f>G357*(1-0)</f>
        <v>0</v>
      </c>
      <c r="AQ357" s="30" t="s">
        <v>56</v>
      </c>
      <c r="AV357" s="28">
        <f>ROUND(AW357+AX357,2)</f>
        <v>0</v>
      </c>
      <c r="AW357" s="28">
        <f>ROUND(F357*AO357,2)</f>
        <v>0</v>
      </c>
      <c r="AX357" s="28">
        <f>ROUND(F357*AP357,2)</f>
        <v>0</v>
      </c>
      <c r="AY357" s="30" t="s">
        <v>488</v>
      </c>
      <c r="AZ357" s="30" t="s">
        <v>703</v>
      </c>
      <c r="BA357" s="10" t="s">
        <v>646</v>
      </c>
      <c r="BC357" s="28">
        <f>AW357+AX357</f>
        <v>0</v>
      </c>
      <c r="BD357" s="28">
        <f>G357/(100-BE357)*100</f>
        <v>0</v>
      </c>
      <c r="BE357" s="28">
        <v>0</v>
      </c>
      <c r="BF357" s="28">
        <f>363</f>
        <v>363</v>
      </c>
      <c r="BH357" s="28">
        <f>F357*AO357</f>
        <v>0</v>
      </c>
      <c r="BI357" s="28">
        <f>F357*AP357</f>
        <v>0</v>
      </c>
      <c r="BJ357" s="28">
        <f>F357*G357</f>
        <v>0</v>
      </c>
      <c r="BK357" s="28"/>
      <c r="BL357" s="28">
        <v>87</v>
      </c>
      <c r="BW357" s="28">
        <v>21</v>
      </c>
      <c r="BX357" s="4" t="s">
        <v>487</v>
      </c>
    </row>
    <row r="358" spans="1:76" x14ac:dyDescent="0.25">
      <c r="A358" s="2" t="s">
        <v>704</v>
      </c>
      <c r="B358" s="3" t="s">
        <v>705</v>
      </c>
      <c r="C358" s="76" t="s">
        <v>706</v>
      </c>
      <c r="D358" s="71"/>
      <c r="E358" s="3" t="s">
        <v>188</v>
      </c>
      <c r="F358" s="28">
        <v>5</v>
      </c>
      <c r="G358" s="28">
        <v>0</v>
      </c>
      <c r="H358" s="28">
        <f>ROUND(F358*AO358,2)</f>
        <v>0</v>
      </c>
      <c r="I358" s="28">
        <f>ROUND(F358*AP358,2)</f>
        <v>0</v>
      </c>
      <c r="J358" s="28">
        <f>ROUND(F358*G358,2)</f>
        <v>0</v>
      </c>
      <c r="K358" s="29" t="s">
        <v>60</v>
      </c>
      <c r="Z358" s="28">
        <f>ROUND(IF(AQ358="5",BJ358,0),2)</f>
        <v>0</v>
      </c>
      <c r="AB358" s="28">
        <f>ROUND(IF(AQ358="1",BH358,0),2)</f>
        <v>0</v>
      </c>
      <c r="AC358" s="28">
        <f>ROUND(IF(AQ358="1",BI358,0),2)</f>
        <v>0</v>
      </c>
      <c r="AD358" s="28">
        <f>ROUND(IF(AQ358="7",BH358,0),2)</f>
        <v>0</v>
      </c>
      <c r="AE358" s="28">
        <f>ROUND(IF(AQ358="7",BI358,0),2)</f>
        <v>0</v>
      </c>
      <c r="AF358" s="28">
        <f>ROUND(IF(AQ358="2",BH358,0),2)</f>
        <v>0</v>
      </c>
      <c r="AG358" s="28">
        <f>ROUND(IF(AQ358="2",BI358,0),2)</f>
        <v>0</v>
      </c>
      <c r="AH358" s="28">
        <f>ROUND(IF(AQ358="0",BJ358,0),2)</f>
        <v>0</v>
      </c>
      <c r="AI358" s="10" t="s">
        <v>641</v>
      </c>
      <c r="AJ358" s="28">
        <f>IF(AN358=0,J358,0)</f>
        <v>0</v>
      </c>
      <c r="AK358" s="28">
        <f>IF(AN358=12,J358,0)</f>
        <v>0</v>
      </c>
      <c r="AL358" s="28">
        <f>IF(AN358=21,J358,0)</f>
        <v>0</v>
      </c>
      <c r="AN358" s="28">
        <v>21</v>
      </c>
      <c r="AO358" s="28">
        <f>G358*0.002906977</f>
        <v>0</v>
      </c>
      <c r="AP358" s="28">
        <f>G358*(1-0.002906977)</f>
        <v>0</v>
      </c>
      <c r="AQ358" s="30" t="s">
        <v>56</v>
      </c>
      <c r="AV358" s="28">
        <f>ROUND(AW358+AX358,2)</f>
        <v>0</v>
      </c>
      <c r="AW358" s="28">
        <f>ROUND(F358*AO358,2)</f>
        <v>0</v>
      </c>
      <c r="AX358" s="28">
        <f>ROUND(F358*AP358,2)</f>
        <v>0</v>
      </c>
      <c r="AY358" s="30" t="s">
        <v>488</v>
      </c>
      <c r="AZ358" s="30" t="s">
        <v>703</v>
      </c>
      <c r="BA358" s="10" t="s">
        <v>646</v>
      </c>
      <c r="BC358" s="28">
        <f>AW358+AX358</f>
        <v>0</v>
      </c>
      <c r="BD358" s="28">
        <f>G358/(100-BE358)*100</f>
        <v>0</v>
      </c>
      <c r="BE358" s="28">
        <v>0</v>
      </c>
      <c r="BF358" s="28">
        <f>365</f>
        <v>365</v>
      </c>
      <c r="BH358" s="28">
        <f>F358*AO358</f>
        <v>0</v>
      </c>
      <c r="BI358" s="28">
        <f>F358*AP358</f>
        <v>0</v>
      </c>
      <c r="BJ358" s="28">
        <f>F358*G358</f>
        <v>0</v>
      </c>
      <c r="BK358" s="28"/>
      <c r="BL358" s="28">
        <v>87</v>
      </c>
      <c r="BW358" s="28">
        <v>21</v>
      </c>
      <c r="BX358" s="4" t="s">
        <v>706</v>
      </c>
    </row>
    <row r="359" spans="1:76" x14ac:dyDescent="0.25">
      <c r="A359" s="2" t="s">
        <v>707</v>
      </c>
      <c r="B359" s="3" t="s">
        <v>486</v>
      </c>
      <c r="C359" s="76" t="s">
        <v>487</v>
      </c>
      <c r="D359" s="71"/>
      <c r="E359" s="3" t="s">
        <v>188</v>
      </c>
      <c r="F359" s="28">
        <v>29</v>
      </c>
      <c r="G359" s="28">
        <v>0</v>
      </c>
      <c r="H359" s="28">
        <f>ROUND(F359*AO359,2)</f>
        <v>0</v>
      </c>
      <c r="I359" s="28">
        <f>ROUND(F359*AP359,2)</f>
        <v>0</v>
      </c>
      <c r="J359" s="28">
        <f>ROUND(F359*G359,2)</f>
        <v>0</v>
      </c>
      <c r="K359" s="29" t="s">
        <v>60</v>
      </c>
      <c r="Z359" s="28">
        <f>ROUND(IF(AQ359="5",BJ359,0),2)</f>
        <v>0</v>
      </c>
      <c r="AB359" s="28">
        <f>ROUND(IF(AQ359="1",BH359,0),2)</f>
        <v>0</v>
      </c>
      <c r="AC359" s="28">
        <f>ROUND(IF(AQ359="1",BI359,0),2)</f>
        <v>0</v>
      </c>
      <c r="AD359" s="28">
        <f>ROUND(IF(AQ359="7",BH359,0),2)</f>
        <v>0</v>
      </c>
      <c r="AE359" s="28">
        <f>ROUND(IF(AQ359="7",BI359,0),2)</f>
        <v>0</v>
      </c>
      <c r="AF359" s="28">
        <f>ROUND(IF(AQ359="2",BH359,0),2)</f>
        <v>0</v>
      </c>
      <c r="AG359" s="28">
        <f>ROUND(IF(AQ359="2",BI359,0),2)</f>
        <v>0</v>
      </c>
      <c r="AH359" s="28">
        <f>ROUND(IF(AQ359="0",BJ359,0),2)</f>
        <v>0</v>
      </c>
      <c r="AI359" s="10" t="s">
        <v>641</v>
      </c>
      <c r="AJ359" s="28">
        <f>IF(AN359=0,J359,0)</f>
        <v>0</v>
      </c>
      <c r="AK359" s="28">
        <f>IF(AN359=12,J359,0)</f>
        <v>0</v>
      </c>
      <c r="AL359" s="28">
        <f>IF(AN359=21,J359,0)</f>
        <v>0</v>
      </c>
      <c r="AN359" s="28">
        <v>21</v>
      </c>
      <c r="AO359" s="28">
        <f>G359*0</f>
        <v>0</v>
      </c>
      <c r="AP359" s="28">
        <f>G359*(1-0)</f>
        <v>0</v>
      </c>
      <c r="AQ359" s="30" t="s">
        <v>56</v>
      </c>
      <c r="AV359" s="28">
        <f>ROUND(AW359+AX359,2)</f>
        <v>0</v>
      </c>
      <c r="AW359" s="28">
        <f>ROUND(F359*AO359,2)</f>
        <v>0</v>
      </c>
      <c r="AX359" s="28">
        <f>ROUND(F359*AP359,2)</f>
        <v>0</v>
      </c>
      <c r="AY359" s="30" t="s">
        <v>488</v>
      </c>
      <c r="AZ359" s="30" t="s">
        <v>703</v>
      </c>
      <c r="BA359" s="10" t="s">
        <v>646</v>
      </c>
      <c r="BC359" s="28">
        <f>AW359+AX359</f>
        <v>0</v>
      </c>
      <c r="BD359" s="28">
        <f>G359/(100-BE359)*100</f>
        <v>0</v>
      </c>
      <c r="BE359" s="28">
        <v>0</v>
      </c>
      <c r="BF359" s="28">
        <f>367</f>
        <v>367</v>
      </c>
      <c r="BH359" s="28">
        <f>F359*AO359</f>
        <v>0</v>
      </c>
      <c r="BI359" s="28">
        <f>F359*AP359</f>
        <v>0</v>
      </c>
      <c r="BJ359" s="28">
        <f>F359*G359</f>
        <v>0</v>
      </c>
      <c r="BK359" s="28"/>
      <c r="BL359" s="28">
        <v>87</v>
      </c>
      <c r="BW359" s="28">
        <v>21</v>
      </c>
      <c r="BX359" s="4" t="s">
        <v>487</v>
      </c>
    </row>
    <row r="360" spans="1:76" x14ac:dyDescent="0.25">
      <c r="A360" s="31"/>
      <c r="C360" s="32" t="s">
        <v>261</v>
      </c>
      <c r="D360" s="32" t="s">
        <v>708</v>
      </c>
      <c r="F360" s="33">
        <v>29</v>
      </c>
      <c r="K360" s="34"/>
    </row>
    <row r="361" spans="1:76" x14ac:dyDescent="0.25">
      <c r="A361" s="2" t="s">
        <v>709</v>
      </c>
      <c r="B361" s="3" t="s">
        <v>494</v>
      </c>
      <c r="C361" s="76" t="s">
        <v>2461</v>
      </c>
      <c r="D361" s="71"/>
      <c r="E361" s="3" t="s">
        <v>293</v>
      </c>
      <c r="F361" s="28">
        <v>5</v>
      </c>
      <c r="G361" s="28">
        <v>0</v>
      </c>
      <c r="H361" s="28">
        <f>ROUND(F361*AO361,2)</f>
        <v>0</v>
      </c>
      <c r="I361" s="28">
        <f>ROUND(F361*AP361,2)</f>
        <v>0</v>
      </c>
      <c r="J361" s="28">
        <f>ROUND(F361*G361,2)</f>
        <v>0</v>
      </c>
      <c r="K361" s="29" t="s">
        <v>60</v>
      </c>
      <c r="Z361" s="28">
        <f>ROUND(IF(AQ361="5",BJ361,0),2)</f>
        <v>0</v>
      </c>
      <c r="AB361" s="28">
        <f>ROUND(IF(AQ361="1",BH361,0),2)</f>
        <v>0</v>
      </c>
      <c r="AC361" s="28">
        <f>ROUND(IF(AQ361="1",BI361,0),2)</f>
        <v>0</v>
      </c>
      <c r="AD361" s="28">
        <f>ROUND(IF(AQ361="7",BH361,0),2)</f>
        <v>0</v>
      </c>
      <c r="AE361" s="28">
        <f>ROUND(IF(AQ361="7",BI361,0),2)</f>
        <v>0</v>
      </c>
      <c r="AF361" s="28">
        <f>ROUND(IF(AQ361="2",BH361,0),2)</f>
        <v>0</v>
      </c>
      <c r="AG361" s="28">
        <f>ROUND(IF(AQ361="2",BI361,0),2)</f>
        <v>0</v>
      </c>
      <c r="AH361" s="28">
        <f>ROUND(IF(AQ361="0",BJ361,0),2)</f>
        <v>0</v>
      </c>
      <c r="AI361" s="10" t="s">
        <v>641</v>
      </c>
      <c r="AJ361" s="28">
        <f>IF(AN361=0,J361,0)</f>
        <v>0</v>
      </c>
      <c r="AK361" s="28">
        <f>IF(AN361=12,J361,0)</f>
        <v>0</v>
      </c>
      <c r="AL361" s="28">
        <f>IF(AN361=21,J361,0)</f>
        <v>0</v>
      </c>
      <c r="AN361" s="28">
        <v>21</v>
      </c>
      <c r="AO361" s="28">
        <f>G361*1</f>
        <v>0</v>
      </c>
      <c r="AP361" s="28">
        <f>G361*(1-1)</f>
        <v>0</v>
      </c>
      <c r="AQ361" s="30" t="s">
        <v>56</v>
      </c>
      <c r="AV361" s="28">
        <f>ROUND(AW361+AX361,2)</f>
        <v>0</v>
      </c>
      <c r="AW361" s="28">
        <f>ROUND(F361*AO361,2)</f>
        <v>0</v>
      </c>
      <c r="AX361" s="28">
        <f>ROUND(F361*AP361,2)</f>
        <v>0</v>
      </c>
      <c r="AY361" s="30" t="s">
        <v>488</v>
      </c>
      <c r="AZ361" s="30" t="s">
        <v>703</v>
      </c>
      <c r="BA361" s="10" t="s">
        <v>646</v>
      </c>
      <c r="BC361" s="28">
        <f>AW361+AX361</f>
        <v>0</v>
      </c>
      <c r="BD361" s="28">
        <f>G361/(100-BE361)*100</f>
        <v>0</v>
      </c>
      <c r="BE361" s="28">
        <v>0</v>
      </c>
      <c r="BF361" s="28">
        <f>369</f>
        <v>369</v>
      </c>
      <c r="BH361" s="28">
        <f>F361*AO361</f>
        <v>0</v>
      </c>
      <c r="BI361" s="28">
        <f>F361*AP361</f>
        <v>0</v>
      </c>
      <c r="BJ361" s="28">
        <f>F361*G361</f>
        <v>0</v>
      </c>
      <c r="BK361" s="28"/>
      <c r="BL361" s="28">
        <v>87</v>
      </c>
      <c r="BW361" s="28">
        <v>21</v>
      </c>
      <c r="BX361" s="4" t="s">
        <v>495</v>
      </c>
    </row>
    <row r="362" spans="1:76" x14ac:dyDescent="0.25">
      <c r="A362" s="24" t="s">
        <v>51</v>
      </c>
      <c r="B362" s="25" t="s">
        <v>634</v>
      </c>
      <c r="C362" s="87" t="s">
        <v>635</v>
      </c>
      <c r="D362" s="88"/>
      <c r="E362" s="26" t="s">
        <v>4</v>
      </c>
      <c r="F362" s="26" t="s">
        <v>4</v>
      </c>
      <c r="G362" s="26" t="s">
        <v>4</v>
      </c>
      <c r="H362" s="1">
        <f>SUM(H363:H363)</f>
        <v>0</v>
      </c>
      <c r="I362" s="1">
        <f>SUM(I363:I363)</f>
        <v>0</v>
      </c>
      <c r="J362" s="1">
        <f>SUM(J363:J363)</f>
        <v>0</v>
      </c>
      <c r="K362" s="27" t="s">
        <v>51</v>
      </c>
      <c r="AI362" s="10" t="s">
        <v>641</v>
      </c>
      <c r="AS362" s="1">
        <f>SUM(AJ363:AJ363)</f>
        <v>0</v>
      </c>
      <c r="AT362" s="1">
        <f>SUM(AK363:AK363)</f>
        <v>0</v>
      </c>
      <c r="AU362" s="1">
        <f>SUM(AL363:AL363)</f>
        <v>0</v>
      </c>
    </row>
    <row r="363" spans="1:76" x14ac:dyDescent="0.25">
      <c r="A363" s="2" t="s">
        <v>710</v>
      </c>
      <c r="B363" s="3" t="s">
        <v>637</v>
      </c>
      <c r="C363" s="76" t="s">
        <v>638</v>
      </c>
      <c r="D363" s="71"/>
      <c r="E363" s="3" t="s">
        <v>201</v>
      </c>
      <c r="F363" s="28">
        <v>43.37</v>
      </c>
      <c r="G363" s="28">
        <v>0</v>
      </c>
      <c r="H363" s="28">
        <f>ROUND(F363*AO363,2)</f>
        <v>0</v>
      </c>
      <c r="I363" s="28">
        <f>ROUND(F363*AP363,2)</f>
        <v>0</v>
      </c>
      <c r="J363" s="28">
        <f>ROUND(F363*G363,2)</f>
        <v>0</v>
      </c>
      <c r="K363" s="29" t="s">
        <v>60</v>
      </c>
      <c r="Z363" s="28">
        <f>ROUND(IF(AQ363="5",BJ363,0),2)</f>
        <v>0</v>
      </c>
      <c r="AB363" s="28">
        <f>ROUND(IF(AQ363="1",BH363,0),2)</f>
        <v>0</v>
      </c>
      <c r="AC363" s="28">
        <f>ROUND(IF(AQ363="1",BI363,0),2)</f>
        <v>0</v>
      </c>
      <c r="AD363" s="28">
        <f>ROUND(IF(AQ363="7",BH363,0),2)</f>
        <v>0</v>
      </c>
      <c r="AE363" s="28">
        <f>ROUND(IF(AQ363="7",BI363,0),2)</f>
        <v>0</v>
      </c>
      <c r="AF363" s="28">
        <f>ROUND(IF(AQ363="2",BH363,0),2)</f>
        <v>0</v>
      </c>
      <c r="AG363" s="28">
        <f>ROUND(IF(AQ363="2",BI363,0),2)</f>
        <v>0</v>
      </c>
      <c r="AH363" s="28">
        <f>ROUND(IF(AQ363="0",BJ363,0),2)</f>
        <v>0</v>
      </c>
      <c r="AI363" s="10" t="s">
        <v>641</v>
      </c>
      <c r="AJ363" s="28">
        <f>IF(AN363=0,J363,0)</f>
        <v>0</v>
      </c>
      <c r="AK363" s="28">
        <f>IF(AN363=12,J363,0)</f>
        <v>0</v>
      </c>
      <c r="AL363" s="28">
        <f>IF(AN363=21,J363,0)</f>
        <v>0</v>
      </c>
      <c r="AN363" s="28">
        <v>21</v>
      </c>
      <c r="AO363" s="28">
        <f>G363*0</f>
        <v>0</v>
      </c>
      <c r="AP363" s="28">
        <f>G363*(1-0)</f>
        <v>0</v>
      </c>
      <c r="AQ363" s="30" t="s">
        <v>100</v>
      </c>
      <c r="AV363" s="28">
        <f>ROUND(AW363+AX363,2)</f>
        <v>0</v>
      </c>
      <c r="AW363" s="28">
        <f>ROUND(F363*AO363,2)</f>
        <v>0</v>
      </c>
      <c r="AX363" s="28">
        <f>ROUND(F363*AP363,2)</f>
        <v>0</v>
      </c>
      <c r="AY363" s="30" t="s">
        <v>639</v>
      </c>
      <c r="AZ363" s="30" t="s">
        <v>711</v>
      </c>
      <c r="BA363" s="10" t="s">
        <v>646</v>
      </c>
      <c r="BC363" s="28">
        <f>AW363+AX363</f>
        <v>0</v>
      </c>
      <c r="BD363" s="28">
        <f>G363/(100-BE363)*100</f>
        <v>0</v>
      </c>
      <c r="BE363" s="28">
        <v>0</v>
      </c>
      <c r="BF363" s="28">
        <f>371</f>
        <v>371</v>
      </c>
      <c r="BH363" s="28">
        <f>F363*AO363</f>
        <v>0</v>
      </c>
      <c r="BI363" s="28">
        <f>F363*AP363</f>
        <v>0</v>
      </c>
      <c r="BJ363" s="28">
        <f>F363*G363</f>
        <v>0</v>
      </c>
      <c r="BK363" s="28"/>
      <c r="BL363" s="28"/>
      <c r="BW363" s="28">
        <v>21</v>
      </c>
      <c r="BX363" s="4" t="s">
        <v>638</v>
      </c>
    </row>
    <row r="364" spans="1:76" x14ac:dyDescent="0.25">
      <c r="A364" s="24" t="s">
        <v>51</v>
      </c>
      <c r="B364" s="25" t="s">
        <v>51</v>
      </c>
      <c r="C364" s="87" t="s">
        <v>712</v>
      </c>
      <c r="D364" s="88"/>
      <c r="E364" s="26" t="s">
        <v>4</v>
      </c>
      <c r="F364" s="26" t="s">
        <v>4</v>
      </c>
      <c r="G364" s="26" t="s">
        <v>4</v>
      </c>
      <c r="H364" s="1">
        <f>H365+H377+H382+H386+H395+H399+H429+H459+H462+H467+H474+H511+H514+H517+H519</f>
        <v>0</v>
      </c>
      <c r="I364" s="1">
        <f>I365+I377+I382+I386+I395+I399+I429+I459+I462+I467+I474+I511+I514+I517+I519</f>
        <v>0</v>
      </c>
      <c r="J364" s="1">
        <f>J365+J377+J382+J386+J395+J399+J429+J459+J462+J467+J474+J511+J514+J517+J519</f>
        <v>0</v>
      </c>
      <c r="K364" s="27" t="s">
        <v>51</v>
      </c>
    </row>
    <row r="365" spans="1:76" x14ac:dyDescent="0.25">
      <c r="A365" s="24" t="s">
        <v>51</v>
      </c>
      <c r="B365" s="25" t="s">
        <v>148</v>
      </c>
      <c r="C365" s="87" t="s">
        <v>713</v>
      </c>
      <c r="D365" s="88"/>
      <c r="E365" s="26" t="s">
        <v>4</v>
      </c>
      <c r="F365" s="26" t="s">
        <v>4</v>
      </c>
      <c r="G365" s="26" t="s">
        <v>4</v>
      </c>
      <c r="H365" s="1">
        <f>SUM(H366:H371)</f>
        <v>0</v>
      </c>
      <c r="I365" s="1">
        <f>SUM(I366:I371)</f>
        <v>0</v>
      </c>
      <c r="J365" s="1">
        <f>SUM(J366:J371)</f>
        <v>0</v>
      </c>
      <c r="K365" s="27" t="s">
        <v>51</v>
      </c>
      <c r="AI365" s="10" t="s">
        <v>714</v>
      </c>
      <c r="AS365" s="1">
        <f>SUM(AJ366:AJ371)</f>
        <v>0</v>
      </c>
      <c r="AT365" s="1">
        <f>SUM(AK366:AK371)</f>
        <v>0</v>
      </c>
      <c r="AU365" s="1">
        <f>SUM(AL366:AL371)</f>
        <v>0</v>
      </c>
    </row>
    <row r="366" spans="1:76" x14ac:dyDescent="0.25">
      <c r="A366" s="2" t="s">
        <v>715</v>
      </c>
      <c r="B366" s="3" t="s">
        <v>716</v>
      </c>
      <c r="C366" s="76" t="s">
        <v>717</v>
      </c>
      <c r="D366" s="71"/>
      <c r="E366" s="3" t="s">
        <v>59</v>
      </c>
      <c r="F366" s="28">
        <v>186.9</v>
      </c>
      <c r="G366" s="28">
        <v>0</v>
      </c>
      <c r="H366" s="28">
        <f>ROUND(F366*AO366,2)</f>
        <v>0</v>
      </c>
      <c r="I366" s="28">
        <f>ROUND(F366*AP366,2)</f>
        <v>0</v>
      </c>
      <c r="J366" s="28">
        <f>ROUND(F366*G366,2)</f>
        <v>0</v>
      </c>
      <c r="K366" s="29" t="s">
        <v>60</v>
      </c>
      <c r="Z366" s="28">
        <f>ROUND(IF(AQ366="5",BJ366,0),2)</f>
        <v>0</v>
      </c>
      <c r="AB366" s="28">
        <f>ROUND(IF(AQ366="1",BH366,0),2)</f>
        <v>0</v>
      </c>
      <c r="AC366" s="28">
        <f>ROUND(IF(AQ366="1",BI366,0),2)</f>
        <v>0</v>
      </c>
      <c r="AD366" s="28">
        <f>ROUND(IF(AQ366="7",BH366,0),2)</f>
        <v>0</v>
      </c>
      <c r="AE366" s="28">
        <f>ROUND(IF(AQ366="7",BI366,0),2)</f>
        <v>0</v>
      </c>
      <c r="AF366" s="28">
        <f>ROUND(IF(AQ366="2",BH366,0),2)</f>
        <v>0</v>
      </c>
      <c r="AG366" s="28">
        <f>ROUND(IF(AQ366="2",BI366,0),2)</f>
        <v>0</v>
      </c>
      <c r="AH366" s="28">
        <f>ROUND(IF(AQ366="0",BJ366,0),2)</f>
        <v>0</v>
      </c>
      <c r="AI366" s="10" t="s">
        <v>714</v>
      </c>
      <c r="AJ366" s="28">
        <f>IF(AN366=0,J366,0)</f>
        <v>0</v>
      </c>
      <c r="AK366" s="28">
        <f>IF(AN366=12,J366,0)</f>
        <v>0</v>
      </c>
      <c r="AL366" s="28">
        <f>IF(AN366=21,J366,0)</f>
        <v>0</v>
      </c>
      <c r="AN366" s="28">
        <v>21</v>
      </c>
      <c r="AO366" s="28">
        <f>G366*0</f>
        <v>0</v>
      </c>
      <c r="AP366" s="28">
        <f>G366*(1-0)</f>
        <v>0</v>
      </c>
      <c r="AQ366" s="30" t="s">
        <v>56</v>
      </c>
      <c r="AV366" s="28">
        <f>ROUND(AW366+AX366,2)</f>
        <v>0</v>
      </c>
      <c r="AW366" s="28">
        <f>ROUND(F366*AO366,2)</f>
        <v>0</v>
      </c>
      <c r="AX366" s="28">
        <f>ROUND(F366*AP366,2)</f>
        <v>0</v>
      </c>
      <c r="AY366" s="30" t="s">
        <v>718</v>
      </c>
      <c r="AZ366" s="30" t="s">
        <v>719</v>
      </c>
      <c r="BA366" s="10" t="s">
        <v>720</v>
      </c>
      <c r="BC366" s="28">
        <f>AW366+AX366</f>
        <v>0</v>
      </c>
      <c r="BD366" s="28">
        <f>G366/(100-BE366)*100</f>
        <v>0</v>
      </c>
      <c r="BE366" s="28">
        <v>0</v>
      </c>
      <c r="BF366" s="28">
        <f>374</f>
        <v>374</v>
      </c>
      <c r="BH366" s="28">
        <f>F366*AO366</f>
        <v>0</v>
      </c>
      <c r="BI366" s="28">
        <f>F366*AP366</f>
        <v>0</v>
      </c>
      <c r="BJ366" s="28">
        <f>F366*G366</f>
        <v>0</v>
      </c>
      <c r="BK366" s="28"/>
      <c r="BL366" s="28">
        <v>12</v>
      </c>
      <c r="BW366" s="28">
        <v>21</v>
      </c>
      <c r="BX366" s="4" t="s">
        <v>717</v>
      </c>
    </row>
    <row r="367" spans="1:76" x14ac:dyDescent="0.25">
      <c r="A367" s="31"/>
      <c r="C367" s="32" t="s">
        <v>721</v>
      </c>
      <c r="D367" s="32" t="s">
        <v>722</v>
      </c>
      <c r="F367" s="33">
        <v>124.5</v>
      </c>
      <c r="K367" s="34"/>
    </row>
    <row r="368" spans="1:76" x14ac:dyDescent="0.25">
      <c r="A368" s="31"/>
      <c r="C368" s="32" t="s">
        <v>723</v>
      </c>
      <c r="D368" s="32" t="s">
        <v>724</v>
      </c>
      <c r="F368" s="33">
        <v>49.5</v>
      </c>
      <c r="K368" s="34"/>
    </row>
    <row r="369" spans="1:76" x14ac:dyDescent="0.25">
      <c r="A369" s="31"/>
      <c r="C369" s="32" t="s">
        <v>725</v>
      </c>
      <c r="D369" s="32" t="s">
        <v>726</v>
      </c>
      <c r="F369" s="33">
        <v>10.5</v>
      </c>
      <c r="K369" s="34"/>
    </row>
    <row r="370" spans="1:76" x14ac:dyDescent="0.25">
      <c r="A370" s="31"/>
      <c r="C370" s="32" t="s">
        <v>727</v>
      </c>
      <c r="D370" s="32" t="s">
        <v>728</v>
      </c>
      <c r="F370" s="33">
        <v>2.4</v>
      </c>
      <c r="K370" s="34"/>
    </row>
    <row r="371" spans="1:76" x14ac:dyDescent="0.25">
      <c r="A371" s="2" t="s">
        <v>729</v>
      </c>
      <c r="B371" s="3" t="s">
        <v>730</v>
      </c>
      <c r="C371" s="76" t="s">
        <v>731</v>
      </c>
      <c r="D371" s="71"/>
      <c r="E371" s="3" t="s">
        <v>59</v>
      </c>
      <c r="F371" s="28">
        <v>186.9</v>
      </c>
      <c r="G371" s="28">
        <v>0</v>
      </c>
      <c r="H371" s="28">
        <f>ROUND(F371*AO371,2)</f>
        <v>0</v>
      </c>
      <c r="I371" s="28">
        <f>ROUND(F371*AP371,2)</f>
        <v>0</v>
      </c>
      <c r="J371" s="28">
        <f>ROUND(F371*G371,2)</f>
        <v>0</v>
      </c>
      <c r="K371" s="29" t="s">
        <v>60</v>
      </c>
      <c r="Z371" s="28">
        <f>ROUND(IF(AQ371="5",BJ371,0),2)</f>
        <v>0</v>
      </c>
      <c r="AB371" s="28">
        <f>ROUND(IF(AQ371="1",BH371,0),2)</f>
        <v>0</v>
      </c>
      <c r="AC371" s="28">
        <f>ROUND(IF(AQ371="1",BI371,0),2)</f>
        <v>0</v>
      </c>
      <c r="AD371" s="28">
        <f>ROUND(IF(AQ371="7",BH371,0),2)</f>
        <v>0</v>
      </c>
      <c r="AE371" s="28">
        <f>ROUND(IF(AQ371="7",BI371,0),2)</f>
        <v>0</v>
      </c>
      <c r="AF371" s="28">
        <f>ROUND(IF(AQ371="2",BH371,0),2)</f>
        <v>0</v>
      </c>
      <c r="AG371" s="28">
        <f>ROUND(IF(AQ371="2",BI371,0),2)</f>
        <v>0</v>
      </c>
      <c r="AH371" s="28">
        <f>ROUND(IF(AQ371="0",BJ371,0),2)</f>
        <v>0</v>
      </c>
      <c r="AI371" s="10" t="s">
        <v>714</v>
      </c>
      <c r="AJ371" s="28">
        <f>IF(AN371=0,J371,0)</f>
        <v>0</v>
      </c>
      <c r="AK371" s="28">
        <f>IF(AN371=12,J371,0)</f>
        <v>0</v>
      </c>
      <c r="AL371" s="28">
        <f>IF(AN371=21,J371,0)</f>
        <v>0</v>
      </c>
      <c r="AN371" s="28">
        <v>21</v>
      </c>
      <c r="AO371" s="28">
        <f>G371*0</f>
        <v>0</v>
      </c>
      <c r="AP371" s="28">
        <f>G371*(1-0)</f>
        <v>0</v>
      </c>
      <c r="AQ371" s="30" t="s">
        <v>56</v>
      </c>
      <c r="AV371" s="28">
        <f>ROUND(AW371+AX371,2)</f>
        <v>0</v>
      </c>
      <c r="AW371" s="28">
        <f>ROUND(F371*AO371,2)</f>
        <v>0</v>
      </c>
      <c r="AX371" s="28">
        <f>ROUND(F371*AP371,2)</f>
        <v>0</v>
      </c>
      <c r="AY371" s="30" t="s">
        <v>718</v>
      </c>
      <c r="AZ371" s="30" t="s">
        <v>719</v>
      </c>
      <c r="BA371" s="10" t="s">
        <v>720</v>
      </c>
      <c r="BC371" s="28">
        <f>AW371+AX371</f>
        <v>0</v>
      </c>
      <c r="BD371" s="28">
        <f>G371/(100-BE371)*100</f>
        <v>0</v>
      </c>
      <c r="BE371" s="28">
        <v>0</v>
      </c>
      <c r="BF371" s="28">
        <f>379</f>
        <v>379</v>
      </c>
      <c r="BH371" s="28">
        <f>F371*AO371</f>
        <v>0</v>
      </c>
      <c r="BI371" s="28">
        <f>F371*AP371</f>
        <v>0</v>
      </c>
      <c r="BJ371" s="28">
        <f>F371*G371</f>
        <v>0</v>
      </c>
      <c r="BK371" s="28"/>
      <c r="BL371" s="28">
        <v>12</v>
      </c>
      <c r="BW371" s="28">
        <v>21</v>
      </c>
      <c r="BX371" s="4" t="s">
        <v>731</v>
      </c>
    </row>
    <row r="372" spans="1:76" x14ac:dyDescent="0.25">
      <c r="A372" s="31"/>
      <c r="C372" s="32" t="s">
        <v>721</v>
      </c>
      <c r="D372" s="32" t="s">
        <v>722</v>
      </c>
      <c r="F372" s="33">
        <v>124.5</v>
      </c>
      <c r="K372" s="34"/>
    </row>
    <row r="373" spans="1:76" x14ac:dyDescent="0.25">
      <c r="A373" s="31"/>
      <c r="C373" s="32" t="s">
        <v>723</v>
      </c>
      <c r="D373" s="32" t="s">
        <v>724</v>
      </c>
      <c r="F373" s="33">
        <v>49.5</v>
      </c>
      <c r="K373" s="34"/>
    </row>
    <row r="374" spans="1:76" x14ac:dyDescent="0.25">
      <c r="A374" s="31"/>
      <c r="C374" s="32" t="s">
        <v>725</v>
      </c>
      <c r="D374" s="32" t="s">
        <v>726</v>
      </c>
      <c r="F374" s="33">
        <v>10.5</v>
      </c>
      <c r="K374" s="34"/>
    </row>
    <row r="375" spans="1:76" x14ac:dyDescent="0.25">
      <c r="A375" s="31"/>
      <c r="C375" s="32" t="s">
        <v>727</v>
      </c>
      <c r="D375" s="32" t="s">
        <v>728</v>
      </c>
      <c r="F375" s="33">
        <v>2.4</v>
      </c>
      <c r="K375" s="34"/>
    </row>
    <row r="376" spans="1:76" ht="25.5" x14ac:dyDescent="0.25">
      <c r="A376" s="31"/>
      <c r="B376" s="35" t="s">
        <v>68</v>
      </c>
      <c r="C376" s="94" t="s">
        <v>79</v>
      </c>
      <c r="D376" s="95"/>
      <c r="E376" s="95"/>
      <c r="F376" s="95"/>
      <c r="G376" s="95"/>
      <c r="H376" s="95"/>
      <c r="I376" s="95"/>
      <c r="J376" s="95"/>
      <c r="K376" s="96"/>
      <c r="BX376" s="36" t="s">
        <v>79</v>
      </c>
    </row>
    <row r="377" spans="1:76" x14ac:dyDescent="0.25">
      <c r="A377" s="24" t="s">
        <v>51</v>
      </c>
      <c r="B377" s="25" t="s">
        <v>53</v>
      </c>
      <c r="C377" s="87" t="s">
        <v>54</v>
      </c>
      <c r="D377" s="88"/>
      <c r="E377" s="26" t="s">
        <v>4</v>
      </c>
      <c r="F377" s="26" t="s">
        <v>4</v>
      </c>
      <c r="G377" s="26" t="s">
        <v>4</v>
      </c>
      <c r="H377" s="1">
        <f>SUM(H378:H378)</f>
        <v>0</v>
      </c>
      <c r="I377" s="1">
        <f>SUM(I378:I378)</f>
        <v>0</v>
      </c>
      <c r="J377" s="1">
        <f>SUM(J378:J378)</f>
        <v>0</v>
      </c>
      <c r="K377" s="27" t="s">
        <v>51</v>
      </c>
      <c r="AI377" s="10" t="s">
        <v>714</v>
      </c>
      <c r="AS377" s="1">
        <f>SUM(AJ378:AJ378)</f>
        <v>0</v>
      </c>
      <c r="AT377" s="1">
        <f>SUM(AK378:AK378)</f>
        <v>0</v>
      </c>
      <c r="AU377" s="1">
        <f>SUM(AL378:AL378)</f>
        <v>0</v>
      </c>
    </row>
    <row r="378" spans="1:76" x14ac:dyDescent="0.25">
      <c r="A378" s="2" t="s">
        <v>732</v>
      </c>
      <c r="B378" s="3" t="s">
        <v>733</v>
      </c>
      <c r="C378" s="76" t="s">
        <v>734</v>
      </c>
      <c r="D378" s="71"/>
      <c r="E378" s="3" t="s">
        <v>188</v>
      </c>
      <c r="F378" s="28">
        <v>40</v>
      </c>
      <c r="G378" s="28">
        <v>0</v>
      </c>
      <c r="H378" s="28">
        <f>ROUND(F378*AO378,2)</f>
        <v>0</v>
      </c>
      <c r="I378" s="28">
        <f>ROUND(F378*AP378,2)</f>
        <v>0</v>
      </c>
      <c r="J378" s="28">
        <f>ROUND(F378*G378,2)</f>
        <v>0</v>
      </c>
      <c r="K378" s="29" t="s">
        <v>60</v>
      </c>
      <c r="Z378" s="28">
        <f>ROUND(IF(AQ378="5",BJ378,0),2)</f>
        <v>0</v>
      </c>
      <c r="AB378" s="28">
        <f>ROUND(IF(AQ378="1",BH378,0),2)</f>
        <v>0</v>
      </c>
      <c r="AC378" s="28">
        <f>ROUND(IF(AQ378="1",BI378,0),2)</f>
        <v>0</v>
      </c>
      <c r="AD378" s="28">
        <f>ROUND(IF(AQ378="7",BH378,0),2)</f>
        <v>0</v>
      </c>
      <c r="AE378" s="28">
        <f>ROUND(IF(AQ378="7",BI378,0),2)</f>
        <v>0</v>
      </c>
      <c r="AF378" s="28">
        <f>ROUND(IF(AQ378="2",BH378,0),2)</f>
        <v>0</v>
      </c>
      <c r="AG378" s="28">
        <f>ROUND(IF(AQ378="2",BI378,0),2)</f>
        <v>0</v>
      </c>
      <c r="AH378" s="28">
        <f>ROUND(IF(AQ378="0",BJ378,0),2)</f>
        <v>0</v>
      </c>
      <c r="AI378" s="10" t="s">
        <v>714</v>
      </c>
      <c r="AJ378" s="28">
        <f>IF(AN378=0,J378,0)</f>
        <v>0</v>
      </c>
      <c r="AK378" s="28">
        <f>IF(AN378=12,J378,0)</f>
        <v>0</v>
      </c>
      <c r="AL378" s="28">
        <f>IF(AN378=21,J378,0)</f>
        <v>0</v>
      </c>
      <c r="AN378" s="28">
        <v>21</v>
      </c>
      <c r="AO378" s="28">
        <f>G378*0</f>
        <v>0</v>
      </c>
      <c r="AP378" s="28">
        <f>G378*(1-0)</f>
        <v>0</v>
      </c>
      <c r="AQ378" s="30" t="s">
        <v>56</v>
      </c>
      <c r="AV378" s="28">
        <f>ROUND(AW378+AX378,2)</f>
        <v>0</v>
      </c>
      <c r="AW378" s="28">
        <f>ROUND(F378*AO378,2)</f>
        <v>0</v>
      </c>
      <c r="AX378" s="28">
        <f>ROUND(F378*AP378,2)</f>
        <v>0</v>
      </c>
      <c r="AY378" s="30" t="s">
        <v>61</v>
      </c>
      <c r="AZ378" s="30" t="s">
        <v>719</v>
      </c>
      <c r="BA378" s="10" t="s">
        <v>720</v>
      </c>
      <c r="BC378" s="28">
        <f>AW378+AX378</f>
        <v>0</v>
      </c>
      <c r="BD378" s="28">
        <f>G378/(100-BE378)*100</f>
        <v>0</v>
      </c>
      <c r="BE378" s="28">
        <v>0</v>
      </c>
      <c r="BF378" s="28">
        <f>386</f>
        <v>386</v>
      </c>
      <c r="BH378" s="28">
        <f>F378*AO378</f>
        <v>0</v>
      </c>
      <c r="BI378" s="28">
        <f>F378*AP378</f>
        <v>0</v>
      </c>
      <c r="BJ378" s="28">
        <f>F378*G378</f>
        <v>0</v>
      </c>
      <c r="BK378" s="28"/>
      <c r="BL378" s="28">
        <v>13</v>
      </c>
      <c r="BW378" s="28">
        <v>21</v>
      </c>
      <c r="BX378" s="4" t="s">
        <v>734</v>
      </c>
    </row>
    <row r="379" spans="1:76" ht="13.5" customHeight="1" x14ac:dyDescent="0.25">
      <c r="A379" s="31"/>
      <c r="B379" s="35" t="s">
        <v>105</v>
      </c>
      <c r="C379" s="97" t="s">
        <v>735</v>
      </c>
      <c r="D379" s="98"/>
      <c r="E379" s="98"/>
      <c r="F379" s="98"/>
      <c r="G379" s="98"/>
      <c r="H379" s="98"/>
      <c r="I379" s="98"/>
      <c r="J379" s="98"/>
      <c r="K379" s="99"/>
    </row>
    <row r="380" spans="1:76" x14ac:dyDescent="0.25">
      <c r="A380" s="31"/>
      <c r="C380" s="32" t="s">
        <v>317</v>
      </c>
      <c r="D380" s="32" t="s">
        <v>736</v>
      </c>
      <c r="F380" s="33">
        <v>40</v>
      </c>
      <c r="K380" s="34"/>
    </row>
    <row r="381" spans="1:76" ht="25.5" x14ac:dyDescent="0.25">
      <c r="A381" s="31"/>
      <c r="B381" s="35" t="s">
        <v>68</v>
      </c>
      <c r="C381" s="94" t="s">
        <v>737</v>
      </c>
      <c r="D381" s="95"/>
      <c r="E381" s="95"/>
      <c r="F381" s="95"/>
      <c r="G381" s="95"/>
      <c r="H381" s="95"/>
      <c r="I381" s="95"/>
      <c r="J381" s="95"/>
      <c r="K381" s="96"/>
      <c r="BX381" s="36" t="s">
        <v>737</v>
      </c>
    </row>
    <row r="382" spans="1:76" x14ac:dyDescent="0.25">
      <c r="A382" s="24" t="s">
        <v>51</v>
      </c>
      <c r="B382" s="25" t="s">
        <v>152</v>
      </c>
      <c r="C382" s="87" t="s">
        <v>153</v>
      </c>
      <c r="D382" s="88"/>
      <c r="E382" s="26" t="s">
        <v>4</v>
      </c>
      <c r="F382" s="26" t="s">
        <v>4</v>
      </c>
      <c r="G382" s="26" t="s">
        <v>4</v>
      </c>
      <c r="H382" s="1">
        <f>SUM(H383:H383)</f>
        <v>0</v>
      </c>
      <c r="I382" s="1">
        <f>SUM(I383:I383)</f>
        <v>0</v>
      </c>
      <c r="J382" s="1">
        <f>SUM(J383:J383)</f>
        <v>0</v>
      </c>
      <c r="K382" s="27" t="s">
        <v>51</v>
      </c>
      <c r="AI382" s="10" t="s">
        <v>714</v>
      </c>
      <c r="AS382" s="1">
        <f>SUM(AJ383:AJ383)</f>
        <v>0</v>
      </c>
      <c r="AT382" s="1">
        <f>SUM(AK383:AK383)</f>
        <v>0</v>
      </c>
      <c r="AU382" s="1">
        <f>SUM(AL383:AL383)</f>
        <v>0</v>
      </c>
    </row>
    <row r="383" spans="1:76" x14ac:dyDescent="0.25">
      <c r="A383" s="2" t="s">
        <v>738</v>
      </c>
      <c r="B383" s="3" t="s">
        <v>163</v>
      </c>
      <c r="C383" s="76" t="s">
        <v>164</v>
      </c>
      <c r="D383" s="71"/>
      <c r="E383" s="3" t="s">
        <v>59</v>
      </c>
      <c r="F383" s="28">
        <v>1015</v>
      </c>
      <c r="G383" s="28">
        <v>0</v>
      </c>
      <c r="H383" s="28">
        <f>ROUND(F383*AO383,2)</f>
        <v>0</v>
      </c>
      <c r="I383" s="28">
        <f>ROUND(F383*AP383,2)</f>
        <v>0</v>
      </c>
      <c r="J383" s="28">
        <f>ROUND(F383*G383,2)</f>
        <v>0</v>
      </c>
      <c r="K383" s="29" t="s">
        <v>60</v>
      </c>
      <c r="Z383" s="28">
        <f>ROUND(IF(AQ383="5",BJ383,0),2)</f>
        <v>0</v>
      </c>
      <c r="AB383" s="28">
        <f>ROUND(IF(AQ383="1",BH383,0),2)</f>
        <v>0</v>
      </c>
      <c r="AC383" s="28">
        <f>ROUND(IF(AQ383="1",BI383,0),2)</f>
        <v>0</v>
      </c>
      <c r="AD383" s="28">
        <f>ROUND(IF(AQ383="7",BH383,0),2)</f>
        <v>0</v>
      </c>
      <c r="AE383" s="28">
        <f>ROUND(IF(AQ383="7",BI383,0),2)</f>
        <v>0</v>
      </c>
      <c r="AF383" s="28">
        <f>ROUND(IF(AQ383="2",BH383,0),2)</f>
        <v>0</v>
      </c>
      <c r="AG383" s="28">
        <f>ROUND(IF(AQ383="2",BI383,0),2)</f>
        <v>0</v>
      </c>
      <c r="AH383" s="28">
        <f>ROUND(IF(AQ383="0",BJ383,0),2)</f>
        <v>0</v>
      </c>
      <c r="AI383" s="10" t="s">
        <v>714</v>
      </c>
      <c r="AJ383" s="28">
        <f>IF(AN383=0,J383,0)</f>
        <v>0</v>
      </c>
      <c r="AK383" s="28">
        <f>IF(AN383=12,J383,0)</f>
        <v>0</v>
      </c>
      <c r="AL383" s="28">
        <f>IF(AN383=21,J383,0)</f>
        <v>0</v>
      </c>
      <c r="AN383" s="28">
        <v>21</v>
      </c>
      <c r="AO383" s="28">
        <f>G383*0</f>
        <v>0</v>
      </c>
      <c r="AP383" s="28">
        <f>G383*(1-0)</f>
        <v>0</v>
      </c>
      <c r="AQ383" s="30" t="s">
        <v>56</v>
      </c>
      <c r="AV383" s="28">
        <f>ROUND(AW383+AX383,2)</f>
        <v>0</v>
      </c>
      <c r="AW383" s="28">
        <f>ROUND(F383*AO383,2)</f>
        <v>0</v>
      </c>
      <c r="AX383" s="28">
        <f>ROUND(F383*AP383,2)</f>
        <v>0</v>
      </c>
      <c r="AY383" s="30" t="s">
        <v>156</v>
      </c>
      <c r="AZ383" s="30" t="s">
        <v>719</v>
      </c>
      <c r="BA383" s="10" t="s">
        <v>720</v>
      </c>
      <c r="BC383" s="28">
        <f>AW383+AX383</f>
        <v>0</v>
      </c>
      <c r="BD383" s="28">
        <f>G383/(100-BE383)*100</f>
        <v>0</v>
      </c>
      <c r="BE383" s="28">
        <v>0</v>
      </c>
      <c r="BF383" s="28">
        <f>391</f>
        <v>391</v>
      </c>
      <c r="BH383" s="28">
        <f>F383*AO383</f>
        <v>0</v>
      </c>
      <c r="BI383" s="28">
        <f>F383*AP383</f>
        <v>0</v>
      </c>
      <c r="BJ383" s="28">
        <f>F383*G383</f>
        <v>0</v>
      </c>
      <c r="BK383" s="28"/>
      <c r="BL383" s="28">
        <v>17</v>
      </c>
      <c r="BW383" s="28">
        <v>21</v>
      </c>
      <c r="BX383" s="4" t="s">
        <v>164</v>
      </c>
    </row>
    <row r="384" spans="1:76" ht="13.5" customHeight="1" x14ac:dyDescent="0.25">
      <c r="A384" s="31"/>
      <c r="B384" s="35" t="s">
        <v>105</v>
      </c>
      <c r="C384" s="97" t="s">
        <v>739</v>
      </c>
      <c r="D384" s="98"/>
      <c r="E384" s="98"/>
      <c r="F384" s="98"/>
      <c r="G384" s="98"/>
      <c r="H384" s="98"/>
      <c r="I384" s="98"/>
      <c r="J384" s="98"/>
      <c r="K384" s="99"/>
    </row>
    <row r="385" spans="1:76" x14ac:dyDescent="0.25">
      <c r="A385" s="31"/>
      <c r="C385" s="32" t="s">
        <v>740</v>
      </c>
      <c r="D385" s="32" t="s">
        <v>741</v>
      </c>
      <c r="F385" s="33">
        <v>1015</v>
      </c>
      <c r="K385" s="34"/>
    </row>
    <row r="386" spans="1:76" x14ac:dyDescent="0.25">
      <c r="A386" s="24" t="s">
        <v>51</v>
      </c>
      <c r="B386" s="25" t="s">
        <v>185</v>
      </c>
      <c r="C386" s="87" t="s">
        <v>191</v>
      </c>
      <c r="D386" s="88"/>
      <c r="E386" s="26" t="s">
        <v>4</v>
      </c>
      <c r="F386" s="26" t="s">
        <v>4</v>
      </c>
      <c r="G386" s="26" t="s">
        <v>4</v>
      </c>
      <c r="H386" s="1">
        <f>SUM(H387:H387)</f>
        <v>0</v>
      </c>
      <c r="I386" s="1">
        <f>SUM(I387:I387)</f>
        <v>0</v>
      </c>
      <c r="J386" s="1">
        <f>SUM(J387:J387)</f>
        <v>0</v>
      </c>
      <c r="K386" s="27" t="s">
        <v>51</v>
      </c>
      <c r="AI386" s="10" t="s">
        <v>714</v>
      </c>
      <c r="AS386" s="1">
        <f>SUM(AJ387:AJ387)</f>
        <v>0</v>
      </c>
      <c r="AT386" s="1">
        <f>SUM(AK387:AK387)</f>
        <v>0</v>
      </c>
      <c r="AU386" s="1">
        <f>SUM(AL387:AL387)</f>
        <v>0</v>
      </c>
    </row>
    <row r="387" spans="1:76" x14ac:dyDescent="0.25">
      <c r="A387" s="2" t="s">
        <v>742</v>
      </c>
      <c r="B387" s="3" t="s">
        <v>743</v>
      </c>
      <c r="C387" s="76" t="s">
        <v>744</v>
      </c>
      <c r="D387" s="71"/>
      <c r="E387" s="3" t="s">
        <v>103</v>
      </c>
      <c r="F387" s="28">
        <v>893</v>
      </c>
      <c r="G387" s="28">
        <v>0</v>
      </c>
      <c r="H387" s="28">
        <f>ROUND(F387*AO387,2)</f>
        <v>0</v>
      </c>
      <c r="I387" s="28">
        <f>ROUND(F387*AP387,2)</f>
        <v>0</v>
      </c>
      <c r="J387" s="28">
        <f>ROUND(F387*G387,2)</f>
        <v>0</v>
      </c>
      <c r="K387" s="29" t="s">
        <v>60</v>
      </c>
      <c r="Z387" s="28">
        <f>ROUND(IF(AQ387="5",BJ387,0),2)</f>
        <v>0</v>
      </c>
      <c r="AB387" s="28">
        <f>ROUND(IF(AQ387="1",BH387,0),2)</f>
        <v>0</v>
      </c>
      <c r="AC387" s="28">
        <f>ROUND(IF(AQ387="1",BI387,0),2)</f>
        <v>0</v>
      </c>
      <c r="AD387" s="28">
        <f>ROUND(IF(AQ387="7",BH387,0),2)</f>
        <v>0</v>
      </c>
      <c r="AE387" s="28">
        <f>ROUND(IF(AQ387="7",BI387,0),2)</f>
        <v>0</v>
      </c>
      <c r="AF387" s="28">
        <f>ROUND(IF(AQ387="2",BH387,0),2)</f>
        <v>0</v>
      </c>
      <c r="AG387" s="28">
        <f>ROUND(IF(AQ387="2",BI387,0),2)</f>
        <v>0</v>
      </c>
      <c r="AH387" s="28">
        <f>ROUND(IF(AQ387="0",BJ387,0),2)</f>
        <v>0</v>
      </c>
      <c r="AI387" s="10" t="s">
        <v>714</v>
      </c>
      <c r="AJ387" s="28">
        <f>IF(AN387=0,J387,0)</f>
        <v>0</v>
      </c>
      <c r="AK387" s="28">
        <f>IF(AN387=12,J387,0)</f>
        <v>0</v>
      </c>
      <c r="AL387" s="28">
        <f>IF(AN387=21,J387,0)</f>
        <v>0</v>
      </c>
      <c r="AN387" s="28">
        <v>21</v>
      </c>
      <c r="AO387" s="28">
        <f>G387*0</f>
        <v>0</v>
      </c>
      <c r="AP387" s="28">
        <f>G387*(1-0)</f>
        <v>0</v>
      </c>
      <c r="AQ387" s="30" t="s">
        <v>56</v>
      </c>
      <c r="AV387" s="28">
        <f>ROUND(AW387+AX387,2)</f>
        <v>0</v>
      </c>
      <c r="AW387" s="28">
        <f>ROUND(F387*AO387,2)</f>
        <v>0</v>
      </c>
      <c r="AX387" s="28">
        <f>ROUND(F387*AP387,2)</f>
        <v>0</v>
      </c>
      <c r="AY387" s="30" t="s">
        <v>195</v>
      </c>
      <c r="AZ387" s="30" t="s">
        <v>719</v>
      </c>
      <c r="BA387" s="10" t="s">
        <v>720</v>
      </c>
      <c r="BC387" s="28">
        <f>AW387+AX387</f>
        <v>0</v>
      </c>
      <c r="BD387" s="28">
        <f>G387/(100-BE387)*100</f>
        <v>0</v>
      </c>
      <c r="BE387" s="28">
        <v>0</v>
      </c>
      <c r="BF387" s="28">
        <f>395</f>
        <v>395</v>
      </c>
      <c r="BH387" s="28">
        <f>F387*AO387</f>
        <v>0</v>
      </c>
      <c r="BI387" s="28">
        <f>F387*AP387</f>
        <v>0</v>
      </c>
      <c r="BJ387" s="28">
        <f>F387*G387</f>
        <v>0</v>
      </c>
      <c r="BK387" s="28"/>
      <c r="BL387" s="28">
        <v>18</v>
      </c>
      <c r="BW387" s="28">
        <v>21</v>
      </c>
      <c r="BX387" s="4" t="s">
        <v>744</v>
      </c>
    </row>
    <row r="388" spans="1:76" x14ac:dyDescent="0.25">
      <c r="A388" s="31"/>
      <c r="C388" s="32" t="s">
        <v>729</v>
      </c>
      <c r="D388" s="32" t="s">
        <v>745</v>
      </c>
      <c r="F388" s="33">
        <v>130</v>
      </c>
      <c r="K388" s="34"/>
    </row>
    <row r="389" spans="1:76" x14ac:dyDescent="0.25">
      <c r="A389" s="31"/>
      <c r="C389" s="32" t="s">
        <v>746</v>
      </c>
      <c r="D389" s="32" t="s">
        <v>722</v>
      </c>
      <c r="F389" s="33">
        <v>415</v>
      </c>
      <c r="K389" s="34"/>
    </row>
    <row r="390" spans="1:76" x14ac:dyDescent="0.25">
      <c r="A390" s="31"/>
      <c r="C390" s="32" t="s">
        <v>747</v>
      </c>
      <c r="D390" s="32" t="s">
        <v>748</v>
      </c>
      <c r="F390" s="33">
        <v>279</v>
      </c>
      <c r="K390" s="34"/>
    </row>
    <row r="391" spans="1:76" x14ac:dyDescent="0.25">
      <c r="A391" s="31"/>
      <c r="C391" s="32" t="s">
        <v>224</v>
      </c>
      <c r="D391" s="32" t="s">
        <v>749</v>
      </c>
      <c r="F391" s="33">
        <v>25</v>
      </c>
      <c r="K391" s="34"/>
    </row>
    <row r="392" spans="1:76" x14ac:dyDescent="0.25">
      <c r="A392" s="31"/>
      <c r="C392" s="32" t="s">
        <v>162</v>
      </c>
      <c r="D392" s="32" t="s">
        <v>750</v>
      </c>
      <c r="F392" s="33">
        <v>14</v>
      </c>
      <c r="K392" s="34"/>
    </row>
    <row r="393" spans="1:76" x14ac:dyDescent="0.25">
      <c r="A393" s="31"/>
      <c r="C393" s="32" t="s">
        <v>267</v>
      </c>
      <c r="D393" s="32" t="s">
        <v>751</v>
      </c>
      <c r="F393" s="33">
        <v>30</v>
      </c>
      <c r="K393" s="34"/>
    </row>
    <row r="394" spans="1:76" x14ac:dyDescent="0.25">
      <c r="A394" s="31"/>
      <c r="B394" s="35" t="s">
        <v>68</v>
      </c>
      <c r="C394" s="94" t="s">
        <v>752</v>
      </c>
      <c r="D394" s="95"/>
      <c r="E394" s="95"/>
      <c r="F394" s="95"/>
      <c r="G394" s="95"/>
      <c r="H394" s="95"/>
      <c r="I394" s="95"/>
      <c r="J394" s="95"/>
      <c r="K394" s="96"/>
      <c r="BX394" s="36" t="s">
        <v>752</v>
      </c>
    </row>
    <row r="395" spans="1:76" x14ac:dyDescent="0.25">
      <c r="A395" s="24" t="s">
        <v>51</v>
      </c>
      <c r="B395" s="25" t="s">
        <v>335</v>
      </c>
      <c r="C395" s="87" t="s">
        <v>753</v>
      </c>
      <c r="D395" s="88"/>
      <c r="E395" s="26" t="s">
        <v>4</v>
      </c>
      <c r="F395" s="26" t="s">
        <v>4</v>
      </c>
      <c r="G395" s="26" t="s">
        <v>4</v>
      </c>
      <c r="H395" s="1">
        <f>SUM(H396:H396)</f>
        <v>0</v>
      </c>
      <c r="I395" s="1">
        <f>SUM(I396:I396)</f>
        <v>0</v>
      </c>
      <c r="J395" s="1">
        <f>SUM(J396:J396)</f>
        <v>0</v>
      </c>
      <c r="K395" s="27" t="s">
        <v>51</v>
      </c>
      <c r="AI395" s="10" t="s">
        <v>714</v>
      </c>
      <c r="AS395" s="1">
        <f>SUM(AJ396:AJ396)</f>
        <v>0</v>
      </c>
      <c r="AT395" s="1">
        <f>SUM(AK396:AK396)</f>
        <v>0</v>
      </c>
      <c r="AU395" s="1">
        <f>SUM(AL396:AL396)</f>
        <v>0</v>
      </c>
    </row>
    <row r="396" spans="1:76" x14ac:dyDescent="0.25">
      <c r="A396" s="2" t="s">
        <v>754</v>
      </c>
      <c r="B396" s="3" t="s">
        <v>755</v>
      </c>
      <c r="C396" s="76" t="s">
        <v>756</v>
      </c>
      <c r="D396" s="71"/>
      <c r="E396" s="3" t="s">
        <v>757</v>
      </c>
      <c r="F396" s="28">
        <v>4.5</v>
      </c>
      <c r="G396" s="28">
        <v>0</v>
      </c>
      <c r="H396" s="28">
        <f>ROUND(F396*AO396,2)</f>
        <v>0</v>
      </c>
      <c r="I396" s="28">
        <f>ROUND(F396*AP396,2)</f>
        <v>0</v>
      </c>
      <c r="J396" s="28">
        <f>ROUND(F396*G396,2)</f>
        <v>0</v>
      </c>
      <c r="K396" s="29" t="s">
        <v>60</v>
      </c>
      <c r="Z396" s="28">
        <f>ROUND(IF(AQ396="5",BJ396,0),2)</f>
        <v>0</v>
      </c>
      <c r="AB396" s="28">
        <f>ROUND(IF(AQ396="1",BH396,0),2)</f>
        <v>0</v>
      </c>
      <c r="AC396" s="28">
        <f>ROUND(IF(AQ396="1",BI396,0),2)</f>
        <v>0</v>
      </c>
      <c r="AD396" s="28">
        <f>ROUND(IF(AQ396="7",BH396,0),2)</f>
        <v>0</v>
      </c>
      <c r="AE396" s="28">
        <f>ROUND(IF(AQ396="7",BI396,0),2)</f>
        <v>0</v>
      </c>
      <c r="AF396" s="28">
        <f>ROUND(IF(AQ396="2",BH396,0),2)</f>
        <v>0</v>
      </c>
      <c r="AG396" s="28">
        <f>ROUND(IF(AQ396="2",BI396,0),2)</f>
        <v>0</v>
      </c>
      <c r="AH396" s="28">
        <f>ROUND(IF(AQ396="0",BJ396,0),2)</f>
        <v>0</v>
      </c>
      <c r="AI396" s="10" t="s">
        <v>714</v>
      </c>
      <c r="AJ396" s="28">
        <f>IF(AN396=0,J396,0)</f>
        <v>0</v>
      </c>
      <c r="AK396" s="28">
        <f>IF(AN396=12,J396,0)</f>
        <v>0</v>
      </c>
      <c r="AL396" s="28">
        <f>IF(AN396=21,J396,0)</f>
        <v>0</v>
      </c>
      <c r="AN396" s="28">
        <v>21</v>
      </c>
      <c r="AO396" s="28">
        <f>G396*0.780769143</f>
        <v>0</v>
      </c>
      <c r="AP396" s="28">
        <f>G396*(1-0.780769143)</f>
        <v>0</v>
      </c>
      <c r="AQ396" s="30" t="s">
        <v>56</v>
      </c>
      <c r="AV396" s="28">
        <f>ROUND(AW396+AX396,2)</f>
        <v>0</v>
      </c>
      <c r="AW396" s="28">
        <f>ROUND(F396*AO396,2)</f>
        <v>0</v>
      </c>
      <c r="AX396" s="28">
        <f>ROUND(F396*AP396,2)</f>
        <v>0</v>
      </c>
      <c r="AY396" s="30" t="s">
        <v>758</v>
      </c>
      <c r="AZ396" s="30" t="s">
        <v>759</v>
      </c>
      <c r="BA396" s="10" t="s">
        <v>720</v>
      </c>
      <c r="BC396" s="28">
        <f>AW396+AX396</f>
        <v>0</v>
      </c>
      <c r="BD396" s="28">
        <f>G396/(100-BE396)*100</f>
        <v>0</v>
      </c>
      <c r="BE396" s="28">
        <v>0</v>
      </c>
      <c r="BF396" s="28">
        <f>404</f>
        <v>404</v>
      </c>
      <c r="BH396" s="28">
        <f>F396*AO396</f>
        <v>0</v>
      </c>
      <c r="BI396" s="28">
        <f>F396*AP396</f>
        <v>0</v>
      </c>
      <c r="BJ396" s="28">
        <f>F396*G396</f>
        <v>0</v>
      </c>
      <c r="BK396" s="28"/>
      <c r="BL396" s="28">
        <v>43</v>
      </c>
      <c r="BW396" s="28">
        <v>21</v>
      </c>
      <c r="BX396" s="4" t="s">
        <v>756</v>
      </c>
    </row>
    <row r="397" spans="1:76" ht="13.5" customHeight="1" x14ac:dyDescent="0.25">
      <c r="A397" s="31"/>
      <c r="B397" s="35" t="s">
        <v>105</v>
      </c>
      <c r="C397" s="97" t="s">
        <v>760</v>
      </c>
      <c r="D397" s="98"/>
      <c r="E397" s="98"/>
      <c r="F397" s="98"/>
      <c r="G397" s="98"/>
      <c r="H397" s="98"/>
      <c r="I397" s="98"/>
      <c r="J397" s="98"/>
      <c r="K397" s="99"/>
    </row>
    <row r="398" spans="1:76" ht="51" x14ac:dyDescent="0.25">
      <c r="A398" s="31"/>
      <c r="B398" s="35" t="s">
        <v>68</v>
      </c>
      <c r="C398" s="94" t="s">
        <v>761</v>
      </c>
      <c r="D398" s="95"/>
      <c r="E398" s="95"/>
      <c r="F398" s="95"/>
      <c r="G398" s="95"/>
      <c r="H398" s="95"/>
      <c r="I398" s="95"/>
      <c r="J398" s="95"/>
      <c r="K398" s="96"/>
      <c r="BX398" s="36" t="s">
        <v>761</v>
      </c>
    </row>
    <row r="399" spans="1:76" x14ac:dyDescent="0.25">
      <c r="A399" s="24" t="s">
        <v>51</v>
      </c>
      <c r="B399" s="25" t="s">
        <v>413</v>
      </c>
      <c r="C399" s="87" t="s">
        <v>681</v>
      </c>
      <c r="D399" s="88"/>
      <c r="E399" s="26" t="s">
        <v>4</v>
      </c>
      <c r="F399" s="26" t="s">
        <v>4</v>
      </c>
      <c r="G399" s="26" t="s">
        <v>4</v>
      </c>
      <c r="H399" s="1">
        <f>SUM(H400:H426)</f>
        <v>0</v>
      </c>
      <c r="I399" s="1">
        <f>SUM(I400:I426)</f>
        <v>0</v>
      </c>
      <c r="J399" s="1">
        <f>SUM(J400:J426)</f>
        <v>0</v>
      </c>
      <c r="K399" s="27" t="s">
        <v>51</v>
      </c>
      <c r="AI399" s="10" t="s">
        <v>714</v>
      </c>
      <c r="AS399" s="1">
        <f>SUM(AJ400:AJ426)</f>
        <v>0</v>
      </c>
      <c r="AT399" s="1">
        <f>SUM(AK400:AK426)</f>
        <v>0</v>
      </c>
      <c r="AU399" s="1">
        <f>SUM(AL400:AL426)</f>
        <v>0</v>
      </c>
    </row>
    <row r="400" spans="1:76" x14ac:dyDescent="0.25">
      <c r="A400" s="2" t="s">
        <v>762</v>
      </c>
      <c r="B400" s="3" t="s">
        <v>763</v>
      </c>
      <c r="C400" s="76" t="s">
        <v>764</v>
      </c>
      <c r="D400" s="71"/>
      <c r="E400" s="3" t="s">
        <v>103</v>
      </c>
      <c r="F400" s="28">
        <v>375</v>
      </c>
      <c r="G400" s="28">
        <v>0</v>
      </c>
      <c r="H400" s="28">
        <f>ROUND(F400*AO400,2)</f>
        <v>0</v>
      </c>
      <c r="I400" s="28">
        <f>ROUND(F400*AP400,2)</f>
        <v>0</v>
      </c>
      <c r="J400" s="28">
        <f>ROUND(F400*G400,2)</f>
        <v>0</v>
      </c>
      <c r="K400" s="29" t="s">
        <v>60</v>
      </c>
      <c r="Z400" s="28">
        <f>ROUND(IF(AQ400="5",BJ400,0),2)</f>
        <v>0</v>
      </c>
      <c r="AB400" s="28">
        <f>ROUND(IF(AQ400="1",BH400,0),2)</f>
        <v>0</v>
      </c>
      <c r="AC400" s="28">
        <f>ROUND(IF(AQ400="1",BI400,0),2)</f>
        <v>0</v>
      </c>
      <c r="AD400" s="28">
        <f>ROUND(IF(AQ400="7",BH400,0),2)</f>
        <v>0</v>
      </c>
      <c r="AE400" s="28">
        <f>ROUND(IF(AQ400="7",BI400,0),2)</f>
        <v>0</v>
      </c>
      <c r="AF400" s="28">
        <f>ROUND(IF(AQ400="2",BH400,0),2)</f>
        <v>0</v>
      </c>
      <c r="AG400" s="28">
        <f>ROUND(IF(AQ400="2",BI400,0),2)</f>
        <v>0</v>
      </c>
      <c r="AH400" s="28">
        <f>ROUND(IF(AQ400="0",BJ400,0),2)</f>
        <v>0</v>
      </c>
      <c r="AI400" s="10" t="s">
        <v>714</v>
      </c>
      <c r="AJ400" s="28">
        <f>IF(AN400=0,J400,0)</f>
        <v>0</v>
      </c>
      <c r="AK400" s="28">
        <f>IF(AN400=12,J400,0)</f>
        <v>0</v>
      </c>
      <c r="AL400" s="28">
        <f>IF(AN400=21,J400,0)</f>
        <v>0</v>
      </c>
      <c r="AN400" s="28">
        <v>21</v>
      </c>
      <c r="AO400" s="28">
        <f>G400*0.84013986</f>
        <v>0</v>
      </c>
      <c r="AP400" s="28">
        <f>G400*(1-0.84013986)</f>
        <v>0</v>
      </c>
      <c r="AQ400" s="30" t="s">
        <v>56</v>
      </c>
      <c r="AV400" s="28">
        <f>ROUND(AW400+AX400,2)</f>
        <v>0</v>
      </c>
      <c r="AW400" s="28">
        <f>ROUND(F400*AO400,2)</f>
        <v>0</v>
      </c>
      <c r="AX400" s="28">
        <f>ROUND(F400*AP400,2)</f>
        <v>0</v>
      </c>
      <c r="AY400" s="30" t="s">
        <v>685</v>
      </c>
      <c r="AZ400" s="30" t="s">
        <v>765</v>
      </c>
      <c r="BA400" s="10" t="s">
        <v>720</v>
      </c>
      <c r="BC400" s="28">
        <f>AW400+AX400</f>
        <v>0</v>
      </c>
      <c r="BD400" s="28">
        <f>G400/(100-BE400)*100</f>
        <v>0</v>
      </c>
      <c r="BE400" s="28">
        <v>0</v>
      </c>
      <c r="BF400" s="28">
        <f>408</f>
        <v>408</v>
      </c>
      <c r="BH400" s="28">
        <f>F400*AO400</f>
        <v>0</v>
      </c>
      <c r="BI400" s="28">
        <f>F400*AP400</f>
        <v>0</v>
      </c>
      <c r="BJ400" s="28">
        <f>F400*G400</f>
        <v>0</v>
      </c>
      <c r="BK400" s="28"/>
      <c r="BL400" s="28">
        <v>56</v>
      </c>
      <c r="BW400" s="28">
        <v>21</v>
      </c>
      <c r="BX400" s="4" t="s">
        <v>764</v>
      </c>
    </row>
    <row r="401" spans="1:76" x14ac:dyDescent="0.25">
      <c r="A401" s="31"/>
      <c r="C401" s="32" t="s">
        <v>766</v>
      </c>
      <c r="D401" s="32" t="s">
        <v>767</v>
      </c>
      <c r="F401" s="33">
        <v>227</v>
      </c>
      <c r="K401" s="34"/>
    </row>
    <row r="402" spans="1:76" x14ac:dyDescent="0.25">
      <c r="A402" s="31"/>
      <c r="C402" s="32" t="s">
        <v>729</v>
      </c>
      <c r="D402" s="32" t="s">
        <v>768</v>
      </c>
      <c r="F402" s="33">
        <v>130</v>
      </c>
      <c r="K402" s="34"/>
    </row>
    <row r="403" spans="1:76" x14ac:dyDescent="0.25">
      <c r="A403" s="31"/>
      <c r="C403" s="32" t="s">
        <v>185</v>
      </c>
      <c r="D403" s="32" t="s">
        <v>769</v>
      </c>
      <c r="F403" s="33">
        <v>18</v>
      </c>
      <c r="K403" s="34"/>
    </row>
    <row r="404" spans="1:76" ht="25.5" x14ac:dyDescent="0.25">
      <c r="A404" s="31"/>
      <c r="B404" s="35" t="s">
        <v>68</v>
      </c>
      <c r="C404" s="94" t="s">
        <v>770</v>
      </c>
      <c r="D404" s="95"/>
      <c r="E404" s="95"/>
      <c r="F404" s="95"/>
      <c r="G404" s="95"/>
      <c r="H404" s="95"/>
      <c r="I404" s="95"/>
      <c r="J404" s="95"/>
      <c r="K404" s="96"/>
      <c r="BX404" s="36" t="s">
        <v>770</v>
      </c>
    </row>
    <row r="405" spans="1:76" x14ac:dyDescent="0.25">
      <c r="A405" s="2" t="s">
        <v>771</v>
      </c>
      <c r="B405" s="3" t="s">
        <v>772</v>
      </c>
      <c r="C405" s="76" t="s">
        <v>773</v>
      </c>
      <c r="D405" s="71"/>
      <c r="E405" s="3" t="s">
        <v>103</v>
      </c>
      <c r="F405" s="28">
        <v>710</v>
      </c>
      <c r="G405" s="28">
        <v>0</v>
      </c>
      <c r="H405" s="28">
        <f>ROUND(F405*AO405,2)</f>
        <v>0</v>
      </c>
      <c r="I405" s="28">
        <f>ROUND(F405*AP405,2)</f>
        <v>0</v>
      </c>
      <c r="J405" s="28">
        <f>ROUND(F405*G405,2)</f>
        <v>0</v>
      </c>
      <c r="K405" s="29" t="s">
        <v>60</v>
      </c>
      <c r="Z405" s="28">
        <f>ROUND(IF(AQ405="5",BJ405,0),2)</f>
        <v>0</v>
      </c>
      <c r="AB405" s="28">
        <f>ROUND(IF(AQ405="1",BH405,0),2)</f>
        <v>0</v>
      </c>
      <c r="AC405" s="28">
        <f>ROUND(IF(AQ405="1",BI405,0),2)</f>
        <v>0</v>
      </c>
      <c r="AD405" s="28">
        <f>ROUND(IF(AQ405="7",BH405,0),2)</f>
        <v>0</v>
      </c>
      <c r="AE405" s="28">
        <f>ROUND(IF(AQ405="7",BI405,0),2)</f>
        <v>0</v>
      </c>
      <c r="AF405" s="28">
        <f>ROUND(IF(AQ405="2",BH405,0),2)</f>
        <v>0</v>
      </c>
      <c r="AG405" s="28">
        <f>ROUND(IF(AQ405="2",BI405,0),2)</f>
        <v>0</v>
      </c>
      <c r="AH405" s="28">
        <f>ROUND(IF(AQ405="0",BJ405,0),2)</f>
        <v>0</v>
      </c>
      <c r="AI405" s="10" t="s">
        <v>714</v>
      </c>
      <c r="AJ405" s="28">
        <f>IF(AN405=0,J405,0)</f>
        <v>0</v>
      </c>
      <c r="AK405" s="28">
        <f>IF(AN405=12,J405,0)</f>
        <v>0</v>
      </c>
      <c r="AL405" s="28">
        <f>IF(AN405=21,J405,0)</f>
        <v>0</v>
      </c>
      <c r="AN405" s="28">
        <v>21</v>
      </c>
      <c r="AO405" s="28">
        <f>G405*0.846008772</f>
        <v>0</v>
      </c>
      <c r="AP405" s="28">
        <f>G405*(1-0.846008772)</f>
        <v>0</v>
      </c>
      <c r="AQ405" s="30" t="s">
        <v>56</v>
      </c>
      <c r="AV405" s="28">
        <f>ROUND(AW405+AX405,2)</f>
        <v>0</v>
      </c>
      <c r="AW405" s="28">
        <f>ROUND(F405*AO405,2)</f>
        <v>0</v>
      </c>
      <c r="AX405" s="28">
        <f>ROUND(F405*AP405,2)</f>
        <v>0</v>
      </c>
      <c r="AY405" s="30" t="s">
        <v>685</v>
      </c>
      <c r="AZ405" s="30" t="s">
        <v>765</v>
      </c>
      <c r="BA405" s="10" t="s">
        <v>720</v>
      </c>
      <c r="BC405" s="28">
        <f>AW405+AX405</f>
        <v>0</v>
      </c>
      <c r="BD405" s="28">
        <f>G405/(100-BE405)*100</f>
        <v>0</v>
      </c>
      <c r="BE405" s="28">
        <v>0</v>
      </c>
      <c r="BF405" s="28">
        <f>413</f>
        <v>413</v>
      </c>
      <c r="BH405" s="28">
        <f>F405*AO405</f>
        <v>0</v>
      </c>
      <c r="BI405" s="28">
        <f>F405*AP405</f>
        <v>0</v>
      </c>
      <c r="BJ405" s="28">
        <f>F405*G405</f>
        <v>0</v>
      </c>
      <c r="BK405" s="28"/>
      <c r="BL405" s="28">
        <v>56</v>
      </c>
      <c r="BW405" s="28">
        <v>21</v>
      </c>
      <c r="BX405" s="4" t="s">
        <v>773</v>
      </c>
    </row>
    <row r="406" spans="1:76" x14ac:dyDescent="0.25">
      <c r="A406" s="31"/>
      <c r="C406" s="32" t="s">
        <v>746</v>
      </c>
      <c r="D406" s="32" t="s">
        <v>774</v>
      </c>
      <c r="F406" s="33">
        <v>415</v>
      </c>
      <c r="K406" s="34"/>
    </row>
    <row r="407" spans="1:76" x14ac:dyDescent="0.25">
      <c r="A407" s="31"/>
      <c r="C407" s="32" t="s">
        <v>775</v>
      </c>
      <c r="D407" s="32" t="s">
        <v>776</v>
      </c>
      <c r="F407" s="33">
        <v>165</v>
      </c>
      <c r="K407" s="34"/>
    </row>
    <row r="408" spans="1:76" x14ac:dyDescent="0.25">
      <c r="A408" s="31"/>
      <c r="C408" s="32" t="s">
        <v>729</v>
      </c>
      <c r="D408" s="32" t="s">
        <v>777</v>
      </c>
      <c r="F408" s="33">
        <v>130</v>
      </c>
      <c r="K408" s="34"/>
    </row>
    <row r="409" spans="1:76" ht="25.5" x14ac:dyDescent="0.25">
      <c r="A409" s="31"/>
      <c r="B409" s="35" t="s">
        <v>68</v>
      </c>
      <c r="C409" s="94" t="s">
        <v>778</v>
      </c>
      <c r="D409" s="95"/>
      <c r="E409" s="95"/>
      <c r="F409" s="95"/>
      <c r="G409" s="95"/>
      <c r="H409" s="95"/>
      <c r="I409" s="95"/>
      <c r="J409" s="95"/>
      <c r="K409" s="96"/>
      <c r="BX409" s="36" t="s">
        <v>778</v>
      </c>
    </row>
    <row r="410" spans="1:76" x14ac:dyDescent="0.25">
      <c r="A410" s="2" t="s">
        <v>779</v>
      </c>
      <c r="B410" s="3" t="s">
        <v>780</v>
      </c>
      <c r="C410" s="76" t="s">
        <v>781</v>
      </c>
      <c r="D410" s="71"/>
      <c r="E410" s="3" t="s">
        <v>103</v>
      </c>
      <c r="F410" s="28">
        <v>710</v>
      </c>
      <c r="G410" s="28">
        <v>0</v>
      </c>
      <c r="H410" s="28">
        <f>ROUND(F410*AO410,2)</f>
        <v>0</v>
      </c>
      <c r="I410" s="28">
        <f>ROUND(F410*AP410,2)</f>
        <v>0</v>
      </c>
      <c r="J410" s="28">
        <f>ROUND(F410*G410,2)</f>
        <v>0</v>
      </c>
      <c r="K410" s="29" t="s">
        <v>60</v>
      </c>
      <c r="Z410" s="28">
        <f>ROUND(IF(AQ410="5",BJ410,0),2)</f>
        <v>0</v>
      </c>
      <c r="AB410" s="28">
        <f>ROUND(IF(AQ410="1",BH410,0),2)</f>
        <v>0</v>
      </c>
      <c r="AC410" s="28">
        <f>ROUND(IF(AQ410="1",BI410,0),2)</f>
        <v>0</v>
      </c>
      <c r="AD410" s="28">
        <f>ROUND(IF(AQ410="7",BH410,0),2)</f>
        <v>0</v>
      </c>
      <c r="AE410" s="28">
        <f>ROUND(IF(AQ410="7",BI410,0),2)</f>
        <v>0</v>
      </c>
      <c r="AF410" s="28">
        <f>ROUND(IF(AQ410="2",BH410,0),2)</f>
        <v>0</v>
      </c>
      <c r="AG410" s="28">
        <f>ROUND(IF(AQ410="2",BI410,0),2)</f>
        <v>0</v>
      </c>
      <c r="AH410" s="28">
        <f>ROUND(IF(AQ410="0",BJ410,0),2)</f>
        <v>0</v>
      </c>
      <c r="AI410" s="10" t="s">
        <v>714</v>
      </c>
      <c r="AJ410" s="28">
        <f>IF(AN410=0,J410,0)</f>
        <v>0</v>
      </c>
      <c r="AK410" s="28">
        <f>IF(AN410=12,J410,0)</f>
        <v>0</v>
      </c>
      <c r="AL410" s="28">
        <f>IF(AN410=21,J410,0)</f>
        <v>0</v>
      </c>
      <c r="AN410" s="28">
        <v>21</v>
      </c>
      <c r="AO410" s="28">
        <f>G410*0</f>
        <v>0</v>
      </c>
      <c r="AP410" s="28">
        <f>G410*(1-0)</f>
        <v>0</v>
      </c>
      <c r="AQ410" s="30" t="s">
        <v>56</v>
      </c>
      <c r="AV410" s="28">
        <f>ROUND(AW410+AX410,2)</f>
        <v>0</v>
      </c>
      <c r="AW410" s="28">
        <f>ROUND(F410*AO410,2)</f>
        <v>0</v>
      </c>
      <c r="AX410" s="28">
        <f>ROUND(F410*AP410,2)</f>
        <v>0</v>
      </c>
      <c r="AY410" s="30" t="s">
        <v>685</v>
      </c>
      <c r="AZ410" s="30" t="s">
        <v>765</v>
      </c>
      <c r="BA410" s="10" t="s">
        <v>720</v>
      </c>
      <c r="BC410" s="28">
        <f>AW410+AX410</f>
        <v>0</v>
      </c>
      <c r="BD410" s="28">
        <f>G410/(100-BE410)*100</f>
        <v>0</v>
      </c>
      <c r="BE410" s="28">
        <v>0</v>
      </c>
      <c r="BF410" s="28">
        <f>418</f>
        <v>418</v>
      </c>
      <c r="BH410" s="28">
        <f>F410*AO410</f>
        <v>0</v>
      </c>
      <c r="BI410" s="28">
        <f>F410*AP410</f>
        <v>0</v>
      </c>
      <c r="BJ410" s="28">
        <f>F410*G410</f>
        <v>0</v>
      </c>
      <c r="BK410" s="28"/>
      <c r="BL410" s="28">
        <v>56</v>
      </c>
      <c r="BW410" s="28">
        <v>21</v>
      </c>
      <c r="BX410" s="4" t="s">
        <v>781</v>
      </c>
    </row>
    <row r="411" spans="1:76" x14ac:dyDescent="0.25">
      <c r="A411" s="31"/>
      <c r="C411" s="32" t="s">
        <v>746</v>
      </c>
      <c r="D411" s="32" t="s">
        <v>774</v>
      </c>
      <c r="F411" s="33">
        <v>415</v>
      </c>
      <c r="K411" s="34"/>
    </row>
    <row r="412" spans="1:76" x14ac:dyDescent="0.25">
      <c r="A412" s="31"/>
      <c r="C412" s="32" t="s">
        <v>775</v>
      </c>
      <c r="D412" s="32" t="s">
        <v>776</v>
      </c>
      <c r="F412" s="33">
        <v>165</v>
      </c>
      <c r="K412" s="34"/>
    </row>
    <row r="413" spans="1:76" x14ac:dyDescent="0.25">
      <c r="A413" s="31"/>
      <c r="C413" s="32" t="s">
        <v>729</v>
      </c>
      <c r="D413" s="32" t="s">
        <v>777</v>
      </c>
      <c r="F413" s="33">
        <v>130</v>
      </c>
      <c r="K413" s="34"/>
    </row>
    <row r="414" spans="1:76" x14ac:dyDescent="0.25">
      <c r="A414" s="2" t="s">
        <v>782</v>
      </c>
      <c r="B414" s="3" t="s">
        <v>783</v>
      </c>
      <c r="C414" s="76" t="s">
        <v>784</v>
      </c>
      <c r="D414" s="71"/>
      <c r="E414" s="3" t="s">
        <v>103</v>
      </c>
      <c r="F414" s="28">
        <v>788.81</v>
      </c>
      <c r="G414" s="28">
        <v>0</v>
      </c>
      <c r="H414" s="28">
        <f>ROUND(F414*AO414,2)</f>
        <v>0</v>
      </c>
      <c r="I414" s="28">
        <f>ROUND(F414*AP414,2)</f>
        <v>0</v>
      </c>
      <c r="J414" s="28">
        <f>ROUND(F414*G414,2)</f>
        <v>0</v>
      </c>
      <c r="K414" s="29" t="s">
        <v>60</v>
      </c>
      <c r="Z414" s="28">
        <f>ROUND(IF(AQ414="5",BJ414,0),2)</f>
        <v>0</v>
      </c>
      <c r="AB414" s="28">
        <f>ROUND(IF(AQ414="1",BH414,0),2)</f>
        <v>0</v>
      </c>
      <c r="AC414" s="28">
        <f>ROUND(IF(AQ414="1",BI414,0),2)</f>
        <v>0</v>
      </c>
      <c r="AD414" s="28">
        <f>ROUND(IF(AQ414="7",BH414,0),2)</f>
        <v>0</v>
      </c>
      <c r="AE414" s="28">
        <f>ROUND(IF(AQ414="7",BI414,0),2)</f>
        <v>0</v>
      </c>
      <c r="AF414" s="28">
        <f>ROUND(IF(AQ414="2",BH414,0),2)</f>
        <v>0</v>
      </c>
      <c r="AG414" s="28">
        <f>ROUND(IF(AQ414="2",BI414,0),2)</f>
        <v>0</v>
      </c>
      <c r="AH414" s="28">
        <f>ROUND(IF(AQ414="0",BJ414,0),2)</f>
        <v>0</v>
      </c>
      <c r="AI414" s="10" t="s">
        <v>714</v>
      </c>
      <c r="AJ414" s="28">
        <f>IF(AN414=0,J414,0)</f>
        <v>0</v>
      </c>
      <c r="AK414" s="28">
        <f>IF(AN414=12,J414,0)</f>
        <v>0</v>
      </c>
      <c r="AL414" s="28">
        <f>IF(AN414=21,J414,0)</f>
        <v>0</v>
      </c>
      <c r="AN414" s="28">
        <v>21</v>
      </c>
      <c r="AO414" s="28">
        <f>G414*1</f>
        <v>0</v>
      </c>
      <c r="AP414" s="28">
        <f>G414*(1-1)</f>
        <v>0</v>
      </c>
      <c r="AQ414" s="30" t="s">
        <v>56</v>
      </c>
      <c r="AV414" s="28">
        <f>ROUND(AW414+AX414,2)</f>
        <v>0</v>
      </c>
      <c r="AW414" s="28">
        <f>ROUND(F414*AO414,2)</f>
        <v>0</v>
      </c>
      <c r="AX414" s="28">
        <f>ROUND(F414*AP414,2)</f>
        <v>0</v>
      </c>
      <c r="AY414" s="30" t="s">
        <v>685</v>
      </c>
      <c r="AZ414" s="30" t="s">
        <v>765</v>
      </c>
      <c r="BA414" s="10" t="s">
        <v>720</v>
      </c>
      <c r="BC414" s="28">
        <f>AW414+AX414</f>
        <v>0</v>
      </c>
      <c r="BD414" s="28">
        <f>G414/(100-BE414)*100</f>
        <v>0</v>
      </c>
      <c r="BE414" s="28">
        <v>0</v>
      </c>
      <c r="BF414" s="28">
        <f>422</f>
        <v>422</v>
      </c>
      <c r="BH414" s="28">
        <f>F414*AO414</f>
        <v>0</v>
      </c>
      <c r="BI414" s="28">
        <f>F414*AP414</f>
        <v>0</v>
      </c>
      <c r="BJ414" s="28">
        <f>F414*G414</f>
        <v>0</v>
      </c>
      <c r="BK414" s="28"/>
      <c r="BL414" s="28">
        <v>56</v>
      </c>
      <c r="BW414" s="28">
        <v>21</v>
      </c>
      <c r="BX414" s="4" t="s">
        <v>784</v>
      </c>
    </row>
    <row r="415" spans="1:76" x14ac:dyDescent="0.25">
      <c r="A415" s="31"/>
      <c r="C415" s="32" t="s">
        <v>785</v>
      </c>
      <c r="D415" s="32" t="s">
        <v>786</v>
      </c>
      <c r="F415" s="33">
        <v>781</v>
      </c>
      <c r="K415" s="34"/>
    </row>
    <row r="416" spans="1:76" x14ac:dyDescent="0.25">
      <c r="A416" s="31"/>
      <c r="C416" s="32" t="s">
        <v>787</v>
      </c>
      <c r="D416" s="32" t="s">
        <v>51</v>
      </c>
      <c r="F416" s="33">
        <v>7.81</v>
      </c>
      <c r="K416" s="34"/>
    </row>
    <row r="417" spans="1:76" ht="102" x14ac:dyDescent="0.25">
      <c r="A417" s="31"/>
      <c r="B417" s="35" t="s">
        <v>68</v>
      </c>
      <c r="C417" s="94" t="s">
        <v>788</v>
      </c>
      <c r="D417" s="95"/>
      <c r="E417" s="95"/>
      <c r="F417" s="95"/>
      <c r="G417" s="95"/>
      <c r="H417" s="95"/>
      <c r="I417" s="95"/>
      <c r="J417" s="95"/>
      <c r="K417" s="96"/>
      <c r="BX417" s="36" t="s">
        <v>788</v>
      </c>
    </row>
    <row r="418" spans="1:76" x14ac:dyDescent="0.25">
      <c r="A418" s="2" t="s">
        <v>789</v>
      </c>
      <c r="B418" s="3" t="s">
        <v>790</v>
      </c>
      <c r="C418" s="76" t="s">
        <v>791</v>
      </c>
      <c r="D418" s="71"/>
      <c r="E418" s="3" t="s">
        <v>103</v>
      </c>
      <c r="F418" s="28">
        <v>106.5</v>
      </c>
      <c r="G418" s="28">
        <v>0</v>
      </c>
      <c r="H418" s="28">
        <f>ROUND(F418*AO418,2)</f>
        <v>0</v>
      </c>
      <c r="I418" s="28">
        <f>ROUND(F418*AP418,2)</f>
        <v>0</v>
      </c>
      <c r="J418" s="28">
        <f>ROUND(F418*G418,2)</f>
        <v>0</v>
      </c>
      <c r="K418" s="29" t="s">
        <v>60</v>
      </c>
      <c r="Z418" s="28">
        <f>ROUND(IF(AQ418="5",BJ418,0),2)</f>
        <v>0</v>
      </c>
      <c r="AB418" s="28">
        <f>ROUND(IF(AQ418="1",BH418,0),2)</f>
        <v>0</v>
      </c>
      <c r="AC418" s="28">
        <f>ROUND(IF(AQ418="1",BI418,0),2)</f>
        <v>0</v>
      </c>
      <c r="AD418" s="28">
        <f>ROUND(IF(AQ418="7",BH418,0),2)</f>
        <v>0</v>
      </c>
      <c r="AE418" s="28">
        <f>ROUND(IF(AQ418="7",BI418,0),2)</f>
        <v>0</v>
      </c>
      <c r="AF418" s="28">
        <f>ROUND(IF(AQ418="2",BH418,0),2)</f>
        <v>0</v>
      </c>
      <c r="AG418" s="28">
        <f>ROUND(IF(AQ418="2",BI418,0),2)</f>
        <v>0</v>
      </c>
      <c r="AH418" s="28">
        <f>ROUND(IF(AQ418="0",BJ418,0),2)</f>
        <v>0</v>
      </c>
      <c r="AI418" s="10" t="s">
        <v>714</v>
      </c>
      <c r="AJ418" s="28">
        <f>IF(AN418=0,J418,0)</f>
        <v>0</v>
      </c>
      <c r="AK418" s="28">
        <f>IF(AN418=12,J418,0)</f>
        <v>0</v>
      </c>
      <c r="AL418" s="28">
        <f>IF(AN418=21,J418,0)</f>
        <v>0</v>
      </c>
      <c r="AN418" s="28">
        <v>21</v>
      </c>
      <c r="AO418" s="28">
        <f>G418*0.818066925</f>
        <v>0</v>
      </c>
      <c r="AP418" s="28">
        <f>G418*(1-0.818066925)</f>
        <v>0</v>
      </c>
      <c r="AQ418" s="30" t="s">
        <v>56</v>
      </c>
      <c r="AV418" s="28">
        <f>ROUND(AW418+AX418,2)</f>
        <v>0</v>
      </c>
      <c r="AW418" s="28">
        <f>ROUND(F418*AO418,2)</f>
        <v>0</v>
      </c>
      <c r="AX418" s="28">
        <f>ROUND(F418*AP418,2)</f>
        <v>0</v>
      </c>
      <c r="AY418" s="30" t="s">
        <v>685</v>
      </c>
      <c r="AZ418" s="30" t="s">
        <v>765</v>
      </c>
      <c r="BA418" s="10" t="s">
        <v>720</v>
      </c>
      <c r="BC418" s="28">
        <f>AW418+AX418</f>
        <v>0</v>
      </c>
      <c r="BD418" s="28">
        <f>G418/(100-BE418)*100</f>
        <v>0</v>
      </c>
      <c r="BE418" s="28">
        <v>0</v>
      </c>
      <c r="BF418" s="28">
        <f>426</f>
        <v>426</v>
      </c>
      <c r="BH418" s="28">
        <f>F418*AO418</f>
        <v>0</v>
      </c>
      <c r="BI418" s="28">
        <f>F418*AP418</f>
        <v>0</v>
      </c>
      <c r="BJ418" s="28">
        <f>F418*G418</f>
        <v>0</v>
      </c>
      <c r="BK418" s="28"/>
      <c r="BL418" s="28">
        <v>56</v>
      </c>
      <c r="BW418" s="28">
        <v>21</v>
      </c>
      <c r="BX418" s="4" t="s">
        <v>791</v>
      </c>
    </row>
    <row r="419" spans="1:76" x14ac:dyDescent="0.25">
      <c r="A419" s="31"/>
      <c r="C419" s="32" t="s">
        <v>792</v>
      </c>
      <c r="D419" s="32" t="s">
        <v>793</v>
      </c>
      <c r="F419" s="33">
        <v>73.5</v>
      </c>
      <c r="K419" s="34"/>
    </row>
    <row r="420" spans="1:76" x14ac:dyDescent="0.25">
      <c r="A420" s="31"/>
      <c r="C420" s="32" t="s">
        <v>138</v>
      </c>
      <c r="D420" s="32" t="s">
        <v>750</v>
      </c>
      <c r="F420" s="33">
        <v>9</v>
      </c>
      <c r="K420" s="34"/>
    </row>
    <row r="421" spans="1:76" x14ac:dyDescent="0.25">
      <c r="A421" s="31"/>
      <c r="C421" s="32" t="s">
        <v>217</v>
      </c>
      <c r="D421" s="32" t="s">
        <v>794</v>
      </c>
      <c r="F421" s="33">
        <v>24</v>
      </c>
      <c r="K421" s="34"/>
    </row>
    <row r="422" spans="1:76" ht="25.5" x14ac:dyDescent="0.25">
      <c r="A422" s="31"/>
      <c r="B422" s="35" t="s">
        <v>68</v>
      </c>
      <c r="C422" s="94" t="s">
        <v>795</v>
      </c>
      <c r="D422" s="95"/>
      <c r="E422" s="95"/>
      <c r="F422" s="95"/>
      <c r="G422" s="95"/>
      <c r="H422" s="95"/>
      <c r="I422" s="95"/>
      <c r="J422" s="95"/>
      <c r="K422" s="96"/>
      <c r="BX422" s="36" t="s">
        <v>795</v>
      </c>
    </row>
    <row r="423" spans="1:76" x14ac:dyDescent="0.25">
      <c r="A423" s="2" t="s">
        <v>796</v>
      </c>
      <c r="B423" s="3" t="s">
        <v>797</v>
      </c>
      <c r="C423" s="76" t="s">
        <v>798</v>
      </c>
      <c r="D423" s="71"/>
      <c r="E423" s="3" t="s">
        <v>103</v>
      </c>
      <c r="F423" s="28">
        <v>415</v>
      </c>
      <c r="G423" s="28">
        <v>0</v>
      </c>
      <c r="H423" s="28">
        <f>ROUND(F423*AO423,2)</f>
        <v>0</v>
      </c>
      <c r="I423" s="28">
        <f>ROUND(F423*AP423,2)</f>
        <v>0</v>
      </c>
      <c r="J423" s="28">
        <f>ROUND(F423*G423,2)</f>
        <v>0</v>
      </c>
      <c r="K423" s="29" t="s">
        <v>60</v>
      </c>
      <c r="Z423" s="28">
        <f>ROUND(IF(AQ423="5",BJ423,0),2)</f>
        <v>0</v>
      </c>
      <c r="AB423" s="28">
        <f>ROUND(IF(AQ423="1",BH423,0),2)</f>
        <v>0</v>
      </c>
      <c r="AC423" s="28">
        <f>ROUND(IF(AQ423="1",BI423,0),2)</f>
        <v>0</v>
      </c>
      <c r="AD423" s="28">
        <f>ROUND(IF(AQ423="7",BH423,0),2)</f>
        <v>0</v>
      </c>
      <c r="AE423" s="28">
        <f>ROUND(IF(AQ423="7",BI423,0),2)</f>
        <v>0</v>
      </c>
      <c r="AF423" s="28">
        <f>ROUND(IF(AQ423="2",BH423,0),2)</f>
        <v>0</v>
      </c>
      <c r="AG423" s="28">
        <f>ROUND(IF(AQ423="2",BI423,0),2)</f>
        <v>0</v>
      </c>
      <c r="AH423" s="28">
        <f>ROUND(IF(AQ423="0",BJ423,0),2)</f>
        <v>0</v>
      </c>
      <c r="AI423" s="10" t="s">
        <v>714</v>
      </c>
      <c r="AJ423" s="28">
        <f>IF(AN423=0,J423,0)</f>
        <v>0</v>
      </c>
      <c r="AK423" s="28">
        <f>IF(AN423=12,J423,0)</f>
        <v>0</v>
      </c>
      <c r="AL423" s="28">
        <f>IF(AN423=21,J423,0)</f>
        <v>0</v>
      </c>
      <c r="AN423" s="28">
        <v>21</v>
      </c>
      <c r="AO423" s="28">
        <f>G423*0.843307087</f>
        <v>0</v>
      </c>
      <c r="AP423" s="28">
        <f>G423*(1-0.843307087)</f>
        <v>0</v>
      </c>
      <c r="AQ423" s="30" t="s">
        <v>56</v>
      </c>
      <c r="AV423" s="28">
        <f>ROUND(AW423+AX423,2)</f>
        <v>0</v>
      </c>
      <c r="AW423" s="28">
        <f>ROUND(F423*AO423,2)</f>
        <v>0</v>
      </c>
      <c r="AX423" s="28">
        <f>ROUND(F423*AP423,2)</f>
        <v>0</v>
      </c>
      <c r="AY423" s="30" t="s">
        <v>685</v>
      </c>
      <c r="AZ423" s="30" t="s">
        <v>765</v>
      </c>
      <c r="BA423" s="10" t="s">
        <v>720</v>
      </c>
      <c r="BC423" s="28">
        <f>AW423+AX423</f>
        <v>0</v>
      </c>
      <c r="BD423" s="28">
        <f>G423/(100-BE423)*100</f>
        <v>0</v>
      </c>
      <c r="BE423" s="28">
        <v>0</v>
      </c>
      <c r="BF423" s="28">
        <f>431</f>
        <v>431</v>
      </c>
      <c r="BH423" s="28">
        <f>F423*AO423</f>
        <v>0</v>
      </c>
      <c r="BI423" s="28">
        <f>F423*AP423</f>
        <v>0</v>
      </c>
      <c r="BJ423" s="28">
        <f>F423*G423</f>
        <v>0</v>
      </c>
      <c r="BK423" s="28"/>
      <c r="BL423" s="28">
        <v>56</v>
      </c>
      <c r="BW423" s="28">
        <v>21</v>
      </c>
      <c r="BX423" s="4" t="s">
        <v>798</v>
      </c>
    </row>
    <row r="424" spans="1:76" x14ac:dyDescent="0.25">
      <c r="A424" s="31"/>
      <c r="C424" s="32" t="s">
        <v>746</v>
      </c>
      <c r="D424" s="32" t="s">
        <v>799</v>
      </c>
      <c r="F424" s="33">
        <v>415</v>
      </c>
      <c r="K424" s="34"/>
    </row>
    <row r="425" spans="1:76" ht="25.5" x14ac:dyDescent="0.25">
      <c r="A425" s="31"/>
      <c r="B425" s="35" t="s">
        <v>68</v>
      </c>
      <c r="C425" s="94" t="s">
        <v>800</v>
      </c>
      <c r="D425" s="95"/>
      <c r="E425" s="95"/>
      <c r="F425" s="95"/>
      <c r="G425" s="95"/>
      <c r="H425" s="95"/>
      <c r="I425" s="95"/>
      <c r="J425" s="95"/>
      <c r="K425" s="96"/>
      <c r="BX425" s="36" t="s">
        <v>800</v>
      </c>
    </row>
    <row r="426" spans="1:76" x14ac:dyDescent="0.25">
      <c r="A426" s="2" t="s">
        <v>801</v>
      </c>
      <c r="B426" s="3" t="s">
        <v>802</v>
      </c>
      <c r="C426" s="76" t="s">
        <v>803</v>
      </c>
      <c r="D426" s="71"/>
      <c r="E426" s="3" t="s">
        <v>103</v>
      </c>
      <c r="F426" s="28">
        <v>40</v>
      </c>
      <c r="G426" s="28">
        <v>0</v>
      </c>
      <c r="H426" s="28">
        <f>ROUND(F426*AO426,2)</f>
        <v>0</v>
      </c>
      <c r="I426" s="28">
        <f>ROUND(F426*AP426,2)</f>
        <v>0</v>
      </c>
      <c r="J426" s="28">
        <f>ROUND(F426*G426,2)</f>
        <v>0</v>
      </c>
      <c r="K426" s="29" t="s">
        <v>60</v>
      </c>
      <c r="Z426" s="28">
        <f>ROUND(IF(AQ426="5",BJ426,0),2)</f>
        <v>0</v>
      </c>
      <c r="AB426" s="28">
        <f>ROUND(IF(AQ426="1",BH426,0),2)</f>
        <v>0</v>
      </c>
      <c r="AC426" s="28">
        <f>ROUND(IF(AQ426="1",BI426,0),2)</f>
        <v>0</v>
      </c>
      <c r="AD426" s="28">
        <f>ROUND(IF(AQ426="7",BH426,0),2)</f>
        <v>0</v>
      </c>
      <c r="AE426" s="28">
        <f>ROUND(IF(AQ426="7",BI426,0),2)</f>
        <v>0</v>
      </c>
      <c r="AF426" s="28">
        <f>ROUND(IF(AQ426="2",BH426,0),2)</f>
        <v>0</v>
      </c>
      <c r="AG426" s="28">
        <f>ROUND(IF(AQ426="2",BI426,0),2)</f>
        <v>0</v>
      </c>
      <c r="AH426" s="28">
        <f>ROUND(IF(AQ426="0",BJ426,0),2)</f>
        <v>0</v>
      </c>
      <c r="AI426" s="10" t="s">
        <v>714</v>
      </c>
      <c r="AJ426" s="28">
        <f>IF(AN426=0,J426,0)</f>
        <v>0</v>
      </c>
      <c r="AK426" s="28">
        <f>IF(AN426=12,J426,0)</f>
        <v>0</v>
      </c>
      <c r="AL426" s="28">
        <f>IF(AN426=21,J426,0)</f>
        <v>0</v>
      </c>
      <c r="AN426" s="28">
        <v>21</v>
      </c>
      <c r="AO426" s="28">
        <f>G426*0.868529909</f>
        <v>0</v>
      </c>
      <c r="AP426" s="28">
        <f>G426*(1-0.868529909)</f>
        <v>0</v>
      </c>
      <c r="AQ426" s="30" t="s">
        <v>56</v>
      </c>
      <c r="AV426" s="28">
        <f>ROUND(AW426+AX426,2)</f>
        <v>0</v>
      </c>
      <c r="AW426" s="28">
        <f>ROUND(F426*AO426,2)</f>
        <v>0</v>
      </c>
      <c r="AX426" s="28">
        <f>ROUND(F426*AP426,2)</f>
        <v>0</v>
      </c>
      <c r="AY426" s="30" t="s">
        <v>685</v>
      </c>
      <c r="AZ426" s="30" t="s">
        <v>765</v>
      </c>
      <c r="BA426" s="10" t="s">
        <v>720</v>
      </c>
      <c r="BC426" s="28">
        <f>AW426+AX426</f>
        <v>0</v>
      </c>
      <c r="BD426" s="28">
        <f>G426/(100-BE426)*100</f>
        <v>0</v>
      </c>
      <c r="BE426" s="28">
        <v>0</v>
      </c>
      <c r="BF426" s="28">
        <f>434</f>
        <v>434</v>
      </c>
      <c r="BH426" s="28">
        <f>F426*AO426</f>
        <v>0</v>
      </c>
      <c r="BI426" s="28">
        <f>F426*AP426</f>
        <v>0</v>
      </c>
      <c r="BJ426" s="28">
        <f>F426*G426</f>
        <v>0</v>
      </c>
      <c r="BK426" s="28"/>
      <c r="BL426" s="28">
        <v>56</v>
      </c>
      <c r="BW426" s="28">
        <v>21</v>
      </c>
      <c r="BX426" s="4" t="s">
        <v>803</v>
      </c>
    </row>
    <row r="427" spans="1:76" ht="13.5" customHeight="1" x14ac:dyDescent="0.25">
      <c r="A427" s="31"/>
      <c r="B427" s="35" t="s">
        <v>105</v>
      </c>
      <c r="C427" s="97" t="s">
        <v>804</v>
      </c>
      <c r="D427" s="98"/>
      <c r="E427" s="98"/>
      <c r="F427" s="98"/>
      <c r="G427" s="98"/>
      <c r="H427" s="98"/>
      <c r="I427" s="98"/>
      <c r="J427" s="98"/>
      <c r="K427" s="99"/>
    </row>
    <row r="428" spans="1:76" x14ac:dyDescent="0.25">
      <c r="A428" s="31"/>
      <c r="C428" s="32" t="s">
        <v>317</v>
      </c>
      <c r="D428" s="32" t="s">
        <v>805</v>
      </c>
      <c r="F428" s="33">
        <v>40</v>
      </c>
      <c r="K428" s="34"/>
    </row>
    <row r="429" spans="1:76" x14ac:dyDescent="0.25">
      <c r="A429" s="24" t="s">
        <v>51</v>
      </c>
      <c r="B429" s="25" t="s">
        <v>304</v>
      </c>
      <c r="C429" s="87" t="s">
        <v>305</v>
      </c>
      <c r="D429" s="88"/>
      <c r="E429" s="26" t="s">
        <v>4</v>
      </c>
      <c r="F429" s="26" t="s">
        <v>4</v>
      </c>
      <c r="G429" s="26" t="s">
        <v>4</v>
      </c>
      <c r="H429" s="1">
        <f>SUM(H430:H456)</f>
        <v>0</v>
      </c>
      <c r="I429" s="1">
        <f>SUM(I430:I456)</f>
        <v>0</v>
      </c>
      <c r="J429" s="1">
        <f>SUM(J430:J456)</f>
        <v>0</v>
      </c>
      <c r="K429" s="27" t="s">
        <v>51</v>
      </c>
      <c r="AI429" s="10" t="s">
        <v>714</v>
      </c>
      <c r="AS429" s="1">
        <f>SUM(AJ430:AJ456)</f>
        <v>0</v>
      </c>
      <c r="AT429" s="1">
        <f>SUM(AK430:AK456)</f>
        <v>0</v>
      </c>
      <c r="AU429" s="1">
        <f>SUM(AL430:AL456)</f>
        <v>0</v>
      </c>
    </row>
    <row r="430" spans="1:76" x14ac:dyDescent="0.25">
      <c r="A430" s="2" t="s">
        <v>806</v>
      </c>
      <c r="B430" s="3" t="s">
        <v>807</v>
      </c>
      <c r="C430" s="76" t="s">
        <v>808</v>
      </c>
      <c r="D430" s="71"/>
      <c r="E430" s="3" t="s">
        <v>103</v>
      </c>
      <c r="F430" s="28">
        <v>351.5</v>
      </c>
      <c r="G430" s="28">
        <v>0</v>
      </c>
      <c r="H430" s="28">
        <f>ROUND(F430*AO430,2)</f>
        <v>0</v>
      </c>
      <c r="I430" s="28">
        <f>ROUND(F430*AP430,2)</f>
        <v>0</v>
      </c>
      <c r="J430" s="28">
        <f>ROUND(F430*G430,2)</f>
        <v>0</v>
      </c>
      <c r="K430" s="29" t="s">
        <v>60</v>
      </c>
      <c r="Z430" s="28">
        <f>ROUND(IF(AQ430="5",BJ430,0),2)</f>
        <v>0</v>
      </c>
      <c r="AB430" s="28">
        <f>ROUND(IF(AQ430="1",BH430,0),2)</f>
        <v>0</v>
      </c>
      <c r="AC430" s="28">
        <f>ROUND(IF(AQ430="1",BI430,0),2)</f>
        <v>0</v>
      </c>
      <c r="AD430" s="28">
        <f>ROUND(IF(AQ430="7",BH430,0),2)</f>
        <v>0</v>
      </c>
      <c r="AE430" s="28">
        <f>ROUND(IF(AQ430="7",BI430,0),2)</f>
        <v>0</v>
      </c>
      <c r="AF430" s="28">
        <f>ROUND(IF(AQ430="2",BH430,0),2)</f>
        <v>0</v>
      </c>
      <c r="AG430" s="28">
        <f>ROUND(IF(AQ430="2",BI430,0),2)</f>
        <v>0</v>
      </c>
      <c r="AH430" s="28">
        <f>ROUND(IF(AQ430="0",BJ430,0),2)</f>
        <v>0</v>
      </c>
      <c r="AI430" s="10" t="s">
        <v>714</v>
      </c>
      <c r="AJ430" s="28">
        <f>IF(AN430=0,J430,0)</f>
        <v>0</v>
      </c>
      <c r="AK430" s="28">
        <f>IF(AN430=12,J430,0)</f>
        <v>0</v>
      </c>
      <c r="AL430" s="28">
        <f>IF(AN430=21,J430,0)</f>
        <v>0</v>
      </c>
      <c r="AN430" s="28">
        <v>21</v>
      </c>
      <c r="AO430" s="28">
        <f>G430*0.195254691</f>
        <v>0</v>
      </c>
      <c r="AP430" s="28">
        <f>G430*(1-0.195254691)</f>
        <v>0</v>
      </c>
      <c r="AQ430" s="30" t="s">
        <v>56</v>
      </c>
      <c r="AV430" s="28">
        <f>ROUND(AW430+AX430,2)</f>
        <v>0</v>
      </c>
      <c r="AW430" s="28">
        <f>ROUND(F430*AO430,2)</f>
        <v>0</v>
      </c>
      <c r="AX430" s="28">
        <f>ROUND(F430*AP430,2)</f>
        <v>0</v>
      </c>
      <c r="AY430" s="30" t="s">
        <v>309</v>
      </c>
      <c r="AZ430" s="30" t="s">
        <v>765</v>
      </c>
      <c r="BA430" s="10" t="s">
        <v>720</v>
      </c>
      <c r="BC430" s="28">
        <f>AW430+AX430</f>
        <v>0</v>
      </c>
      <c r="BD430" s="28">
        <f>G430/(100-BE430)*100</f>
        <v>0</v>
      </c>
      <c r="BE430" s="28">
        <v>0</v>
      </c>
      <c r="BF430" s="28">
        <f>438</f>
        <v>438</v>
      </c>
      <c r="BH430" s="28">
        <f>F430*AO430</f>
        <v>0</v>
      </c>
      <c r="BI430" s="28">
        <f>F430*AP430</f>
        <v>0</v>
      </c>
      <c r="BJ430" s="28">
        <f>F430*G430</f>
        <v>0</v>
      </c>
      <c r="BK430" s="28"/>
      <c r="BL430" s="28">
        <v>59</v>
      </c>
      <c r="BW430" s="28">
        <v>21</v>
      </c>
      <c r="BX430" s="4" t="s">
        <v>808</v>
      </c>
    </row>
    <row r="431" spans="1:76" x14ac:dyDescent="0.25">
      <c r="A431" s="31"/>
      <c r="C431" s="32" t="s">
        <v>766</v>
      </c>
      <c r="D431" s="32" t="s">
        <v>809</v>
      </c>
      <c r="F431" s="33">
        <v>227</v>
      </c>
      <c r="K431" s="34"/>
    </row>
    <row r="432" spans="1:76" x14ac:dyDescent="0.25">
      <c r="A432" s="31"/>
      <c r="C432" s="32" t="s">
        <v>185</v>
      </c>
      <c r="D432" s="32" t="s">
        <v>810</v>
      </c>
      <c r="F432" s="33">
        <v>18</v>
      </c>
      <c r="K432" s="34"/>
    </row>
    <row r="433" spans="1:76" x14ac:dyDescent="0.25">
      <c r="A433" s="31"/>
      <c r="C433" s="32" t="s">
        <v>138</v>
      </c>
      <c r="D433" s="32" t="s">
        <v>750</v>
      </c>
      <c r="F433" s="33">
        <v>9</v>
      </c>
      <c r="K433" s="34"/>
    </row>
    <row r="434" spans="1:76" x14ac:dyDescent="0.25">
      <c r="A434" s="31"/>
      <c r="C434" s="32" t="s">
        <v>217</v>
      </c>
      <c r="D434" s="32" t="s">
        <v>794</v>
      </c>
      <c r="F434" s="33">
        <v>24</v>
      </c>
      <c r="K434" s="34"/>
    </row>
    <row r="435" spans="1:76" x14ac:dyDescent="0.25">
      <c r="A435" s="31"/>
      <c r="C435" s="32" t="s">
        <v>792</v>
      </c>
      <c r="D435" s="32" t="s">
        <v>811</v>
      </c>
      <c r="F435" s="33">
        <v>73.5</v>
      </c>
      <c r="K435" s="34"/>
    </row>
    <row r="436" spans="1:76" ht="63.75" x14ac:dyDescent="0.25">
      <c r="A436" s="31"/>
      <c r="B436" s="35" t="s">
        <v>68</v>
      </c>
      <c r="C436" s="94" t="s">
        <v>812</v>
      </c>
      <c r="D436" s="95"/>
      <c r="E436" s="95"/>
      <c r="F436" s="95"/>
      <c r="G436" s="95"/>
      <c r="H436" s="95"/>
      <c r="I436" s="95"/>
      <c r="J436" s="95"/>
      <c r="K436" s="96"/>
      <c r="BX436" s="36" t="s">
        <v>812</v>
      </c>
    </row>
    <row r="437" spans="1:76" x14ac:dyDescent="0.25">
      <c r="A437" s="2" t="s">
        <v>813</v>
      </c>
      <c r="B437" s="3" t="s">
        <v>814</v>
      </c>
      <c r="C437" s="76" t="s">
        <v>815</v>
      </c>
      <c r="D437" s="71"/>
      <c r="E437" s="3" t="s">
        <v>103</v>
      </c>
      <c r="F437" s="28">
        <v>60.5</v>
      </c>
      <c r="G437" s="28">
        <v>0</v>
      </c>
      <c r="H437" s="28">
        <f>ROUND(F437*AO437,2)</f>
        <v>0</v>
      </c>
      <c r="I437" s="28">
        <f>ROUND(F437*AP437,2)</f>
        <v>0</v>
      </c>
      <c r="J437" s="28">
        <f>ROUND(F437*G437,2)</f>
        <v>0</v>
      </c>
      <c r="K437" s="29" t="s">
        <v>60</v>
      </c>
      <c r="Z437" s="28">
        <f>ROUND(IF(AQ437="5",BJ437,0),2)</f>
        <v>0</v>
      </c>
      <c r="AB437" s="28">
        <f>ROUND(IF(AQ437="1",BH437,0),2)</f>
        <v>0</v>
      </c>
      <c r="AC437" s="28">
        <f>ROUND(IF(AQ437="1",BI437,0),2)</f>
        <v>0</v>
      </c>
      <c r="AD437" s="28">
        <f>ROUND(IF(AQ437="7",BH437,0),2)</f>
        <v>0</v>
      </c>
      <c r="AE437" s="28">
        <f>ROUND(IF(AQ437="7",BI437,0),2)</f>
        <v>0</v>
      </c>
      <c r="AF437" s="28">
        <f>ROUND(IF(AQ437="2",BH437,0),2)</f>
        <v>0</v>
      </c>
      <c r="AG437" s="28">
        <f>ROUND(IF(AQ437="2",BI437,0),2)</f>
        <v>0</v>
      </c>
      <c r="AH437" s="28">
        <f>ROUND(IF(AQ437="0",BJ437,0),2)</f>
        <v>0</v>
      </c>
      <c r="AI437" s="10" t="s">
        <v>714</v>
      </c>
      <c r="AJ437" s="28">
        <f>IF(AN437=0,J437,0)</f>
        <v>0</v>
      </c>
      <c r="AK437" s="28">
        <f>IF(AN437=12,J437,0)</f>
        <v>0</v>
      </c>
      <c r="AL437" s="28">
        <f>IF(AN437=21,J437,0)</f>
        <v>0</v>
      </c>
      <c r="AN437" s="28">
        <v>21</v>
      </c>
      <c r="AO437" s="28">
        <f>G437*1</f>
        <v>0</v>
      </c>
      <c r="AP437" s="28">
        <f>G437*(1-1)</f>
        <v>0</v>
      </c>
      <c r="AQ437" s="30" t="s">
        <v>56</v>
      </c>
      <c r="AV437" s="28">
        <f>ROUND(AW437+AX437,2)</f>
        <v>0</v>
      </c>
      <c r="AW437" s="28">
        <f>ROUND(F437*AO437,2)</f>
        <v>0</v>
      </c>
      <c r="AX437" s="28">
        <f>ROUND(F437*AP437,2)</f>
        <v>0</v>
      </c>
      <c r="AY437" s="30" t="s">
        <v>309</v>
      </c>
      <c r="AZ437" s="30" t="s">
        <v>765</v>
      </c>
      <c r="BA437" s="10" t="s">
        <v>720</v>
      </c>
      <c r="BC437" s="28">
        <f>AW437+AX437</f>
        <v>0</v>
      </c>
      <c r="BD437" s="28">
        <f>G437/(100-BE437)*100</f>
        <v>0</v>
      </c>
      <c r="BE437" s="28">
        <v>0</v>
      </c>
      <c r="BF437" s="28">
        <f>445</f>
        <v>445</v>
      </c>
      <c r="BH437" s="28">
        <f>F437*AO437</f>
        <v>0</v>
      </c>
      <c r="BI437" s="28">
        <f>F437*AP437</f>
        <v>0</v>
      </c>
      <c r="BJ437" s="28">
        <f>F437*G437</f>
        <v>0</v>
      </c>
      <c r="BK437" s="28"/>
      <c r="BL437" s="28">
        <v>59</v>
      </c>
      <c r="BW437" s="28">
        <v>21</v>
      </c>
      <c r="BX437" s="4" t="s">
        <v>815</v>
      </c>
    </row>
    <row r="438" spans="1:76" x14ac:dyDescent="0.25">
      <c r="A438" s="31"/>
      <c r="C438" s="32" t="s">
        <v>301</v>
      </c>
      <c r="D438" s="32" t="s">
        <v>816</v>
      </c>
      <c r="F438" s="33">
        <v>37</v>
      </c>
      <c r="K438" s="34"/>
    </row>
    <row r="439" spans="1:76" x14ac:dyDescent="0.25">
      <c r="A439" s="31"/>
      <c r="C439" s="32" t="s">
        <v>185</v>
      </c>
      <c r="D439" s="32" t="s">
        <v>817</v>
      </c>
      <c r="F439" s="33">
        <v>18</v>
      </c>
      <c r="K439" s="34"/>
    </row>
    <row r="440" spans="1:76" x14ac:dyDescent="0.25">
      <c r="A440" s="31"/>
      <c r="C440" s="32" t="s">
        <v>818</v>
      </c>
      <c r="D440" s="32" t="s">
        <v>51</v>
      </c>
      <c r="F440" s="33">
        <v>5.5</v>
      </c>
      <c r="K440" s="34"/>
    </row>
    <row r="441" spans="1:76" ht="26.45" customHeight="1" x14ac:dyDescent="0.25">
      <c r="A441" s="2" t="s">
        <v>819</v>
      </c>
      <c r="B441" s="3" t="s">
        <v>820</v>
      </c>
      <c r="C441" s="76" t="s">
        <v>2462</v>
      </c>
      <c r="D441" s="71"/>
      <c r="E441" s="3" t="s">
        <v>103</v>
      </c>
      <c r="F441" s="28">
        <v>315.7</v>
      </c>
      <c r="G441" s="28">
        <v>0</v>
      </c>
      <c r="H441" s="28">
        <f>ROUND(F441*AO441,2)</f>
        <v>0</v>
      </c>
      <c r="I441" s="28">
        <f>ROUND(F441*AP441,2)</f>
        <v>0</v>
      </c>
      <c r="J441" s="28">
        <f>ROUND(F441*G441,2)</f>
        <v>0</v>
      </c>
      <c r="K441" s="29" t="s">
        <v>60</v>
      </c>
      <c r="Z441" s="28">
        <f>ROUND(IF(AQ441="5",BJ441,0),2)</f>
        <v>0</v>
      </c>
      <c r="AB441" s="28">
        <f>ROUND(IF(AQ441="1",BH441,0),2)</f>
        <v>0</v>
      </c>
      <c r="AC441" s="28">
        <f>ROUND(IF(AQ441="1",BI441,0),2)</f>
        <v>0</v>
      </c>
      <c r="AD441" s="28">
        <f>ROUND(IF(AQ441="7",BH441,0),2)</f>
        <v>0</v>
      </c>
      <c r="AE441" s="28">
        <f>ROUND(IF(AQ441="7",BI441,0),2)</f>
        <v>0</v>
      </c>
      <c r="AF441" s="28">
        <f>ROUND(IF(AQ441="2",BH441,0),2)</f>
        <v>0</v>
      </c>
      <c r="AG441" s="28">
        <f>ROUND(IF(AQ441="2",BI441,0),2)</f>
        <v>0</v>
      </c>
      <c r="AH441" s="28">
        <f>ROUND(IF(AQ441="0",BJ441,0),2)</f>
        <v>0</v>
      </c>
      <c r="AI441" s="10" t="s">
        <v>714</v>
      </c>
      <c r="AJ441" s="28">
        <f>IF(AN441=0,J441,0)</f>
        <v>0</v>
      </c>
      <c r="AK441" s="28">
        <f>IF(AN441=12,J441,0)</f>
        <v>0</v>
      </c>
      <c r="AL441" s="28">
        <f>IF(AN441=21,J441,0)</f>
        <v>0</v>
      </c>
      <c r="AN441" s="28">
        <v>21</v>
      </c>
      <c r="AO441" s="28">
        <f>G441*1</f>
        <v>0</v>
      </c>
      <c r="AP441" s="28">
        <f>G441*(1-1)</f>
        <v>0</v>
      </c>
      <c r="AQ441" s="30" t="s">
        <v>56</v>
      </c>
      <c r="AV441" s="28">
        <f>ROUND(AW441+AX441,2)</f>
        <v>0</v>
      </c>
      <c r="AW441" s="28">
        <f>ROUND(F441*AO441,2)</f>
        <v>0</v>
      </c>
      <c r="AX441" s="28">
        <f>ROUND(F441*AP441,2)</f>
        <v>0</v>
      </c>
      <c r="AY441" s="30" t="s">
        <v>309</v>
      </c>
      <c r="AZ441" s="30" t="s">
        <v>765</v>
      </c>
      <c r="BA441" s="10" t="s">
        <v>720</v>
      </c>
      <c r="BC441" s="28">
        <f>AW441+AX441</f>
        <v>0</v>
      </c>
      <c r="BD441" s="28">
        <f>G441/(100-BE441)*100</f>
        <v>0</v>
      </c>
      <c r="BE441" s="28">
        <v>0</v>
      </c>
      <c r="BF441" s="28">
        <f>449</f>
        <v>449</v>
      </c>
      <c r="BH441" s="28">
        <f>F441*AO441</f>
        <v>0</v>
      </c>
      <c r="BI441" s="28">
        <f>F441*AP441</f>
        <v>0</v>
      </c>
      <c r="BJ441" s="28">
        <f>F441*G441</f>
        <v>0</v>
      </c>
      <c r="BK441" s="28"/>
      <c r="BL441" s="28">
        <v>59</v>
      </c>
      <c r="BW441" s="28">
        <v>21</v>
      </c>
      <c r="BX441" s="4" t="s">
        <v>821</v>
      </c>
    </row>
    <row r="442" spans="1:76" x14ac:dyDescent="0.25">
      <c r="A442" s="31"/>
      <c r="C442" s="32" t="s">
        <v>822</v>
      </c>
      <c r="D442" s="32" t="s">
        <v>823</v>
      </c>
      <c r="F442" s="33">
        <v>182</v>
      </c>
      <c r="K442" s="34"/>
    </row>
    <row r="443" spans="1:76" x14ac:dyDescent="0.25">
      <c r="A443" s="31"/>
      <c r="C443" s="32" t="s">
        <v>138</v>
      </c>
      <c r="D443" s="32" t="s">
        <v>750</v>
      </c>
      <c r="F443" s="33">
        <v>9</v>
      </c>
      <c r="K443" s="34"/>
    </row>
    <row r="444" spans="1:76" x14ac:dyDescent="0.25">
      <c r="A444" s="31"/>
      <c r="C444" s="32" t="s">
        <v>217</v>
      </c>
      <c r="D444" s="32" t="s">
        <v>824</v>
      </c>
      <c r="F444" s="33">
        <v>24</v>
      </c>
      <c r="K444" s="34"/>
    </row>
    <row r="445" spans="1:76" x14ac:dyDescent="0.25">
      <c r="A445" s="31"/>
      <c r="C445" s="32" t="s">
        <v>501</v>
      </c>
      <c r="D445" s="32" t="s">
        <v>825</v>
      </c>
      <c r="F445" s="33">
        <v>72</v>
      </c>
      <c r="K445" s="34"/>
    </row>
    <row r="446" spans="1:76" x14ac:dyDescent="0.25">
      <c r="A446" s="31"/>
      <c r="C446" s="32" t="s">
        <v>826</v>
      </c>
      <c r="D446" s="32" t="s">
        <v>51</v>
      </c>
      <c r="F446" s="33">
        <v>28.7</v>
      </c>
      <c r="K446" s="34"/>
    </row>
    <row r="447" spans="1:76" x14ac:dyDescent="0.25">
      <c r="A447" s="2" t="s">
        <v>827</v>
      </c>
      <c r="B447" s="3" t="s">
        <v>828</v>
      </c>
      <c r="C447" s="76" t="s">
        <v>829</v>
      </c>
      <c r="D447" s="71"/>
      <c r="E447" s="3" t="s">
        <v>103</v>
      </c>
      <c r="F447" s="28">
        <v>1.65</v>
      </c>
      <c r="G447" s="28">
        <v>0</v>
      </c>
      <c r="H447" s="28">
        <f>ROUND(F447*AO447,2)</f>
        <v>0</v>
      </c>
      <c r="I447" s="28">
        <f>ROUND(F447*AP447,2)</f>
        <v>0</v>
      </c>
      <c r="J447" s="28">
        <f>ROUND(F447*G447,2)</f>
        <v>0</v>
      </c>
      <c r="K447" s="29" t="s">
        <v>60</v>
      </c>
      <c r="Z447" s="28">
        <f>ROUND(IF(AQ447="5",BJ447,0),2)</f>
        <v>0</v>
      </c>
      <c r="AB447" s="28">
        <f>ROUND(IF(AQ447="1",BH447,0),2)</f>
        <v>0</v>
      </c>
      <c r="AC447" s="28">
        <f>ROUND(IF(AQ447="1",BI447,0),2)</f>
        <v>0</v>
      </c>
      <c r="AD447" s="28">
        <f>ROUND(IF(AQ447="7",BH447,0),2)</f>
        <v>0</v>
      </c>
      <c r="AE447" s="28">
        <f>ROUND(IF(AQ447="7",BI447,0),2)</f>
        <v>0</v>
      </c>
      <c r="AF447" s="28">
        <f>ROUND(IF(AQ447="2",BH447,0),2)</f>
        <v>0</v>
      </c>
      <c r="AG447" s="28">
        <f>ROUND(IF(AQ447="2",BI447,0),2)</f>
        <v>0</v>
      </c>
      <c r="AH447" s="28">
        <f>ROUND(IF(AQ447="0",BJ447,0),2)</f>
        <v>0</v>
      </c>
      <c r="AI447" s="10" t="s">
        <v>714</v>
      </c>
      <c r="AJ447" s="28">
        <f>IF(AN447=0,J447,0)</f>
        <v>0</v>
      </c>
      <c r="AK447" s="28">
        <f>IF(AN447=12,J447,0)</f>
        <v>0</v>
      </c>
      <c r="AL447" s="28">
        <f>IF(AN447=21,J447,0)</f>
        <v>0</v>
      </c>
      <c r="AN447" s="28">
        <v>21</v>
      </c>
      <c r="AO447" s="28">
        <f>G447*1</f>
        <v>0</v>
      </c>
      <c r="AP447" s="28">
        <f>G447*(1-1)</f>
        <v>0</v>
      </c>
      <c r="AQ447" s="30" t="s">
        <v>56</v>
      </c>
      <c r="AV447" s="28">
        <f>ROUND(AW447+AX447,2)</f>
        <v>0</v>
      </c>
      <c r="AW447" s="28">
        <f>ROUND(F447*AO447,2)</f>
        <v>0</v>
      </c>
      <c r="AX447" s="28">
        <f>ROUND(F447*AP447,2)</f>
        <v>0</v>
      </c>
      <c r="AY447" s="30" t="s">
        <v>309</v>
      </c>
      <c r="AZ447" s="30" t="s">
        <v>765</v>
      </c>
      <c r="BA447" s="10" t="s">
        <v>720</v>
      </c>
      <c r="BC447" s="28">
        <f>AW447+AX447</f>
        <v>0</v>
      </c>
      <c r="BD447" s="28">
        <f>G447/(100-BE447)*100</f>
        <v>0</v>
      </c>
      <c r="BE447" s="28">
        <v>0</v>
      </c>
      <c r="BF447" s="28">
        <f>455</f>
        <v>455</v>
      </c>
      <c r="BH447" s="28">
        <f>F447*AO447</f>
        <v>0</v>
      </c>
      <c r="BI447" s="28">
        <f>F447*AP447</f>
        <v>0</v>
      </c>
      <c r="BJ447" s="28">
        <f>F447*G447</f>
        <v>0</v>
      </c>
      <c r="BK447" s="28"/>
      <c r="BL447" s="28">
        <v>59</v>
      </c>
      <c r="BW447" s="28">
        <v>21</v>
      </c>
      <c r="BX447" s="4" t="s">
        <v>829</v>
      </c>
    </row>
    <row r="448" spans="1:76" x14ac:dyDescent="0.25">
      <c r="A448" s="31"/>
      <c r="C448" s="32" t="s">
        <v>830</v>
      </c>
      <c r="D448" s="32" t="s">
        <v>811</v>
      </c>
      <c r="F448" s="33">
        <v>1.5</v>
      </c>
      <c r="K448" s="34"/>
    </row>
    <row r="449" spans="1:76" x14ac:dyDescent="0.25">
      <c r="A449" s="31"/>
      <c r="C449" s="32" t="s">
        <v>831</v>
      </c>
      <c r="D449" s="32" t="s">
        <v>51</v>
      </c>
      <c r="F449" s="33">
        <v>0.15</v>
      </c>
      <c r="K449" s="34"/>
    </row>
    <row r="450" spans="1:76" x14ac:dyDescent="0.25">
      <c r="A450" s="2" t="s">
        <v>832</v>
      </c>
      <c r="B450" s="3" t="s">
        <v>833</v>
      </c>
      <c r="C450" s="76" t="s">
        <v>834</v>
      </c>
      <c r="D450" s="71"/>
      <c r="E450" s="3" t="s">
        <v>103</v>
      </c>
      <c r="F450" s="28">
        <v>8.8000000000000007</v>
      </c>
      <c r="G450" s="28">
        <v>0</v>
      </c>
      <c r="H450" s="28">
        <f>ROUND(F450*AO450,2)</f>
        <v>0</v>
      </c>
      <c r="I450" s="28">
        <f>ROUND(F450*AP450,2)</f>
        <v>0</v>
      </c>
      <c r="J450" s="28">
        <f>ROUND(F450*G450,2)</f>
        <v>0</v>
      </c>
      <c r="K450" s="29" t="s">
        <v>60</v>
      </c>
      <c r="Z450" s="28">
        <f>ROUND(IF(AQ450="5",BJ450,0),2)</f>
        <v>0</v>
      </c>
      <c r="AB450" s="28">
        <f>ROUND(IF(AQ450="1",BH450,0),2)</f>
        <v>0</v>
      </c>
      <c r="AC450" s="28">
        <f>ROUND(IF(AQ450="1",BI450,0),2)</f>
        <v>0</v>
      </c>
      <c r="AD450" s="28">
        <f>ROUND(IF(AQ450="7",BH450,0),2)</f>
        <v>0</v>
      </c>
      <c r="AE450" s="28">
        <f>ROUND(IF(AQ450="7",BI450,0),2)</f>
        <v>0</v>
      </c>
      <c r="AF450" s="28">
        <f>ROUND(IF(AQ450="2",BH450,0),2)</f>
        <v>0</v>
      </c>
      <c r="AG450" s="28">
        <f>ROUND(IF(AQ450="2",BI450,0),2)</f>
        <v>0</v>
      </c>
      <c r="AH450" s="28">
        <f>ROUND(IF(AQ450="0",BJ450,0),2)</f>
        <v>0</v>
      </c>
      <c r="AI450" s="10" t="s">
        <v>714</v>
      </c>
      <c r="AJ450" s="28">
        <f>IF(AN450=0,J450,0)</f>
        <v>0</v>
      </c>
      <c r="AK450" s="28">
        <f>IF(AN450=12,J450,0)</f>
        <v>0</v>
      </c>
      <c r="AL450" s="28">
        <f>IF(AN450=21,J450,0)</f>
        <v>0</v>
      </c>
      <c r="AN450" s="28">
        <v>21</v>
      </c>
      <c r="AO450" s="28">
        <f>G450*1</f>
        <v>0</v>
      </c>
      <c r="AP450" s="28">
        <f>G450*(1-1)</f>
        <v>0</v>
      </c>
      <c r="AQ450" s="30" t="s">
        <v>56</v>
      </c>
      <c r="AV450" s="28">
        <f>ROUND(AW450+AX450,2)</f>
        <v>0</v>
      </c>
      <c r="AW450" s="28">
        <f>ROUND(F450*AO450,2)</f>
        <v>0</v>
      </c>
      <c r="AX450" s="28">
        <f>ROUND(F450*AP450,2)</f>
        <v>0</v>
      </c>
      <c r="AY450" s="30" t="s">
        <v>309</v>
      </c>
      <c r="AZ450" s="30" t="s">
        <v>765</v>
      </c>
      <c r="BA450" s="10" t="s">
        <v>720</v>
      </c>
      <c r="BC450" s="28">
        <f>AW450+AX450</f>
        <v>0</v>
      </c>
      <c r="BD450" s="28">
        <f>G450/(100-BE450)*100</f>
        <v>0</v>
      </c>
      <c r="BE450" s="28">
        <v>0</v>
      </c>
      <c r="BF450" s="28">
        <f>458</f>
        <v>458</v>
      </c>
      <c r="BH450" s="28">
        <f>F450*AO450</f>
        <v>0</v>
      </c>
      <c r="BI450" s="28">
        <f>F450*AP450</f>
        <v>0</v>
      </c>
      <c r="BJ450" s="28">
        <f>F450*G450</f>
        <v>0</v>
      </c>
      <c r="BK450" s="28"/>
      <c r="BL450" s="28">
        <v>59</v>
      </c>
      <c r="BW450" s="28">
        <v>21</v>
      </c>
      <c r="BX450" s="4" t="s">
        <v>834</v>
      </c>
    </row>
    <row r="451" spans="1:76" x14ac:dyDescent="0.25">
      <c r="A451" s="31"/>
      <c r="C451" s="32" t="s">
        <v>127</v>
      </c>
      <c r="D451" s="32" t="s">
        <v>835</v>
      </c>
      <c r="F451" s="33">
        <v>8</v>
      </c>
      <c r="K451" s="34"/>
    </row>
    <row r="452" spans="1:76" x14ac:dyDescent="0.25">
      <c r="A452" s="31"/>
      <c r="C452" s="32" t="s">
        <v>836</v>
      </c>
      <c r="D452" s="32" t="s">
        <v>51</v>
      </c>
      <c r="F452" s="33">
        <v>0.8</v>
      </c>
      <c r="K452" s="34"/>
    </row>
    <row r="453" spans="1:76" x14ac:dyDescent="0.25">
      <c r="A453" s="2" t="s">
        <v>837</v>
      </c>
      <c r="B453" s="3" t="s">
        <v>838</v>
      </c>
      <c r="C453" s="76" t="s">
        <v>839</v>
      </c>
      <c r="D453" s="71"/>
      <c r="E453" s="3" t="s">
        <v>188</v>
      </c>
      <c r="F453" s="28">
        <v>93</v>
      </c>
      <c r="G453" s="28">
        <v>0</v>
      </c>
      <c r="H453" s="28">
        <f>ROUND(F453*AO453,2)</f>
        <v>0</v>
      </c>
      <c r="I453" s="28">
        <f>ROUND(F453*AP453,2)</f>
        <v>0</v>
      </c>
      <c r="J453" s="28">
        <f>ROUND(F453*G453,2)</f>
        <v>0</v>
      </c>
      <c r="K453" s="29" t="s">
        <v>60</v>
      </c>
      <c r="Z453" s="28">
        <f>ROUND(IF(AQ453="5",BJ453,0),2)</f>
        <v>0</v>
      </c>
      <c r="AB453" s="28">
        <f>ROUND(IF(AQ453="1",BH453,0),2)</f>
        <v>0</v>
      </c>
      <c r="AC453" s="28">
        <f>ROUND(IF(AQ453="1",BI453,0),2)</f>
        <v>0</v>
      </c>
      <c r="AD453" s="28">
        <f>ROUND(IF(AQ453="7",BH453,0),2)</f>
        <v>0</v>
      </c>
      <c r="AE453" s="28">
        <f>ROUND(IF(AQ453="7",BI453,0),2)</f>
        <v>0</v>
      </c>
      <c r="AF453" s="28">
        <f>ROUND(IF(AQ453="2",BH453,0),2)</f>
        <v>0</v>
      </c>
      <c r="AG453" s="28">
        <f>ROUND(IF(AQ453="2",BI453,0),2)</f>
        <v>0</v>
      </c>
      <c r="AH453" s="28">
        <f>ROUND(IF(AQ453="0",BJ453,0),2)</f>
        <v>0</v>
      </c>
      <c r="AI453" s="10" t="s">
        <v>714</v>
      </c>
      <c r="AJ453" s="28">
        <f>IF(AN453=0,J453,0)</f>
        <v>0</v>
      </c>
      <c r="AK453" s="28">
        <f>IF(AN453=12,J453,0)</f>
        <v>0</v>
      </c>
      <c r="AL453" s="28">
        <f>IF(AN453=21,J453,0)</f>
        <v>0</v>
      </c>
      <c r="AN453" s="28">
        <v>21</v>
      </c>
      <c r="AO453" s="28">
        <f>G453*0.055096322</f>
        <v>0</v>
      </c>
      <c r="AP453" s="28">
        <f>G453*(1-0.055096322)</f>
        <v>0</v>
      </c>
      <c r="AQ453" s="30" t="s">
        <v>56</v>
      </c>
      <c r="AV453" s="28">
        <f>ROUND(AW453+AX453,2)</f>
        <v>0</v>
      </c>
      <c r="AW453" s="28">
        <f>ROUND(F453*AO453,2)</f>
        <v>0</v>
      </c>
      <c r="AX453" s="28">
        <f>ROUND(F453*AP453,2)</f>
        <v>0</v>
      </c>
      <c r="AY453" s="30" t="s">
        <v>309</v>
      </c>
      <c r="AZ453" s="30" t="s">
        <v>765</v>
      </c>
      <c r="BA453" s="10" t="s">
        <v>720</v>
      </c>
      <c r="BC453" s="28">
        <f>AW453+AX453</f>
        <v>0</v>
      </c>
      <c r="BD453" s="28">
        <f>G453/(100-BE453)*100</f>
        <v>0</v>
      </c>
      <c r="BE453" s="28">
        <v>0</v>
      </c>
      <c r="BF453" s="28">
        <f>461</f>
        <v>461</v>
      </c>
      <c r="BH453" s="28">
        <f>F453*AO453</f>
        <v>0</v>
      </c>
      <c r="BI453" s="28">
        <f>F453*AP453</f>
        <v>0</v>
      </c>
      <c r="BJ453" s="28">
        <f>F453*G453</f>
        <v>0</v>
      </c>
      <c r="BK453" s="28"/>
      <c r="BL453" s="28">
        <v>59</v>
      </c>
      <c r="BW453" s="28">
        <v>21</v>
      </c>
      <c r="BX453" s="4" t="s">
        <v>839</v>
      </c>
    </row>
    <row r="454" spans="1:76" x14ac:dyDescent="0.25">
      <c r="A454" s="31"/>
      <c r="C454" s="32" t="s">
        <v>401</v>
      </c>
      <c r="D454" s="32" t="s">
        <v>840</v>
      </c>
      <c r="F454" s="33">
        <v>53</v>
      </c>
      <c r="K454" s="34"/>
    </row>
    <row r="455" spans="1:76" x14ac:dyDescent="0.25">
      <c r="A455" s="31"/>
      <c r="C455" s="32" t="s">
        <v>317</v>
      </c>
      <c r="D455" s="32" t="s">
        <v>841</v>
      </c>
      <c r="F455" s="33">
        <v>40</v>
      </c>
      <c r="K455" s="34"/>
    </row>
    <row r="456" spans="1:76" x14ac:dyDescent="0.25">
      <c r="A456" s="2" t="s">
        <v>842</v>
      </c>
      <c r="B456" s="3" t="s">
        <v>843</v>
      </c>
      <c r="C456" s="76" t="s">
        <v>844</v>
      </c>
      <c r="D456" s="71"/>
      <c r="E456" s="3" t="s">
        <v>188</v>
      </c>
      <c r="F456" s="28">
        <v>45</v>
      </c>
      <c r="G456" s="28">
        <v>0</v>
      </c>
      <c r="H456" s="28">
        <f>ROUND(F456*AO456,2)</f>
        <v>0</v>
      </c>
      <c r="I456" s="28">
        <f>ROUND(F456*AP456,2)</f>
        <v>0</v>
      </c>
      <c r="J456" s="28">
        <f>ROUND(F456*G456,2)</f>
        <v>0</v>
      </c>
      <c r="K456" s="29" t="s">
        <v>60</v>
      </c>
      <c r="Z456" s="28">
        <f>ROUND(IF(AQ456="5",BJ456,0),2)</f>
        <v>0</v>
      </c>
      <c r="AB456" s="28">
        <f>ROUND(IF(AQ456="1",BH456,0),2)</f>
        <v>0</v>
      </c>
      <c r="AC456" s="28">
        <f>ROUND(IF(AQ456="1",BI456,0),2)</f>
        <v>0</v>
      </c>
      <c r="AD456" s="28">
        <f>ROUND(IF(AQ456="7",BH456,0),2)</f>
        <v>0</v>
      </c>
      <c r="AE456" s="28">
        <f>ROUND(IF(AQ456="7",BI456,0),2)</f>
        <v>0</v>
      </c>
      <c r="AF456" s="28">
        <f>ROUND(IF(AQ456="2",BH456,0),2)</f>
        <v>0</v>
      </c>
      <c r="AG456" s="28">
        <f>ROUND(IF(AQ456="2",BI456,0),2)</f>
        <v>0</v>
      </c>
      <c r="AH456" s="28">
        <f>ROUND(IF(AQ456="0",BJ456,0),2)</f>
        <v>0</v>
      </c>
      <c r="AI456" s="10" t="s">
        <v>714</v>
      </c>
      <c r="AJ456" s="28">
        <f>IF(AN456=0,J456,0)</f>
        <v>0</v>
      </c>
      <c r="AK456" s="28">
        <f>IF(AN456=12,J456,0)</f>
        <v>0</v>
      </c>
      <c r="AL456" s="28">
        <f>IF(AN456=21,J456,0)</f>
        <v>0</v>
      </c>
      <c r="AN456" s="28">
        <v>21</v>
      </c>
      <c r="AO456" s="28">
        <f>G456*0.873275862</f>
        <v>0</v>
      </c>
      <c r="AP456" s="28">
        <f>G456*(1-0.873275862)</f>
        <v>0</v>
      </c>
      <c r="AQ456" s="30" t="s">
        <v>56</v>
      </c>
      <c r="AV456" s="28">
        <f>ROUND(AW456+AX456,2)</f>
        <v>0</v>
      </c>
      <c r="AW456" s="28">
        <f>ROUND(F456*AO456,2)</f>
        <v>0</v>
      </c>
      <c r="AX456" s="28">
        <f>ROUND(F456*AP456,2)</f>
        <v>0</v>
      </c>
      <c r="AY456" s="30" t="s">
        <v>309</v>
      </c>
      <c r="AZ456" s="30" t="s">
        <v>765</v>
      </c>
      <c r="BA456" s="10" t="s">
        <v>720</v>
      </c>
      <c r="BC456" s="28">
        <f>AW456+AX456</f>
        <v>0</v>
      </c>
      <c r="BD456" s="28">
        <f>G456/(100-BE456)*100</f>
        <v>0</v>
      </c>
      <c r="BE456" s="28">
        <v>0</v>
      </c>
      <c r="BF456" s="28">
        <f>464</f>
        <v>464</v>
      </c>
      <c r="BH456" s="28">
        <f>F456*AO456</f>
        <v>0</v>
      </c>
      <c r="BI456" s="28">
        <f>F456*AP456</f>
        <v>0</v>
      </c>
      <c r="BJ456" s="28">
        <f>F456*G456</f>
        <v>0</v>
      </c>
      <c r="BK456" s="28"/>
      <c r="BL456" s="28">
        <v>59</v>
      </c>
      <c r="BW456" s="28">
        <v>21</v>
      </c>
      <c r="BX456" s="4" t="s">
        <v>844</v>
      </c>
    </row>
    <row r="457" spans="1:76" ht="13.5" customHeight="1" x14ac:dyDescent="0.25">
      <c r="A457" s="31"/>
      <c r="B457" s="35" t="s">
        <v>105</v>
      </c>
      <c r="C457" s="97" t="s">
        <v>845</v>
      </c>
      <c r="D457" s="98"/>
      <c r="E457" s="98"/>
      <c r="F457" s="98"/>
      <c r="G457" s="98"/>
      <c r="H457" s="98"/>
      <c r="I457" s="98"/>
      <c r="J457" s="98"/>
      <c r="K457" s="99"/>
    </row>
    <row r="458" spans="1:76" x14ac:dyDescent="0.25">
      <c r="A458" s="31"/>
      <c r="B458" s="35" t="s">
        <v>68</v>
      </c>
      <c r="C458" s="94" t="s">
        <v>846</v>
      </c>
      <c r="D458" s="95"/>
      <c r="E458" s="95"/>
      <c r="F458" s="95"/>
      <c r="G458" s="95"/>
      <c r="H458" s="95"/>
      <c r="I458" s="95"/>
      <c r="J458" s="95"/>
      <c r="K458" s="96"/>
      <c r="BX458" s="36" t="s">
        <v>846</v>
      </c>
    </row>
    <row r="459" spans="1:76" x14ac:dyDescent="0.25">
      <c r="A459" s="24" t="s">
        <v>51</v>
      </c>
      <c r="B459" s="25" t="s">
        <v>450</v>
      </c>
      <c r="C459" s="87" t="s">
        <v>847</v>
      </c>
      <c r="D459" s="88"/>
      <c r="E459" s="26" t="s">
        <v>4</v>
      </c>
      <c r="F459" s="26" t="s">
        <v>4</v>
      </c>
      <c r="G459" s="26" t="s">
        <v>4</v>
      </c>
      <c r="H459" s="1">
        <f>SUM(H460:H460)</f>
        <v>0</v>
      </c>
      <c r="I459" s="1">
        <f>SUM(I460:I460)</f>
        <v>0</v>
      </c>
      <c r="J459" s="1">
        <f>SUM(J460:J460)</f>
        <v>0</v>
      </c>
      <c r="K459" s="27" t="s">
        <v>51</v>
      </c>
      <c r="AI459" s="10" t="s">
        <v>714</v>
      </c>
      <c r="AS459" s="1">
        <f>SUM(AJ460:AJ460)</f>
        <v>0</v>
      </c>
      <c r="AT459" s="1">
        <f>SUM(AK460:AK460)</f>
        <v>0</v>
      </c>
      <c r="AU459" s="1">
        <f>SUM(AL460:AL460)</f>
        <v>0</v>
      </c>
    </row>
    <row r="460" spans="1:76" x14ac:dyDescent="0.25">
      <c r="A460" s="2" t="s">
        <v>848</v>
      </c>
      <c r="B460" s="3" t="s">
        <v>849</v>
      </c>
      <c r="C460" s="76" t="s">
        <v>2463</v>
      </c>
      <c r="D460" s="71"/>
      <c r="E460" s="3" t="s">
        <v>103</v>
      </c>
      <c r="F460" s="28">
        <v>10</v>
      </c>
      <c r="G460" s="28">
        <v>0</v>
      </c>
      <c r="H460" s="28">
        <f>ROUND(F460*AO460,2)</f>
        <v>0</v>
      </c>
      <c r="I460" s="28">
        <f>ROUND(F460*AP460,2)</f>
        <v>0</v>
      </c>
      <c r="J460" s="28">
        <f>ROUND(F460*G460,2)</f>
        <v>0</v>
      </c>
      <c r="K460" s="29" t="s">
        <v>60</v>
      </c>
      <c r="Z460" s="28">
        <f>ROUND(IF(AQ460="5",BJ460,0),2)</f>
        <v>0</v>
      </c>
      <c r="AB460" s="28">
        <f>ROUND(IF(AQ460="1",BH460,0),2)</f>
        <v>0</v>
      </c>
      <c r="AC460" s="28">
        <f>ROUND(IF(AQ460="1",BI460,0),2)</f>
        <v>0</v>
      </c>
      <c r="AD460" s="28">
        <f>ROUND(IF(AQ460="7",BH460,0),2)</f>
        <v>0</v>
      </c>
      <c r="AE460" s="28">
        <f>ROUND(IF(AQ460="7",BI460,0),2)</f>
        <v>0</v>
      </c>
      <c r="AF460" s="28">
        <f>ROUND(IF(AQ460="2",BH460,0),2)</f>
        <v>0</v>
      </c>
      <c r="AG460" s="28">
        <f>ROUND(IF(AQ460="2",BI460,0),2)</f>
        <v>0</v>
      </c>
      <c r="AH460" s="28">
        <f>ROUND(IF(AQ460="0",BJ460,0),2)</f>
        <v>0</v>
      </c>
      <c r="AI460" s="10" t="s">
        <v>714</v>
      </c>
      <c r="AJ460" s="28">
        <f>IF(AN460=0,J460,0)</f>
        <v>0</v>
      </c>
      <c r="AK460" s="28">
        <f>IF(AN460=12,J460,0)</f>
        <v>0</v>
      </c>
      <c r="AL460" s="28">
        <f>IF(AN460=21,J460,0)</f>
        <v>0</v>
      </c>
      <c r="AN460" s="28">
        <v>21</v>
      </c>
      <c r="AO460" s="28">
        <f>G460*0.669208973</f>
        <v>0</v>
      </c>
      <c r="AP460" s="28">
        <f>G460*(1-0.669208973)</f>
        <v>0</v>
      </c>
      <c r="AQ460" s="30" t="s">
        <v>56</v>
      </c>
      <c r="AV460" s="28">
        <f>ROUND(AW460+AX460,2)</f>
        <v>0</v>
      </c>
      <c r="AW460" s="28">
        <f>ROUND(F460*AO460,2)</f>
        <v>0</v>
      </c>
      <c r="AX460" s="28">
        <f>ROUND(F460*AP460,2)</f>
        <v>0</v>
      </c>
      <c r="AY460" s="30" t="s">
        <v>851</v>
      </c>
      <c r="AZ460" s="30" t="s">
        <v>852</v>
      </c>
      <c r="BA460" s="10" t="s">
        <v>720</v>
      </c>
      <c r="BC460" s="28">
        <f>AW460+AX460</f>
        <v>0</v>
      </c>
      <c r="BD460" s="28">
        <f>G460/(100-BE460)*100</f>
        <v>0</v>
      </c>
      <c r="BE460" s="28">
        <v>0</v>
      </c>
      <c r="BF460" s="28">
        <f>468</f>
        <v>468</v>
      </c>
      <c r="BH460" s="28">
        <f>F460*AO460</f>
        <v>0</v>
      </c>
      <c r="BI460" s="28">
        <f>F460*AP460</f>
        <v>0</v>
      </c>
      <c r="BJ460" s="28">
        <f>F460*G460</f>
        <v>0</v>
      </c>
      <c r="BK460" s="28"/>
      <c r="BL460" s="28">
        <v>62</v>
      </c>
      <c r="BW460" s="28">
        <v>21</v>
      </c>
      <c r="BX460" s="4" t="s">
        <v>850</v>
      </c>
    </row>
    <row r="461" spans="1:76" x14ac:dyDescent="0.25">
      <c r="A461" s="31"/>
      <c r="B461" s="35" t="s">
        <v>68</v>
      </c>
      <c r="C461" s="94" t="s">
        <v>853</v>
      </c>
      <c r="D461" s="95"/>
      <c r="E461" s="95"/>
      <c r="F461" s="95"/>
      <c r="G461" s="95"/>
      <c r="H461" s="95"/>
      <c r="I461" s="95"/>
      <c r="J461" s="95"/>
      <c r="K461" s="96"/>
      <c r="BX461" s="36" t="s">
        <v>853</v>
      </c>
    </row>
    <row r="462" spans="1:76" x14ac:dyDescent="0.25">
      <c r="A462" s="24" t="s">
        <v>51</v>
      </c>
      <c r="B462" s="25" t="s">
        <v>361</v>
      </c>
      <c r="C462" s="87" t="s">
        <v>362</v>
      </c>
      <c r="D462" s="88"/>
      <c r="E462" s="26" t="s">
        <v>4</v>
      </c>
      <c r="F462" s="26" t="s">
        <v>4</v>
      </c>
      <c r="G462" s="26" t="s">
        <v>4</v>
      </c>
      <c r="H462" s="1">
        <f>SUM(H463:H465)</f>
        <v>0</v>
      </c>
      <c r="I462" s="1">
        <f>SUM(I463:I465)</f>
        <v>0</v>
      </c>
      <c r="J462" s="1">
        <f>SUM(J463:J465)</f>
        <v>0</v>
      </c>
      <c r="K462" s="27" t="s">
        <v>51</v>
      </c>
      <c r="AI462" s="10" t="s">
        <v>714</v>
      </c>
      <c r="AS462" s="1">
        <f>SUM(AJ463:AJ465)</f>
        <v>0</v>
      </c>
      <c r="AT462" s="1">
        <f>SUM(AK463:AK465)</f>
        <v>0</v>
      </c>
      <c r="AU462" s="1">
        <f>SUM(AL463:AL465)</f>
        <v>0</v>
      </c>
    </row>
    <row r="463" spans="1:76" x14ac:dyDescent="0.25">
      <c r="A463" s="2" t="s">
        <v>854</v>
      </c>
      <c r="B463" s="3" t="s">
        <v>855</v>
      </c>
      <c r="C463" s="76" t="s">
        <v>856</v>
      </c>
      <c r="D463" s="71"/>
      <c r="E463" s="3" t="s">
        <v>103</v>
      </c>
      <c r="F463" s="28">
        <v>45</v>
      </c>
      <c r="G463" s="28">
        <v>0</v>
      </c>
      <c r="H463" s="28">
        <f>ROUND(F463*AO463,2)</f>
        <v>0</v>
      </c>
      <c r="I463" s="28">
        <f>ROUND(F463*AP463,2)</f>
        <v>0</v>
      </c>
      <c r="J463" s="28">
        <f>ROUND(F463*G463,2)</f>
        <v>0</v>
      </c>
      <c r="K463" s="29" t="s">
        <v>60</v>
      </c>
      <c r="Z463" s="28">
        <f>ROUND(IF(AQ463="5",BJ463,0),2)</f>
        <v>0</v>
      </c>
      <c r="AB463" s="28">
        <f>ROUND(IF(AQ463="1",BH463,0),2)</f>
        <v>0</v>
      </c>
      <c r="AC463" s="28">
        <f>ROUND(IF(AQ463="1",BI463,0),2)</f>
        <v>0</v>
      </c>
      <c r="AD463" s="28">
        <f>ROUND(IF(AQ463="7",BH463,0),2)</f>
        <v>0</v>
      </c>
      <c r="AE463" s="28">
        <f>ROUND(IF(AQ463="7",BI463,0),2)</f>
        <v>0</v>
      </c>
      <c r="AF463" s="28">
        <f>ROUND(IF(AQ463="2",BH463,0),2)</f>
        <v>0</v>
      </c>
      <c r="AG463" s="28">
        <f>ROUND(IF(AQ463="2",BI463,0),2)</f>
        <v>0</v>
      </c>
      <c r="AH463" s="28">
        <f>ROUND(IF(AQ463="0",BJ463,0),2)</f>
        <v>0</v>
      </c>
      <c r="AI463" s="10" t="s">
        <v>714</v>
      </c>
      <c r="AJ463" s="28">
        <f>IF(AN463=0,J463,0)</f>
        <v>0</v>
      </c>
      <c r="AK463" s="28">
        <f>IF(AN463=12,J463,0)</f>
        <v>0</v>
      </c>
      <c r="AL463" s="28">
        <f>IF(AN463=21,J463,0)</f>
        <v>0</v>
      </c>
      <c r="AN463" s="28">
        <v>21</v>
      </c>
      <c r="AO463" s="28">
        <f>G463*0.698885246</f>
        <v>0</v>
      </c>
      <c r="AP463" s="28">
        <f>G463*(1-0.698885246)</f>
        <v>0</v>
      </c>
      <c r="AQ463" s="30" t="s">
        <v>118</v>
      </c>
      <c r="AV463" s="28">
        <f>ROUND(AW463+AX463,2)</f>
        <v>0</v>
      </c>
      <c r="AW463" s="28">
        <f>ROUND(F463*AO463,2)</f>
        <v>0</v>
      </c>
      <c r="AX463" s="28">
        <f>ROUND(F463*AP463,2)</f>
        <v>0</v>
      </c>
      <c r="AY463" s="30" t="s">
        <v>366</v>
      </c>
      <c r="AZ463" s="30" t="s">
        <v>857</v>
      </c>
      <c r="BA463" s="10" t="s">
        <v>720</v>
      </c>
      <c r="BC463" s="28">
        <f>AW463+AX463</f>
        <v>0</v>
      </c>
      <c r="BD463" s="28">
        <f>G463/(100-BE463)*100</f>
        <v>0</v>
      </c>
      <c r="BE463" s="28">
        <v>0</v>
      </c>
      <c r="BF463" s="28">
        <f>471</f>
        <v>471</v>
      </c>
      <c r="BH463" s="28">
        <f>F463*AO463</f>
        <v>0</v>
      </c>
      <c r="BI463" s="28">
        <f>F463*AP463</f>
        <v>0</v>
      </c>
      <c r="BJ463" s="28">
        <f>F463*G463</f>
        <v>0</v>
      </c>
      <c r="BK463" s="28"/>
      <c r="BL463" s="28">
        <v>711</v>
      </c>
      <c r="BW463" s="28">
        <v>21</v>
      </c>
      <c r="BX463" s="4" t="s">
        <v>856</v>
      </c>
    </row>
    <row r="464" spans="1:76" ht="13.5" customHeight="1" x14ac:dyDescent="0.25">
      <c r="A464" s="31"/>
      <c r="B464" s="35" t="s">
        <v>105</v>
      </c>
      <c r="C464" s="97" t="s">
        <v>858</v>
      </c>
      <c r="D464" s="98"/>
      <c r="E464" s="98"/>
      <c r="F464" s="98"/>
      <c r="G464" s="98"/>
      <c r="H464" s="98"/>
      <c r="I464" s="98"/>
      <c r="J464" s="98"/>
      <c r="K464" s="99"/>
    </row>
    <row r="465" spans="1:76" x14ac:dyDescent="0.25">
      <c r="A465" s="2" t="s">
        <v>859</v>
      </c>
      <c r="B465" s="3" t="s">
        <v>860</v>
      </c>
      <c r="C465" s="76" t="s">
        <v>861</v>
      </c>
      <c r="D465" s="71"/>
      <c r="E465" s="3" t="s">
        <v>188</v>
      </c>
      <c r="F465" s="28">
        <v>45</v>
      </c>
      <c r="G465" s="28">
        <v>0</v>
      </c>
      <c r="H465" s="28">
        <f>ROUND(F465*AO465,2)</f>
        <v>0</v>
      </c>
      <c r="I465" s="28">
        <f>ROUND(F465*AP465,2)</f>
        <v>0</v>
      </c>
      <c r="J465" s="28">
        <f>ROUND(F465*G465,2)</f>
        <v>0</v>
      </c>
      <c r="K465" s="29" t="s">
        <v>60</v>
      </c>
      <c r="Z465" s="28">
        <f>ROUND(IF(AQ465="5",BJ465,0),2)</f>
        <v>0</v>
      </c>
      <c r="AB465" s="28">
        <f>ROUND(IF(AQ465="1",BH465,0),2)</f>
        <v>0</v>
      </c>
      <c r="AC465" s="28">
        <f>ROUND(IF(AQ465="1",BI465,0),2)</f>
        <v>0</v>
      </c>
      <c r="AD465" s="28">
        <f>ROUND(IF(AQ465="7",BH465,0),2)</f>
        <v>0</v>
      </c>
      <c r="AE465" s="28">
        <f>ROUND(IF(AQ465="7",BI465,0),2)</f>
        <v>0</v>
      </c>
      <c r="AF465" s="28">
        <f>ROUND(IF(AQ465="2",BH465,0),2)</f>
        <v>0</v>
      </c>
      <c r="AG465" s="28">
        <f>ROUND(IF(AQ465="2",BI465,0),2)</f>
        <v>0</v>
      </c>
      <c r="AH465" s="28">
        <f>ROUND(IF(AQ465="0",BJ465,0),2)</f>
        <v>0</v>
      </c>
      <c r="AI465" s="10" t="s">
        <v>714</v>
      </c>
      <c r="AJ465" s="28">
        <f>IF(AN465=0,J465,0)</f>
        <v>0</v>
      </c>
      <c r="AK465" s="28">
        <f>IF(AN465=12,J465,0)</f>
        <v>0</v>
      </c>
      <c r="AL465" s="28">
        <f>IF(AN465=21,J465,0)</f>
        <v>0</v>
      </c>
      <c r="AN465" s="28">
        <v>21</v>
      </c>
      <c r="AO465" s="28">
        <f>G465*0.740271493</f>
        <v>0</v>
      </c>
      <c r="AP465" s="28">
        <f>G465*(1-0.740271493)</f>
        <v>0</v>
      </c>
      <c r="AQ465" s="30" t="s">
        <v>118</v>
      </c>
      <c r="AV465" s="28">
        <f>ROUND(AW465+AX465,2)</f>
        <v>0</v>
      </c>
      <c r="AW465" s="28">
        <f>ROUND(F465*AO465,2)</f>
        <v>0</v>
      </c>
      <c r="AX465" s="28">
        <f>ROUND(F465*AP465,2)</f>
        <v>0</v>
      </c>
      <c r="AY465" s="30" t="s">
        <v>366</v>
      </c>
      <c r="AZ465" s="30" t="s">
        <v>857</v>
      </c>
      <c r="BA465" s="10" t="s">
        <v>720</v>
      </c>
      <c r="BC465" s="28">
        <f>AW465+AX465</f>
        <v>0</v>
      </c>
      <c r="BD465" s="28">
        <f>G465/(100-BE465)*100</f>
        <v>0</v>
      </c>
      <c r="BE465" s="28">
        <v>0</v>
      </c>
      <c r="BF465" s="28">
        <f>473</f>
        <v>473</v>
      </c>
      <c r="BH465" s="28">
        <f>F465*AO465</f>
        <v>0</v>
      </c>
      <c r="BI465" s="28">
        <f>F465*AP465</f>
        <v>0</v>
      </c>
      <c r="BJ465" s="28">
        <f>F465*G465</f>
        <v>0</v>
      </c>
      <c r="BK465" s="28"/>
      <c r="BL465" s="28">
        <v>711</v>
      </c>
      <c r="BW465" s="28">
        <v>21</v>
      </c>
      <c r="BX465" s="4" t="s">
        <v>861</v>
      </c>
    </row>
    <row r="466" spans="1:76" ht="13.5" customHeight="1" x14ac:dyDescent="0.25">
      <c r="A466" s="31"/>
      <c r="B466" s="35" t="s">
        <v>105</v>
      </c>
      <c r="C466" s="97" t="s">
        <v>862</v>
      </c>
      <c r="D466" s="98"/>
      <c r="E466" s="98"/>
      <c r="F466" s="98"/>
      <c r="G466" s="98"/>
      <c r="H466" s="98"/>
      <c r="I466" s="98"/>
      <c r="J466" s="98"/>
      <c r="K466" s="99"/>
    </row>
    <row r="467" spans="1:76" x14ac:dyDescent="0.25">
      <c r="A467" s="24" t="s">
        <v>51</v>
      </c>
      <c r="B467" s="25" t="s">
        <v>444</v>
      </c>
      <c r="C467" s="87" t="s">
        <v>445</v>
      </c>
      <c r="D467" s="88"/>
      <c r="E467" s="26" t="s">
        <v>4</v>
      </c>
      <c r="F467" s="26" t="s">
        <v>4</v>
      </c>
      <c r="G467" s="26" t="s">
        <v>4</v>
      </c>
      <c r="H467" s="1">
        <f>SUM(H468:H472)</f>
        <v>0</v>
      </c>
      <c r="I467" s="1">
        <f>SUM(I468:I472)</f>
        <v>0</v>
      </c>
      <c r="J467" s="1">
        <f>SUM(J468:J472)</f>
        <v>0</v>
      </c>
      <c r="K467" s="27" t="s">
        <v>51</v>
      </c>
      <c r="AI467" s="10" t="s">
        <v>714</v>
      </c>
      <c r="AS467" s="1">
        <f>SUM(AJ468:AJ472)</f>
        <v>0</v>
      </c>
      <c r="AT467" s="1">
        <f>SUM(AK468:AK472)</f>
        <v>0</v>
      </c>
      <c r="AU467" s="1">
        <f>SUM(AL468:AL472)</f>
        <v>0</v>
      </c>
    </row>
    <row r="468" spans="1:76" x14ac:dyDescent="0.25">
      <c r="A468" s="2" t="s">
        <v>863</v>
      </c>
      <c r="B468" s="3" t="s">
        <v>864</v>
      </c>
      <c r="C468" s="76" t="s">
        <v>865</v>
      </c>
      <c r="D468" s="71"/>
      <c r="E468" s="3" t="s">
        <v>188</v>
      </c>
      <c r="F468" s="28">
        <v>4.5</v>
      </c>
      <c r="G468" s="28">
        <v>0</v>
      </c>
      <c r="H468" s="28">
        <f>ROUND(F468*AO468,2)</f>
        <v>0</v>
      </c>
      <c r="I468" s="28">
        <f>ROUND(F468*AP468,2)</f>
        <v>0</v>
      </c>
      <c r="J468" s="28">
        <f>ROUND(F468*G468,2)</f>
        <v>0</v>
      </c>
      <c r="K468" s="29" t="s">
        <v>60</v>
      </c>
      <c r="Z468" s="28">
        <f>ROUND(IF(AQ468="5",BJ468,0),2)</f>
        <v>0</v>
      </c>
      <c r="AB468" s="28">
        <f>ROUND(IF(AQ468="1",BH468,0),2)</f>
        <v>0</v>
      </c>
      <c r="AC468" s="28">
        <f>ROUND(IF(AQ468="1",BI468,0),2)</f>
        <v>0</v>
      </c>
      <c r="AD468" s="28">
        <f>ROUND(IF(AQ468="7",BH468,0),2)</f>
        <v>0</v>
      </c>
      <c r="AE468" s="28">
        <f>ROUND(IF(AQ468="7",BI468,0),2)</f>
        <v>0</v>
      </c>
      <c r="AF468" s="28">
        <f>ROUND(IF(AQ468="2",BH468,0),2)</f>
        <v>0</v>
      </c>
      <c r="AG468" s="28">
        <f>ROUND(IF(AQ468="2",BI468,0),2)</f>
        <v>0</v>
      </c>
      <c r="AH468" s="28">
        <f>ROUND(IF(AQ468="0",BJ468,0),2)</f>
        <v>0</v>
      </c>
      <c r="AI468" s="10" t="s">
        <v>714</v>
      </c>
      <c r="AJ468" s="28">
        <f>IF(AN468=0,J468,0)</f>
        <v>0</v>
      </c>
      <c r="AK468" s="28">
        <f>IF(AN468=12,J468,0)</f>
        <v>0</v>
      </c>
      <c r="AL468" s="28">
        <f>IF(AN468=21,J468,0)</f>
        <v>0</v>
      </c>
      <c r="AN468" s="28">
        <v>21</v>
      </c>
      <c r="AO468" s="28">
        <f>G468*0.866249583</f>
        <v>0</v>
      </c>
      <c r="AP468" s="28">
        <f>G468*(1-0.866249583)</f>
        <v>0</v>
      </c>
      <c r="AQ468" s="30" t="s">
        <v>118</v>
      </c>
      <c r="AV468" s="28">
        <f>ROUND(AW468+AX468,2)</f>
        <v>0</v>
      </c>
      <c r="AW468" s="28">
        <f>ROUND(F468*AO468,2)</f>
        <v>0</v>
      </c>
      <c r="AX468" s="28">
        <f>ROUND(F468*AP468,2)</f>
        <v>0</v>
      </c>
      <c r="AY468" s="30" t="s">
        <v>449</v>
      </c>
      <c r="AZ468" s="30" t="s">
        <v>866</v>
      </c>
      <c r="BA468" s="10" t="s">
        <v>720</v>
      </c>
      <c r="BC468" s="28">
        <f>AW468+AX468</f>
        <v>0</v>
      </c>
      <c r="BD468" s="28">
        <f>G468/(100-BE468)*100</f>
        <v>0</v>
      </c>
      <c r="BE468" s="28">
        <v>0</v>
      </c>
      <c r="BF468" s="28">
        <f>476</f>
        <v>476</v>
      </c>
      <c r="BH468" s="28">
        <f>F468*AO468</f>
        <v>0</v>
      </c>
      <c r="BI468" s="28">
        <f>F468*AP468</f>
        <v>0</v>
      </c>
      <c r="BJ468" s="28">
        <f>F468*G468</f>
        <v>0</v>
      </c>
      <c r="BK468" s="28"/>
      <c r="BL468" s="28">
        <v>767</v>
      </c>
      <c r="BW468" s="28">
        <v>21</v>
      </c>
      <c r="BX468" s="4" t="s">
        <v>865</v>
      </c>
    </row>
    <row r="469" spans="1:76" ht="40.5" customHeight="1" x14ac:dyDescent="0.25">
      <c r="A469" s="31"/>
      <c r="B469" s="35" t="s">
        <v>105</v>
      </c>
      <c r="C469" s="97" t="s">
        <v>867</v>
      </c>
      <c r="D469" s="98"/>
      <c r="E469" s="98"/>
      <c r="F469" s="98"/>
      <c r="G469" s="98"/>
      <c r="H469" s="98"/>
      <c r="I469" s="98"/>
      <c r="J469" s="98"/>
      <c r="K469" s="99"/>
    </row>
    <row r="470" spans="1:76" x14ac:dyDescent="0.25">
      <c r="A470" s="31"/>
      <c r="C470" s="32" t="s">
        <v>830</v>
      </c>
      <c r="D470" s="32" t="s">
        <v>868</v>
      </c>
      <c r="F470" s="33">
        <v>1.5</v>
      </c>
      <c r="K470" s="34"/>
    </row>
    <row r="471" spans="1:76" x14ac:dyDescent="0.25">
      <c r="A471" s="31"/>
      <c r="C471" s="32" t="s">
        <v>80</v>
      </c>
      <c r="D471" s="32" t="s">
        <v>869</v>
      </c>
      <c r="F471" s="33">
        <v>3</v>
      </c>
      <c r="K471" s="34"/>
    </row>
    <row r="472" spans="1:76" x14ac:dyDescent="0.25">
      <c r="A472" s="2" t="s">
        <v>870</v>
      </c>
      <c r="B472" s="3" t="s">
        <v>871</v>
      </c>
      <c r="C472" s="76" t="s">
        <v>872</v>
      </c>
      <c r="D472" s="71"/>
      <c r="E472" s="3" t="s">
        <v>188</v>
      </c>
      <c r="F472" s="28">
        <v>5</v>
      </c>
      <c r="G472" s="28">
        <v>0</v>
      </c>
      <c r="H472" s="28">
        <f>ROUND(F472*AO472,2)</f>
        <v>0</v>
      </c>
      <c r="I472" s="28">
        <f>ROUND(F472*AP472,2)</f>
        <v>0</v>
      </c>
      <c r="J472" s="28">
        <f>ROUND(F472*G472,2)</f>
        <v>0</v>
      </c>
      <c r="K472" s="29" t="s">
        <v>60</v>
      </c>
      <c r="Z472" s="28">
        <f>ROUND(IF(AQ472="5",BJ472,0),2)</f>
        <v>0</v>
      </c>
      <c r="AB472" s="28">
        <f>ROUND(IF(AQ472="1",BH472,0),2)</f>
        <v>0</v>
      </c>
      <c r="AC472" s="28">
        <f>ROUND(IF(AQ472="1",BI472,0),2)</f>
        <v>0</v>
      </c>
      <c r="AD472" s="28">
        <f>ROUND(IF(AQ472="7",BH472,0),2)</f>
        <v>0</v>
      </c>
      <c r="AE472" s="28">
        <f>ROUND(IF(AQ472="7",BI472,0),2)</f>
        <v>0</v>
      </c>
      <c r="AF472" s="28">
        <f>ROUND(IF(AQ472="2",BH472,0),2)</f>
        <v>0</v>
      </c>
      <c r="AG472" s="28">
        <f>ROUND(IF(AQ472="2",BI472,0),2)</f>
        <v>0</v>
      </c>
      <c r="AH472" s="28">
        <f>ROUND(IF(AQ472="0",BJ472,0),2)</f>
        <v>0</v>
      </c>
      <c r="AI472" s="10" t="s">
        <v>714</v>
      </c>
      <c r="AJ472" s="28">
        <f>IF(AN472=0,J472,0)</f>
        <v>0</v>
      </c>
      <c r="AK472" s="28">
        <f>IF(AN472=12,J472,0)</f>
        <v>0</v>
      </c>
      <c r="AL472" s="28">
        <f>IF(AN472=21,J472,0)</f>
        <v>0</v>
      </c>
      <c r="AN472" s="28">
        <v>21</v>
      </c>
      <c r="AO472" s="28">
        <f>G472*0.784173727</f>
        <v>0</v>
      </c>
      <c r="AP472" s="28">
        <f>G472*(1-0.784173727)</f>
        <v>0</v>
      </c>
      <c r="AQ472" s="30" t="s">
        <v>118</v>
      </c>
      <c r="AV472" s="28">
        <f>ROUND(AW472+AX472,2)</f>
        <v>0</v>
      </c>
      <c r="AW472" s="28">
        <f>ROUND(F472*AO472,2)</f>
        <v>0</v>
      </c>
      <c r="AX472" s="28">
        <f>ROUND(F472*AP472,2)</f>
        <v>0</v>
      </c>
      <c r="AY472" s="30" t="s">
        <v>449</v>
      </c>
      <c r="AZ472" s="30" t="s">
        <v>866</v>
      </c>
      <c r="BA472" s="10" t="s">
        <v>720</v>
      </c>
      <c r="BC472" s="28">
        <f>AW472+AX472</f>
        <v>0</v>
      </c>
      <c r="BD472" s="28">
        <f>G472/(100-BE472)*100</f>
        <v>0</v>
      </c>
      <c r="BE472" s="28">
        <v>0</v>
      </c>
      <c r="BF472" s="28">
        <f>480</f>
        <v>480</v>
      </c>
      <c r="BH472" s="28">
        <f>F472*AO472</f>
        <v>0</v>
      </c>
      <c r="BI472" s="28">
        <f>F472*AP472</f>
        <v>0</v>
      </c>
      <c r="BJ472" s="28">
        <f>F472*G472</f>
        <v>0</v>
      </c>
      <c r="BK472" s="28"/>
      <c r="BL472" s="28">
        <v>767</v>
      </c>
      <c r="BW472" s="28">
        <v>21</v>
      </c>
      <c r="BX472" s="4" t="s">
        <v>872</v>
      </c>
    </row>
    <row r="473" spans="1:76" ht="13.5" customHeight="1" x14ac:dyDescent="0.25">
      <c r="A473" s="31"/>
      <c r="B473" s="35" t="s">
        <v>105</v>
      </c>
      <c r="C473" s="97" t="s">
        <v>873</v>
      </c>
      <c r="D473" s="98"/>
      <c r="E473" s="98"/>
      <c r="F473" s="98"/>
      <c r="G473" s="98"/>
      <c r="H473" s="98"/>
      <c r="I473" s="98"/>
      <c r="J473" s="98"/>
      <c r="K473" s="99"/>
    </row>
    <row r="474" spans="1:76" x14ac:dyDescent="0.25">
      <c r="A474" s="24" t="s">
        <v>51</v>
      </c>
      <c r="B474" s="25" t="s">
        <v>574</v>
      </c>
      <c r="C474" s="87" t="s">
        <v>874</v>
      </c>
      <c r="D474" s="88"/>
      <c r="E474" s="26" t="s">
        <v>4</v>
      </c>
      <c r="F474" s="26" t="s">
        <v>4</v>
      </c>
      <c r="G474" s="26" t="s">
        <v>4</v>
      </c>
      <c r="H474" s="1">
        <f>SUM(H475:H505)</f>
        <v>0</v>
      </c>
      <c r="I474" s="1">
        <f>SUM(I475:I505)</f>
        <v>0</v>
      </c>
      <c r="J474" s="1">
        <f>SUM(J475:J505)</f>
        <v>0</v>
      </c>
      <c r="K474" s="27" t="s">
        <v>51</v>
      </c>
      <c r="AI474" s="10" t="s">
        <v>714</v>
      </c>
      <c r="AS474" s="1">
        <f>SUM(AJ475:AJ505)</f>
        <v>0</v>
      </c>
      <c r="AT474" s="1">
        <f>SUM(AK475:AK505)</f>
        <v>0</v>
      </c>
      <c r="AU474" s="1">
        <f>SUM(AL475:AL505)</f>
        <v>0</v>
      </c>
    </row>
    <row r="475" spans="1:76" x14ac:dyDescent="0.25">
      <c r="A475" s="2" t="s">
        <v>875</v>
      </c>
      <c r="B475" s="3" t="s">
        <v>876</v>
      </c>
      <c r="C475" s="76" t="s">
        <v>877</v>
      </c>
      <c r="D475" s="71"/>
      <c r="E475" s="3" t="s">
        <v>188</v>
      </c>
      <c r="F475" s="28">
        <v>40</v>
      </c>
      <c r="G475" s="28">
        <v>0</v>
      </c>
      <c r="H475" s="28">
        <f>ROUND(F475*AO475,2)</f>
        <v>0</v>
      </c>
      <c r="I475" s="28">
        <f>ROUND(F475*AP475,2)</f>
        <v>0</v>
      </c>
      <c r="J475" s="28">
        <f>ROUND(F475*G475,2)</f>
        <v>0</v>
      </c>
      <c r="K475" s="29" t="s">
        <v>60</v>
      </c>
      <c r="Z475" s="28">
        <f>ROUND(IF(AQ475="5",BJ475,0),2)</f>
        <v>0</v>
      </c>
      <c r="AB475" s="28">
        <f>ROUND(IF(AQ475="1",BH475,0),2)</f>
        <v>0</v>
      </c>
      <c r="AC475" s="28">
        <f>ROUND(IF(AQ475="1",BI475,0),2)</f>
        <v>0</v>
      </c>
      <c r="AD475" s="28">
        <f>ROUND(IF(AQ475="7",BH475,0),2)</f>
        <v>0</v>
      </c>
      <c r="AE475" s="28">
        <f>ROUND(IF(AQ475="7",BI475,0),2)</f>
        <v>0</v>
      </c>
      <c r="AF475" s="28">
        <f>ROUND(IF(AQ475="2",BH475,0),2)</f>
        <v>0</v>
      </c>
      <c r="AG475" s="28">
        <f>ROUND(IF(AQ475="2",BI475,0),2)</f>
        <v>0</v>
      </c>
      <c r="AH475" s="28">
        <f>ROUND(IF(AQ475="0",BJ475,0),2)</f>
        <v>0</v>
      </c>
      <c r="AI475" s="10" t="s">
        <v>714</v>
      </c>
      <c r="AJ475" s="28">
        <f>IF(AN475=0,J475,0)</f>
        <v>0</v>
      </c>
      <c r="AK475" s="28">
        <f>IF(AN475=12,J475,0)</f>
        <v>0</v>
      </c>
      <c r="AL475" s="28">
        <f>IF(AN475=21,J475,0)</f>
        <v>0</v>
      </c>
      <c r="AN475" s="28">
        <v>21</v>
      </c>
      <c r="AO475" s="28">
        <f>G475*0.823289941</f>
        <v>0</v>
      </c>
      <c r="AP475" s="28">
        <f>G475*(1-0.823289941)</f>
        <v>0</v>
      </c>
      <c r="AQ475" s="30" t="s">
        <v>56</v>
      </c>
      <c r="AV475" s="28">
        <f>ROUND(AW475+AX475,2)</f>
        <v>0</v>
      </c>
      <c r="AW475" s="28">
        <f>ROUND(F475*AO475,2)</f>
        <v>0</v>
      </c>
      <c r="AX475" s="28">
        <f>ROUND(F475*AP475,2)</f>
        <v>0</v>
      </c>
      <c r="AY475" s="30" t="s">
        <v>878</v>
      </c>
      <c r="AZ475" s="30" t="s">
        <v>879</v>
      </c>
      <c r="BA475" s="10" t="s">
        <v>720</v>
      </c>
      <c r="BC475" s="28">
        <f>AW475+AX475</f>
        <v>0</v>
      </c>
      <c r="BD475" s="28">
        <f>G475/(100-BE475)*100</f>
        <v>0</v>
      </c>
      <c r="BE475" s="28">
        <v>0</v>
      </c>
      <c r="BF475" s="28">
        <f>483</f>
        <v>483</v>
      </c>
      <c r="BH475" s="28">
        <f>F475*AO475</f>
        <v>0</v>
      </c>
      <c r="BI475" s="28">
        <f>F475*AP475</f>
        <v>0</v>
      </c>
      <c r="BJ475" s="28">
        <f>F475*G475</f>
        <v>0</v>
      </c>
      <c r="BK475" s="28"/>
      <c r="BL475" s="28">
        <v>91</v>
      </c>
      <c r="BW475" s="28">
        <v>21</v>
      </c>
      <c r="BX475" s="4" t="s">
        <v>877</v>
      </c>
    </row>
    <row r="476" spans="1:76" ht="13.5" customHeight="1" x14ac:dyDescent="0.25">
      <c r="A476" s="31"/>
      <c r="B476" s="35" t="s">
        <v>105</v>
      </c>
      <c r="C476" s="97" t="s">
        <v>880</v>
      </c>
      <c r="D476" s="98"/>
      <c r="E476" s="98"/>
      <c r="F476" s="98"/>
      <c r="G476" s="98"/>
      <c r="H476" s="98"/>
      <c r="I476" s="98"/>
      <c r="J476" s="98"/>
      <c r="K476" s="99"/>
    </row>
    <row r="477" spans="1:76" x14ac:dyDescent="0.25">
      <c r="A477" s="31"/>
      <c r="B477" s="35" t="s">
        <v>68</v>
      </c>
      <c r="C477" s="94" t="s">
        <v>881</v>
      </c>
      <c r="D477" s="95"/>
      <c r="E477" s="95"/>
      <c r="F477" s="95"/>
      <c r="G477" s="95"/>
      <c r="H477" s="95"/>
      <c r="I477" s="95"/>
      <c r="J477" s="95"/>
      <c r="K477" s="96"/>
      <c r="BX477" s="36" t="s">
        <v>881</v>
      </c>
    </row>
    <row r="478" spans="1:76" x14ac:dyDescent="0.25">
      <c r="A478" s="2" t="s">
        <v>882</v>
      </c>
      <c r="B478" s="3" t="s">
        <v>883</v>
      </c>
      <c r="C478" s="76" t="s">
        <v>884</v>
      </c>
      <c r="D478" s="71"/>
      <c r="E478" s="3" t="s">
        <v>188</v>
      </c>
      <c r="F478" s="28">
        <v>33</v>
      </c>
      <c r="G478" s="28">
        <v>0</v>
      </c>
      <c r="H478" s="28">
        <f>ROUND(F478*AO478,2)</f>
        <v>0</v>
      </c>
      <c r="I478" s="28">
        <f>ROUND(F478*AP478,2)</f>
        <v>0</v>
      </c>
      <c r="J478" s="28">
        <f>ROUND(F478*G478,2)</f>
        <v>0</v>
      </c>
      <c r="K478" s="29" t="s">
        <v>60</v>
      </c>
      <c r="Z478" s="28">
        <f>ROUND(IF(AQ478="5",BJ478,0),2)</f>
        <v>0</v>
      </c>
      <c r="AB478" s="28">
        <f>ROUND(IF(AQ478="1",BH478,0),2)</f>
        <v>0</v>
      </c>
      <c r="AC478" s="28">
        <f>ROUND(IF(AQ478="1",BI478,0),2)</f>
        <v>0</v>
      </c>
      <c r="AD478" s="28">
        <f>ROUND(IF(AQ478="7",BH478,0),2)</f>
        <v>0</v>
      </c>
      <c r="AE478" s="28">
        <f>ROUND(IF(AQ478="7",BI478,0),2)</f>
        <v>0</v>
      </c>
      <c r="AF478" s="28">
        <f>ROUND(IF(AQ478="2",BH478,0),2)</f>
        <v>0</v>
      </c>
      <c r="AG478" s="28">
        <f>ROUND(IF(AQ478="2",BI478,0),2)</f>
        <v>0</v>
      </c>
      <c r="AH478" s="28">
        <f>ROUND(IF(AQ478="0",BJ478,0),2)</f>
        <v>0</v>
      </c>
      <c r="AI478" s="10" t="s">
        <v>714</v>
      </c>
      <c r="AJ478" s="28">
        <f>IF(AN478=0,J478,0)</f>
        <v>0</v>
      </c>
      <c r="AK478" s="28">
        <f>IF(AN478=12,J478,0)</f>
        <v>0</v>
      </c>
      <c r="AL478" s="28">
        <f>IF(AN478=21,J478,0)</f>
        <v>0</v>
      </c>
      <c r="AN478" s="28">
        <v>21</v>
      </c>
      <c r="AO478" s="28">
        <f>G478*0.773757576</f>
        <v>0</v>
      </c>
      <c r="AP478" s="28">
        <f>G478*(1-0.773757576)</f>
        <v>0</v>
      </c>
      <c r="AQ478" s="30" t="s">
        <v>56</v>
      </c>
      <c r="AV478" s="28">
        <f>ROUND(AW478+AX478,2)</f>
        <v>0</v>
      </c>
      <c r="AW478" s="28">
        <f>ROUND(F478*AO478,2)</f>
        <v>0</v>
      </c>
      <c r="AX478" s="28">
        <f>ROUND(F478*AP478,2)</f>
        <v>0</v>
      </c>
      <c r="AY478" s="30" t="s">
        <v>878</v>
      </c>
      <c r="AZ478" s="30" t="s">
        <v>879</v>
      </c>
      <c r="BA478" s="10" t="s">
        <v>720</v>
      </c>
      <c r="BC478" s="28">
        <f>AW478+AX478</f>
        <v>0</v>
      </c>
      <c r="BD478" s="28">
        <f>G478/(100-BE478)*100</f>
        <v>0</v>
      </c>
      <c r="BE478" s="28">
        <v>0</v>
      </c>
      <c r="BF478" s="28">
        <f>486</f>
        <v>486</v>
      </c>
      <c r="BH478" s="28">
        <f>F478*AO478</f>
        <v>0</v>
      </c>
      <c r="BI478" s="28">
        <f>F478*AP478</f>
        <v>0</v>
      </c>
      <c r="BJ478" s="28">
        <f>F478*G478</f>
        <v>0</v>
      </c>
      <c r="BK478" s="28"/>
      <c r="BL478" s="28">
        <v>91</v>
      </c>
      <c r="BW478" s="28">
        <v>21</v>
      </c>
      <c r="BX478" s="4" t="s">
        <v>884</v>
      </c>
    </row>
    <row r="479" spans="1:76" ht="13.5" customHeight="1" x14ac:dyDescent="0.25">
      <c r="A479" s="31"/>
      <c r="B479" s="35" t="s">
        <v>105</v>
      </c>
      <c r="C479" s="97" t="s">
        <v>885</v>
      </c>
      <c r="D479" s="98"/>
      <c r="E479" s="98"/>
      <c r="F479" s="98"/>
      <c r="G479" s="98"/>
      <c r="H479" s="98"/>
      <c r="I479" s="98"/>
      <c r="J479" s="98"/>
      <c r="K479" s="99"/>
    </row>
    <row r="480" spans="1:76" x14ac:dyDescent="0.25">
      <c r="A480" s="31"/>
      <c r="B480" s="35" t="s">
        <v>68</v>
      </c>
      <c r="C480" s="94" t="s">
        <v>886</v>
      </c>
      <c r="D480" s="95"/>
      <c r="E480" s="95"/>
      <c r="F480" s="95"/>
      <c r="G480" s="95"/>
      <c r="H480" s="95"/>
      <c r="I480" s="95"/>
      <c r="J480" s="95"/>
      <c r="K480" s="96"/>
      <c r="BX480" s="36" t="s">
        <v>886</v>
      </c>
    </row>
    <row r="481" spans="1:76" x14ac:dyDescent="0.25">
      <c r="A481" s="2" t="s">
        <v>887</v>
      </c>
      <c r="B481" s="3" t="s">
        <v>888</v>
      </c>
      <c r="C481" s="76" t="s">
        <v>877</v>
      </c>
      <c r="D481" s="71"/>
      <c r="E481" s="3" t="s">
        <v>188</v>
      </c>
      <c r="F481" s="28">
        <v>90</v>
      </c>
      <c r="G481" s="28">
        <v>0</v>
      </c>
      <c r="H481" s="28">
        <f>ROUND(F481*AO481,2)</f>
        <v>0</v>
      </c>
      <c r="I481" s="28">
        <f>ROUND(F481*AP481,2)</f>
        <v>0</v>
      </c>
      <c r="J481" s="28">
        <f>ROUND(F481*G481,2)</f>
        <v>0</v>
      </c>
      <c r="K481" s="29" t="s">
        <v>60</v>
      </c>
      <c r="Z481" s="28">
        <f>ROUND(IF(AQ481="5",BJ481,0),2)</f>
        <v>0</v>
      </c>
      <c r="AB481" s="28">
        <f>ROUND(IF(AQ481="1",BH481,0),2)</f>
        <v>0</v>
      </c>
      <c r="AC481" s="28">
        <f>ROUND(IF(AQ481="1",BI481,0),2)</f>
        <v>0</v>
      </c>
      <c r="AD481" s="28">
        <f>ROUND(IF(AQ481="7",BH481,0),2)</f>
        <v>0</v>
      </c>
      <c r="AE481" s="28">
        <f>ROUND(IF(AQ481="7",BI481,0),2)</f>
        <v>0</v>
      </c>
      <c r="AF481" s="28">
        <f>ROUND(IF(AQ481="2",BH481,0),2)</f>
        <v>0</v>
      </c>
      <c r="AG481" s="28">
        <f>ROUND(IF(AQ481="2",BI481,0),2)</f>
        <v>0</v>
      </c>
      <c r="AH481" s="28">
        <f>ROUND(IF(AQ481="0",BJ481,0),2)</f>
        <v>0</v>
      </c>
      <c r="AI481" s="10" t="s">
        <v>714</v>
      </c>
      <c r="AJ481" s="28">
        <f>IF(AN481=0,J481,0)</f>
        <v>0</v>
      </c>
      <c r="AK481" s="28">
        <f>IF(AN481=12,J481,0)</f>
        <v>0</v>
      </c>
      <c r="AL481" s="28">
        <f>IF(AN481=21,J481,0)</f>
        <v>0</v>
      </c>
      <c r="AN481" s="28">
        <v>21</v>
      </c>
      <c r="AO481" s="28">
        <f>G481*0.726018349</f>
        <v>0</v>
      </c>
      <c r="AP481" s="28">
        <f>G481*(1-0.726018349)</f>
        <v>0</v>
      </c>
      <c r="AQ481" s="30" t="s">
        <v>56</v>
      </c>
      <c r="AV481" s="28">
        <f>ROUND(AW481+AX481,2)</f>
        <v>0</v>
      </c>
      <c r="AW481" s="28">
        <f>ROUND(F481*AO481,2)</f>
        <v>0</v>
      </c>
      <c r="AX481" s="28">
        <f>ROUND(F481*AP481,2)</f>
        <v>0</v>
      </c>
      <c r="AY481" s="30" t="s">
        <v>878</v>
      </c>
      <c r="AZ481" s="30" t="s">
        <v>879</v>
      </c>
      <c r="BA481" s="10" t="s">
        <v>720</v>
      </c>
      <c r="BC481" s="28">
        <f>AW481+AX481</f>
        <v>0</v>
      </c>
      <c r="BD481" s="28">
        <f>G481/(100-BE481)*100</f>
        <v>0</v>
      </c>
      <c r="BE481" s="28">
        <v>0</v>
      </c>
      <c r="BF481" s="28">
        <f>489</f>
        <v>489</v>
      </c>
      <c r="BH481" s="28">
        <f>F481*AO481</f>
        <v>0</v>
      </c>
      <c r="BI481" s="28">
        <f>F481*AP481</f>
        <v>0</v>
      </c>
      <c r="BJ481" s="28">
        <f>F481*G481</f>
        <v>0</v>
      </c>
      <c r="BK481" s="28"/>
      <c r="BL481" s="28">
        <v>91</v>
      </c>
      <c r="BW481" s="28">
        <v>21</v>
      </c>
      <c r="BX481" s="4" t="s">
        <v>877</v>
      </c>
    </row>
    <row r="482" spans="1:76" ht="13.5" customHeight="1" x14ac:dyDescent="0.25">
      <c r="A482" s="31"/>
      <c r="B482" s="35" t="s">
        <v>105</v>
      </c>
      <c r="C482" s="97" t="s">
        <v>889</v>
      </c>
      <c r="D482" s="98"/>
      <c r="E482" s="98"/>
      <c r="F482" s="98"/>
      <c r="G482" s="98"/>
      <c r="H482" s="98"/>
      <c r="I482" s="98"/>
      <c r="J482" s="98"/>
      <c r="K482" s="99"/>
    </row>
    <row r="483" spans="1:76" x14ac:dyDescent="0.25">
      <c r="A483" s="2" t="s">
        <v>890</v>
      </c>
      <c r="B483" s="3" t="s">
        <v>891</v>
      </c>
      <c r="C483" s="76" t="s">
        <v>892</v>
      </c>
      <c r="D483" s="71"/>
      <c r="E483" s="3" t="s">
        <v>188</v>
      </c>
      <c r="F483" s="28">
        <v>45</v>
      </c>
      <c r="G483" s="28">
        <v>0</v>
      </c>
      <c r="H483" s="28">
        <f>ROUND(F483*AO483,2)</f>
        <v>0</v>
      </c>
      <c r="I483" s="28">
        <f>ROUND(F483*AP483,2)</f>
        <v>0</v>
      </c>
      <c r="J483" s="28">
        <f>ROUND(F483*G483,2)</f>
        <v>0</v>
      </c>
      <c r="K483" s="29" t="s">
        <v>60</v>
      </c>
      <c r="Z483" s="28">
        <f>ROUND(IF(AQ483="5",BJ483,0),2)</f>
        <v>0</v>
      </c>
      <c r="AB483" s="28">
        <f>ROUND(IF(AQ483="1",BH483,0),2)</f>
        <v>0</v>
      </c>
      <c r="AC483" s="28">
        <f>ROUND(IF(AQ483="1",BI483,0),2)</f>
        <v>0</v>
      </c>
      <c r="AD483" s="28">
        <f>ROUND(IF(AQ483="7",BH483,0),2)</f>
        <v>0</v>
      </c>
      <c r="AE483" s="28">
        <f>ROUND(IF(AQ483="7",BI483,0),2)</f>
        <v>0</v>
      </c>
      <c r="AF483" s="28">
        <f>ROUND(IF(AQ483="2",BH483,0),2)</f>
        <v>0</v>
      </c>
      <c r="AG483" s="28">
        <f>ROUND(IF(AQ483="2",BI483,0),2)</f>
        <v>0</v>
      </c>
      <c r="AH483" s="28">
        <f>ROUND(IF(AQ483="0",BJ483,0),2)</f>
        <v>0</v>
      </c>
      <c r="AI483" s="10" t="s">
        <v>714</v>
      </c>
      <c r="AJ483" s="28">
        <f>IF(AN483=0,J483,0)</f>
        <v>0</v>
      </c>
      <c r="AK483" s="28">
        <f>IF(AN483=12,J483,0)</f>
        <v>0</v>
      </c>
      <c r="AL483" s="28">
        <f>IF(AN483=21,J483,0)</f>
        <v>0</v>
      </c>
      <c r="AN483" s="28">
        <v>21</v>
      </c>
      <c r="AO483" s="28">
        <f>G483*0.838323353</f>
        <v>0</v>
      </c>
      <c r="AP483" s="28">
        <f>G483*(1-0.838323353)</f>
        <v>0</v>
      </c>
      <c r="AQ483" s="30" t="s">
        <v>56</v>
      </c>
      <c r="AV483" s="28">
        <f>ROUND(AW483+AX483,2)</f>
        <v>0</v>
      </c>
      <c r="AW483" s="28">
        <f>ROUND(F483*AO483,2)</f>
        <v>0</v>
      </c>
      <c r="AX483" s="28">
        <f>ROUND(F483*AP483,2)</f>
        <v>0</v>
      </c>
      <c r="AY483" s="30" t="s">
        <v>878</v>
      </c>
      <c r="AZ483" s="30" t="s">
        <v>879</v>
      </c>
      <c r="BA483" s="10" t="s">
        <v>720</v>
      </c>
      <c r="BC483" s="28">
        <f>AW483+AX483</f>
        <v>0</v>
      </c>
      <c r="BD483" s="28">
        <f>G483/(100-BE483)*100</f>
        <v>0</v>
      </c>
      <c r="BE483" s="28">
        <v>0</v>
      </c>
      <c r="BF483" s="28">
        <f>491</f>
        <v>491</v>
      </c>
      <c r="BH483" s="28">
        <f>F483*AO483</f>
        <v>0</v>
      </c>
      <c r="BI483" s="28">
        <f>F483*AP483</f>
        <v>0</v>
      </c>
      <c r="BJ483" s="28">
        <f>F483*G483</f>
        <v>0</v>
      </c>
      <c r="BK483" s="28"/>
      <c r="BL483" s="28">
        <v>91</v>
      </c>
      <c r="BW483" s="28">
        <v>21</v>
      </c>
      <c r="BX483" s="4" t="s">
        <v>892</v>
      </c>
    </row>
    <row r="484" spans="1:76" x14ac:dyDescent="0.25">
      <c r="A484" s="31"/>
      <c r="C484" s="32" t="s">
        <v>279</v>
      </c>
      <c r="D484" s="32" t="s">
        <v>893</v>
      </c>
      <c r="F484" s="33">
        <v>45</v>
      </c>
      <c r="K484" s="34"/>
    </row>
    <row r="485" spans="1:76" x14ac:dyDescent="0.25">
      <c r="A485" s="2" t="s">
        <v>894</v>
      </c>
      <c r="B485" s="3" t="s">
        <v>895</v>
      </c>
      <c r="C485" s="76" t="s">
        <v>877</v>
      </c>
      <c r="D485" s="71"/>
      <c r="E485" s="3" t="s">
        <v>188</v>
      </c>
      <c r="F485" s="28">
        <v>5</v>
      </c>
      <c r="G485" s="28">
        <v>0</v>
      </c>
      <c r="H485" s="28">
        <f>ROUND(F485*AO485,2)</f>
        <v>0</v>
      </c>
      <c r="I485" s="28">
        <f>ROUND(F485*AP485,2)</f>
        <v>0</v>
      </c>
      <c r="J485" s="28">
        <f>ROUND(F485*G485,2)</f>
        <v>0</v>
      </c>
      <c r="K485" s="29" t="s">
        <v>60</v>
      </c>
      <c r="Z485" s="28">
        <f>ROUND(IF(AQ485="5",BJ485,0),2)</f>
        <v>0</v>
      </c>
      <c r="AB485" s="28">
        <f>ROUND(IF(AQ485="1",BH485,0),2)</f>
        <v>0</v>
      </c>
      <c r="AC485" s="28">
        <f>ROUND(IF(AQ485="1",BI485,0),2)</f>
        <v>0</v>
      </c>
      <c r="AD485" s="28">
        <f>ROUND(IF(AQ485="7",BH485,0),2)</f>
        <v>0</v>
      </c>
      <c r="AE485" s="28">
        <f>ROUND(IF(AQ485="7",BI485,0),2)</f>
        <v>0</v>
      </c>
      <c r="AF485" s="28">
        <f>ROUND(IF(AQ485="2",BH485,0),2)</f>
        <v>0</v>
      </c>
      <c r="AG485" s="28">
        <f>ROUND(IF(AQ485="2",BI485,0),2)</f>
        <v>0</v>
      </c>
      <c r="AH485" s="28">
        <f>ROUND(IF(AQ485="0",BJ485,0),2)</f>
        <v>0</v>
      </c>
      <c r="AI485" s="10" t="s">
        <v>714</v>
      </c>
      <c r="AJ485" s="28">
        <f>IF(AN485=0,J485,0)</f>
        <v>0</v>
      </c>
      <c r="AK485" s="28">
        <f>IF(AN485=12,J485,0)</f>
        <v>0</v>
      </c>
      <c r="AL485" s="28">
        <f>IF(AN485=21,J485,0)</f>
        <v>0</v>
      </c>
      <c r="AN485" s="28">
        <v>21</v>
      </c>
      <c r="AO485" s="28">
        <f>G485*0.596432432</f>
        <v>0</v>
      </c>
      <c r="AP485" s="28">
        <f>G485*(1-0.596432432)</f>
        <v>0</v>
      </c>
      <c r="AQ485" s="30" t="s">
        <v>56</v>
      </c>
      <c r="AV485" s="28">
        <f>ROUND(AW485+AX485,2)</f>
        <v>0</v>
      </c>
      <c r="AW485" s="28">
        <f>ROUND(F485*AO485,2)</f>
        <v>0</v>
      </c>
      <c r="AX485" s="28">
        <f>ROUND(F485*AP485,2)</f>
        <v>0</v>
      </c>
      <c r="AY485" s="30" t="s">
        <v>878</v>
      </c>
      <c r="AZ485" s="30" t="s">
        <v>879</v>
      </c>
      <c r="BA485" s="10" t="s">
        <v>720</v>
      </c>
      <c r="BC485" s="28">
        <f>AW485+AX485</f>
        <v>0</v>
      </c>
      <c r="BD485" s="28">
        <f>G485/(100-BE485)*100</f>
        <v>0</v>
      </c>
      <c r="BE485" s="28">
        <v>0</v>
      </c>
      <c r="BF485" s="28">
        <f>493</f>
        <v>493</v>
      </c>
      <c r="BH485" s="28">
        <f>F485*AO485</f>
        <v>0</v>
      </c>
      <c r="BI485" s="28">
        <f>F485*AP485</f>
        <v>0</v>
      </c>
      <c r="BJ485" s="28">
        <f>F485*G485</f>
        <v>0</v>
      </c>
      <c r="BK485" s="28"/>
      <c r="BL485" s="28">
        <v>91</v>
      </c>
      <c r="BW485" s="28">
        <v>21</v>
      </c>
      <c r="BX485" s="4" t="s">
        <v>877</v>
      </c>
    </row>
    <row r="486" spans="1:76" x14ac:dyDescent="0.25">
      <c r="A486" s="31"/>
      <c r="C486" s="32" t="s">
        <v>74</v>
      </c>
      <c r="D486" s="32" t="s">
        <v>896</v>
      </c>
      <c r="F486" s="33">
        <v>2</v>
      </c>
      <c r="K486" s="34"/>
    </row>
    <row r="487" spans="1:76" x14ac:dyDescent="0.25">
      <c r="A487" s="31"/>
      <c r="C487" s="32" t="s">
        <v>80</v>
      </c>
      <c r="D487" s="32" t="s">
        <v>897</v>
      </c>
      <c r="F487" s="33">
        <v>3</v>
      </c>
      <c r="K487" s="34"/>
    </row>
    <row r="488" spans="1:76" x14ac:dyDescent="0.25">
      <c r="A488" s="31"/>
      <c r="B488" s="35" t="s">
        <v>68</v>
      </c>
      <c r="C488" s="94" t="s">
        <v>886</v>
      </c>
      <c r="D488" s="95"/>
      <c r="E488" s="95"/>
      <c r="F488" s="95"/>
      <c r="G488" s="95"/>
      <c r="H488" s="95"/>
      <c r="I488" s="95"/>
      <c r="J488" s="95"/>
      <c r="K488" s="96"/>
      <c r="BX488" s="36" t="s">
        <v>886</v>
      </c>
    </row>
    <row r="489" spans="1:76" x14ac:dyDescent="0.25">
      <c r="A489" s="2" t="s">
        <v>898</v>
      </c>
      <c r="B489" s="3" t="s">
        <v>899</v>
      </c>
      <c r="C489" s="76" t="s">
        <v>900</v>
      </c>
      <c r="D489" s="71"/>
      <c r="E489" s="3" t="s">
        <v>293</v>
      </c>
      <c r="F489" s="28">
        <v>3</v>
      </c>
      <c r="G489" s="28">
        <v>0</v>
      </c>
      <c r="H489" s="28">
        <f>ROUND(F489*AO489,2)</f>
        <v>0</v>
      </c>
      <c r="I489" s="28">
        <f>ROUND(F489*AP489,2)</f>
        <v>0</v>
      </c>
      <c r="J489" s="28">
        <f>ROUND(F489*G489,2)</f>
        <v>0</v>
      </c>
      <c r="K489" s="29" t="s">
        <v>60</v>
      </c>
      <c r="Z489" s="28">
        <f>ROUND(IF(AQ489="5",BJ489,0),2)</f>
        <v>0</v>
      </c>
      <c r="AB489" s="28">
        <f>ROUND(IF(AQ489="1",BH489,0),2)</f>
        <v>0</v>
      </c>
      <c r="AC489" s="28">
        <f>ROUND(IF(AQ489="1",BI489,0),2)</f>
        <v>0</v>
      </c>
      <c r="AD489" s="28">
        <f>ROUND(IF(AQ489="7",BH489,0),2)</f>
        <v>0</v>
      </c>
      <c r="AE489" s="28">
        <f>ROUND(IF(AQ489="7",BI489,0),2)</f>
        <v>0</v>
      </c>
      <c r="AF489" s="28">
        <f>ROUND(IF(AQ489="2",BH489,0),2)</f>
        <v>0</v>
      </c>
      <c r="AG489" s="28">
        <f>ROUND(IF(AQ489="2",BI489,0),2)</f>
        <v>0</v>
      </c>
      <c r="AH489" s="28">
        <f>ROUND(IF(AQ489="0",BJ489,0),2)</f>
        <v>0</v>
      </c>
      <c r="AI489" s="10" t="s">
        <v>714</v>
      </c>
      <c r="AJ489" s="28">
        <f>IF(AN489=0,J489,0)</f>
        <v>0</v>
      </c>
      <c r="AK489" s="28">
        <f>IF(AN489=12,J489,0)</f>
        <v>0</v>
      </c>
      <c r="AL489" s="28">
        <f>IF(AN489=21,J489,0)</f>
        <v>0</v>
      </c>
      <c r="AN489" s="28">
        <v>21</v>
      </c>
      <c r="AO489" s="28">
        <f>G489*1</f>
        <v>0</v>
      </c>
      <c r="AP489" s="28">
        <f>G489*(1-1)</f>
        <v>0</v>
      </c>
      <c r="AQ489" s="30" t="s">
        <v>56</v>
      </c>
      <c r="AV489" s="28">
        <f>ROUND(AW489+AX489,2)</f>
        <v>0</v>
      </c>
      <c r="AW489" s="28">
        <f>ROUND(F489*AO489,2)</f>
        <v>0</v>
      </c>
      <c r="AX489" s="28">
        <f>ROUND(F489*AP489,2)</f>
        <v>0</v>
      </c>
      <c r="AY489" s="30" t="s">
        <v>878</v>
      </c>
      <c r="AZ489" s="30" t="s">
        <v>879</v>
      </c>
      <c r="BA489" s="10" t="s">
        <v>720</v>
      </c>
      <c r="BC489" s="28">
        <f>AW489+AX489</f>
        <v>0</v>
      </c>
      <c r="BD489" s="28">
        <f>G489/(100-BE489)*100</f>
        <v>0</v>
      </c>
      <c r="BE489" s="28">
        <v>0</v>
      </c>
      <c r="BF489" s="28">
        <f>497</f>
        <v>497</v>
      </c>
      <c r="BH489" s="28">
        <f>F489*AO489</f>
        <v>0</v>
      </c>
      <c r="BI489" s="28">
        <f>F489*AP489</f>
        <v>0</v>
      </c>
      <c r="BJ489" s="28">
        <f>F489*G489</f>
        <v>0</v>
      </c>
      <c r="BK489" s="28"/>
      <c r="BL489" s="28">
        <v>91</v>
      </c>
      <c r="BW489" s="28">
        <v>21</v>
      </c>
      <c r="BX489" s="4" t="s">
        <v>900</v>
      </c>
    </row>
    <row r="490" spans="1:76" ht="38.25" x14ac:dyDescent="0.25">
      <c r="A490" s="31"/>
      <c r="B490" s="35" t="s">
        <v>68</v>
      </c>
      <c r="C490" s="94" t="s">
        <v>2464</v>
      </c>
      <c r="D490" s="95"/>
      <c r="E490" s="95"/>
      <c r="F490" s="95"/>
      <c r="G490" s="95"/>
      <c r="H490" s="95"/>
      <c r="I490" s="95"/>
      <c r="J490" s="95"/>
      <c r="K490" s="96"/>
      <c r="BX490" s="36" t="s">
        <v>901</v>
      </c>
    </row>
    <row r="491" spans="1:76" x14ac:dyDescent="0.25">
      <c r="A491" s="2" t="s">
        <v>902</v>
      </c>
      <c r="B491" s="3" t="s">
        <v>903</v>
      </c>
      <c r="C491" s="76" t="s">
        <v>904</v>
      </c>
      <c r="D491" s="71"/>
      <c r="E491" s="3" t="s">
        <v>293</v>
      </c>
      <c r="F491" s="28">
        <v>2</v>
      </c>
      <c r="G491" s="28">
        <v>0</v>
      </c>
      <c r="H491" s="28">
        <f>ROUND(F491*AO491,2)</f>
        <v>0</v>
      </c>
      <c r="I491" s="28">
        <f>ROUND(F491*AP491,2)</f>
        <v>0</v>
      </c>
      <c r="J491" s="28">
        <f>ROUND(F491*G491,2)</f>
        <v>0</v>
      </c>
      <c r="K491" s="29" t="s">
        <v>60</v>
      </c>
      <c r="Z491" s="28">
        <f>ROUND(IF(AQ491="5",BJ491,0),2)</f>
        <v>0</v>
      </c>
      <c r="AB491" s="28">
        <f>ROUND(IF(AQ491="1",BH491,0),2)</f>
        <v>0</v>
      </c>
      <c r="AC491" s="28">
        <f>ROUND(IF(AQ491="1",BI491,0),2)</f>
        <v>0</v>
      </c>
      <c r="AD491" s="28">
        <f>ROUND(IF(AQ491="7",BH491,0),2)</f>
        <v>0</v>
      </c>
      <c r="AE491" s="28">
        <f>ROUND(IF(AQ491="7",BI491,0),2)</f>
        <v>0</v>
      </c>
      <c r="AF491" s="28">
        <f>ROUND(IF(AQ491="2",BH491,0),2)</f>
        <v>0</v>
      </c>
      <c r="AG491" s="28">
        <f>ROUND(IF(AQ491="2",BI491,0),2)</f>
        <v>0</v>
      </c>
      <c r="AH491" s="28">
        <f>ROUND(IF(AQ491="0",BJ491,0),2)</f>
        <v>0</v>
      </c>
      <c r="AI491" s="10" t="s">
        <v>714</v>
      </c>
      <c r="AJ491" s="28">
        <f>IF(AN491=0,J491,0)</f>
        <v>0</v>
      </c>
      <c r="AK491" s="28">
        <f>IF(AN491=12,J491,0)</f>
        <v>0</v>
      </c>
      <c r="AL491" s="28">
        <f>IF(AN491=21,J491,0)</f>
        <v>0</v>
      </c>
      <c r="AN491" s="28">
        <v>21</v>
      </c>
      <c r="AO491" s="28">
        <f>G491*1</f>
        <v>0</v>
      </c>
      <c r="AP491" s="28">
        <f>G491*(1-1)</f>
        <v>0</v>
      </c>
      <c r="AQ491" s="30" t="s">
        <v>56</v>
      </c>
      <c r="AV491" s="28">
        <f>ROUND(AW491+AX491,2)</f>
        <v>0</v>
      </c>
      <c r="AW491" s="28">
        <f>ROUND(F491*AO491,2)</f>
        <v>0</v>
      </c>
      <c r="AX491" s="28">
        <f>ROUND(F491*AP491,2)</f>
        <v>0</v>
      </c>
      <c r="AY491" s="30" t="s">
        <v>878</v>
      </c>
      <c r="AZ491" s="30" t="s">
        <v>879</v>
      </c>
      <c r="BA491" s="10" t="s">
        <v>720</v>
      </c>
      <c r="BC491" s="28">
        <f>AW491+AX491</f>
        <v>0</v>
      </c>
      <c r="BD491" s="28">
        <f>G491/(100-BE491)*100</f>
        <v>0</v>
      </c>
      <c r="BE491" s="28">
        <v>0</v>
      </c>
      <c r="BF491" s="28">
        <f>499</f>
        <v>499</v>
      </c>
      <c r="BH491" s="28">
        <f>F491*AO491</f>
        <v>0</v>
      </c>
      <c r="BI491" s="28">
        <f>F491*AP491</f>
        <v>0</v>
      </c>
      <c r="BJ491" s="28">
        <f>F491*G491</f>
        <v>0</v>
      </c>
      <c r="BK491" s="28"/>
      <c r="BL491" s="28">
        <v>91</v>
      </c>
      <c r="BW491" s="28">
        <v>21</v>
      </c>
      <c r="BX491" s="4" t="s">
        <v>904</v>
      </c>
    </row>
    <row r="492" spans="1:76" ht="38.25" x14ac:dyDescent="0.25">
      <c r="A492" s="31"/>
      <c r="B492" s="35" t="s">
        <v>68</v>
      </c>
      <c r="C492" s="94" t="s">
        <v>2464</v>
      </c>
      <c r="D492" s="95"/>
      <c r="E492" s="95"/>
      <c r="F492" s="95"/>
      <c r="G492" s="95"/>
      <c r="H492" s="95"/>
      <c r="I492" s="95"/>
      <c r="J492" s="95"/>
      <c r="K492" s="96"/>
      <c r="BX492" s="36" t="s">
        <v>901</v>
      </c>
    </row>
    <row r="493" spans="1:76" x14ac:dyDescent="0.25">
      <c r="A493" s="2" t="s">
        <v>905</v>
      </c>
      <c r="B493" s="3" t="s">
        <v>906</v>
      </c>
      <c r="C493" s="76" t="s">
        <v>907</v>
      </c>
      <c r="D493" s="71"/>
      <c r="E493" s="3" t="s">
        <v>293</v>
      </c>
      <c r="F493" s="28">
        <v>1</v>
      </c>
      <c r="G493" s="28">
        <v>0</v>
      </c>
      <c r="H493" s="28">
        <f>ROUND(F493*AO493,2)</f>
        <v>0</v>
      </c>
      <c r="I493" s="28">
        <f>ROUND(F493*AP493,2)</f>
        <v>0</v>
      </c>
      <c r="J493" s="28">
        <f>ROUND(F493*G493,2)</f>
        <v>0</v>
      </c>
      <c r="K493" s="29" t="s">
        <v>60</v>
      </c>
      <c r="Z493" s="28">
        <f>ROUND(IF(AQ493="5",BJ493,0),2)</f>
        <v>0</v>
      </c>
      <c r="AB493" s="28">
        <f>ROUND(IF(AQ493="1",BH493,0),2)</f>
        <v>0</v>
      </c>
      <c r="AC493" s="28">
        <f>ROUND(IF(AQ493="1",BI493,0),2)</f>
        <v>0</v>
      </c>
      <c r="AD493" s="28">
        <f>ROUND(IF(AQ493="7",BH493,0),2)</f>
        <v>0</v>
      </c>
      <c r="AE493" s="28">
        <f>ROUND(IF(AQ493="7",BI493,0),2)</f>
        <v>0</v>
      </c>
      <c r="AF493" s="28">
        <f>ROUND(IF(AQ493="2",BH493,0),2)</f>
        <v>0</v>
      </c>
      <c r="AG493" s="28">
        <f>ROUND(IF(AQ493="2",BI493,0),2)</f>
        <v>0</v>
      </c>
      <c r="AH493" s="28">
        <f>ROUND(IF(AQ493="0",BJ493,0),2)</f>
        <v>0</v>
      </c>
      <c r="AI493" s="10" t="s">
        <v>714</v>
      </c>
      <c r="AJ493" s="28">
        <f>IF(AN493=0,J493,0)</f>
        <v>0</v>
      </c>
      <c r="AK493" s="28">
        <f>IF(AN493=12,J493,0)</f>
        <v>0</v>
      </c>
      <c r="AL493" s="28">
        <f>IF(AN493=21,J493,0)</f>
        <v>0</v>
      </c>
      <c r="AN493" s="28">
        <v>21</v>
      </c>
      <c r="AO493" s="28">
        <f>G493*0.627107172</f>
        <v>0</v>
      </c>
      <c r="AP493" s="28">
        <f>G493*(1-0.627107172)</f>
        <v>0</v>
      </c>
      <c r="AQ493" s="30" t="s">
        <v>56</v>
      </c>
      <c r="AV493" s="28">
        <f>ROUND(AW493+AX493,2)</f>
        <v>0</v>
      </c>
      <c r="AW493" s="28">
        <f>ROUND(F493*AO493,2)</f>
        <v>0</v>
      </c>
      <c r="AX493" s="28">
        <f>ROUND(F493*AP493,2)</f>
        <v>0</v>
      </c>
      <c r="AY493" s="30" t="s">
        <v>878</v>
      </c>
      <c r="AZ493" s="30" t="s">
        <v>879</v>
      </c>
      <c r="BA493" s="10" t="s">
        <v>720</v>
      </c>
      <c r="BC493" s="28">
        <f>AW493+AX493</f>
        <v>0</v>
      </c>
      <c r="BD493" s="28">
        <f>G493/(100-BE493)*100</f>
        <v>0</v>
      </c>
      <c r="BE493" s="28">
        <v>0</v>
      </c>
      <c r="BF493" s="28">
        <f>501</f>
        <v>501</v>
      </c>
      <c r="BH493" s="28">
        <f>F493*AO493</f>
        <v>0</v>
      </c>
      <c r="BI493" s="28">
        <f>F493*AP493</f>
        <v>0</v>
      </c>
      <c r="BJ493" s="28">
        <f>F493*G493</f>
        <v>0</v>
      </c>
      <c r="BK493" s="28"/>
      <c r="BL493" s="28">
        <v>91</v>
      </c>
      <c r="BW493" s="28">
        <v>21</v>
      </c>
      <c r="BX493" s="4" t="s">
        <v>907</v>
      </c>
    </row>
    <row r="494" spans="1:76" ht="13.5" customHeight="1" x14ac:dyDescent="0.25">
      <c r="A494" s="31"/>
      <c r="B494" s="35" t="s">
        <v>105</v>
      </c>
      <c r="C494" s="97" t="s">
        <v>908</v>
      </c>
      <c r="D494" s="98"/>
      <c r="E494" s="98"/>
      <c r="F494" s="98"/>
      <c r="G494" s="98"/>
      <c r="H494" s="98"/>
      <c r="I494" s="98"/>
      <c r="J494" s="98"/>
      <c r="K494" s="99"/>
    </row>
    <row r="495" spans="1:76" ht="38.25" x14ac:dyDescent="0.25">
      <c r="A495" s="31"/>
      <c r="B495" s="35" t="s">
        <v>68</v>
      </c>
      <c r="C495" s="94" t="s">
        <v>909</v>
      </c>
      <c r="D495" s="95"/>
      <c r="E495" s="95"/>
      <c r="F495" s="95"/>
      <c r="G495" s="95"/>
      <c r="H495" s="95"/>
      <c r="I495" s="95"/>
      <c r="J495" s="95"/>
      <c r="K495" s="96"/>
      <c r="BX495" s="36" t="s">
        <v>909</v>
      </c>
    </row>
    <row r="496" spans="1:76" x14ac:dyDescent="0.25">
      <c r="A496" s="2" t="s">
        <v>910</v>
      </c>
      <c r="B496" s="3" t="s">
        <v>911</v>
      </c>
      <c r="C496" s="76" t="s">
        <v>912</v>
      </c>
      <c r="D496" s="71"/>
      <c r="E496" s="3" t="s">
        <v>293</v>
      </c>
      <c r="F496" s="28">
        <v>7</v>
      </c>
      <c r="G496" s="28">
        <v>0</v>
      </c>
      <c r="H496" s="28">
        <f>ROUND(F496*AO496,2)</f>
        <v>0</v>
      </c>
      <c r="I496" s="28">
        <f>ROUND(F496*AP496,2)</f>
        <v>0</v>
      </c>
      <c r="J496" s="28">
        <f>ROUND(F496*G496,2)</f>
        <v>0</v>
      </c>
      <c r="K496" s="29" t="s">
        <v>60</v>
      </c>
      <c r="Z496" s="28">
        <f>ROUND(IF(AQ496="5",BJ496,0),2)</f>
        <v>0</v>
      </c>
      <c r="AB496" s="28">
        <f>ROUND(IF(AQ496="1",BH496,0),2)</f>
        <v>0</v>
      </c>
      <c r="AC496" s="28">
        <f>ROUND(IF(AQ496="1",BI496,0),2)</f>
        <v>0</v>
      </c>
      <c r="AD496" s="28">
        <f>ROUND(IF(AQ496="7",BH496,0),2)</f>
        <v>0</v>
      </c>
      <c r="AE496" s="28">
        <f>ROUND(IF(AQ496="7",BI496,0),2)</f>
        <v>0</v>
      </c>
      <c r="AF496" s="28">
        <f>ROUND(IF(AQ496="2",BH496,0),2)</f>
        <v>0</v>
      </c>
      <c r="AG496" s="28">
        <f>ROUND(IF(AQ496="2",BI496,0),2)</f>
        <v>0</v>
      </c>
      <c r="AH496" s="28">
        <f>ROUND(IF(AQ496="0",BJ496,0),2)</f>
        <v>0</v>
      </c>
      <c r="AI496" s="10" t="s">
        <v>714</v>
      </c>
      <c r="AJ496" s="28">
        <f>IF(AN496=0,J496,0)</f>
        <v>0</v>
      </c>
      <c r="AK496" s="28">
        <f>IF(AN496=12,J496,0)</f>
        <v>0</v>
      </c>
      <c r="AL496" s="28">
        <f>IF(AN496=21,J496,0)</f>
        <v>0</v>
      </c>
      <c r="AN496" s="28">
        <v>21</v>
      </c>
      <c r="AO496" s="28">
        <f>G496*0</f>
        <v>0</v>
      </c>
      <c r="AP496" s="28">
        <f>G496*(1-0)</f>
        <v>0</v>
      </c>
      <c r="AQ496" s="30" t="s">
        <v>56</v>
      </c>
      <c r="AV496" s="28">
        <f>ROUND(AW496+AX496,2)</f>
        <v>0</v>
      </c>
      <c r="AW496" s="28">
        <f>ROUND(F496*AO496,2)</f>
        <v>0</v>
      </c>
      <c r="AX496" s="28">
        <f>ROUND(F496*AP496,2)</f>
        <v>0</v>
      </c>
      <c r="AY496" s="30" t="s">
        <v>878</v>
      </c>
      <c r="AZ496" s="30" t="s">
        <v>879</v>
      </c>
      <c r="BA496" s="10" t="s">
        <v>720</v>
      </c>
      <c r="BC496" s="28">
        <f>AW496+AX496</f>
        <v>0</v>
      </c>
      <c r="BD496" s="28">
        <f>G496/(100-BE496)*100</f>
        <v>0</v>
      </c>
      <c r="BE496" s="28">
        <v>0</v>
      </c>
      <c r="BF496" s="28">
        <f>504</f>
        <v>504</v>
      </c>
      <c r="BH496" s="28">
        <f>F496*AO496</f>
        <v>0</v>
      </c>
      <c r="BI496" s="28">
        <f>F496*AP496</f>
        <v>0</v>
      </c>
      <c r="BJ496" s="28">
        <f>F496*G496</f>
        <v>0</v>
      </c>
      <c r="BK496" s="28"/>
      <c r="BL496" s="28">
        <v>91</v>
      </c>
      <c r="BW496" s="28">
        <v>21</v>
      </c>
      <c r="BX496" s="4" t="s">
        <v>912</v>
      </c>
    </row>
    <row r="497" spans="1:76" x14ac:dyDescent="0.25">
      <c r="A497" s="31"/>
      <c r="C497" s="32" t="s">
        <v>74</v>
      </c>
      <c r="D497" s="32" t="s">
        <v>913</v>
      </c>
      <c r="F497" s="33">
        <v>2</v>
      </c>
      <c r="K497" s="34"/>
    </row>
    <row r="498" spans="1:76" x14ac:dyDescent="0.25">
      <c r="A498" s="31"/>
      <c r="C498" s="32" t="s">
        <v>100</v>
      </c>
      <c r="D498" s="32" t="s">
        <v>914</v>
      </c>
      <c r="F498" s="33">
        <v>5</v>
      </c>
      <c r="K498" s="34"/>
    </row>
    <row r="499" spans="1:76" x14ac:dyDescent="0.25">
      <c r="A499" s="2" t="s">
        <v>915</v>
      </c>
      <c r="B499" s="3" t="s">
        <v>916</v>
      </c>
      <c r="C499" s="76" t="s">
        <v>917</v>
      </c>
      <c r="D499" s="71"/>
      <c r="E499" s="3" t="s">
        <v>293</v>
      </c>
      <c r="F499" s="28">
        <v>1260</v>
      </c>
      <c r="G499" s="28">
        <v>0</v>
      </c>
      <c r="H499" s="28">
        <f>ROUND(F499*AO499,2)</f>
        <v>0</v>
      </c>
      <c r="I499" s="28">
        <f>ROUND(F499*AP499,2)</f>
        <v>0</v>
      </c>
      <c r="J499" s="28">
        <f>ROUND(F499*G499,2)</f>
        <v>0</v>
      </c>
      <c r="K499" s="29" t="s">
        <v>60</v>
      </c>
      <c r="Z499" s="28">
        <f>ROUND(IF(AQ499="5",BJ499,0),2)</f>
        <v>0</v>
      </c>
      <c r="AB499" s="28">
        <f>ROUND(IF(AQ499="1",BH499,0),2)</f>
        <v>0</v>
      </c>
      <c r="AC499" s="28">
        <f>ROUND(IF(AQ499="1",BI499,0),2)</f>
        <v>0</v>
      </c>
      <c r="AD499" s="28">
        <f>ROUND(IF(AQ499="7",BH499,0),2)</f>
        <v>0</v>
      </c>
      <c r="AE499" s="28">
        <f>ROUND(IF(AQ499="7",BI499,0),2)</f>
        <v>0</v>
      </c>
      <c r="AF499" s="28">
        <f>ROUND(IF(AQ499="2",BH499,0),2)</f>
        <v>0</v>
      </c>
      <c r="AG499" s="28">
        <f>ROUND(IF(AQ499="2",BI499,0),2)</f>
        <v>0</v>
      </c>
      <c r="AH499" s="28">
        <f>ROUND(IF(AQ499="0",BJ499,0),2)</f>
        <v>0</v>
      </c>
      <c r="AI499" s="10" t="s">
        <v>714</v>
      </c>
      <c r="AJ499" s="28">
        <f>IF(AN499=0,J499,0)</f>
        <v>0</v>
      </c>
      <c r="AK499" s="28">
        <f>IF(AN499=12,J499,0)</f>
        <v>0</v>
      </c>
      <c r="AL499" s="28">
        <f>IF(AN499=21,J499,0)</f>
        <v>0</v>
      </c>
      <c r="AN499" s="28">
        <v>21</v>
      </c>
      <c r="AO499" s="28">
        <f>G499*0</f>
        <v>0</v>
      </c>
      <c r="AP499" s="28">
        <f>G499*(1-0)</f>
        <v>0</v>
      </c>
      <c r="AQ499" s="30" t="s">
        <v>56</v>
      </c>
      <c r="AV499" s="28">
        <f>ROUND(AW499+AX499,2)</f>
        <v>0</v>
      </c>
      <c r="AW499" s="28">
        <f>ROUND(F499*AO499,2)</f>
        <v>0</v>
      </c>
      <c r="AX499" s="28">
        <f>ROUND(F499*AP499,2)</f>
        <v>0</v>
      </c>
      <c r="AY499" s="30" t="s">
        <v>878</v>
      </c>
      <c r="AZ499" s="30" t="s">
        <v>879</v>
      </c>
      <c r="BA499" s="10" t="s">
        <v>720</v>
      </c>
      <c r="BC499" s="28">
        <f>AW499+AX499</f>
        <v>0</v>
      </c>
      <c r="BD499" s="28">
        <f>G499/(100-BE499)*100</f>
        <v>0</v>
      </c>
      <c r="BE499" s="28">
        <v>0</v>
      </c>
      <c r="BF499" s="28">
        <f>507</f>
        <v>507</v>
      </c>
      <c r="BH499" s="28">
        <f>F499*AO499</f>
        <v>0</v>
      </c>
      <c r="BI499" s="28">
        <f>F499*AP499</f>
        <v>0</v>
      </c>
      <c r="BJ499" s="28">
        <f>F499*G499</f>
        <v>0</v>
      </c>
      <c r="BK499" s="28"/>
      <c r="BL499" s="28">
        <v>91</v>
      </c>
      <c r="BW499" s="28">
        <v>21</v>
      </c>
      <c r="BX499" s="4" t="s">
        <v>917</v>
      </c>
    </row>
    <row r="500" spans="1:76" x14ac:dyDescent="0.25">
      <c r="A500" s="2" t="s">
        <v>918</v>
      </c>
      <c r="B500" s="3" t="s">
        <v>919</v>
      </c>
      <c r="C500" s="76" t="s">
        <v>920</v>
      </c>
      <c r="D500" s="71"/>
      <c r="E500" s="3" t="s">
        <v>293</v>
      </c>
      <c r="F500" s="28">
        <v>7</v>
      </c>
      <c r="G500" s="28">
        <v>0</v>
      </c>
      <c r="H500" s="28">
        <f>ROUND(F500*AO500,2)</f>
        <v>0</v>
      </c>
      <c r="I500" s="28">
        <f>ROUND(F500*AP500,2)</f>
        <v>0</v>
      </c>
      <c r="J500" s="28">
        <f>ROUND(F500*G500,2)</f>
        <v>0</v>
      </c>
      <c r="K500" s="29" t="s">
        <v>60</v>
      </c>
      <c r="Z500" s="28">
        <f>ROUND(IF(AQ500="5",BJ500,0),2)</f>
        <v>0</v>
      </c>
      <c r="AB500" s="28">
        <f>ROUND(IF(AQ500="1",BH500,0),2)</f>
        <v>0</v>
      </c>
      <c r="AC500" s="28">
        <f>ROUND(IF(AQ500="1",BI500,0),2)</f>
        <v>0</v>
      </c>
      <c r="AD500" s="28">
        <f>ROUND(IF(AQ500="7",BH500,0),2)</f>
        <v>0</v>
      </c>
      <c r="AE500" s="28">
        <f>ROUND(IF(AQ500="7",BI500,0),2)</f>
        <v>0</v>
      </c>
      <c r="AF500" s="28">
        <f>ROUND(IF(AQ500="2",BH500,0),2)</f>
        <v>0</v>
      </c>
      <c r="AG500" s="28">
        <f>ROUND(IF(AQ500="2",BI500,0),2)</f>
        <v>0</v>
      </c>
      <c r="AH500" s="28">
        <f>ROUND(IF(AQ500="0",BJ500,0),2)</f>
        <v>0</v>
      </c>
      <c r="AI500" s="10" t="s">
        <v>714</v>
      </c>
      <c r="AJ500" s="28">
        <f>IF(AN500=0,J500,0)</f>
        <v>0</v>
      </c>
      <c r="AK500" s="28">
        <f>IF(AN500=12,J500,0)</f>
        <v>0</v>
      </c>
      <c r="AL500" s="28">
        <f>IF(AN500=21,J500,0)</f>
        <v>0</v>
      </c>
      <c r="AN500" s="28">
        <v>21</v>
      </c>
      <c r="AO500" s="28">
        <f>G500*0</f>
        <v>0</v>
      </c>
      <c r="AP500" s="28">
        <f>G500*(1-0)</f>
        <v>0</v>
      </c>
      <c r="AQ500" s="30" t="s">
        <v>56</v>
      </c>
      <c r="AV500" s="28">
        <f>ROUND(AW500+AX500,2)</f>
        <v>0</v>
      </c>
      <c r="AW500" s="28">
        <f>ROUND(F500*AO500,2)</f>
        <v>0</v>
      </c>
      <c r="AX500" s="28">
        <f>ROUND(F500*AP500,2)</f>
        <v>0</v>
      </c>
      <c r="AY500" s="30" t="s">
        <v>878</v>
      </c>
      <c r="AZ500" s="30" t="s">
        <v>879</v>
      </c>
      <c r="BA500" s="10" t="s">
        <v>720</v>
      </c>
      <c r="BC500" s="28">
        <f>AW500+AX500</f>
        <v>0</v>
      </c>
      <c r="BD500" s="28">
        <f>G500/(100-BE500)*100</f>
        <v>0</v>
      </c>
      <c r="BE500" s="28">
        <v>0</v>
      </c>
      <c r="BF500" s="28">
        <f>508</f>
        <v>508</v>
      </c>
      <c r="BH500" s="28">
        <f>F500*AO500</f>
        <v>0</v>
      </c>
      <c r="BI500" s="28">
        <f>F500*AP500</f>
        <v>0</v>
      </c>
      <c r="BJ500" s="28">
        <f>F500*G500</f>
        <v>0</v>
      </c>
      <c r="BK500" s="28"/>
      <c r="BL500" s="28">
        <v>91</v>
      </c>
      <c r="BW500" s="28">
        <v>21</v>
      </c>
      <c r="BX500" s="4" t="s">
        <v>920</v>
      </c>
    </row>
    <row r="501" spans="1:76" x14ac:dyDescent="0.25">
      <c r="A501" s="31"/>
      <c r="C501" s="32" t="s">
        <v>74</v>
      </c>
      <c r="D501" s="32" t="s">
        <v>913</v>
      </c>
      <c r="F501" s="33">
        <v>2</v>
      </c>
      <c r="K501" s="34"/>
    </row>
    <row r="502" spans="1:76" x14ac:dyDescent="0.25">
      <c r="A502" s="31"/>
      <c r="C502" s="32" t="s">
        <v>100</v>
      </c>
      <c r="D502" s="32" t="s">
        <v>914</v>
      </c>
      <c r="F502" s="33">
        <v>5</v>
      </c>
      <c r="K502" s="34"/>
    </row>
    <row r="503" spans="1:76" x14ac:dyDescent="0.25">
      <c r="A503" s="2" t="s">
        <v>775</v>
      </c>
      <c r="B503" s="3" t="s">
        <v>921</v>
      </c>
      <c r="C503" s="76" t="s">
        <v>922</v>
      </c>
      <c r="D503" s="71"/>
      <c r="E503" s="3" t="s">
        <v>188</v>
      </c>
      <c r="F503" s="28">
        <v>70</v>
      </c>
      <c r="G503" s="28">
        <v>0</v>
      </c>
      <c r="H503" s="28">
        <f>ROUND(F503*AO503,2)</f>
        <v>0</v>
      </c>
      <c r="I503" s="28">
        <f>ROUND(F503*AP503,2)</f>
        <v>0</v>
      </c>
      <c r="J503" s="28">
        <f>ROUND(F503*G503,2)</f>
        <v>0</v>
      </c>
      <c r="K503" s="29" t="s">
        <v>60</v>
      </c>
      <c r="Z503" s="28">
        <f>ROUND(IF(AQ503="5",BJ503,0),2)</f>
        <v>0</v>
      </c>
      <c r="AB503" s="28">
        <f>ROUND(IF(AQ503="1",BH503,0),2)</f>
        <v>0</v>
      </c>
      <c r="AC503" s="28">
        <f>ROUND(IF(AQ503="1",BI503,0),2)</f>
        <v>0</v>
      </c>
      <c r="AD503" s="28">
        <f>ROUND(IF(AQ503="7",BH503,0),2)</f>
        <v>0</v>
      </c>
      <c r="AE503" s="28">
        <f>ROUND(IF(AQ503="7",BI503,0),2)</f>
        <v>0</v>
      </c>
      <c r="AF503" s="28">
        <f>ROUND(IF(AQ503="2",BH503,0),2)</f>
        <v>0</v>
      </c>
      <c r="AG503" s="28">
        <f>ROUND(IF(AQ503="2",BI503,0),2)</f>
        <v>0</v>
      </c>
      <c r="AH503" s="28">
        <f>ROUND(IF(AQ503="0",BJ503,0),2)</f>
        <v>0</v>
      </c>
      <c r="AI503" s="10" t="s">
        <v>714</v>
      </c>
      <c r="AJ503" s="28">
        <f>IF(AN503=0,J503,0)</f>
        <v>0</v>
      </c>
      <c r="AK503" s="28">
        <f>IF(AN503=12,J503,0)</f>
        <v>0</v>
      </c>
      <c r="AL503" s="28">
        <f>IF(AN503=21,J503,0)</f>
        <v>0</v>
      </c>
      <c r="AN503" s="28">
        <v>21</v>
      </c>
      <c r="AO503" s="28">
        <f>G503*0</f>
        <v>0</v>
      </c>
      <c r="AP503" s="28">
        <f>G503*(1-0)</f>
        <v>0</v>
      </c>
      <c r="AQ503" s="30" t="s">
        <v>56</v>
      </c>
      <c r="AV503" s="28">
        <f>ROUND(AW503+AX503,2)</f>
        <v>0</v>
      </c>
      <c r="AW503" s="28">
        <f>ROUND(F503*AO503,2)</f>
        <v>0</v>
      </c>
      <c r="AX503" s="28">
        <f>ROUND(F503*AP503,2)</f>
        <v>0</v>
      </c>
      <c r="AY503" s="30" t="s">
        <v>878</v>
      </c>
      <c r="AZ503" s="30" t="s">
        <v>879</v>
      </c>
      <c r="BA503" s="10" t="s">
        <v>720</v>
      </c>
      <c r="BC503" s="28">
        <f>AW503+AX503</f>
        <v>0</v>
      </c>
      <c r="BD503" s="28">
        <f>G503/(100-BE503)*100</f>
        <v>0</v>
      </c>
      <c r="BE503" s="28">
        <v>0</v>
      </c>
      <c r="BF503" s="28">
        <f>511</f>
        <v>511</v>
      </c>
      <c r="BH503" s="28">
        <f>F503*AO503</f>
        <v>0</v>
      </c>
      <c r="BI503" s="28">
        <f>F503*AP503</f>
        <v>0</v>
      </c>
      <c r="BJ503" s="28">
        <f>F503*G503</f>
        <v>0</v>
      </c>
      <c r="BK503" s="28"/>
      <c r="BL503" s="28">
        <v>91</v>
      </c>
      <c r="BW503" s="28">
        <v>21</v>
      </c>
      <c r="BX503" s="4" t="s">
        <v>922</v>
      </c>
    </row>
    <row r="504" spans="1:76" ht="25.5" x14ac:dyDescent="0.25">
      <c r="A504" s="2" t="s">
        <v>923</v>
      </c>
      <c r="B504" s="3" t="s">
        <v>924</v>
      </c>
      <c r="C504" s="76" t="s">
        <v>925</v>
      </c>
      <c r="D504" s="71"/>
      <c r="E504" s="3" t="s">
        <v>926</v>
      </c>
      <c r="F504" s="28">
        <v>70</v>
      </c>
      <c r="G504" s="28">
        <v>0</v>
      </c>
      <c r="H504" s="28">
        <f>ROUND(F504*AO504,2)</f>
        <v>0</v>
      </c>
      <c r="I504" s="28">
        <f>ROUND(F504*AP504,2)</f>
        <v>0</v>
      </c>
      <c r="J504" s="28">
        <f>ROUND(F504*G504,2)</f>
        <v>0</v>
      </c>
      <c r="K504" s="29" t="s">
        <v>60</v>
      </c>
      <c r="Z504" s="28">
        <f>ROUND(IF(AQ504="5",BJ504,0),2)</f>
        <v>0</v>
      </c>
      <c r="AB504" s="28">
        <f>ROUND(IF(AQ504="1",BH504,0),2)</f>
        <v>0</v>
      </c>
      <c r="AC504" s="28">
        <f>ROUND(IF(AQ504="1",BI504,0),2)</f>
        <v>0</v>
      </c>
      <c r="AD504" s="28">
        <f>ROUND(IF(AQ504="7",BH504,0),2)</f>
        <v>0</v>
      </c>
      <c r="AE504" s="28">
        <f>ROUND(IF(AQ504="7",BI504,0),2)</f>
        <v>0</v>
      </c>
      <c r="AF504" s="28">
        <f>ROUND(IF(AQ504="2",BH504,0),2)</f>
        <v>0</v>
      </c>
      <c r="AG504" s="28">
        <f>ROUND(IF(AQ504="2",BI504,0),2)</f>
        <v>0</v>
      </c>
      <c r="AH504" s="28">
        <f>ROUND(IF(AQ504="0",BJ504,0),2)</f>
        <v>0</v>
      </c>
      <c r="AI504" s="10" t="s">
        <v>714</v>
      </c>
      <c r="AJ504" s="28">
        <f>IF(AN504=0,J504,0)</f>
        <v>0</v>
      </c>
      <c r="AK504" s="28">
        <f>IF(AN504=12,J504,0)</f>
        <v>0</v>
      </c>
      <c r="AL504" s="28">
        <f>IF(AN504=21,J504,0)</f>
        <v>0</v>
      </c>
      <c r="AN504" s="28">
        <v>21</v>
      </c>
      <c r="AO504" s="28">
        <f>G504*1</f>
        <v>0</v>
      </c>
      <c r="AP504" s="28">
        <f>G504*(1-1)</f>
        <v>0</v>
      </c>
      <c r="AQ504" s="30" t="s">
        <v>56</v>
      </c>
      <c r="AV504" s="28">
        <f>ROUND(AW504+AX504,2)</f>
        <v>0</v>
      </c>
      <c r="AW504" s="28">
        <f>ROUND(F504*AO504,2)</f>
        <v>0</v>
      </c>
      <c r="AX504" s="28">
        <f>ROUND(F504*AP504,2)</f>
        <v>0</v>
      </c>
      <c r="AY504" s="30" t="s">
        <v>878</v>
      </c>
      <c r="AZ504" s="30" t="s">
        <v>879</v>
      </c>
      <c r="BA504" s="10" t="s">
        <v>720</v>
      </c>
      <c r="BC504" s="28">
        <f>AW504+AX504</f>
        <v>0</v>
      </c>
      <c r="BD504" s="28">
        <f>G504/(100-BE504)*100</f>
        <v>0</v>
      </c>
      <c r="BE504" s="28">
        <v>0</v>
      </c>
      <c r="BF504" s="28">
        <f>512</f>
        <v>512</v>
      </c>
      <c r="BH504" s="28">
        <f>F504*AO504</f>
        <v>0</v>
      </c>
      <c r="BI504" s="28">
        <f>F504*AP504</f>
        <v>0</v>
      </c>
      <c r="BJ504" s="28">
        <f>F504*G504</f>
        <v>0</v>
      </c>
      <c r="BK504" s="28"/>
      <c r="BL504" s="28">
        <v>91</v>
      </c>
      <c r="BW504" s="28">
        <v>21</v>
      </c>
      <c r="BX504" s="4" t="s">
        <v>925</v>
      </c>
    </row>
    <row r="505" spans="1:76" x14ac:dyDescent="0.25">
      <c r="A505" s="2" t="s">
        <v>927</v>
      </c>
      <c r="B505" s="3" t="s">
        <v>928</v>
      </c>
      <c r="C505" s="76" t="s">
        <v>907</v>
      </c>
      <c r="D505" s="71"/>
      <c r="E505" s="3" t="s">
        <v>293</v>
      </c>
      <c r="F505" s="28">
        <v>3</v>
      </c>
      <c r="G505" s="28">
        <v>0</v>
      </c>
      <c r="H505" s="28">
        <f>ROUND(F505*AO505,2)</f>
        <v>0</v>
      </c>
      <c r="I505" s="28">
        <f>ROUND(F505*AP505,2)</f>
        <v>0</v>
      </c>
      <c r="J505" s="28">
        <f>ROUND(F505*G505,2)</f>
        <v>0</v>
      </c>
      <c r="K505" s="29" t="s">
        <v>60</v>
      </c>
      <c r="Z505" s="28">
        <f>ROUND(IF(AQ505="5",BJ505,0),2)</f>
        <v>0</v>
      </c>
      <c r="AB505" s="28">
        <f>ROUND(IF(AQ505="1",BH505,0),2)</f>
        <v>0</v>
      </c>
      <c r="AC505" s="28">
        <f>ROUND(IF(AQ505="1",BI505,0),2)</f>
        <v>0</v>
      </c>
      <c r="AD505" s="28">
        <f>ROUND(IF(AQ505="7",BH505,0),2)</f>
        <v>0</v>
      </c>
      <c r="AE505" s="28">
        <f>ROUND(IF(AQ505="7",BI505,0),2)</f>
        <v>0</v>
      </c>
      <c r="AF505" s="28">
        <f>ROUND(IF(AQ505="2",BH505,0),2)</f>
        <v>0</v>
      </c>
      <c r="AG505" s="28">
        <f>ROUND(IF(AQ505="2",BI505,0),2)</f>
        <v>0</v>
      </c>
      <c r="AH505" s="28">
        <f>ROUND(IF(AQ505="0",BJ505,0),2)</f>
        <v>0</v>
      </c>
      <c r="AI505" s="10" t="s">
        <v>714</v>
      </c>
      <c r="AJ505" s="28">
        <f>IF(AN505=0,J505,0)</f>
        <v>0</v>
      </c>
      <c r="AK505" s="28">
        <f>IF(AN505=12,J505,0)</f>
        <v>0</v>
      </c>
      <c r="AL505" s="28">
        <f>IF(AN505=21,J505,0)</f>
        <v>0</v>
      </c>
      <c r="AN505" s="28">
        <v>21</v>
      </c>
      <c r="AO505" s="28">
        <f>G505*0.815633466</f>
        <v>0</v>
      </c>
      <c r="AP505" s="28">
        <f>G505*(1-0.815633466)</f>
        <v>0</v>
      </c>
      <c r="AQ505" s="30" t="s">
        <v>56</v>
      </c>
      <c r="AV505" s="28">
        <f>ROUND(AW505+AX505,2)</f>
        <v>0</v>
      </c>
      <c r="AW505" s="28">
        <f>ROUND(F505*AO505,2)</f>
        <v>0</v>
      </c>
      <c r="AX505" s="28">
        <f>ROUND(F505*AP505,2)</f>
        <v>0</v>
      </c>
      <c r="AY505" s="30" t="s">
        <v>878</v>
      </c>
      <c r="AZ505" s="30" t="s">
        <v>879</v>
      </c>
      <c r="BA505" s="10" t="s">
        <v>720</v>
      </c>
      <c r="BC505" s="28">
        <f>AW505+AX505</f>
        <v>0</v>
      </c>
      <c r="BD505" s="28">
        <f>G505/(100-BE505)*100</f>
        <v>0</v>
      </c>
      <c r="BE505" s="28">
        <v>0</v>
      </c>
      <c r="BF505" s="28">
        <f>513</f>
        <v>513</v>
      </c>
      <c r="BH505" s="28">
        <f>F505*AO505</f>
        <v>0</v>
      </c>
      <c r="BI505" s="28">
        <f>F505*AP505</f>
        <v>0</v>
      </c>
      <c r="BJ505" s="28">
        <f>F505*G505</f>
        <v>0</v>
      </c>
      <c r="BK505" s="28"/>
      <c r="BL505" s="28">
        <v>91</v>
      </c>
      <c r="BW505" s="28">
        <v>21</v>
      </c>
      <c r="BX505" s="4" t="s">
        <v>907</v>
      </c>
    </row>
    <row r="506" spans="1:76" ht="13.5" customHeight="1" x14ac:dyDescent="0.25">
      <c r="A506" s="31"/>
      <c r="B506" s="35" t="s">
        <v>105</v>
      </c>
      <c r="C506" s="97" t="s">
        <v>929</v>
      </c>
      <c r="D506" s="98"/>
      <c r="E506" s="98"/>
      <c r="F506" s="98"/>
      <c r="G506" s="98"/>
      <c r="H506" s="98"/>
      <c r="I506" s="98"/>
      <c r="J506" s="98"/>
      <c r="K506" s="99"/>
    </row>
    <row r="507" spans="1:76" x14ac:dyDescent="0.25">
      <c r="A507" s="31"/>
      <c r="C507" s="32" t="s">
        <v>56</v>
      </c>
      <c r="D507" s="32" t="s">
        <v>930</v>
      </c>
      <c r="F507" s="33">
        <v>1</v>
      </c>
      <c r="K507" s="34"/>
    </row>
    <row r="508" spans="1:76" x14ac:dyDescent="0.25">
      <c r="A508" s="31"/>
      <c r="C508" s="32" t="s">
        <v>56</v>
      </c>
      <c r="D508" s="32" t="s">
        <v>931</v>
      </c>
      <c r="F508" s="33">
        <v>1</v>
      </c>
      <c r="K508" s="34"/>
    </row>
    <row r="509" spans="1:76" x14ac:dyDescent="0.25">
      <c r="A509" s="31"/>
      <c r="C509" s="32" t="s">
        <v>56</v>
      </c>
      <c r="D509" s="32" t="s">
        <v>932</v>
      </c>
      <c r="F509" s="33">
        <v>1</v>
      </c>
      <c r="K509" s="34"/>
    </row>
    <row r="510" spans="1:76" ht="51" x14ac:dyDescent="0.25">
      <c r="A510" s="31"/>
      <c r="B510" s="35" t="s">
        <v>68</v>
      </c>
      <c r="C510" s="94" t="s">
        <v>933</v>
      </c>
      <c r="D510" s="95"/>
      <c r="E510" s="95"/>
      <c r="F510" s="95"/>
      <c r="G510" s="95"/>
      <c r="H510" s="95"/>
      <c r="I510" s="95"/>
      <c r="J510" s="95"/>
      <c r="K510" s="96"/>
      <c r="BX510" s="36" t="s">
        <v>933</v>
      </c>
    </row>
    <row r="511" spans="1:76" x14ac:dyDescent="0.25">
      <c r="A511" s="24" t="s">
        <v>51</v>
      </c>
      <c r="B511" s="25" t="s">
        <v>583</v>
      </c>
      <c r="C511" s="87" t="s">
        <v>600</v>
      </c>
      <c r="D511" s="88"/>
      <c r="E511" s="26" t="s">
        <v>4</v>
      </c>
      <c r="F511" s="26" t="s">
        <v>4</v>
      </c>
      <c r="G511" s="26" t="s">
        <v>4</v>
      </c>
      <c r="H511" s="1">
        <f>SUM(H512:H512)</f>
        <v>0</v>
      </c>
      <c r="I511" s="1">
        <f>SUM(I512:I512)</f>
        <v>0</v>
      </c>
      <c r="J511" s="1">
        <f>SUM(J512:J512)</f>
        <v>0</v>
      </c>
      <c r="K511" s="27" t="s">
        <v>51</v>
      </c>
      <c r="AI511" s="10" t="s">
        <v>714</v>
      </c>
      <c r="AS511" s="1">
        <f>SUM(AJ512:AJ512)</f>
        <v>0</v>
      </c>
      <c r="AT511" s="1">
        <f>SUM(AK512:AK512)</f>
        <v>0</v>
      </c>
      <c r="AU511" s="1">
        <f>SUM(AL512:AL512)</f>
        <v>0</v>
      </c>
    </row>
    <row r="512" spans="1:76" x14ac:dyDescent="0.25">
      <c r="A512" s="2" t="s">
        <v>934</v>
      </c>
      <c r="B512" s="3" t="s">
        <v>935</v>
      </c>
      <c r="C512" s="76" t="s">
        <v>936</v>
      </c>
      <c r="D512" s="71"/>
      <c r="E512" s="3" t="s">
        <v>103</v>
      </c>
      <c r="F512" s="28">
        <v>1190</v>
      </c>
      <c r="G512" s="28">
        <v>0</v>
      </c>
      <c r="H512" s="28">
        <f>ROUND(F512*AO512,2)</f>
        <v>0</v>
      </c>
      <c r="I512" s="28">
        <f>ROUND(F512*AP512,2)</f>
        <v>0</v>
      </c>
      <c r="J512" s="28">
        <f>ROUND(F512*G512,2)</f>
        <v>0</v>
      </c>
      <c r="K512" s="29" t="s">
        <v>60</v>
      </c>
      <c r="Z512" s="28">
        <f>ROUND(IF(AQ512="5",BJ512,0),2)</f>
        <v>0</v>
      </c>
      <c r="AB512" s="28">
        <f>ROUND(IF(AQ512="1",BH512,0),2)</f>
        <v>0</v>
      </c>
      <c r="AC512" s="28">
        <f>ROUND(IF(AQ512="1",BI512,0),2)</f>
        <v>0</v>
      </c>
      <c r="AD512" s="28">
        <f>ROUND(IF(AQ512="7",BH512,0),2)</f>
        <v>0</v>
      </c>
      <c r="AE512" s="28">
        <f>ROUND(IF(AQ512="7",BI512,0),2)</f>
        <v>0</v>
      </c>
      <c r="AF512" s="28">
        <f>ROUND(IF(AQ512="2",BH512,0),2)</f>
        <v>0</v>
      </c>
      <c r="AG512" s="28">
        <f>ROUND(IF(AQ512="2",BI512,0),2)</f>
        <v>0</v>
      </c>
      <c r="AH512" s="28">
        <f>ROUND(IF(AQ512="0",BJ512,0),2)</f>
        <v>0</v>
      </c>
      <c r="AI512" s="10" t="s">
        <v>714</v>
      </c>
      <c r="AJ512" s="28">
        <f>IF(AN512=0,J512,0)</f>
        <v>0</v>
      </c>
      <c r="AK512" s="28">
        <f>IF(AN512=12,J512,0)</f>
        <v>0</v>
      </c>
      <c r="AL512" s="28">
        <f>IF(AN512=21,J512,0)</f>
        <v>0</v>
      </c>
      <c r="AN512" s="28">
        <v>21</v>
      </c>
      <c r="AO512" s="28">
        <f>G512*0.922307692</f>
        <v>0</v>
      </c>
      <c r="AP512" s="28">
        <f>G512*(1-0.922307692)</f>
        <v>0</v>
      </c>
      <c r="AQ512" s="30" t="s">
        <v>56</v>
      </c>
      <c r="AV512" s="28">
        <f>ROUND(AW512+AX512,2)</f>
        <v>0</v>
      </c>
      <c r="AW512" s="28">
        <f>ROUND(F512*AO512,2)</f>
        <v>0</v>
      </c>
      <c r="AX512" s="28">
        <f>ROUND(F512*AP512,2)</f>
        <v>0</v>
      </c>
      <c r="AY512" s="30" t="s">
        <v>604</v>
      </c>
      <c r="AZ512" s="30" t="s">
        <v>879</v>
      </c>
      <c r="BA512" s="10" t="s">
        <v>720</v>
      </c>
      <c r="BC512" s="28">
        <f>AW512+AX512</f>
        <v>0</v>
      </c>
      <c r="BD512" s="28">
        <f>G512/(100-BE512)*100</f>
        <v>0</v>
      </c>
      <c r="BE512" s="28">
        <v>0</v>
      </c>
      <c r="BF512" s="28">
        <f>520</f>
        <v>520</v>
      </c>
      <c r="BH512" s="28">
        <f>F512*AO512</f>
        <v>0</v>
      </c>
      <c r="BI512" s="28">
        <f>F512*AP512</f>
        <v>0</v>
      </c>
      <c r="BJ512" s="28">
        <f>F512*G512</f>
        <v>0</v>
      </c>
      <c r="BK512" s="28"/>
      <c r="BL512" s="28">
        <v>93</v>
      </c>
      <c r="BW512" s="28">
        <v>21</v>
      </c>
      <c r="BX512" s="4" t="s">
        <v>936</v>
      </c>
    </row>
    <row r="513" spans="1:76" x14ac:dyDescent="0.25">
      <c r="A513" s="31"/>
      <c r="C513" s="32" t="s">
        <v>937</v>
      </c>
      <c r="D513" s="32" t="s">
        <v>938</v>
      </c>
      <c r="F513" s="33">
        <v>1190</v>
      </c>
      <c r="K513" s="34"/>
    </row>
    <row r="514" spans="1:76" x14ac:dyDescent="0.25">
      <c r="A514" s="24" t="s">
        <v>51</v>
      </c>
      <c r="B514" s="25" t="s">
        <v>596</v>
      </c>
      <c r="C514" s="87" t="s">
        <v>619</v>
      </c>
      <c r="D514" s="88"/>
      <c r="E514" s="26" t="s">
        <v>4</v>
      </c>
      <c r="F514" s="26" t="s">
        <v>4</v>
      </c>
      <c r="G514" s="26" t="s">
        <v>4</v>
      </c>
      <c r="H514" s="1">
        <f>SUM(H515:H515)</f>
        <v>0</v>
      </c>
      <c r="I514" s="1">
        <f>SUM(I515:I515)</f>
        <v>0</v>
      </c>
      <c r="J514" s="1">
        <f>SUM(J515:J515)</f>
        <v>0</v>
      </c>
      <c r="K514" s="27" t="s">
        <v>51</v>
      </c>
      <c r="AI514" s="10" t="s">
        <v>714</v>
      </c>
      <c r="AS514" s="1">
        <f>SUM(AJ515:AJ515)</f>
        <v>0</v>
      </c>
      <c r="AT514" s="1">
        <f>SUM(AK515:AK515)</f>
        <v>0</v>
      </c>
      <c r="AU514" s="1">
        <f>SUM(AL515:AL515)</f>
        <v>0</v>
      </c>
    </row>
    <row r="515" spans="1:76" x14ac:dyDescent="0.25">
      <c r="A515" s="2" t="s">
        <v>939</v>
      </c>
      <c r="B515" s="3" t="s">
        <v>940</v>
      </c>
      <c r="C515" s="76" t="s">
        <v>941</v>
      </c>
      <c r="D515" s="71"/>
      <c r="E515" s="3" t="s">
        <v>293</v>
      </c>
      <c r="F515" s="28">
        <v>1</v>
      </c>
      <c r="G515" s="28">
        <v>0</v>
      </c>
      <c r="H515" s="28">
        <f>ROUND(F515*AO515,2)</f>
        <v>0</v>
      </c>
      <c r="I515" s="28">
        <f>ROUND(F515*AP515,2)</f>
        <v>0</v>
      </c>
      <c r="J515" s="28">
        <f>ROUND(F515*G515,2)</f>
        <v>0</v>
      </c>
      <c r="K515" s="29" t="s">
        <v>60</v>
      </c>
      <c r="Z515" s="28">
        <f>ROUND(IF(AQ515="5",BJ515,0),2)</f>
        <v>0</v>
      </c>
      <c r="AB515" s="28">
        <f>ROUND(IF(AQ515="1",BH515,0),2)</f>
        <v>0</v>
      </c>
      <c r="AC515" s="28">
        <f>ROUND(IF(AQ515="1",BI515,0),2)</f>
        <v>0</v>
      </c>
      <c r="AD515" s="28">
        <f>ROUND(IF(AQ515="7",BH515,0),2)</f>
        <v>0</v>
      </c>
      <c r="AE515" s="28">
        <f>ROUND(IF(AQ515="7",BI515,0),2)</f>
        <v>0</v>
      </c>
      <c r="AF515" s="28">
        <f>ROUND(IF(AQ515="2",BH515,0),2)</f>
        <v>0</v>
      </c>
      <c r="AG515" s="28">
        <f>ROUND(IF(AQ515="2",BI515,0),2)</f>
        <v>0</v>
      </c>
      <c r="AH515" s="28">
        <f>ROUND(IF(AQ515="0",BJ515,0),2)</f>
        <v>0</v>
      </c>
      <c r="AI515" s="10" t="s">
        <v>714</v>
      </c>
      <c r="AJ515" s="28">
        <f>IF(AN515=0,J515,0)</f>
        <v>0</v>
      </c>
      <c r="AK515" s="28">
        <f>IF(AN515=12,J515,0)</f>
        <v>0</v>
      </c>
      <c r="AL515" s="28">
        <f>IF(AN515=21,J515,0)</f>
        <v>0</v>
      </c>
      <c r="AN515" s="28">
        <v>21</v>
      </c>
      <c r="AO515" s="28">
        <f>G515*0</f>
        <v>0</v>
      </c>
      <c r="AP515" s="28">
        <f>G515*(1-0)</f>
        <v>0</v>
      </c>
      <c r="AQ515" s="30" t="s">
        <v>56</v>
      </c>
      <c r="AV515" s="28">
        <f>ROUND(AW515+AX515,2)</f>
        <v>0</v>
      </c>
      <c r="AW515" s="28">
        <f>ROUND(F515*AO515,2)</f>
        <v>0</v>
      </c>
      <c r="AX515" s="28">
        <f>ROUND(F515*AP515,2)</f>
        <v>0</v>
      </c>
      <c r="AY515" s="30" t="s">
        <v>623</v>
      </c>
      <c r="AZ515" s="30" t="s">
        <v>879</v>
      </c>
      <c r="BA515" s="10" t="s">
        <v>720</v>
      </c>
      <c r="BC515" s="28">
        <f>AW515+AX515</f>
        <v>0</v>
      </c>
      <c r="BD515" s="28">
        <f>G515/(100-BE515)*100</f>
        <v>0</v>
      </c>
      <c r="BE515" s="28">
        <v>0</v>
      </c>
      <c r="BF515" s="28">
        <f>523</f>
        <v>523</v>
      </c>
      <c r="BH515" s="28">
        <f>F515*AO515</f>
        <v>0</v>
      </c>
      <c r="BI515" s="28">
        <f>F515*AP515</f>
        <v>0</v>
      </c>
      <c r="BJ515" s="28">
        <f>F515*G515</f>
        <v>0</v>
      </c>
      <c r="BK515" s="28"/>
      <c r="BL515" s="28">
        <v>96</v>
      </c>
      <c r="BW515" s="28">
        <v>21</v>
      </c>
      <c r="BX515" s="4" t="s">
        <v>941</v>
      </c>
    </row>
    <row r="516" spans="1:76" x14ac:dyDescent="0.25">
      <c r="A516" s="31"/>
      <c r="C516" s="32" t="s">
        <v>56</v>
      </c>
      <c r="D516" s="32" t="s">
        <v>942</v>
      </c>
      <c r="F516" s="33">
        <v>1</v>
      </c>
      <c r="K516" s="34"/>
    </row>
    <row r="517" spans="1:76" x14ac:dyDescent="0.25">
      <c r="A517" s="24" t="s">
        <v>51</v>
      </c>
      <c r="B517" s="25" t="s">
        <v>943</v>
      </c>
      <c r="C517" s="87" t="s">
        <v>944</v>
      </c>
      <c r="D517" s="88"/>
      <c r="E517" s="26" t="s">
        <v>4</v>
      </c>
      <c r="F517" s="26" t="s">
        <v>4</v>
      </c>
      <c r="G517" s="26" t="s">
        <v>4</v>
      </c>
      <c r="H517" s="1">
        <f>SUM(H518:H518)</f>
        <v>0</v>
      </c>
      <c r="I517" s="1">
        <f>SUM(I518:I518)</f>
        <v>0</v>
      </c>
      <c r="J517" s="1">
        <f>SUM(J518:J518)</f>
        <v>0</v>
      </c>
      <c r="K517" s="27" t="s">
        <v>51</v>
      </c>
      <c r="AI517" s="10" t="s">
        <v>714</v>
      </c>
      <c r="AS517" s="1">
        <f>SUM(AJ518:AJ518)</f>
        <v>0</v>
      </c>
      <c r="AT517" s="1">
        <f>SUM(AK518:AK518)</f>
        <v>0</v>
      </c>
      <c r="AU517" s="1">
        <f>SUM(AL518:AL518)</f>
        <v>0</v>
      </c>
    </row>
    <row r="518" spans="1:76" x14ac:dyDescent="0.25">
      <c r="A518" s="2" t="s">
        <v>393</v>
      </c>
      <c r="B518" s="3" t="s">
        <v>945</v>
      </c>
      <c r="C518" s="76" t="s">
        <v>946</v>
      </c>
      <c r="D518" s="71"/>
      <c r="E518" s="3" t="s">
        <v>201</v>
      </c>
      <c r="F518" s="28">
        <v>1082.6199999999999</v>
      </c>
      <c r="G518" s="28">
        <v>0</v>
      </c>
      <c r="H518" s="28">
        <f>ROUND(F518*AO518,2)</f>
        <v>0</v>
      </c>
      <c r="I518" s="28">
        <f>ROUND(F518*AP518,2)</f>
        <v>0</v>
      </c>
      <c r="J518" s="28">
        <f>ROUND(F518*G518,2)</f>
        <v>0</v>
      </c>
      <c r="K518" s="29" t="s">
        <v>60</v>
      </c>
      <c r="Z518" s="28">
        <f>ROUND(IF(AQ518="5",BJ518,0),2)</f>
        <v>0</v>
      </c>
      <c r="AB518" s="28">
        <f>ROUND(IF(AQ518="1",BH518,0),2)</f>
        <v>0</v>
      </c>
      <c r="AC518" s="28">
        <f>ROUND(IF(AQ518="1",BI518,0),2)</f>
        <v>0</v>
      </c>
      <c r="AD518" s="28">
        <f>ROUND(IF(AQ518="7",BH518,0),2)</f>
        <v>0</v>
      </c>
      <c r="AE518" s="28">
        <f>ROUND(IF(AQ518="7",BI518,0),2)</f>
        <v>0</v>
      </c>
      <c r="AF518" s="28">
        <f>ROUND(IF(AQ518="2",BH518,0),2)</f>
        <v>0</v>
      </c>
      <c r="AG518" s="28">
        <f>ROUND(IF(AQ518="2",BI518,0),2)</f>
        <v>0</v>
      </c>
      <c r="AH518" s="28">
        <f>ROUND(IF(AQ518="0",BJ518,0),2)</f>
        <v>0</v>
      </c>
      <c r="AI518" s="10" t="s">
        <v>714</v>
      </c>
      <c r="AJ518" s="28">
        <f>IF(AN518=0,J518,0)</f>
        <v>0</v>
      </c>
      <c r="AK518" s="28">
        <f>IF(AN518=12,J518,0)</f>
        <v>0</v>
      </c>
      <c r="AL518" s="28">
        <f>IF(AN518=21,J518,0)</f>
        <v>0</v>
      </c>
      <c r="AN518" s="28">
        <v>21</v>
      </c>
      <c r="AO518" s="28">
        <f>G518*0</f>
        <v>0</v>
      </c>
      <c r="AP518" s="28">
        <f>G518*(1-0)</f>
        <v>0</v>
      </c>
      <c r="AQ518" s="30" t="s">
        <v>100</v>
      </c>
      <c r="AV518" s="28">
        <f>ROUND(AW518+AX518,2)</f>
        <v>0</v>
      </c>
      <c r="AW518" s="28">
        <f>ROUND(F518*AO518,2)</f>
        <v>0</v>
      </c>
      <c r="AX518" s="28">
        <f>ROUND(F518*AP518,2)</f>
        <v>0</v>
      </c>
      <c r="AY518" s="30" t="s">
        <v>947</v>
      </c>
      <c r="AZ518" s="30" t="s">
        <v>879</v>
      </c>
      <c r="BA518" s="10" t="s">
        <v>720</v>
      </c>
      <c r="BC518" s="28">
        <f>AW518+AX518</f>
        <v>0</v>
      </c>
      <c r="BD518" s="28">
        <f>G518/(100-BE518)*100</f>
        <v>0</v>
      </c>
      <c r="BE518" s="28">
        <v>0</v>
      </c>
      <c r="BF518" s="28">
        <f>526</f>
        <v>526</v>
      </c>
      <c r="BH518" s="28">
        <f>F518*AO518</f>
        <v>0</v>
      </c>
      <c r="BI518" s="28">
        <f>F518*AP518</f>
        <v>0</v>
      </c>
      <c r="BJ518" s="28">
        <f>F518*G518</f>
        <v>0</v>
      </c>
      <c r="BK518" s="28"/>
      <c r="BL518" s="28"/>
      <c r="BW518" s="28">
        <v>21</v>
      </c>
      <c r="BX518" s="4" t="s">
        <v>946</v>
      </c>
    </row>
    <row r="519" spans="1:76" x14ac:dyDescent="0.25">
      <c r="A519" s="24" t="s">
        <v>51</v>
      </c>
      <c r="B519" s="25" t="s">
        <v>948</v>
      </c>
      <c r="C519" s="87" t="s">
        <v>949</v>
      </c>
      <c r="D519" s="88"/>
      <c r="E519" s="26" t="s">
        <v>4</v>
      </c>
      <c r="F519" s="26" t="s">
        <v>4</v>
      </c>
      <c r="G519" s="26" t="s">
        <v>4</v>
      </c>
      <c r="H519" s="1">
        <f>SUM(H520:H524)</f>
        <v>0</v>
      </c>
      <c r="I519" s="1">
        <f>SUM(I520:I524)</f>
        <v>0</v>
      </c>
      <c r="J519" s="1">
        <f>SUM(J520:J524)</f>
        <v>0</v>
      </c>
      <c r="K519" s="27" t="s">
        <v>51</v>
      </c>
      <c r="AI519" s="10" t="s">
        <v>714</v>
      </c>
      <c r="AS519" s="1">
        <f>SUM(AJ520:AJ524)</f>
        <v>0</v>
      </c>
      <c r="AT519" s="1">
        <f>SUM(AK520:AK524)</f>
        <v>0</v>
      </c>
      <c r="AU519" s="1">
        <f>SUM(AL520:AL524)</f>
        <v>0</v>
      </c>
    </row>
    <row r="520" spans="1:76" x14ac:dyDescent="0.25">
      <c r="A520" s="2" t="s">
        <v>950</v>
      </c>
      <c r="B520" s="3" t="s">
        <v>951</v>
      </c>
      <c r="C520" s="76" t="s">
        <v>952</v>
      </c>
      <c r="D520" s="71"/>
      <c r="E520" s="3" t="s">
        <v>59</v>
      </c>
      <c r="F520" s="28">
        <v>123</v>
      </c>
      <c r="G520" s="28">
        <v>0</v>
      </c>
      <c r="H520" s="28">
        <f>ROUND(F520*AO520,2)</f>
        <v>0</v>
      </c>
      <c r="I520" s="28">
        <f>ROUND(F520*AP520,2)</f>
        <v>0</v>
      </c>
      <c r="J520" s="28">
        <f>ROUND(F520*G520,2)</f>
        <v>0</v>
      </c>
      <c r="K520" s="29" t="s">
        <v>60</v>
      </c>
      <c r="Z520" s="28">
        <f>ROUND(IF(AQ520="5",BJ520,0),2)</f>
        <v>0</v>
      </c>
      <c r="AB520" s="28">
        <f>ROUND(IF(AQ520="1",BH520,0),2)</f>
        <v>0</v>
      </c>
      <c r="AC520" s="28">
        <f>ROUND(IF(AQ520="1",BI520,0),2)</f>
        <v>0</v>
      </c>
      <c r="AD520" s="28">
        <f>ROUND(IF(AQ520="7",BH520,0),2)</f>
        <v>0</v>
      </c>
      <c r="AE520" s="28">
        <f>ROUND(IF(AQ520="7",BI520,0),2)</f>
        <v>0</v>
      </c>
      <c r="AF520" s="28">
        <f>ROUND(IF(AQ520="2",BH520,0),2)</f>
        <v>0</v>
      </c>
      <c r="AG520" s="28">
        <f>ROUND(IF(AQ520="2",BI520,0),2)</f>
        <v>0</v>
      </c>
      <c r="AH520" s="28">
        <f>ROUND(IF(AQ520="0",BJ520,0),2)</f>
        <v>0</v>
      </c>
      <c r="AI520" s="10" t="s">
        <v>714</v>
      </c>
      <c r="AJ520" s="28">
        <f>IF(AN520=0,J520,0)</f>
        <v>0</v>
      </c>
      <c r="AK520" s="28">
        <f>IF(AN520=12,J520,0)</f>
        <v>0</v>
      </c>
      <c r="AL520" s="28">
        <f>IF(AN520=21,J520,0)</f>
        <v>0</v>
      </c>
      <c r="AN520" s="28">
        <v>21</v>
      </c>
      <c r="AO520" s="28">
        <f>G520*0</f>
        <v>0</v>
      </c>
      <c r="AP520" s="28">
        <f>G520*(1-0)</f>
        <v>0</v>
      </c>
      <c r="AQ520" s="30" t="s">
        <v>74</v>
      </c>
      <c r="AV520" s="28">
        <f>ROUND(AW520+AX520,2)</f>
        <v>0</v>
      </c>
      <c r="AW520" s="28">
        <f>ROUND(F520*AO520,2)</f>
        <v>0</v>
      </c>
      <c r="AX520" s="28">
        <f>ROUND(F520*AP520,2)</f>
        <v>0</v>
      </c>
      <c r="AY520" s="30" t="s">
        <v>953</v>
      </c>
      <c r="AZ520" s="30" t="s">
        <v>879</v>
      </c>
      <c r="BA520" s="10" t="s">
        <v>720</v>
      </c>
      <c r="BC520" s="28">
        <f>AW520+AX520</f>
        <v>0</v>
      </c>
      <c r="BD520" s="28">
        <f>G520/(100-BE520)*100</f>
        <v>0</v>
      </c>
      <c r="BE520" s="28">
        <v>0</v>
      </c>
      <c r="BF520" s="28">
        <f>528</f>
        <v>528</v>
      </c>
      <c r="BH520" s="28">
        <f>F520*AO520</f>
        <v>0</v>
      </c>
      <c r="BI520" s="28">
        <f>F520*AP520</f>
        <v>0</v>
      </c>
      <c r="BJ520" s="28">
        <f>F520*G520</f>
        <v>0</v>
      </c>
      <c r="BK520" s="28"/>
      <c r="BL520" s="28"/>
      <c r="BW520" s="28">
        <v>21</v>
      </c>
      <c r="BX520" s="4" t="s">
        <v>952</v>
      </c>
    </row>
    <row r="521" spans="1:76" ht="13.5" customHeight="1" x14ac:dyDescent="0.25">
      <c r="A521" s="31"/>
      <c r="B521" s="35" t="s">
        <v>105</v>
      </c>
      <c r="C521" s="97" t="s">
        <v>954</v>
      </c>
      <c r="D521" s="98"/>
      <c r="E521" s="98"/>
      <c r="F521" s="98"/>
      <c r="G521" s="98"/>
      <c r="H521" s="98"/>
      <c r="I521" s="98"/>
      <c r="J521" s="98"/>
      <c r="K521" s="99"/>
    </row>
    <row r="522" spans="1:76" x14ac:dyDescent="0.25">
      <c r="A522" s="2" t="s">
        <v>955</v>
      </c>
      <c r="B522" s="3" t="s">
        <v>956</v>
      </c>
      <c r="C522" s="76" t="s">
        <v>957</v>
      </c>
      <c r="D522" s="71"/>
      <c r="E522" s="3" t="s">
        <v>59</v>
      </c>
      <c r="F522" s="28">
        <v>82</v>
      </c>
      <c r="G522" s="28">
        <v>0</v>
      </c>
      <c r="H522" s="28">
        <f>ROUND(F522*AO522,2)</f>
        <v>0</v>
      </c>
      <c r="I522" s="28">
        <f>ROUND(F522*AP522,2)</f>
        <v>0</v>
      </c>
      <c r="J522" s="28">
        <f>ROUND(F522*G522,2)</f>
        <v>0</v>
      </c>
      <c r="K522" s="29" t="s">
        <v>60</v>
      </c>
      <c r="Z522" s="28">
        <f>ROUND(IF(AQ522="5",BJ522,0),2)</f>
        <v>0</v>
      </c>
      <c r="AB522" s="28">
        <f>ROUND(IF(AQ522="1",BH522,0),2)</f>
        <v>0</v>
      </c>
      <c r="AC522" s="28">
        <f>ROUND(IF(AQ522="1",BI522,0),2)</f>
        <v>0</v>
      </c>
      <c r="AD522" s="28">
        <f>ROUND(IF(AQ522="7",BH522,0),2)</f>
        <v>0</v>
      </c>
      <c r="AE522" s="28">
        <f>ROUND(IF(AQ522="7",BI522,0),2)</f>
        <v>0</v>
      </c>
      <c r="AF522" s="28">
        <f>ROUND(IF(AQ522="2",BH522,0),2)</f>
        <v>0</v>
      </c>
      <c r="AG522" s="28">
        <f>ROUND(IF(AQ522="2",BI522,0),2)</f>
        <v>0</v>
      </c>
      <c r="AH522" s="28">
        <f>ROUND(IF(AQ522="0",BJ522,0),2)</f>
        <v>0</v>
      </c>
      <c r="AI522" s="10" t="s">
        <v>714</v>
      </c>
      <c r="AJ522" s="28">
        <f>IF(AN522=0,J522,0)</f>
        <v>0</v>
      </c>
      <c r="AK522" s="28">
        <f>IF(AN522=12,J522,0)</f>
        <v>0</v>
      </c>
      <c r="AL522" s="28">
        <f>IF(AN522=21,J522,0)</f>
        <v>0</v>
      </c>
      <c r="AN522" s="28">
        <v>21</v>
      </c>
      <c r="AO522" s="28">
        <f>G522*1</f>
        <v>0</v>
      </c>
      <c r="AP522" s="28">
        <f>G522*(1-1)</f>
        <v>0</v>
      </c>
      <c r="AQ522" s="30" t="s">
        <v>74</v>
      </c>
      <c r="AV522" s="28">
        <f>ROUND(AW522+AX522,2)</f>
        <v>0</v>
      </c>
      <c r="AW522" s="28">
        <f>ROUND(F522*AO522,2)</f>
        <v>0</v>
      </c>
      <c r="AX522" s="28">
        <f>ROUND(F522*AP522,2)</f>
        <v>0</v>
      </c>
      <c r="AY522" s="30" t="s">
        <v>953</v>
      </c>
      <c r="AZ522" s="30" t="s">
        <v>879</v>
      </c>
      <c r="BA522" s="10" t="s">
        <v>720</v>
      </c>
      <c r="BC522" s="28">
        <f>AW522+AX522</f>
        <v>0</v>
      </c>
      <c r="BD522" s="28">
        <f>G522/(100-BE522)*100</f>
        <v>0</v>
      </c>
      <c r="BE522" s="28">
        <v>0</v>
      </c>
      <c r="BF522" s="28">
        <f>530</f>
        <v>530</v>
      </c>
      <c r="BH522" s="28">
        <f>F522*AO522</f>
        <v>0</v>
      </c>
      <c r="BI522" s="28">
        <f>F522*AP522</f>
        <v>0</v>
      </c>
      <c r="BJ522" s="28">
        <f>F522*G522</f>
        <v>0</v>
      </c>
      <c r="BK522" s="28"/>
      <c r="BL522" s="28"/>
      <c r="BW522" s="28">
        <v>21</v>
      </c>
      <c r="BX522" s="4" t="s">
        <v>957</v>
      </c>
    </row>
    <row r="523" spans="1:76" ht="63.75" x14ac:dyDescent="0.25">
      <c r="A523" s="31"/>
      <c r="B523" s="35" t="s">
        <v>68</v>
      </c>
      <c r="C523" s="94" t="s">
        <v>958</v>
      </c>
      <c r="D523" s="95"/>
      <c r="E523" s="95"/>
      <c r="F523" s="95"/>
      <c r="G523" s="95"/>
      <c r="H523" s="95"/>
      <c r="I523" s="95"/>
      <c r="J523" s="95"/>
      <c r="K523" s="96"/>
      <c r="BX523" s="36" t="s">
        <v>958</v>
      </c>
    </row>
    <row r="524" spans="1:76" x14ac:dyDescent="0.25">
      <c r="A524" s="2" t="s">
        <v>959</v>
      </c>
      <c r="B524" s="3" t="s">
        <v>960</v>
      </c>
      <c r="C524" s="76" t="s">
        <v>961</v>
      </c>
      <c r="D524" s="71"/>
      <c r="E524" s="3" t="s">
        <v>201</v>
      </c>
      <c r="F524" s="28">
        <v>94.3</v>
      </c>
      <c r="G524" s="28">
        <v>0</v>
      </c>
      <c r="H524" s="28">
        <f>ROUND(F524*AO524,2)</f>
        <v>0</v>
      </c>
      <c r="I524" s="28">
        <f>ROUND(F524*AP524,2)</f>
        <v>0</v>
      </c>
      <c r="J524" s="28">
        <f>ROUND(F524*G524,2)</f>
        <v>0</v>
      </c>
      <c r="K524" s="29" t="s">
        <v>60</v>
      </c>
      <c r="Z524" s="28">
        <f>ROUND(IF(AQ524="5",BJ524,0),2)</f>
        <v>0</v>
      </c>
      <c r="AB524" s="28">
        <f>ROUND(IF(AQ524="1",BH524,0),2)</f>
        <v>0</v>
      </c>
      <c r="AC524" s="28">
        <f>ROUND(IF(AQ524="1",BI524,0),2)</f>
        <v>0</v>
      </c>
      <c r="AD524" s="28">
        <f>ROUND(IF(AQ524="7",BH524,0),2)</f>
        <v>0</v>
      </c>
      <c r="AE524" s="28">
        <f>ROUND(IF(AQ524="7",BI524,0),2)</f>
        <v>0</v>
      </c>
      <c r="AF524" s="28">
        <f>ROUND(IF(AQ524="2",BH524,0),2)</f>
        <v>0</v>
      </c>
      <c r="AG524" s="28">
        <f>ROUND(IF(AQ524="2",BI524,0),2)</f>
        <v>0</v>
      </c>
      <c r="AH524" s="28">
        <f>ROUND(IF(AQ524="0",BJ524,0),2)</f>
        <v>0</v>
      </c>
      <c r="AI524" s="10" t="s">
        <v>714</v>
      </c>
      <c r="AJ524" s="28">
        <f>IF(AN524=0,J524,0)</f>
        <v>0</v>
      </c>
      <c r="AK524" s="28">
        <f>IF(AN524=12,J524,0)</f>
        <v>0</v>
      </c>
      <c r="AL524" s="28">
        <f>IF(AN524=21,J524,0)</f>
        <v>0</v>
      </c>
      <c r="AN524" s="28">
        <v>21</v>
      </c>
      <c r="AO524" s="28">
        <f>G524*1</f>
        <v>0</v>
      </c>
      <c r="AP524" s="28">
        <f>G524*(1-1)</f>
        <v>0</v>
      </c>
      <c r="AQ524" s="30" t="s">
        <v>74</v>
      </c>
      <c r="AV524" s="28">
        <f>ROUND(AW524+AX524,2)</f>
        <v>0</v>
      </c>
      <c r="AW524" s="28">
        <f>ROUND(F524*AO524,2)</f>
        <v>0</v>
      </c>
      <c r="AX524" s="28">
        <f>ROUND(F524*AP524,2)</f>
        <v>0</v>
      </c>
      <c r="AY524" s="30" t="s">
        <v>953</v>
      </c>
      <c r="AZ524" s="30" t="s">
        <v>879</v>
      </c>
      <c r="BA524" s="10" t="s">
        <v>720</v>
      </c>
      <c r="BC524" s="28">
        <f>AW524+AX524</f>
        <v>0</v>
      </c>
      <c r="BD524" s="28">
        <f>G524/(100-BE524)*100</f>
        <v>0</v>
      </c>
      <c r="BE524" s="28">
        <v>0</v>
      </c>
      <c r="BF524" s="28">
        <f>532</f>
        <v>532</v>
      </c>
      <c r="BH524" s="28">
        <f>F524*AO524</f>
        <v>0</v>
      </c>
      <c r="BI524" s="28">
        <f>F524*AP524</f>
        <v>0</v>
      </c>
      <c r="BJ524" s="28">
        <f>F524*G524</f>
        <v>0</v>
      </c>
      <c r="BK524" s="28"/>
      <c r="BL524" s="28"/>
      <c r="BW524" s="28">
        <v>21</v>
      </c>
      <c r="BX524" s="4" t="s">
        <v>961</v>
      </c>
    </row>
    <row r="525" spans="1:76" x14ac:dyDescent="0.25">
      <c r="A525" s="31"/>
      <c r="C525" s="32" t="s">
        <v>962</v>
      </c>
      <c r="D525" s="32" t="s">
        <v>51</v>
      </c>
      <c r="F525" s="33">
        <v>94.3</v>
      </c>
      <c r="K525" s="34"/>
    </row>
    <row r="526" spans="1:76" x14ac:dyDescent="0.25">
      <c r="A526" s="31"/>
      <c r="B526" s="35" t="s">
        <v>68</v>
      </c>
      <c r="C526" s="94" t="s">
        <v>963</v>
      </c>
      <c r="D526" s="95"/>
      <c r="E526" s="95"/>
      <c r="F526" s="95"/>
      <c r="G526" s="95"/>
      <c r="H526" s="95"/>
      <c r="I526" s="95"/>
      <c r="J526" s="95"/>
      <c r="K526" s="96"/>
      <c r="BX526" s="36" t="s">
        <v>963</v>
      </c>
    </row>
    <row r="527" spans="1:76" x14ac:dyDescent="0.25">
      <c r="A527" s="24" t="s">
        <v>51</v>
      </c>
      <c r="B527" s="25" t="s">
        <v>51</v>
      </c>
      <c r="C527" s="87" t="s">
        <v>964</v>
      </c>
      <c r="D527" s="88"/>
      <c r="E527" s="26" t="s">
        <v>4</v>
      </c>
      <c r="F527" s="26" t="s">
        <v>4</v>
      </c>
      <c r="G527" s="26" t="s">
        <v>4</v>
      </c>
      <c r="H527" s="1">
        <f>H528+H536+H542+H546+H550+H569+H593+H595</f>
        <v>0</v>
      </c>
      <c r="I527" s="1">
        <f>I528+I536+I542+I546+I550+I569+I593+I595</f>
        <v>0</v>
      </c>
      <c r="J527" s="1">
        <f>J528+J536+J542+J546+J550+J569+J593+J595</f>
        <v>0</v>
      </c>
      <c r="K527" s="27" t="s">
        <v>51</v>
      </c>
    </row>
    <row r="528" spans="1:76" x14ac:dyDescent="0.25">
      <c r="A528" s="24" t="s">
        <v>51</v>
      </c>
      <c r="B528" s="25" t="s">
        <v>148</v>
      </c>
      <c r="C528" s="87" t="s">
        <v>713</v>
      </c>
      <c r="D528" s="88"/>
      <c r="E528" s="26" t="s">
        <v>4</v>
      </c>
      <c r="F528" s="26" t="s">
        <v>4</v>
      </c>
      <c r="G528" s="26" t="s">
        <v>4</v>
      </c>
      <c r="H528" s="1">
        <f>SUM(H529:H532)</f>
        <v>0</v>
      </c>
      <c r="I528" s="1">
        <f>SUM(I529:I532)</f>
        <v>0</v>
      </c>
      <c r="J528" s="1">
        <f>SUM(J529:J532)</f>
        <v>0</v>
      </c>
      <c r="K528" s="27" t="s">
        <v>51</v>
      </c>
      <c r="AI528" s="10" t="s">
        <v>965</v>
      </c>
      <c r="AS528" s="1">
        <f>SUM(AJ529:AJ532)</f>
        <v>0</v>
      </c>
      <c r="AT528" s="1">
        <f>SUM(AK529:AK532)</f>
        <v>0</v>
      </c>
      <c r="AU528" s="1">
        <f>SUM(AL529:AL532)</f>
        <v>0</v>
      </c>
    </row>
    <row r="529" spans="1:76" x14ac:dyDescent="0.25">
      <c r="A529" s="2" t="s">
        <v>966</v>
      </c>
      <c r="B529" s="3" t="s">
        <v>967</v>
      </c>
      <c r="C529" s="76" t="s">
        <v>968</v>
      </c>
      <c r="D529" s="71"/>
      <c r="E529" s="3" t="s">
        <v>59</v>
      </c>
      <c r="F529" s="28">
        <v>31.4</v>
      </c>
      <c r="G529" s="28">
        <v>0</v>
      </c>
      <c r="H529" s="28">
        <f>ROUND(F529*AO529,2)</f>
        <v>0</v>
      </c>
      <c r="I529" s="28">
        <f>ROUND(F529*AP529,2)</f>
        <v>0</v>
      </c>
      <c r="J529" s="28">
        <f>ROUND(F529*G529,2)</f>
        <v>0</v>
      </c>
      <c r="K529" s="29" t="s">
        <v>60</v>
      </c>
      <c r="Z529" s="28">
        <f>ROUND(IF(AQ529="5",BJ529,0),2)</f>
        <v>0</v>
      </c>
      <c r="AB529" s="28">
        <f>ROUND(IF(AQ529="1",BH529,0),2)</f>
        <v>0</v>
      </c>
      <c r="AC529" s="28">
        <f>ROUND(IF(AQ529="1",BI529,0),2)</f>
        <v>0</v>
      </c>
      <c r="AD529" s="28">
        <f>ROUND(IF(AQ529="7",BH529,0),2)</f>
        <v>0</v>
      </c>
      <c r="AE529" s="28">
        <f>ROUND(IF(AQ529="7",BI529,0),2)</f>
        <v>0</v>
      </c>
      <c r="AF529" s="28">
        <f>ROUND(IF(AQ529="2",BH529,0),2)</f>
        <v>0</v>
      </c>
      <c r="AG529" s="28">
        <f>ROUND(IF(AQ529="2",BI529,0),2)</f>
        <v>0</v>
      </c>
      <c r="AH529" s="28">
        <f>ROUND(IF(AQ529="0",BJ529,0),2)</f>
        <v>0</v>
      </c>
      <c r="AI529" s="10" t="s">
        <v>965</v>
      </c>
      <c r="AJ529" s="28">
        <f>IF(AN529=0,J529,0)</f>
        <v>0</v>
      </c>
      <c r="AK529" s="28">
        <f>IF(AN529=12,J529,0)</f>
        <v>0</v>
      </c>
      <c r="AL529" s="28">
        <f>IF(AN529=21,J529,0)</f>
        <v>0</v>
      </c>
      <c r="AN529" s="28">
        <v>21</v>
      </c>
      <c r="AO529" s="28">
        <f>G529*0</f>
        <v>0</v>
      </c>
      <c r="AP529" s="28">
        <f>G529*(1-0)</f>
        <v>0</v>
      </c>
      <c r="AQ529" s="30" t="s">
        <v>56</v>
      </c>
      <c r="AV529" s="28">
        <f>ROUND(AW529+AX529,2)</f>
        <v>0</v>
      </c>
      <c r="AW529" s="28">
        <f>ROUND(F529*AO529,2)</f>
        <v>0</v>
      </c>
      <c r="AX529" s="28">
        <f>ROUND(F529*AP529,2)</f>
        <v>0</v>
      </c>
      <c r="AY529" s="30" t="s">
        <v>718</v>
      </c>
      <c r="AZ529" s="30" t="s">
        <v>969</v>
      </c>
      <c r="BA529" s="10" t="s">
        <v>970</v>
      </c>
      <c r="BC529" s="28">
        <f>AW529+AX529</f>
        <v>0</v>
      </c>
      <c r="BD529" s="28">
        <f>G529/(100-BE529)*100</f>
        <v>0</v>
      </c>
      <c r="BE529" s="28">
        <v>0</v>
      </c>
      <c r="BF529" s="28">
        <f>537</f>
        <v>537</v>
      </c>
      <c r="BH529" s="28">
        <f>F529*AO529</f>
        <v>0</v>
      </c>
      <c r="BI529" s="28">
        <f>F529*AP529</f>
        <v>0</v>
      </c>
      <c r="BJ529" s="28">
        <f>F529*G529</f>
        <v>0</v>
      </c>
      <c r="BK529" s="28"/>
      <c r="BL529" s="28">
        <v>12</v>
      </c>
      <c r="BW529" s="28">
        <v>21</v>
      </c>
      <c r="BX529" s="4" t="s">
        <v>968</v>
      </c>
    </row>
    <row r="530" spans="1:76" x14ac:dyDescent="0.25">
      <c r="A530" s="31"/>
      <c r="C530" s="32" t="s">
        <v>66</v>
      </c>
      <c r="D530" s="32" t="s">
        <v>971</v>
      </c>
      <c r="F530" s="33">
        <v>31.2</v>
      </c>
      <c r="K530" s="34"/>
    </row>
    <row r="531" spans="1:76" x14ac:dyDescent="0.25">
      <c r="A531" s="31"/>
      <c r="C531" s="32" t="s">
        <v>972</v>
      </c>
      <c r="D531" s="32" t="s">
        <v>973</v>
      </c>
      <c r="F531" s="33">
        <v>0.2</v>
      </c>
      <c r="K531" s="34"/>
    </row>
    <row r="532" spans="1:76" x14ac:dyDescent="0.25">
      <c r="A532" s="2" t="s">
        <v>974</v>
      </c>
      <c r="B532" s="3" t="s">
        <v>975</v>
      </c>
      <c r="C532" s="76" t="s">
        <v>976</v>
      </c>
      <c r="D532" s="71"/>
      <c r="E532" s="3" t="s">
        <v>59</v>
      </c>
      <c r="F532" s="28">
        <v>31.4</v>
      </c>
      <c r="G532" s="28">
        <v>0</v>
      </c>
      <c r="H532" s="28">
        <f>ROUND(F532*AO532,2)</f>
        <v>0</v>
      </c>
      <c r="I532" s="28">
        <f>ROUND(F532*AP532,2)</f>
        <v>0</v>
      </c>
      <c r="J532" s="28">
        <f>ROUND(F532*G532,2)</f>
        <v>0</v>
      </c>
      <c r="K532" s="29" t="s">
        <v>60</v>
      </c>
      <c r="Z532" s="28">
        <f>ROUND(IF(AQ532="5",BJ532,0),2)</f>
        <v>0</v>
      </c>
      <c r="AB532" s="28">
        <f>ROUND(IF(AQ532="1",BH532,0),2)</f>
        <v>0</v>
      </c>
      <c r="AC532" s="28">
        <f>ROUND(IF(AQ532="1",BI532,0),2)</f>
        <v>0</v>
      </c>
      <c r="AD532" s="28">
        <f>ROUND(IF(AQ532="7",BH532,0),2)</f>
        <v>0</v>
      </c>
      <c r="AE532" s="28">
        <f>ROUND(IF(AQ532="7",BI532,0),2)</f>
        <v>0</v>
      </c>
      <c r="AF532" s="28">
        <f>ROUND(IF(AQ532="2",BH532,0),2)</f>
        <v>0</v>
      </c>
      <c r="AG532" s="28">
        <f>ROUND(IF(AQ532="2",BI532,0),2)</f>
        <v>0</v>
      </c>
      <c r="AH532" s="28">
        <f>ROUND(IF(AQ532="0",BJ532,0),2)</f>
        <v>0</v>
      </c>
      <c r="AI532" s="10" t="s">
        <v>965</v>
      </c>
      <c r="AJ532" s="28">
        <f>IF(AN532=0,J532,0)</f>
        <v>0</v>
      </c>
      <c r="AK532" s="28">
        <f>IF(AN532=12,J532,0)</f>
        <v>0</v>
      </c>
      <c r="AL532" s="28">
        <f>IF(AN532=21,J532,0)</f>
        <v>0</v>
      </c>
      <c r="AN532" s="28">
        <v>21</v>
      </c>
      <c r="AO532" s="28">
        <f>G532*0</f>
        <v>0</v>
      </c>
      <c r="AP532" s="28">
        <f>G532*(1-0)</f>
        <v>0</v>
      </c>
      <c r="AQ532" s="30" t="s">
        <v>56</v>
      </c>
      <c r="AV532" s="28">
        <f>ROUND(AW532+AX532,2)</f>
        <v>0</v>
      </c>
      <c r="AW532" s="28">
        <f>ROUND(F532*AO532,2)</f>
        <v>0</v>
      </c>
      <c r="AX532" s="28">
        <f>ROUND(F532*AP532,2)</f>
        <v>0</v>
      </c>
      <c r="AY532" s="30" t="s">
        <v>718</v>
      </c>
      <c r="AZ532" s="30" t="s">
        <v>969</v>
      </c>
      <c r="BA532" s="10" t="s">
        <v>970</v>
      </c>
      <c r="BC532" s="28">
        <f>AW532+AX532</f>
        <v>0</v>
      </c>
      <c r="BD532" s="28">
        <f>G532/(100-BE532)*100</f>
        <v>0</v>
      </c>
      <c r="BE532" s="28">
        <v>0</v>
      </c>
      <c r="BF532" s="28">
        <f>540</f>
        <v>540</v>
      </c>
      <c r="BH532" s="28">
        <f>F532*AO532</f>
        <v>0</v>
      </c>
      <c r="BI532" s="28">
        <f>F532*AP532</f>
        <v>0</v>
      </c>
      <c r="BJ532" s="28">
        <f>F532*G532</f>
        <v>0</v>
      </c>
      <c r="BK532" s="28"/>
      <c r="BL532" s="28">
        <v>12</v>
      </c>
      <c r="BW532" s="28">
        <v>21</v>
      </c>
      <c r="BX532" s="4" t="s">
        <v>976</v>
      </c>
    </row>
    <row r="533" spans="1:76" x14ac:dyDescent="0.25">
      <c r="A533" s="31"/>
      <c r="C533" s="32" t="s">
        <v>66</v>
      </c>
      <c r="D533" s="32" t="s">
        <v>971</v>
      </c>
      <c r="F533" s="33">
        <v>31.2</v>
      </c>
      <c r="K533" s="34"/>
    </row>
    <row r="534" spans="1:76" x14ac:dyDescent="0.25">
      <c r="A534" s="31"/>
      <c r="C534" s="32" t="s">
        <v>972</v>
      </c>
      <c r="D534" s="32" t="s">
        <v>977</v>
      </c>
      <c r="F534" s="33">
        <v>0.2</v>
      </c>
      <c r="K534" s="34"/>
    </row>
    <row r="535" spans="1:76" ht="25.5" x14ac:dyDescent="0.25">
      <c r="A535" s="31"/>
      <c r="B535" s="35" t="s">
        <v>68</v>
      </c>
      <c r="C535" s="94" t="s">
        <v>79</v>
      </c>
      <c r="D535" s="95"/>
      <c r="E535" s="95"/>
      <c r="F535" s="95"/>
      <c r="G535" s="95"/>
      <c r="H535" s="95"/>
      <c r="I535" s="95"/>
      <c r="J535" s="95"/>
      <c r="K535" s="96"/>
      <c r="BX535" s="36" t="s">
        <v>79</v>
      </c>
    </row>
    <row r="536" spans="1:76" x14ac:dyDescent="0.25">
      <c r="A536" s="24" t="s">
        <v>51</v>
      </c>
      <c r="B536" s="25" t="s">
        <v>185</v>
      </c>
      <c r="C536" s="87" t="s">
        <v>191</v>
      </c>
      <c r="D536" s="88"/>
      <c r="E536" s="26" t="s">
        <v>4</v>
      </c>
      <c r="F536" s="26" t="s">
        <v>4</v>
      </c>
      <c r="G536" s="26" t="s">
        <v>4</v>
      </c>
      <c r="H536" s="1">
        <f>SUM(H537:H537)</f>
        <v>0</v>
      </c>
      <c r="I536" s="1">
        <f>SUM(I537:I537)</f>
        <v>0</v>
      </c>
      <c r="J536" s="1">
        <f>SUM(J537:J537)</f>
        <v>0</v>
      </c>
      <c r="K536" s="27" t="s">
        <v>51</v>
      </c>
      <c r="AI536" s="10" t="s">
        <v>965</v>
      </c>
      <c r="AS536" s="1">
        <f>SUM(AJ537:AJ537)</f>
        <v>0</v>
      </c>
      <c r="AT536" s="1">
        <f>SUM(AK537:AK537)</f>
        <v>0</v>
      </c>
      <c r="AU536" s="1">
        <f>SUM(AL537:AL537)</f>
        <v>0</v>
      </c>
    </row>
    <row r="537" spans="1:76" x14ac:dyDescent="0.25">
      <c r="A537" s="2" t="s">
        <v>978</v>
      </c>
      <c r="B537" s="3" t="s">
        <v>743</v>
      </c>
      <c r="C537" s="76" t="s">
        <v>744</v>
      </c>
      <c r="D537" s="71"/>
      <c r="E537" s="3" t="s">
        <v>103</v>
      </c>
      <c r="F537" s="28">
        <v>122</v>
      </c>
      <c r="G537" s="28">
        <v>0</v>
      </c>
      <c r="H537" s="28">
        <f>ROUND(F537*AO537,2)</f>
        <v>0</v>
      </c>
      <c r="I537" s="28">
        <f>ROUND(F537*AP537,2)</f>
        <v>0</v>
      </c>
      <c r="J537" s="28">
        <f>ROUND(F537*G537,2)</f>
        <v>0</v>
      </c>
      <c r="K537" s="29" t="s">
        <v>60</v>
      </c>
      <c r="Z537" s="28">
        <f>ROUND(IF(AQ537="5",BJ537,0),2)</f>
        <v>0</v>
      </c>
      <c r="AB537" s="28">
        <f>ROUND(IF(AQ537="1",BH537,0),2)</f>
        <v>0</v>
      </c>
      <c r="AC537" s="28">
        <f>ROUND(IF(AQ537="1",BI537,0),2)</f>
        <v>0</v>
      </c>
      <c r="AD537" s="28">
        <f>ROUND(IF(AQ537="7",BH537,0),2)</f>
        <v>0</v>
      </c>
      <c r="AE537" s="28">
        <f>ROUND(IF(AQ537="7",BI537,0),2)</f>
        <v>0</v>
      </c>
      <c r="AF537" s="28">
        <f>ROUND(IF(AQ537="2",BH537,0),2)</f>
        <v>0</v>
      </c>
      <c r="AG537" s="28">
        <f>ROUND(IF(AQ537="2",BI537,0),2)</f>
        <v>0</v>
      </c>
      <c r="AH537" s="28">
        <f>ROUND(IF(AQ537="0",BJ537,0),2)</f>
        <v>0</v>
      </c>
      <c r="AI537" s="10" t="s">
        <v>965</v>
      </c>
      <c r="AJ537" s="28">
        <f>IF(AN537=0,J537,0)</f>
        <v>0</v>
      </c>
      <c r="AK537" s="28">
        <f>IF(AN537=12,J537,0)</f>
        <v>0</v>
      </c>
      <c r="AL537" s="28">
        <f>IF(AN537=21,J537,0)</f>
        <v>0</v>
      </c>
      <c r="AN537" s="28">
        <v>21</v>
      </c>
      <c r="AO537" s="28">
        <f>G537*0</f>
        <v>0</v>
      </c>
      <c r="AP537" s="28">
        <f>G537*(1-0)</f>
        <v>0</v>
      </c>
      <c r="AQ537" s="30" t="s">
        <v>56</v>
      </c>
      <c r="AV537" s="28">
        <f>ROUND(AW537+AX537,2)</f>
        <v>0</v>
      </c>
      <c r="AW537" s="28">
        <f>ROUND(F537*AO537,2)</f>
        <v>0</v>
      </c>
      <c r="AX537" s="28">
        <f>ROUND(F537*AP537,2)</f>
        <v>0</v>
      </c>
      <c r="AY537" s="30" t="s">
        <v>195</v>
      </c>
      <c r="AZ537" s="30" t="s">
        <v>969</v>
      </c>
      <c r="BA537" s="10" t="s">
        <v>970</v>
      </c>
      <c r="BC537" s="28">
        <f>AW537+AX537</f>
        <v>0</v>
      </c>
      <c r="BD537" s="28">
        <f>G537/(100-BE537)*100</f>
        <v>0</v>
      </c>
      <c r="BE537" s="28">
        <v>0</v>
      </c>
      <c r="BF537" s="28">
        <f>545</f>
        <v>545</v>
      </c>
      <c r="BH537" s="28">
        <f>F537*AO537</f>
        <v>0</v>
      </c>
      <c r="BI537" s="28">
        <f>F537*AP537</f>
        <v>0</v>
      </c>
      <c r="BJ537" s="28">
        <f>F537*G537</f>
        <v>0</v>
      </c>
      <c r="BK537" s="28"/>
      <c r="BL537" s="28">
        <v>18</v>
      </c>
      <c r="BW537" s="28">
        <v>21</v>
      </c>
      <c r="BX537" s="4" t="s">
        <v>744</v>
      </c>
    </row>
    <row r="538" spans="1:76" x14ac:dyDescent="0.25">
      <c r="A538" s="31"/>
      <c r="C538" s="32" t="s">
        <v>636</v>
      </c>
      <c r="D538" s="32" t="s">
        <v>971</v>
      </c>
      <c r="F538" s="33">
        <v>104</v>
      </c>
      <c r="K538" s="34"/>
    </row>
    <row r="539" spans="1:76" x14ac:dyDescent="0.25">
      <c r="A539" s="31"/>
      <c r="C539" s="32" t="s">
        <v>98</v>
      </c>
      <c r="D539" s="32" t="s">
        <v>979</v>
      </c>
      <c r="F539" s="33">
        <v>15</v>
      </c>
      <c r="K539" s="34"/>
    </row>
    <row r="540" spans="1:76" x14ac:dyDescent="0.25">
      <c r="A540" s="31"/>
      <c r="C540" s="32" t="s">
        <v>80</v>
      </c>
      <c r="D540" s="32" t="s">
        <v>980</v>
      </c>
      <c r="F540" s="33">
        <v>3</v>
      </c>
      <c r="K540" s="34"/>
    </row>
    <row r="541" spans="1:76" x14ac:dyDescent="0.25">
      <c r="A541" s="31"/>
      <c r="B541" s="35" t="s">
        <v>68</v>
      </c>
      <c r="C541" s="94" t="s">
        <v>752</v>
      </c>
      <c r="D541" s="95"/>
      <c r="E541" s="95"/>
      <c r="F541" s="95"/>
      <c r="G541" s="95"/>
      <c r="H541" s="95"/>
      <c r="I541" s="95"/>
      <c r="J541" s="95"/>
      <c r="K541" s="96"/>
      <c r="BX541" s="36" t="s">
        <v>752</v>
      </c>
    </row>
    <row r="542" spans="1:76" x14ac:dyDescent="0.25">
      <c r="A542" s="24" t="s">
        <v>51</v>
      </c>
      <c r="B542" s="25" t="s">
        <v>202</v>
      </c>
      <c r="C542" s="87" t="s">
        <v>203</v>
      </c>
      <c r="D542" s="88"/>
      <c r="E542" s="26" t="s">
        <v>4</v>
      </c>
      <c r="F542" s="26" t="s">
        <v>4</v>
      </c>
      <c r="G542" s="26" t="s">
        <v>4</v>
      </c>
      <c r="H542" s="1">
        <f>SUM(H543:H543)</f>
        <v>0</v>
      </c>
      <c r="I542" s="1">
        <f>SUM(I543:I543)</f>
        <v>0</v>
      </c>
      <c r="J542" s="1">
        <f>SUM(J543:J543)</f>
        <v>0</v>
      </c>
      <c r="K542" s="27" t="s">
        <v>51</v>
      </c>
      <c r="AI542" s="10" t="s">
        <v>965</v>
      </c>
      <c r="AS542" s="1">
        <f>SUM(AJ543:AJ543)</f>
        <v>0</v>
      </c>
      <c r="AT542" s="1">
        <f>SUM(AK543:AK543)</f>
        <v>0</v>
      </c>
      <c r="AU542" s="1">
        <f>SUM(AL543:AL543)</f>
        <v>0</v>
      </c>
    </row>
    <row r="543" spans="1:76" x14ac:dyDescent="0.25">
      <c r="A543" s="2" t="s">
        <v>981</v>
      </c>
      <c r="B543" s="3" t="s">
        <v>982</v>
      </c>
      <c r="C543" s="76" t="s">
        <v>983</v>
      </c>
      <c r="D543" s="71"/>
      <c r="E543" s="3" t="s">
        <v>188</v>
      </c>
      <c r="F543" s="28">
        <v>20</v>
      </c>
      <c r="G543" s="28">
        <v>0</v>
      </c>
      <c r="H543" s="28">
        <f>ROUND(F543*AO543,2)</f>
        <v>0</v>
      </c>
      <c r="I543" s="28">
        <f>ROUND(F543*AP543,2)</f>
        <v>0</v>
      </c>
      <c r="J543" s="28">
        <f>ROUND(F543*G543,2)</f>
        <v>0</v>
      </c>
      <c r="K543" s="29" t="s">
        <v>60</v>
      </c>
      <c r="Z543" s="28">
        <f>ROUND(IF(AQ543="5",BJ543,0),2)</f>
        <v>0</v>
      </c>
      <c r="AB543" s="28">
        <f>ROUND(IF(AQ543="1",BH543,0),2)</f>
        <v>0</v>
      </c>
      <c r="AC543" s="28">
        <f>ROUND(IF(AQ543="1",BI543,0),2)</f>
        <v>0</v>
      </c>
      <c r="AD543" s="28">
        <f>ROUND(IF(AQ543="7",BH543,0),2)</f>
        <v>0</v>
      </c>
      <c r="AE543" s="28">
        <f>ROUND(IF(AQ543="7",BI543,0),2)</f>
        <v>0</v>
      </c>
      <c r="AF543" s="28">
        <f>ROUND(IF(AQ543="2",BH543,0),2)</f>
        <v>0</v>
      </c>
      <c r="AG543" s="28">
        <f>ROUND(IF(AQ543="2",BI543,0),2)</f>
        <v>0</v>
      </c>
      <c r="AH543" s="28">
        <f>ROUND(IF(AQ543="0",BJ543,0),2)</f>
        <v>0</v>
      </c>
      <c r="AI543" s="10" t="s">
        <v>965</v>
      </c>
      <c r="AJ543" s="28">
        <f>IF(AN543=0,J543,0)</f>
        <v>0</v>
      </c>
      <c r="AK543" s="28">
        <f>IF(AN543=12,J543,0)</f>
        <v>0</v>
      </c>
      <c r="AL543" s="28">
        <f>IF(AN543=21,J543,0)</f>
        <v>0</v>
      </c>
      <c r="AN543" s="28">
        <v>21</v>
      </c>
      <c r="AO543" s="28">
        <f>G543*0.684015484</f>
        <v>0</v>
      </c>
      <c r="AP543" s="28">
        <f>G543*(1-0.684015484)</f>
        <v>0</v>
      </c>
      <c r="AQ543" s="30" t="s">
        <v>56</v>
      </c>
      <c r="AV543" s="28">
        <f>ROUND(AW543+AX543,2)</f>
        <v>0</v>
      </c>
      <c r="AW543" s="28">
        <f>ROUND(F543*AO543,2)</f>
        <v>0</v>
      </c>
      <c r="AX543" s="28">
        <f>ROUND(F543*AP543,2)</f>
        <v>0</v>
      </c>
      <c r="AY543" s="30" t="s">
        <v>206</v>
      </c>
      <c r="AZ543" s="30" t="s">
        <v>984</v>
      </c>
      <c r="BA543" s="10" t="s">
        <v>970</v>
      </c>
      <c r="BC543" s="28">
        <f>AW543+AX543</f>
        <v>0</v>
      </c>
      <c r="BD543" s="28">
        <f>G543/(100-BE543)*100</f>
        <v>0</v>
      </c>
      <c r="BE543" s="28">
        <v>0</v>
      </c>
      <c r="BF543" s="28">
        <f>551</f>
        <v>551</v>
      </c>
      <c r="BH543" s="28">
        <f>F543*AO543</f>
        <v>0</v>
      </c>
      <c r="BI543" s="28">
        <f>F543*AP543</f>
        <v>0</v>
      </c>
      <c r="BJ543" s="28">
        <f>F543*G543</f>
        <v>0</v>
      </c>
      <c r="BK543" s="28"/>
      <c r="BL543" s="28">
        <v>21</v>
      </c>
      <c r="BW543" s="28">
        <v>21</v>
      </c>
      <c r="BX543" s="4" t="s">
        <v>983</v>
      </c>
    </row>
    <row r="544" spans="1:76" ht="13.5" customHeight="1" x14ac:dyDescent="0.25">
      <c r="A544" s="31"/>
      <c r="B544" s="35" t="s">
        <v>105</v>
      </c>
      <c r="C544" s="97" t="s">
        <v>985</v>
      </c>
      <c r="D544" s="98"/>
      <c r="E544" s="98"/>
      <c r="F544" s="98"/>
      <c r="G544" s="98"/>
      <c r="H544" s="98"/>
      <c r="I544" s="98"/>
      <c r="J544" s="98"/>
      <c r="K544" s="99"/>
    </row>
    <row r="545" spans="1:76" ht="51" x14ac:dyDescent="0.25">
      <c r="A545" s="31"/>
      <c r="B545" s="35" t="s">
        <v>68</v>
      </c>
      <c r="C545" s="94" t="s">
        <v>986</v>
      </c>
      <c r="D545" s="95"/>
      <c r="E545" s="95"/>
      <c r="F545" s="95"/>
      <c r="G545" s="95"/>
      <c r="H545" s="95"/>
      <c r="I545" s="95"/>
      <c r="J545" s="95"/>
      <c r="K545" s="96"/>
      <c r="BX545" s="36" t="s">
        <v>986</v>
      </c>
    </row>
    <row r="546" spans="1:76" x14ac:dyDescent="0.25">
      <c r="A546" s="24" t="s">
        <v>51</v>
      </c>
      <c r="B546" s="25" t="s">
        <v>335</v>
      </c>
      <c r="C546" s="87" t="s">
        <v>753</v>
      </c>
      <c r="D546" s="88"/>
      <c r="E546" s="26" t="s">
        <v>4</v>
      </c>
      <c r="F546" s="26" t="s">
        <v>4</v>
      </c>
      <c r="G546" s="26" t="s">
        <v>4</v>
      </c>
      <c r="H546" s="1">
        <f>SUM(H547:H547)</f>
        <v>0</v>
      </c>
      <c r="I546" s="1">
        <f>SUM(I547:I547)</f>
        <v>0</v>
      </c>
      <c r="J546" s="1">
        <f>SUM(J547:J547)</f>
        <v>0</v>
      </c>
      <c r="K546" s="27" t="s">
        <v>51</v>
      </c>
      <c r="AI546" s="10" t="s">
        <v>965</v>
      </c>
      <c r="AS546" s="1">
        <f>SUM(AJ547:AJ547)</f>
        <v>0</v>
      </c>
      <c r="AT546" s="1">
        <f>SUM(AK547:AK547)</f>
        <v>0</v>
      </c>
      <c r="AU546" s="1">
        <f>SUM(AL547:AL547)</f>
        <v>0</v>
      </c>
    </row>
    <row r="547" spans="1:76" x14ac:dyDescent="0.25">
      <c r="A547" s="2" t="s">
        <v>987</v>
      </c>
      <c r="B547" s="3" t="s">
        <v>988</v>
      </c>
      <c r="C547" s="76" t="s">
        <v>989</v>
      </c>
      <c r="D547" s="71"/>
      <c r="E547" s="3" t="s">
        <v>757</v>
      </c>
      <c r="F547" s="28">
        <v>2.6</v>
      </c>
      <c r="G547" s="28">
        <v>0</v>
      </c>
      <c r="H547" s="28">
        <f>ROUND(F547*AO547,2)</f>
        <v>0</v>
      </c>
      <c r="I547" s="28">
        <f>ROUND(F547*AP547,2)</f>
        <v>0</v>
      </c>
      <c r="J547" s="28">
        <f>ROUND(F547*G547,2)</f>
        <v>0</v>
      </c>
      <c r="K547" s="29" t="s">
        <v>60</v>
      </c>
      <c r="Z547" s="28">
        <f>ROUND(IF(AQ547="5",BJ547,0),2)</f>
        <v>0</v>
      </c>
      <c r="AB547" s="28">
        <f>ROUND(IF(AQ547="1",BH547,0),2)</f>
        <v>0</v>
      </c>
      <c r="AC547" s="28">
        <f>ROUND(IF(AQ547="1",BI547,0),2)</f>
        <v>0</v>
      </c>
      <c r="AD547" s="28">
        <f>ROUND(IF(AQ547="7",BH547,0),2)</f>
        <v>0</v>
      </c>
      <c r="AE547" s="28">
        <f>ROUND(IF(AQ547="7",BI547,0),2)</f>
        <v>0</v>
      </c>
      <c r="AF547" s="28">
        <f>ROUND(IF(AQ547="2",BH547,0),2)</f>
        <v>0</v>
      </c>
      <c r="AG547" s="28">
        <f>ROUND(IF(AQ547="2",BI547,0),2)</f>
        <v>0</v>
      </c>
      <c r="AH547" s="28">
        <f>ROUND(IF(AQ547="0",BJ547,0),2)</f>
        <v>0</v>
      </c>
      <c r="AI547" s="10" t="s">
        <v>965</v>
      </c>
      <c r="AJ547" s="28">
        <f>IF(AN547=0,J547,0)</f>
        <v>0</v>
      </c>
      <c r="AK547" s="28">
        <f>IF(AN547=12,J547,0)</f>
        <v>0</v>
      </c>
      <c r="AL547" s="28">
        <f>IF(AN547=21,J547,0)</f>
        <v>0</v>
      </c>
      <c r="AN547" s="28">
        <v>21</v>
      </c>
      <c r="AO547" s="28">
        <f>G547*0.571568305</f>
        <v>0</v>
      </c>
      <c r="AP547" s="28">
        <f>G547*(1-0.571568305)</f>
        <v>0</v>
      </c>
      <c r="AQ547" s="30" t="s">
        <v>56</v>
      </c>
      <c r="AV547" s="28">
        <f>ROUND(AW547+AX547,2)</f>
        <v>0</v>
      </c>
      <c r="AW547" s="28">
        <f>ROUND(F547*AO547,2)</f>
        <v>0</v>
      </c>
      <c r="AX547" s="28">
        <f>ROUND(F547*AP547,2)</f>
        <v>0</v>
      </c>
      <c r="AY547" s="30" t="s">
        <v>758</v>
      </c>
      <c r="AZ547" s="30" t="s">
        <v>990</v>
      </c>
      <c r="BA547" s="10" t="s">
        <v>970</v>
      </c>
      <c r="BC547" s="28">
        <f>AW547+AX547</f>
        <v>0</v>
      </c>
      <c r="BD547" s="28">
        <f>G547/(100-BE547)*100</f>
        <v>0</v>
      </c>
      <c r="BE547" s="28">
        <v>0</v>
      </c>
      <c r="BF547" s="28">
        <f>555</f>
        <v>555</v>
      </c>
      <c r="BH547" s="28">
        <f>F547*AO547</f>
        <v>0</v>
      </c>
      <c r="BI547" s="28">
        <f>F547*AP547</f>
        <v>0</v>
      </c>
      <c r="BJ547" s="28">
        <f>F547*G547</f>
        <v>0</v>
      </c>
      <c r="BK547" s="28"/>
      <c r="BL547" s="28">
        <v>43</v>
      </c>
      <c r="BW547" s="28">
        <v>21</v>
      </c>
      <c r="BX547" s="4" t="s">
        <v>989</v>
      </c>
    </row>
    <row r="548" spans="1:76" ht="13.5" customHeight="1" x14ac:dyDescent="0.25">
      <c r="A548" s="31"/>
      <c r="B548" s="35" t="s">
        <v>105</v>
      </c>
      <c r="C548" s="97" t="s">
        <v>991</v>
      </c>
      <c r="D548" s="98"/>
      <c r="E548" s="98"/>
      <c r="F548" s="98"/>
      <c r="G548" s="98"/>
      <c r="H548" s="98"/>
      <c r="I548" s="98"/>
      <c r="J548" s="98"/>
      <c r="K548" s="99"/>
    </row>
    <row r="549" spans="1:76" x14ac:dyDescent="0.25">
      <c r="A549" s="31"/>
      <c r="B549" s="35" t="s">
        <v>68</v>
      </c>
      <c r="C549" s="94" t="s">
        <v>992</v>
      </c>
      <c r="D549" s="95"/>
      <c r="E549" s="95"/>
      <c r="F549" s="95"/>
      <c r="G549" s="95"/>
      <c r="H549" s="95"/>
      <c r="I549" s="95"/>
      <c r="J549" s="95"/>
      <c r="K549" s="96"/>
      <c r="BX549" s="36" t="s">
        <v>992</v>
      </c>
    </row>
    <row r="550" spans="1:76" x14ac:dyDescent="0.25">
      <c r="A550" s="24" t="s">
        <v>51</v>
      </c>
      <c r="B550" s="25" t="s">
        <v>413</v>
      </c>
      <c r="C550" s="87" t="s">
        <v>681</v>
      </c>
      <c r="D550" s="88"/>
      <c r="E550" s="26" t="s">
        <v>4</v>
      </c>
      <c r="F550" s="26" t="s">
        <v>4</v>
      </c>
      <c r="G550" s="26" t="s">
        <v>4</v>
      </c>
      <c r="H550" s="1">
        <f>SUM(H551:H565)</f>
        <v>0</v>
      </c>
      <c r="I550" s="1">
        <f>SUM(I551:I565)</f>
        <v>0</v>
      </c>
      <c r="J550" s="1">
        <f>SUM(J551:J565)</f>
        <v>0</v>
      </c>
      <c r="K550" s="27" t="s">
        <v>51</v>
      </c>
      <c r="AI550" s="10" t="s">
        <v>965</v>
      </c>
      <c r="AS550" s="1">
        <f>SUM(AJ551:AJ565)</f>
        <v>0</v>
      </c>
      <c r="AT550" s="1">
        <f>SUM(AK551:AK565)</f>
        <v>0</v>
      </c>
      <c r="AU550" s="1">
        <f>SUM(AL551:AL565)</f>
        <v>0</v>
      </c>
    </row>
    <row r="551" spans="1:76" x14ac:dyDescent="0.25">
      <c r="A551" s="2" t="s">
        <v>993</v>
      </c>
      <c r="B551" s="3" t="s">
        <v>994</v>
      </c>
      <c r="C551" s="76" t="s">
        <v>995</v>
      </c>
      <c r="D551" s="71"/>
      <c r="E551" s="3" t="s">
        <v>103</v>
      </c>
      <c r="F551" s="28">
        <v>90</v>
      </c>
      <c r="G551" s="28">
        <v>0</v>
      </c>
      <c r="H551" s="28">
        <f>ROUND(F551*AO551,2)</f>
        <v>0</v>
      </c>
      <c r="I551" s="28">
        <f>ROUND(F551*AP551,2)</f>
        <v>0</v>
      </c>
      <c r="J551" s="28">
        <f>ROUND(F551*G551,2)</f>
        <v>0</v>
      </c>
      <c r="K551" s="29" t="s">
        <v>60</v>
      </c>
      <c r="Z551" s="28">
        <f>ROUND(IF(AQ551="5",BJ551,0),2)</f>
        <v>0</v>
      </c>
      <c r="AB551" s="28">
        <f>ROUND(IF(AQ551="1",BH551,0),2)</f>
        <v>0</v>
      </c>
      <c r="AC551" s="28">
        <f>ROUND(IF(AQ551="1",BI551,0),2)</f>
        <v>0</v>
      </c>
      <c r="AD551" s="28">
        <f>ROUND(IF(AQ551="7",BH551,0),2)</f>
        <v>0</v>
      </c>
      <c r="AE551" s="28">
        <f>ROUND(IF(AQ551="7",BI551,0),2)</f>
        <v>0</v>
      </c>
      <c r="AF551" s="28">
        <f>ROUND(IF(AQ551="2",BH551,0),2)</f>
        <v>0</v>
      </c>
      <c r="AG551" s="28">
        <f>ROUND(IF(AQ551="2",BI551,0),2)</f>
        <v>0</v>
      </c>
      <c r="AH551" s="28">
        <f>ROUND(IF(AQ551="0",BJ551,0),2)</f>
        <v>0</v>
      </c>
      <c r="AI551" s="10" t="s">
        <v>965</v>
      </c>
      <c r="AJ551" s="28">
        <f>IF(AN551=0,J551,0)</f>
        <v>0</v>
      </c>
      <c r="AK551" s="28">
        <f>IF(AN551=12,J551,0)</f>
        <v>0</v>
      </c>
      <c r="AL551" s="28">
        <f>IF(AN551=21,J551,0)</f>
        <v>0</v>
      </c>
      <c r="AN551" s="28">
        <v>21</v>
      </c>
      <c r="AO551" s="28">
        <f>G551*0.916937698</f>
        <v>0</v>
      </c>
      <c r="AP551" s="28">
        <f>G551*(1-0.916937698)</f>
        <v>0</v>
      </c>
      <c r="AQ551" s="30" t="s">
        <v>56</v>
      </c>
      <c r="AV551" s="28">
        <f>ROUND(AW551+AX551,2)</f>
        <v>0</v>
      </c>
      <c r="AW551" s="28">
        <f>ROUND(F551*AO551,2)</f>
        <v>0</v>
      </c>
      <c r="AX551" s="28">
        <f>ROUND(F551*AP551,2)</f>
        <v>0</v>
      </c>
      <c r="AY551" s="30" t="s">
        <v>685</v>
      </c>
      <c r="AZ551" s="30" t="s">
        <v>996</v>
      </c>
      <c r="BA551" s="10" t="s">
        <v>970</v>
      </c>
      <c r="BC551" s="28">
        <f>AW551+AX551</f>
        <v>0</v>
      </c>
      <c r="BD551" s="28">
        <f>G551/(100-BE551)*100</f>
        <v>0</v>
      </c>
      <c r="BE551" s="28">
        <v>0</v>
      </c>
      <c r="BF551" s="28">
        <f>559</f>
        <v>559</v>
      </c>
      <c r="BH551" s="28">
        <f>F551*AO551</f>
        <v>0</v>
      </c>
      <c r="BI551" s="28">
        <f>F551*AP551</f>
        <v>0</v>
      </c>
      <c r="BJ551" s="28">
        <f>F551*G551</f>
        <v>0</v>
      </c>
      <c r="BK551" s="28"/>
      <c r="BL551" s="28">
        <v>56</v>
      </c>
      <c r="BW551" s="28">
        <v>21</v>
      </c>
      <c r="BX551" s="4" t="s">
        <v>995</v>
      </c>
    </row>
    <row r="552" spans="1:76" x14ac:dyDescent="0.25">
      <c r="A552" s="31"/>
      <c r="C552" s="32" t="s">
        <v>196</v>
      </c>
      <c r="D552" s="32" t="s">
        <v>997</v>
      </c>
      <c r="F552" s="33">
        <v>90</v>
      </c>
      <c r="K552" s="34"/>
    </row>
    <row r="553" spans="1:76" x14ac:dyDescent="0.25">
      <c r="A553" s="2" t="s">
        <v>998</v>
      </c>
      <c r="B553" s="3" t="s">
        <v>999</v>
      </c>
      <c r="C553" s="76" t="s">
        <v>1000</v>
      </c>
      <c r="D553" s="71"/>
      <c r="E553" s="3" t="s">
        <v>103</v>
      </c>
      <c r="F553" s="28">
        <v>104</v>
      </c>
      <c r="G553" s="28">
        <v>0</v>
      </c>
      <c r="H553" s="28">
        <f>ROUND(F553*AO553,2)</f>
        <v>0</v>
      </c>
      <c r="I553" s="28">
        <f>ROUND(F553*AP553,2)</f>
        <v>0</v>
      </c>
      <c r="J553" s="28">
        <f>ROUND(F553*G553,2)</f>
        <v>0</v>
      </c>
      <c r="K553" s="29" t="s">
        <v>60</v>
      </c>
      <c r="Z553" s="28">
        <f>ROUND(IF(AQ553="5",BJ553,0),2)</f>
        <v>0</v>
      </c>
      <c r="AB553" s="28">
        <f>ROUND(IF(AQ553="1",BH553,0),2)</f>
        <v>0</v>
      </c>
      <c r="AC553" s="28">
        <f>ROUND(IF(AQ553="1",BI553,0),2)</f>
        <v>0</v>
      </c>
      <c r="AD553" s="28">
        <f>ROUND(IF(AQ553="7",BH553,0),2)</f>
        <v>0</v>
      </c>
      <c r="AE553" s="28">
        <f>ROUND(IF(AQ553="7",BI553,0),2)</f>
        <v>0</v>
      </c>
      <c r="AF553" s="28">
        <f>ROUND(IF(AQ553="2",BH553,0),2)</f>
        <v>0</v>
      </c>
      <c r="AG553" s="28">
        <f>ROUND(IF(AQ553="2",BI553,0),2)</f>
        <v>0</v>
      </c>
      <c r="AH553" s="28">
        <f>ROUND(IF(AQ553="0",BJ553,0),2)</f>
        <v>0</v>
      </c>
      <c r="AI553" s="10" t="s">
        <v>965</v>
      </c>
      <c r="AJ553" s="28">
        <f>IF(AN553=0,J553,0)</f>
        <v>0</v>
      </c>
      <c r="AK553" s="28">
        <f>IF(AN553=12,J553,0)</f>
        <v>0</v>
      </c>
      <c r="AL553" s="28">
        <f>IF(AN553=21,J553,0)</f>
        <v>0</v>
      </c>
      <c r="AN553" s="28">
        <v>21</v>
      </c>
      <c r="AO553" s="28">
        <f>G553*0.82474359</f>
        <v>0</v>
      </c>
      <c r="AP553" s="28">
        <f>G553*(1-0.82474359)</f>
        <v>0</v>
      </c>
      <c r="AQ553" s="30" t="s">
        <v>56</v>
      </c>
      <c r="AV553" s="28">
        <f>ROUND(AW553+AX553,2)</f>
        <v>0</v>
      </c>
      <c r="AW553" s="28">
        <f>ROUND(F553*AO553,2)</f>
        <v>0</v>
      </c>
      <c r="AX553" s="28">
        <f>ROUND(F553*AP553,2)</f>
        <v>0</v>
      </c>
      <c r="AY553" s="30" t="s">
        <v>685</v>
      </c>
      <c r="AZ553" s="30" t="s">
        <v>996</v>
      </c>
      <c r="BA553" s="10" t="s">
        <v>970</v>
      </c>
      <c r="BC553" s="28">
        <f>AW553+AX553</f>
        <v>0</v>
      </c>
      <c r="BD553" s="28">
        <f>G553/(100-BE553)*100</f>
        <v>0</v>
      </c>
      <c r="BE553" s="28">
        <v>0</v>
      </c>
      <c r="BF553" s="28">
        <f>561</f>
        <v>561</v>
      </c>
      <c r="BH553" s="28">
        <f>F553*AO553</f>
        <v>0</v>
      </c>
      <c r="BI553" s="28">
        <f>F553*AP553</f>
        <v>0</v>
      </c>
      <c r="BJ553" s="28">
        <f>F553*G553</f>
        <v>0</v>
      </c>
      <c r="BK553" s="28"/>
      <c r="BL553" s="28">
        <v>56</v>
      </c>
      <c r="BW553" s="28">
        <v>21</v>
      </c>
      <c r="BX553" s="4" t="s">
        <v>1000</v>
      </c>
    </row>
    <row r="554" spans="1:76" x14ac:dyDescent="0.25">
      <c r="A554" s="31"/>
      <c r="C554" s="32" t="s">
        <v>636</v>
      </c>
      <c r="D554" s="32" t="s">
        <v>971</v>
      </c>
      <c r="F554" s="33">
        <v>104</v>
      </c>
      <c r="K554" s="34"/>
    </row>
    <row r="555" spans="1:76" ht="25.5" x14ac:dyDescent="0.25">
      <c r="A555" s="31"/>
      <c r="B555" s="35" t="s">
        <v>68</v>
      </c>
      <c r="C555" s="94" t="s">
        <v>1001</v>
      </c>
      <c r="D555" s="95"/>
      <c r="E555" s="95"/>
      <c r="F555" s="95"/>
      <c r="G555" s="95"/>
      <c r="H555" s="95"/>
      <c r="I555" s="95"/>
      <c r="J555" s="95"/>
      <c r="K555" s="96"/>
      <c r="BX555" s="36" t="s">
        <v>1001</v>
      </c>
    </row>
    <row r="556" spans="1:76" x14ac:dyDescent="0.25">
      <c r="A556" s="2" t="s">
        <v>1002</v>
      </c>
      <c r="B556" s="3" t="s">
        <v>772</v>
      </c>
      <c r="C556" s="76" t="s">
        <v>1003</v>
      </c>
      <c r="D556" s="71"/>
      <c r="E556" s="3" t="s">
        <v>103</v>
      </c>
      <c r="F556" s="28">
        <v>104</v>
      </c>
      <c r="G556" s="28">
        <v>0</v>
      </c>
      <c r="H556" s="28">
        <f>ROUND(F556*AO556,2)</f>
        <v>0</v>
      </c>
      <c r="I556" s="28">
        <f>ROUND(F556*AP556,2)</f>
        <v>0</v>
      </c>
      <c r="J556" s="28">
        <f>ROUND(F556*G556,2)</f>
        <v>0</v>
      </c>
      <c r="K556" s="29" t="s">
        <v>60</v>
      </c>
      <c r="Z556" s="28">
        <f>ROUND(IF(AQ556="5",BJ556,0),2)</f>
        <v>0</v>
      </c>
      <c r="AB556" s="28">
        <f>ROUND(IF(AQ556="1",BH556,0),2)</f>
        <v>0</v>
      </c>
      <c r="AC556" s="28">
        <f>ROUND(IF(AQ556="1",BI556,0),2)</f>
        <v>0</v>
      </c>
      <c r="AD556" s="28">
        <f>ROUND(IF(AQ556="7",BH556,0),2)</f>
        <v>0</v>
      </c>
      <c r="AE556" s="28">
        <f>ROUND(IF(AQ556="7",BI556,0),2)</f>
        <v>0</v>
      </c>
      <c r="AF556" s="28">
        <f>ROUND(IF(AQ556="2",BH556,0),2)</f>
        <v>0</v>
      </c>
      <c r="AG556" s="28">
        <f>ROUND(IF(AQ556="2",BI556,0),2)</f>
        <v>0</v>
      </c>
      <c r="AH556" s="28">
        <f>ROUND(IF(AQ556="0",BJ556,0),2)</f>
        <v>0</v>
      </c>
      <c r="AI556" s="10" t="s">
        <v>965</v>
      </c>
      <c r="AJ556" s="28">
        <f>IF(AN556=0,J556,0)</f>
        <v>0</v>
      </c>
      <c r="AK556" s="28">
        <f>IF(AN556=12,J556,0)</f>
        <v>0</v>
      </c>
      <c r="AL556" s="28">
        <f>IF(AN556=21,J556,0)</f>
        <v>0</v>
      </c>
      <c r="AN556" s="28">
        <v>21</v>
      </c>
      <c r="AO556" s="28">
        <f>G556*0.846008772</f>
        <v>0</v>
      </c>
      <c r="AP556" s="28">
        <f>G556*(1-0.846008772)</f>
        <v>0</v>
      </c>
      <c r="AQ556" s="30" t="s">
        <v>56</v>
      </c>
      <c r="AV556" s="28">
        <f>ROUND(AW556+AX556,2)</f>
        <v>0</v>
      </c>
      <c r="AW556" s="28">
        <f>ROUND(F556*AO556,2)</f>
        <v>0</v>
      </c>
      <c r="AX556" s="28">
        <f>ROUND(F556*AP556,2)</f>
        <v>0</v>
      </c>
      <c r="AY556" s="30" t="s">
        <v>685</v>
      </c>
      <c r="AZ556" s="30" t="s">
        <v>996</v>
      </c>
      <c r="BA556" s="10" t="s">
        <v>970</v>
      </c>
      <c r="BC556" s="28">
        <f>AW556+AX556</f>
        <v>0</v>
      </c>
      <c r="BD556" s="28">
        <f>G556/(100-BE556)*100</f>
        <v>0</v>
      </c>
      <c r="BE556" s="28">
        <v>0</v>
      </c>
      <c r="BF556" s="28">
        <f>564</f>
        <v>564</v>
      </c>
      <c r="BH556" s="28">
        <f>F556*AO556</f>
        <v>0</v>
      </c>
      <c r="BI556" s="28">
        <f>F556*AP556</f>
        <v>0</v>
      </c>
      <c r="BJ556" s="28">
        <f>F556*G556</f>
        <v>0</v>
      </c>
      <c r="BK556" s="28"/>
      <c r="BL556" s="28">
        <v>56</v>
      </c>
      <c r="BW556" s="28">
        <v>21</v>
      </c>
      <c r="BX556" s="4" t="s">
        <v>1003</v>
      </c>
    </row>
    <row r="557" spans="1:76" x14ac:dyDescent="0.25">
      <c r="A557" s="31"/>
      <c r="C557" s="32" t="s">
        <v>636</v>
      </c>
      <c r="D557" s="32" t="s">
        <v>1004</v>
      </c>
      <c r="F557" s="33">
        <v>104</v>
      </c>
      <c r="K557" s="34"/>
    </row>
    <row r="558" spans="1:76" ht="25.5" x14ac:dyDescent="0.25">
      <c r="A558" s="31"/>
      <c r="B558" s="35" t="s">
        <v>68</v>
      </c>
      <c r="C558" s="94" t="s">
        <v>778</v>
      </c>
      <c r="D558" s="95"/>
      <c r="E558" s="95"/>
      <c r="F558" s="95"/>
      <c r="G558" s="95"/>
      <c r="H558" s="95"/>
      <c r="I558" s="95"/>
      <c r="J558" s="95"/>
      <c r="K558" s="96"/>
      <c r="BX558" s="36" t="s">
        <v>778</v>
      </c>
    </row>
    <row r="559" spans="1:76" x14ac:dyDescent="0.25">
      <c r="A559" s="2" t="s">
        <v>822</v>
      </c>
      <c r="B559" s="3" t="s">
        <v>780</v>
      </c>
      <c r="C559" s="76" t="s">
        <v>781</v>
      </c>
      <c r="D559" s="71"/>
      <c r="E559" s="3" t="s">
        <v>103</v>
      </c>
      <c r="F559" s="28">
        <v>104</v>
      </c>
      <c r="G559" s="28">
        <v>0</v>
      </c>
      <c r="H559" s="28">
        <f>ROUND(F559*AO559,2)</f>
        <v>0</v>
      </c>
      <c r="I559" s="28">
        <f>ROUND(F559*AP559,2)</f>
        <v>0</v>
      </c>
      <c r="J559" s="28">
        <f>ROUND(F559*G559,2)</f>
        <v>0</v>
      </c>
      <c r="K559" s="29" t="s">
        <v>60</v>
      </c>
      <c r="Z559" s="28">
        <f>ROUND(IF(AQ559="5",BJ559,0),2)</f>
        <v>0</v>
      </c>
      <c r="AB559" s="28">
        <f>ROUND(IF(AQ559="1",BH559,0),2)</f>
        <v>0</v>
      </c>
      <c r="AC559" s="28">
        <f>ROUND(IF(AQ559="1",BI559,0),2)</f>
        <v>0</v>
      </c>
      <c r="AD559" s="28">
        <f>ROUND(IF(AQ559="7",BH559,0),2)</f>
        <v>0</v>
      </c>
      <c r="AE559" s="28">
        <f>ROUND(IF(AQ559="7",BI559,0),2)</f>
        <v>0</v>
      </c>
      <c r="AF559" s="28">
        <f>ROUND(IF(AQ559="2",BH559,0),2)</f>
        <v>0</v>
      </c>
      <c r="AG559" s="28">
        <f>ROUND(IF(AQ559="2",BI559,0),2)</f>
        <v>0</v>
      </c>
      <c r="AH559" s="28">
        <f>ROUND(IF(AQ559="0",BJ559,0),2)</f>
        <v>0</v>
      </c>
      <c r="AI559" s="10" t="s">
        <v>965</v>
      </c>
      <c r="AJ559" s="28">
        <f>IF(AN559=0,J559,0)</f>
        <v>0</v>
      </c>
      <c r="AK559" s="28">
        <f>IF(AN559=12,J559,0)</f>
        <v>0</v>
      </c>
      <c r="AL559" s="28">
        <f>IF(AN559=21,J559,0)</f>
        <v>0</v>
      </c>
      <c r="AN559" s="28">
        <v>21</v>
      </c>
      <c r="AO559" s="28">
        <f>G559*0</f>
        <v>0</v>
      </c>
      <c r="AP559" s="28">
        <f>G559*(1-0)</f>
        <v>0</v>
      </c>
      <c r="AQ559" s="30" t="s">
        <v>56</v>
      </c>
      <c r="AV559" s="28">
        <f>ROUND(AW559+AX559,2)</f>
        <v>0</v>
      </c>
      <c r="AW559" s="28">
        <f>ROUND(F559*AO559,2)</f>
        <v>0</v>
      </c>
      <c r="AX559" s="28">
        <f>ROUND(F559*AP559,2)</f>
        <v>0</v>
      </c>
      <c r="AY559" s="30" t="s">
        <v>685</v>
      </c>
      <c r="AZ559" s="30" t="s">
        <v>996</v>
      </c>
      <c r="BA559" s="10" t="s">
        <v>970</v>
      </c>
      <c r="BC559" s="28">
        <f>AW559+AX559</f>
        <v>0</v>
      </c>
      <c r="BD559" s="28">
        <f>G559/(100-BE559)*100</f>
        <v>0</v>
      </c>
      <c r="BE559" s="28">
        <v>0</v>
      </c>
      <c r="BF559" s="28">
        <f>567</f>
        <v>567</v>
      </c>
      <c r="BH559" s="28">
        <f>F559*AO559</f>
        <v>0</v>
      </c>
      <c r="BI559" s="28">
        <f>F559*AP559</f>
        <v>0</v>
      </c>
      <c r="BJ559" s="28">
        <f>F559*G559</f>
        <v>0</v>
      </c>
      <c r="BK559" s="28"/>
      <c r="BL559" s="28">
        <v>56</v>
      </c>
      <c r="BW559" s="28">
        <v>21</v>
      </c>
      <c r="BX559" s="4" t="s">
        <v>781</v>
      </c>
    </row>
    <row r="560" spans="1:76" x14ac:dyDescent="0.25">
      <c r="A560" s="31"/>
      <c r="C560" s="32" t="s">
        <v>636</v>
      </c>
      <c r="D560" s="32" t="s">
        <v>1005</v>
      </c>
      <c r="F560" s="33">
        <v>104</v>
      </c>
      <c r="K560" s="34"/>
    </row>
    <row r="561" spans="1:76" x14ac:dyDescent="0.25">
      <c r="A561" s="2" t="s">
        <v>1006</v>
      </c>
      <c r="B561" s="3" t="s">
        <v>783</v>
      </c>
      <c r="C561" s="76" t="s">
        <v>1007</v>
      </c>
      <c r="D561" s="71"/>
      <c r="E561" s="3" t="s">
        <v>103</v>
      </c>
      <c r="F561" s="28">
        <v>114.4</v>
      </c>
      <c r="G561" s="28">
        <v>0</v>
      </c>
      <c r="H561" s="28">
        <f>ROUND(F561*AO561,2)</f>
        <v>0</v>
      </c>
      <c r="I561" s="28">
        <f>ROUND(F561*AP561,2)</f>
        <v>0</v>
      </c>
      <c r="J561" s="28">
        <f>ROUND(F561*G561,2)</f>
        <v>0</v>
      </c>
      <c r="K561" s="29" t="s">
        <v>60</v>
      </c>
      <c r="Z561" s="28">
        <f>ROUND(IF(AQ561="5",BJ561,0),2)</f>
        <v>0</v>
      </c>
      <c r="AB561" s="28">
        <f>ROUND(IF(AQ561="1",BH561,0),2)</f>
        <v>0</v>
      </c>
      <c r="AC561" s="28">
        <f>ROUND(IF(AQ561="1",BI561,0),2)</f>
        <v>0</v>
      </c>
      <c r="AD561" s="28">
        <f>ROUND(IF(AQ561="7",BH561,0),2)</f>
        <v>0</v>
      </c>
      <c r="AE561" s="28">
        <f>ROUND(IF(AQ561="7",BI561,0),2)</f>
        <v>0</v>
      </c>
      <c r="AF561" s="28">
        <f>ROUND(IF(AQ561="2",BH561,0),2)</f>
        <v>0</v>
      </c>
      <c r="AG561" s="28">
        <f>ROUND(IF(AQ561="2",BI561,0),2)</f>
        <v>0</v>
      </c>
      <c r="AH561" s="28">
        <f>ROUND(IF(AQ561="0",BJ561,0),2)</f>
        <v>0</v>
      </c>
      <c r="AI561" s="10" t="s">
        <v>965</v>
      </c>
      <c r="AJ561" s="28">
        <f>IF(AN561=0,J561,0)</f>
        <v>0</v>
      </c>
      <c r="AK561" s="28">
        <f>IF(AN561=12,J561,0)</f>
        <v>0</v>
      </c>
      <c r="AL561" s="28">
        <f>IF(AN561=21,J561,0)</f>
        <v>0</v>
      </c>
      <c r="AN561" s="28">
        <v>21</v>
      </c>
      <c r="AO561" s="28">
        <f>G561*1</f>
        <v>0</v>
      </c>
      <c r="AP561" s="28">
        <f>G561*(1-1)</f>
        <v>0</v>
      </c>
      <c r="AQ561" s="30" t="s">
        <v>56</v>
      </c>
      <c r="AV561" s="28">
        <f>ROUND(AW561+AX561,2)</f>
        <v>0</v>
      </c>
      <c r="AW561" s="28">
        <f>ROUND(F561*AO561,2)</f>
        <v>0</v>
      </c>
      <c r="AX561" s="28">
        <f>ROUND(F561*AP561,2)</f>
        <v>0</v>
      </c>
      <c r="AY561" s="30" t="s">
        <v>685</v>
      </c>
      <c r="AZ561" s="30" t="s">
        <v>996</v>
      </c>
      <c r="BA561" s="10" t="s">
        <v>970</v>
      </c>
      <c r="BC561" s="28">
        <f>AW561+AX561</f>
        <v>0</v>
      </c>
      <c r="BD561" s="28">
        <f>G561/(100-BE561)*100</f>
        <v>0</v>
      </c>
      <c r="BE561" s="28">
        <v>0</v>
      </c>
      <c r="BF561" s="28">
        <f>569</f>
        <v>569</v>
      </c>
      <c r="BH561" s="28">
        <f>F561*AO561</f>
        <v>0</v>
      </c>
      <c r="BI561" s="28">
        <f>F561*AP561</f>
        <v>0</v>
      </c>
      <c r="BJ561" s="28">
        <f>F561*G561</f>
        <v>0</v>
      </c>
      <c r="BK561" s="28"/>
      <c r="BL561" s="28">
        <v>56</v>
      </c>
      <c r="BW561" s="28">
        <v>21</v>
      </c>
      <c r="BX561" s="4" t="s">
        <v>1007</v>
      </c>
    </row>
    <row r="562" spans="1:76" x14ac:dyDescent="0.25">
      <c r="A562" s="31"/>
      <c r="C562" s="32" t="s">
        <v>636</v>
      </c>
      <c r="D562" s="32" t="s">
        <v>971</v>
      </c>
      <c r="F562" s="33">
        <v>104</v>
      </c>
      <c r="K562" s="34"/>
    </row>
    <row r="563" spans="1:76" x14ac:dyDescent="0.25">
      <c r="A563" s="31"/>
      <c r="C563" s="32" t="s">
        <v>1008</v>
      </c>
      <c r="D563" s="32" t="s">
        <v>51</v>
      </c>
      <c r="F563" s="33">
        <v>10.4</v>
      </c>
      <c r="K563" s="34"/>
    </row>
    <row r="564" spans="1:76" ht="102" x14ac:dyDescent="0.25">
      <c r="A564" s="31"/>
      <c r="B564" s="35" t="s">
        <v>68</v>
      </c>
      <c r="C564" s="94" t="s">
        <v>1009</v>
      </c>
      <c r="D564" s="95"/>
      <c r="E564" s="95"/>
      <c r="F564" s="95"/>
      <c r="G564" s="95"/>
      <c r="H564" s="95"/>
      <c r="I564" s="95"/>
      <c r="J564" s="95"/>
      <c r="K564" s="96"/>
      <c r="BX564" s="36" t="s">
        <v>1009</v>
      </c>
    </row>
    <row r="565" spans="1:76" x14ac:dyDescent="0.25">
      <c r="A565" s="2" t="s">
        <v>1010</v>
      </c>
      <c r="B565" s="3" t="s">
        <v>790</v>
      </c>
      <c r="C565" s="76" t="s">
        <v>791</v>
      </c>
      <c r="D565" s="71"/>
      <c r="E565" s="3" t="s">
        <v>103</v>
      </c>
      <c r="F565" s="28">
        <v>13</v>
      </c>
      <c r="G565" s="28">
        <v>0</v>
      </c>
      <c r="H565" s="28">
        <f>ROUND(F565*AO565,2)</f>
        <v>0</v>
      </c>
      <c r="I565" s="28">
        <f>ROUND(F565*AP565,2)</f>
        <v>0</v>
      </c>
      <c r="J565" s="28">
        <f>ROUND(F565*G565,2)</f>
        <v>0</v>
      </c>
      <c r="K565" s="29" t="s">
        <v>60</v>
      </c>
      <c r="Z565" s="28">
        <f>ROUND(IF(AQ565="5",BJ565,0),2)</f>
        <v>0</v>
      </c>
      <c r="AB565" s="28">
        <f>ROUND(IF(AQ565="1",BH565,0),2)</f>
        <v>0</v>
      </c>
      <c r="AC565" s="28">
        <f>ROUND(IF(AQ565="1",BI565,0),2)</f>
        <v>0</v>
      </c>
      <c r="AD565" s="28">
        <f>ROUND(IF(AQ565="7",BH565,0),2)</f>
        <v>0</v>
      </c>
      <c r="AE565" s="28">
        <f>ROUND(IF(AQ565="7",BI565,0),2)</f>
        <v>0</v>
      </c>
      <c r="AF565" s="28">
        <f>ROUND(IF(AQ565="2",BH565,0),2)</f>
        <v>0</v>
      </c>
      <c r="AG565" s="28">
        <f>ROUND(IF(AQ565="2",BI565,0),2)</f>
        <v>0</v>
      </c>
      <c r="AH565" s="28">
        <f>ROUND(IF(AQ565="0",BJ565,0),2)</f>
        <v>0</v>
      </c>
      <c r="AI565" s="10" t="s">
        <v>965</v>
      </c>
      <c r="AJ565" s="28">
        <f>IF(AN565=0,J565,0)</f>
        <v>0</v>
      </c>
      <c r="AK565" s="28">
        <f>IF(AN565=12,J565,0)</f>
        <v>0</v>
      </c>
      <c r="AL565" s="28">
        <f>IF(AN565=21,J565,0)</f>
        <v>0</v>
      </c>
      <c r="AN565" s="28">
        <v>21</v>
      </c>
      <c r="AO565" s="28">
        <f>G565*0.818080203</f>
        <v>0</v>
      </c>
      <c r="AP565" s="28">
        <f>G565*(1-0.818080203)</f>
        <v>0</v>
      </c>
      <c r="AQ565" s="30" t="s">
        <v>56</v>
      </c>
      <c r="AV565" s="28">
        <f>ROUND(AW565+AX565,2)</f>
        <v>0</v>
      </c>
      <c r="AW565" s="28">
        <f>ROUND(F565*AO565,2)</f>
        <v>0</v>
      </c>
      <c r="AX565" s="28">
        <f>ROUND(F565*AP565,2)</f>
        <v>0</v>
      </c>
      <c r="AY565" s="30" t="s">
        <v>685</v>
      </c>
      <c r="AZ565" s="30" t="s">
        <v>996</v>
      </c>
      <c r="BA565" s="10" t="s">
        <v>970</v>
      </c>
      <c r="BC565" s="28">
        <f>AW565+AX565</f>
        <v>0</v>
      </c>
      <c r="BD565" s="28">
        <f>G565/(100-BE565)*100</f>
        <v>0</v>
      </c>
      <c r="BE565" s="28">
        <v>0</v>
      </c>
      <c r="BF565" s="28">
        <f>573</f>
        <v>573</v>
      </c>
      <c r="BH565" s="28">
        <f>F565*AO565</f>
        <v>0</v>
      </c>
      <c r="BI565" s="28">
        <f>F565*AP565</f>
        <v>0</v>
      </c>
      <c r="BJ565" s="28">
        <f>F565*G565</f>
        <v>0</v>
      </c>
      <c r="BK565" s="28"/>
      <c r="BL565" s="28">
        <v>56</v>
      </c>
      <c r="BW565" s="28">
        <v>21</v>
      </c>
      <c r="BX565" s="4" t="s">
        <v>791</v>
      </c>
    </row>
    <row r="566" spans="1:76" x14ac:dyDescent="0.25">
      <c r="A566" s="31"/>
      <c r="C566" s="32" t="s">
        <v>135</v>
      </c>
      <c r="D566" s="32" t="s">
        <v>793</v>
      </c>
      <c r="F566" s="33">
        <v>10</v>
      </c>
      <c r="K566" s="34"/>
    </row>
    <row r="567" spans="1:76" x14ac:dyDescent="0.25">
      <c r="A567" s="31"/>
      <c r="C567" s="32" t="s">
        <v>80</v>
      </c>
      <c r="D567" s="32" t="s">
        <v>980</v>
      </c>
      <c r="F567" s="33">
        <v>3</v>
      </c>
      <c r="K567" s="34"/>
    </row>
    <row r="568" spans="1:76" ht="25.5" x14ac:dyDescent="0.25">
      <c r="A568" s="31"/>
      <c r="B568" s="35" t="s">
        <v>68</v>
      </c>
      <c r="C568" s="94" t="s">
        <v>795</v>
      </c>
      <c r="D568" s="95"/>
      <c r="E568" s="95"/>
      <c r="F568" s="95"/>
      <c r="G568" s="95"/>
      <c r="H568" s="95"/>
      <c r="I568" s="95"/>
      <c r="J568" s="95"/>
      <c r="K568" s="96"/>
      <c r="BX568" s="36" t="s">
        <v>795</v>
      </c>
    </row>
    <row r="569" spans="1:76" x14ac:dyDescent="0.25">
      <c r="A569" s="24" t="s">
        <v>51</v>
      </c>
      <c r="B569" s="25" t="s">
        <v>304</v>
      </c>
      <c r="C569" s="87" t="s">
        <v>305</v>
      </c>
      <c r="D569" s="88"/>
      <c r="E569" s="26" t="s">
        <v>4</v>
      </c>
      <c r="F569" s="26" t="s">
        <v>4</v>
      </c>
      <c r="G569" s="26" t="s">
        <v>4</v>
      </c>
      <c r="H569" s="1">
        <f>SUM(H570:H589)</f>
        <v>0</v>
      </c>
      <c r="I569" s="1">
        <f>SUM(I570:I589)</f>
        <v>0</v>
      </c>
      <c r="J569" s="1">
        <f>SUM(J570:J589)</f>
        <v>0</v>
      </c>
      <c r="K569" s="27" t="s">
        <v>51</v>
      </c>
      <c r="AI569" s="10" t="s">
        <v>965</v>
      </c>
      <c r="AS569" s="1">
        <f>SUM(AJ570:AJ589)</f>
        <v>0</v>
      </c>
      <c r="AT569" s="1">
        <f>SUM(AK570:AK589)</f>
        <v>0</v>
      </c>
      <c r="AU569" s="1">
        <f>SUM(AL570:AL589)</f>
        <v>0</v>
      </c>
    </row>
    <row r="570" spans="1:76" x14ac:dyDescent="0.25">
      <c r="A570" s="2" t="s">
        <v>404</v>
      </c>
      <c r="B570" s="3" t="s">
        <v>807</v>
      </c>
      <c r="C570" s="76" t="s">
        <v>808</v>
      </c>
      <c r="D570" s="71"/>
      <c r="E570" s="3" t="s">
        <v>103</v>
      </c>
      <c r="F570" s="28">
        <v>90</v>
      </c>
      <c r="G570" s="28">
        <v>0</v>
      </c>
      <c r="H570" s="28">
        <f>ROUND(F570*AO570,2)</f>
        <v>0</v>
      </c>
      <c r="I570" s="28">
        <f>ROUND(F570*AP570,2)</f>
        <v>0</v>
      </c>
      <c r="J570" s="28">
        <f>ROUND(F570*G570,2)</f>
        <v>0</v>
      </c>
      <c r="K570" s="29" t="s">
        <v>60</v>
      </c>
      <c r="Z570" s="28">
        <f>ROUND(IF(AQ570="5",BJ570,0),2)</f>
        <v>0</v>
      </c>
      <c r="AB570" s="28">
        <f>ROUND(IF(AQ570="1",BH570,0),2)</f>
        <v>0</v>
      </c>
      <c r="AC570" s="28">
        <f>ROUND(IF(AQ570="1",BI570,0),2)</f>
        <v>0</v>
      </c>
      <c r="AD570" s="28">
        <f>ROUND(IF(AQ570="7",BH570,0),2)</f>
        <v>0</v>
      </c>
      <c r="AE570" s="28">
        <f>ROUND(IF(AQ570="7",BI570,0),2)</f>
        <v>0</v>
      </c>
      <c r="AF570" s="28">
        <f>ROUND(IF(AQ570="2",BH570,0),2)</f>
        <v>0</v>
      </c>
      <c r="AG570" s="28">
        <f>ROUND(IF(AQ570="2",BI570,0),2)</f>
        <v>0</v>
      </c>
      <c r="AH570" s="28">
        <f>ROUND(IF(AQ570="0",BJ570,0),2)</f>
        <v>0</v>
      </c>
      <c r="AI570" s="10" t="s">
        <v>965</v>
      </c>
      <c r="AJ570" s="28">
        <f>IF(AN570=0,J570,0)</f>
        <v>0</v>
      </c>
      <c r="AK570" s="28">
        <f>IF(AN570=12,J570,0)</f>
        <v>0</v>
      </c>
      <c r="AL570" s="28">
        <f>IF(AN570=21,J570,0)</f>
        <v>0</v>
      </c>
      <c r="AN570" s="28">
        <v>21</v>
      </c>
      <c r="AO570" s="28">
        <f>G570*0.195254731</f>
        <v>0</v>
      </c>
      <c r="AP570" s="28">
        <f>G570*(1-0.195254731)</f>
        <v>0</v>
      </c>
      <c r="AQ570" s="30" t="s">
        <v>56</v>
      </c>
      <c r="AV570" s="28">
        <f>ROUND(AW570+AX570,2)</f>
        <v>0</v>
      </c>
      <c r="AW570" s="28">
        <f>ROUND(F570*AO570,2)</f>
        <v>0</v>
      </c>
      <c r="AX570" s="28">
        <f>ROUND(F570*AP570,2)</f>
        <v>0</v>
      </c>
      <c r="AY570" s="30" t="s">
        <v>309</v>
      </c>
      <c r="AZ570" s="30" t="s">
        <v>996</v>
      </c>
      <c r="BA570" s="10" t="s">
        <v>970</v>
      </c>
      <c r="BC570" s="28">
        <f>AW570+AX570</f>
        <v>0</v>
      </c>
      <c r="BD570" s="28">
        <f>G570/(100-BE570)*100</f>
        <v>0</v>
      </c>
      <c r="BE570" s="28">
        <v>0</v>
      </c>
      <c r="BF570" s="28">
        <f>578</f>
        <v>578</v>
      </c>
      <c r="BH570" s="28">
        <f>F570*AO570</f>
        <v>0</v>
      </c>
      <c r="BI570" s="28">
        <f>F570*AP570</f>
        <v>0</v>
      </c>
      <c r="BJ570" s="28">
        <f>F570*G570</f>
        <v>0</v>
      </c>
      <c r="BK570" s="28"/>
      <c r="BL570" s="28">
        <v>59</v>
      </c>
      <c r="BW570" s="28">
        <v>21</v>
      </c>
      <c r="BX570" s="4" t="s">
        <v>808</v>
      </c>
    </row>
    <row r="571" spans="1:76" x14ac:dyDescent="0.25">
      <c r="A571" s="31"/>
      <c r="C571" s="32" t="s">
        <v>196</v>
      </c>
      <c r="D571" s="32" t="s">
        <v>971</v>
      </c>
      <c r="F571" s="33">
        <v>90</v>
      </c>
      <c r="K571" s="34"/>
    </row>
    <row r="572" spans="1:76" ht="63.75" x14ac:dyDescent="0.25">
      <c r="A572" s="31"/>
      <c r="B572" s="35" t="s">
        <v>68</v>
      </c>
      <c r="C572" s="94" t="s">
        <v>812</v>
      </c>
      <c r="D572" s="95"/>
      <c r="E572" s="95"/>
      <c r="F572" s="95"/>
      <c r="G572" s="95"/>
      <c r="H572" s="95"/>
      <c r="I572" s="95"/>
      <c r="J572" s="95"/>
      <c r="K572" s="96"/>
      <c r="BX572" s="36" t="s">
        <v>812</v>
      </c>
    </row>
    <row r="573" spans="1:76" x14ac:dyDescent="0.25">
      <c r="A573" s="2" t="s">
        <v>1011</v>
      </c>
      <c r="B573" s="3" t="s">
        <v>1012</v>
      </c>
      <c r="C573" s="76" t="s">
        <v>1013</v>
      </c>
      <c r="D573" s="71"/>
      <c r="E573" s="3" t="s">
        <v>103</v>
      </c>
      <c r="F573" s="28">
        <v>99</v>
      </c>
      <c r="G573" s="28">
        <v>0</v>
      </c>
      <c r="H573" s="28">
        <f>ROUND(F573*AO573,2)</f>
        <v>0</v>
      </c>
      <c r="I573" s="28">
        <f>ROUND(F573*AP573,2)</f>
        <v>0</v>
      </c>
      <c r="J573" s="28">
        <f>ROUND(F573*G573,2)</f>
        <v>0</v>
      </c>
      <c r="K573" s="29" t="s">
        <v>60</v>
      </c>
      <c r="Z573" s="28">
        <f>ROUND(IF(AQ573="5",BJ573,0),2)</f>
        <v>0</v>
      </c>
      <c r="AB573" s="28">
        <f>ROUND(IF(AQ573="1",BH573,0),2)</f>
        <v>0</v>
      </c>
      <c r="AC573" s="28">
        <f>ROUND(IF(AQ573="1",BI573,0),2)</f>
        <v>0</v>
      </c>
      <c r="AD573" s="28">
        <f>ROUND(IF(AQ573="7",BH573,0),2)</f>
        <v>0</v>
      </c>
      <c r="AE573" s="28">
        <f>ROUND(IF(AQ573="7",BI573,0),2)</f>
        <v>0</v>
      </c>
      <c r="AF573" s="28">
        <f>ROUND(IF(AQ573="2",BH573,0),2)</f>
        <v>0</v>
      </c>
      <c r="AG573" s="28">
        <f>ROUND(IF(AQ573="2",BI573,0),2)</f>
        <v>0</v>
      </c>
      <c r="AH573" s="28">
        <f>ROUND(IF(AQ573="0",BJ573,0),2)</f>
        <v>0</v>
      </c>
      <c r="AI573" s="10" t="s">
        <v>965</v>
      </c>
      <c r="AJ573" s="28">
        <f>IF(AN573=0,J573,0)</f>
        <v>0</v>
      </c>
      <c r="AK573" s="28">
        <f>IF(AN573=12,J573,0)</f>
        <v>0</v>
      </c>
      <c r="AL573" s="28">
        <f>IF(AN573=21,J573,0)</f>
        <v>0</v>
      </c>
      <c r="AN573" s="28">
        <v>21</v>
      </c>
      <c r="AO573" s="28">
        <f>G573*1</f>
        <v>0</v>
      </c>
      <c r="AP573" s="28">
        <f>G573*(1-1)</f>
        <v>0</v>
      </c>
      <c r="AQ573" s="30" t="s">
        <v>56</v>
      </c>
      <c r="AV573" s="28">
        <f>ROUND(AW573+AX573,2)</f>
        <v>0</v>
      </c>
      <c r="AW573" s="28">
        <f>ROUND(F573*AO573,2)</f>
        <v>0</v>
      </c>
      <c r="AX573" s="28">
        <f>ROUND(F573*AP573,2)</f>
        <v>0</v>
      </c>
      <c r="AY573" s="30" t="s">
        <v>309</v>
      </c>
      <c r="AZ573" s="30" t="s">
        <v>996</v>
      </c>
      <c r="BA573" s="10" t="s">
        <v>970</v>
      </c>
      <c r="BC573" s="28">
        <f>AW573+AX573</f>
        <v>0</v>
      </c>
      <c r="BD573" s="28">
        <f>G573/(100-BE573)*100</f>
        <v>0</v>
      </c>
      <c r="BE573" s="28">
        <v>0</v>
      </c>
      <c r="BF573" s="28">
        <f>581</f>
        <v>581</v>
      </c>
      <c r="BH573" s="28">
        <f>F573*AO573</f>
        <v>0</v>
      </c>
      <c r="BI573" s="28">
        <f>F573*AP573</f>
        <v>0</v>
      </c>
      <c r="BJ573" s="28">
        <f>F573*G573</f>
        <v>0</v>
      </c>
      <c r="BK573" s="28"/>
      <c r="BL573" s="28">
        <v>59</v>
      </c>
      <c r="BW573" s="28">
        <v>21</v>
      </c>
      <c r="BX573" s="4" t="s">
        <v>1013</v>
      </c>
    </row>
    <row r="574" spans="1:76" x14ac:dyDescent="0.25">
      <c r="A574" s="31"/>
      <c r="C574" s="32" t="s">
        <v>196</v>
      </c>
      <c r="D574" s="32" t="s">
        <v>971</v>
      </c>
      <c r="F574" s="33">
        <v>90</v>
      </c>
      <c r="K574" s="34"/>
    </row>
    <row r="575" spans="1:76" x14ac:dyDescent="0.25">
      <c r="A575" s="31"/>
      <c r="C575" s="32" t="s">
        <v>1014</v>
      </c>
      <c r="D575" s="32" t="s">
        <v>51</v>
      </c>
      <c r="F575" s="33">
        <v>9</v>
      </c>
      <c r="K575" s="34"/>
    </row>
    <row r="576" spans="1:76" x14ac:dyDescent="0.25">
      <c r="A576" s="31"/>
      <c r="B576" s="35" t="s">
        <v>68</v>
      </c>
      <c r="C576" s="94" t="s">
        <v>1015</v>
      </c>
      <c r="D576" s="95"/>
      <c r="E576" s="95"/>
      <c r="F576" s="95"/>
      <c r="G576" s="95"/>
      <c r="H576" s="95"/>
      <c r="I576" s="95"/>
      <c r="J576" s="95"/>
      <c r="K576" s="96"/>
      <c r="BX576" s="36" t="s">
        <v>1015</v>
      </c>
    </row>
    <row r="577" spans="1:76" x14ac:dyDescent="0.25">
      <c r="A577" s="2" t="s">
        <v>1016</v>
      </c>
      <c r="B577" s="3" t="s">
        <v>838</v>
      </c>
      <c r="C577" s="76" t="s">
        <v>839</v>
      </c>
      <c r="D577" s="71"/>
      <c r="E577" s="3" t="s">
        <v>188</v>
      </c>
      <c r="F577" s="28">
        <v>29</v>
      </c>
      <c r="G577" s="28">
        <v>0</v>
      </c>
      <c r="H577" s="28">
        <f>ROUND(F577*AO577,2)</f>
        <v>0</v>
      </c>
      <c r="I577" s="28">
        <f>ROUND(F577*AP577,2)</f>
        <v>0</v>
      </c>
      <c r="J577" s="28">
        <f>ROUND(F577*G577,2)</f>
        <v>0</v>
      </c>
      <c r="K577" s="29" t="s">
        <v>60</v>
      </c>
      <c r="Z577" s="28">
        <f>ROUND(IF(AQ577="5",BJ577,0),2)</f>
        <v>0</v>
      </c>
      <c r="AB577" s="28">
        <f>ROUND(IF(AQ577="1",BH577,0),2)</f>
        <v>0</v>
      </c>
      <c r="AC577" s="28">
        <f>ROUND(IF(AQ577="1",BI577,0),2)</f>
        <v>0</v>
      </c>
      <c r="AD577" s="28">
        <f>ROUND(IF(AQ577="7",BH577,0),2)</f>
        <v>0</v>
      </c>
      <c r="AE577" s="28">
        <f>ROUND(IF(AQ577="7",BI577,0),2)</f>
        <v>0</v>
      </c>
      <c r="AF577" s="28">
        <f>ROUND(IF(AQ577="2",BH577,0),2)</f>
        <v>0</v>
      </c>
      <c r="AG577" s="28">
        <f>ROUND(IF(AQ577="2",BI577,0),2)</f>
        <v>0</v>
      </c>
      <c r="AH577" s="28">
        <f>ROUND(IF(AQ577="0",BJ577,0),2)</f>
        <v>0</v>
      </c>
      <c r="AI577" s="10" t="s">
        <v>965</v>
      </c>
      <c r="AJ577" s="28">
        <f>IF(AN577=0,J577,0)</f>
        <v>0</v>
      </c>
      <c r="AK577" s="28">
        <f>IF(AN577=12,J577,0)</f>
        <v>0</v>
      </c>
      <c r="AL577" s="28">
        <f>IF(AN577=21,J577,0)</f>
        <v>0</v>
      </c>
      <c r="AN577" s="28">
        <v>21</v>
      </c>
      <c r="AO577" s="28">
        <f>G577*0.055096322</f>
        <v>0</v>
      </c>
      <c r="AP577" s="28">
        <f>G577*(1-0.055096322)</f>
        <v>0</v>
      </c>
      <c r="AQ577" s="30" t="s">
        <v>56</v>
      </c>
      <c r="AV577" s="28">
        <f>ROUND(AW577+AX577,2)</f>
        <v>0</v>
      </c>
      <c r="AW577" s="28">
        <f>ROUND(F577*AO577,2)</f>
        <v>0</v>
      </c>
      <c r="AX577" s="28">
        <f>ROUND(F577*AP577,2)</f>
        <v>0</v>
      </c>
      <c r="AY577" s="30" t="s">
        <v>309</v>
      </c>
      <c r="AZ577" s="30" t="s">
        <v>996</v>
      </c>
      <c r="BA577" s="10" t="s">
        <v>970</v>
      </c>
      <c r="BC577" s="28">
        <f>AW577+AX577</f>
        <v>0</v>
      </c>
      <c r="BD577" s="28">
        <f>G577/(100-BE577)*100</f>
        <v>0</v>
      </c>
      <c r="BE577" s="28">
        <v>0</v>
      </c>
      <c r="BF577" s="28">
        <f>585</f>
        <v>585</v>
      </c>
      <c r="BH577" s="28">
        <f>F577*AO577</f>
        <v>0</v>
      </c>
      <c r="BI577" s="28">
        <f>F577*AP577</f>
        <v>0</v>
      </c>
      <c r="BJ577" s="28">
        <f>F577*G577</f>
        <v>0</v>
      </c>
      <c r="BK577" s="28"/>
      <c r="BL577" s="28">
        <v>59</v>
      </c>
      <c r="BW577" s="28">
        <v>21</v>
      </c>
      <c r="BX577" s="4" t="s">
        <v>839</v>
      </c>
    </row>
    <row r="578" spans="1:76" x14ac:dyDescent="0.25">
      <c r="A578" s="31"/>
      <c r="C578" s="32" t="s">
        <v>261</v>
      </c>
      <c r="D578" s="32" t="s">
        <v>971</v>
      </c>
      <c r="F578" s="33">
        <v>29</v>
      </c>
      <c r="K578" s="34"/>
    </row>
    <row r="579" spans="1:76" x14ac:dyDescent="0.25">
      <c r="A579" s="2" t="s">
        <v>1017</v>
      </c>
      <c r="B579" s="3" t="s">
        <v>1018</v>
      </c>
      <c r="C579" s="76" t="s">
        <v>1019</v>
      </c>
      <c r="D579" s="71"/>
      <c r="E579" s="3" t="s">
        <v>188</v>
      </c>
      <c r="F579" s="28">
        <v>10</v>
      </c>
      <c r="G579" s="28">
        <v>0</v>
      </c>
      <c r="H579" s="28">
        <f>ROUND(F579*AO579,2)</f>
        <v>0</v>
      </c>
      <c r="I579" s="28">
        <f>ROUND(F579*AP579,2)</f>
        <v>0</v>
      </c>
      <c r="J579" s="28">
        <f>ROUND(F579*G579,2)</f>
        <v>0</v>
      </c>
      <c r="K579" s="29" t="s">
        <v>60</v>
      </c>
      <c r="Z579" s="28">
        <f>ROUND(IF(AQ579="5",BJ579,0),2)</f>
        <v>0</v>
      </c>
      <c r="AB579" s="28">
        <f>ROUND(IF(AQ579="1",BH579,0),2)</f>
        <v>0</v>
      </c>
      <c r="AC579" s="28">
        <f>ROUND(IF(AQ579="1",BI579,0),2)</f>
        <v>0</v>
      </c>
      <c r="AD579" s="28">
        <f>ROUND(IF(AQ579="7",BH579,0),2)</f>
        <v>0</v>
      </c>
      <c r="AE579" s="28">
        <f>ROUND(IF(AQ579="7",BI579,0),2)</f>
        <v>0</v>
      </c>
      <c r="AF579" s="28">
        <f>ROUND(IF(AQ579="2",BH579,0),2)</f>
        <v>0</v>
      </c>
      <c r="AG579" s="28">
        <f>ROUND(IF(AQ579="2",BI579,0),2)</f>
        <v>0</v>
      </c>
      <c r="AH579" s="28">
        <f>ROUND(IF(AQ579="0",BJ579,0),2)</f>
        <v>0</v>
      </c>
      <c r="AI579" s="10" t="s">
        <v>965</v>
      </c>
      <c r="AJ579" s="28">
        <f>IF(AN579=0,J579,0)</f>
        <v>0</v>
      </c>
      <c r="AK579" s="28">
        <f>IF(AN579=12,J579,0)</f>
        <v>0</v>
      </c>
      <c r="AL579" s="28">
        <f>IF(AN579=21,J579,0)</f>
        <v>0</v>
      </c>
      <c r="AN579" s="28">
        <v>21</v>
      </c>
      <c r="AO579" s="28">
        <f>G579*0.053195815</f>
        <v>0</v>
      </c>
      <c r="AP579" s="28">
        <f>G579*(1-0.053195815)</f>
        <v>0</v>
      </c>
      <c r="AQ579" s="30" t="s">
        <v>56</v>
      </c>
      <c r="AV579" s="28">
        <f>ROUND(AW579+AX579,2)</f>
        <v>0</v>
      </c>
      <c r="AW579" s="28">
        <f>ROUND(F579*AO579,2)</f>
        <v>0</v>
      </c>
      <c r="AX579" s="28">
        <f>ROUND(F579*AP579,2)</f>
        <v>0</v>
      </c>
      <c r="AY579" s="30" t="s">
        <v>309</v>
      </c>
      <c r="AZ579" s="30" t="s">
        <v>996</v>
      </c>
      <c r="BA579" s="10" t="s">
        <v>970</v>
      </c>
      <c r="BC579" s="28">
        <f>AW579+AX579</f>
        <v>0</v>
      </c>
      <c r="BD579" s="28">
        <f>G579/(100-BE579)*100</f>
        <v>0</v>
      </c>
      <c r="BE579" s="28">
        <v>0</v>
      </c>
      <c r="BF579" s="28">
        <f>587</f>
        <v>587</v>
      </c>
      <c r="BH579" s="28">
        <f>F579*AO579</f>
        <v>0</v>
      </c>
      <c r="BI579" s="28">
        <f>F579*AP579</f>
        <v>0</v>
      </c>
      <c r="BJ579" s="28">
        <f>F579*G579</f>
        <v>0</v>
      </c>
      <c r="BK579" s="28"/>
      <c r="BL579" s="28">
        <v>59</v>
      </c>
      <c r="BW579" s="28">
        <v>21</v>
      </c>
      <c r="BX579" s="4" t="s">
        <v>1019</v>
      </c>
    </row>
    <row r="580" spans="1:76" x14ac:dyDescent="0.25">
      <c r="A580" s="31"/>
      <c r="C580" s="32" t="s">
        <v>135</v>
      </c>
      <c r="D580" s="32" t="s">
        <v>1020</v>
      </c>
      <c r="F580" s="33">
        <v>10</v>
      </c>
      <c r="K580" s="34"/>
    </row>
    <row r="581" spans="1:76" x14ac:dyDescent="0.25">
      <c r="A581" s="2" t="s">
        <v>1021</v>
      </c>
      <c r="B581" s="3" t="s">
        <v>1022</v>
      </c>
      <c r="C581" s="76" t="s">
        <v>1023</v>
      </c>
      <c r="D581" s="71"/>
      <c r="E581" s="3" t="s">
        <v>103</v>
      </c>
      <c r="F581" s="28">
        <v>10</v>
      </c>
      <c r="G581" s="28">
        <v>0</v>
      </c>
      <c r="H581" s="28">
        <f>ROUND(F581*AO581,2)</f>
        <v>0</v>
      </c>
      <c r="I581" s="28">
        <f>ROUND(F581*AP581,2)</f>
        <v>0</v>
      </c>
      <c r="J581" s="28">
        <f>ROUND(F581*G581,2)</f>
        <v>0</v>
      </c>
      <c r="K581" s="29" t="s">
        <v>60</v>
      </c>
      <c r="Z581" s="28">
        <f>ROUND(IF(AQ581="5",BJ581,0),2)</f>
        <v>0</v>
      </c>
      <c r="AB581" s="28">
        <f>ROUND(IF(AQ581="1",BH581,0),2)</f>
        <v>0</v>
      </c>
      <c r="AC581" s="28">
        <f>ROUND(IF(AQ581="1",BI581,0),2)</f>
        <v>0</v>
      </c>
      <c r="AD581" s="28">
        <f>ROUND(IF(AQ581="7",BH581,0),2)</f>
        <v>0</v>
      </c>
      <c r="AE581" s="28">
        <f>ROUND(IF(AQ581="7",BI581,0),2)</f>
        <v>0</v>
      </c>
      <c r="AF581" s="28">
        <f>ROUND(IF(AQ581="2",BH581,0),2)</f>
        <v>0</v>
      </c>
      <c r="AG581" s="28">
        <f>ROUND(IF(AQ581="2",BI581,0),2)</f>
        <v>0</v>
      </c>
      <c r="AH581" s="28">
        <f>ROUND(IF(AQ581="0",BJ581,0),2)</f>
        <v>0</v>
      </c>
      <c r="AI581" s="10" t="s">
        <v>965</v>
      </c>
      <c r="AJ581" s="28">
        <f>IF(AN581=0,J581,0)</f>
        <v>0</v>
      </c>
      <c r="AK581" s="28">
        <f>IF(AN581=12,J581,0)</f>
        <v>0</v>
      </c>
      <c r="AL581" s="28">
        <f>IF(AN581=21,J581,0)</f>
        <v>0</v>
      </c>
      <c r="AN581" s="28">
        <v>21</v>
      </c>
      <c r="AO581" s="28">
        <f>G581*0.170541401</f>
        <v>0</v>
      </c>
      <c r="AP581" s="28">
        <f>G581*(1-0.170541401)</f>
        <v>0</v>
      </c>
      <c r="AQ581" s="30" t="s">
        <v>56</v>
      </c>
      <c r="AV581" s="28">
        <f>ROUND(AW581+AX581,2)</f>
        <v>0</v>
      </c>
      <c r="AW581" s="28">
        <f>ROUND(F581*AO581,2)</f>
        <v>0</v>
      </c>
      <c r="AX581" s="28">
        <f>ROUND(F581*AP581,2)</f>
        <v>0</v>
      </c>
      <c r="AY581" s="30" t="s">
        <v>309</v>
      </c>
      <c r="AZ581" s="30" t="s">
        <v>996</v>
      </c>
      <c r="BA581" s="10" t="s">
        <v>970</v>
      </c>
      <c r="BC581" s="28">
        <f>AW581+AX581</f>
        <v>0</v>
      </c>
      <c r="BD581" s="28">
        <f>G581/(100-BE581)*100</f>
        <v>0</v>
      </c>
      <c r="BE581" s="28">
        <v>0</v>
      </c>
      <c r="BF581" s="28">
        <f>589</f>
        <v>589</v>
      </c>
      <c r="BH581" s="28">
        <f>F581*AO581</f>
        <v>0</v>
      </c>
      <c r="BI581" s="28">
        <f>F581*AP581</f>
        <v>0</v>
      </c>
      <c r="BJ581" s="28">
        <f>F581*G581</f>
        <v>0</v>
      </c>
      <c r="BK581" s="28"/>
      <c r="BL581" s="28">
        <v>59</v>
      </c>
      <c r="BW581" s="28">
        <v>21</v>
      </c>
      <c r="BX581" s="4" t="s">
        <v>1023</v>
      </c>
    </row>
    <row r="582" spans="1:76" x14ac:dyDescent="0.25">
      <c r="A582" s="31"/>
      <c r="C582" s="32" t="s">
        <v>135</v>
      </c>
      <c r="D582" s="32" t="s">
        <v>1024</v>
      </c>
      <c r="F582" s="33">
        <v>10</v>
      </c>
      <c r="K582" s="34"/>
    </row>
    <row r="583" spans="1:76" ht="63.75" x14ac:dyDescent="0.25">
      <c r="A583" s="31"/>
      <c r="B583" s="35" t="s">
        <v>68</v>
      </c>
      <c r="C583" s="94" t="s">
        <v>1025</v>
      </c>
      <c r="D583" s="95"/>
      <c r="E583" s="95"/>
      <c r="F583" s="95"/>
      <c r="G583" s="95"/>
      <c r="H583" s="95"/>
      <c r="I583" s="95"/>
      <c r="J583" s="95"/>
      <c r="K583" s="96"/>
      <c r="BX583" s="36" t="s">
        <v>1025</v>
      </c>
    </row>
    <row r="584" spans="1:76" x14ac:dyDescent="0.25">
      <c r="A584" s="2" t="s">
        <v>1026</v>
      </c>
      <c r="B584" s="3" t="s">
        <v>1027</v>
      </c>
      <c r="C584" s="76" t="s">
        <v>1028</v>
      </c>
      <c r="D584" s="71"/>
      <c r="E584" s="3" t="s">
        <v>103</v>
      </c>
      <c r="F584" s="28">
        <v>11</v>
      </c>
      <c r="G584" s="28">
        <v>0</v>
      </c>
      <c r="H584" s="28">
        <f>ROUND(F584*AO584,2)</f>
        <v>0</v>
      </c>
      <c r="I584" s="28">
        <f>ROUND(F584*AP584,2)</f>
        <v>0</v>
      </c>
      <c r="J584" s="28">
        <f>ROUND(F584*G584,2)</f>
        <v>0</v>
      </c>
      <c r="K584" s="29" t="s">
        <v>60</v>
      </c>
      <c r="Z584" s="28">
        <f>ROUND(IF(AQ584="5",BJ584,0),2)</f>
        <v>0</v>
      </c>
      <c r="AB584" s="28">
        <f>ROUND(IF(AQ584="1",BH584,0),2)</f>
        <v>0</v>
      </c>
      <c r="AC584" s="28">
        <f>ROUND(IF(AQ584="1",BI584,0),2)</f>
        <v>0</v>
      </c>
      <c r="AD584" s="28">
        <f>ROUND(IF(AQ584="7",BH584,0),2)</f>
        <v>0</v>
      </c>
      <c r="AE584" s="28">
        <f>ROUND(IF(AQ584="7",BI584,0),2)</f>
        <v>0</v>
      </c>
      <c r="AF584" s="28">
        <f>ROUND(IF(AQ584="2",BH584,0),2)</f>
        <v>0</v>
      </c>
      <c r="AG584" s="28">
        <f>ROUND(IF(AQ584="2",BI584,0),2)</f>
        <v>0</v>
      </c>
      <c r="AH584" s="28">
        <f>ROUND(IF(AQ584="0",BJ584,0),2)</f>
        <v>0</v>
      </c>
      <c r="AI584" s="10" t="s">
        <v>965</v>
      </c>
      <c r="AJ584" s="28">
        <f>IF(AN584=0,J584,0)</f>
        <v>0</v>
      </c>
      <c r="AK584" s="28">
        <f>IF(AN584=12,J584,0)</f>
        <v>0</v>
      </c>
      <c r="AL584" s="28">
        <f>IF(AN584=21,J584,0)</f>
        <v>0</v>
      </c>
      <c r="AN584" s="28">
        <v>21</v>
      </c>
      <c r="AO584" s="28">
        <f>G584*1</f>
        <v>0</v>
      </c>
      <c r="AP584" s="28">
        <f>G584*(1-1)</f>
        <v>0</v>
      </c>
      <c r="AQ584" s="30" t="s">
        <v>56</v>
      </c>
      <c r="AV584" s="28">
        <f>ROUND(AW584+AX584,2)</f>
        <v>0</v>
      </c>
      <c r="AW584" s="28">
        <f>ROUND(F584*AO584,2)</f>
        <v>0</v>
      </c>
      <c r="AX584" s="28">
        <f>ROUND(F584*AP584,2)</f>
        <v>0</v>
      </c>
      <c r="AY584" s="30" t="s">
        <v>309</v>
      </c>
      <c r="AZ584" s="30" t="s">
        <v>996</v>
      </c>
      <c r="BA584" s="10" t="s">
        <v>970</v>
      </c>
      <c r="BC584" s="28">
        <f>AW584+AX584</f>
        <v>0</v>
      </c>
      <c r="BD584" s="28">
        <f>G584/(100-BE584)*100</f>
        <v>0</v>
      </c>
      <c r="BE584" s="28">
        <v>0</v>
      </c>
      <c r="BF584" s="28">
        <f>592</f>
        <v>592</v>
      </c>
      <c r="BH584" s="28">
        <f>F584*AO584</f>
        <v>0</v>
      </c>
      <c r="BI584" s="28">
        <f>F584*AP584</f>
        <v>0</v>
      </c>
      <c r="BJ584" s="28">
        <f>F584*G584</f>
        <v>0</v>
      </c>
      <c r="BK584" s="28"/>
      <c r="BL584" s="28">
        <v>59</v>
      </c>
      <c r="BW584" s="28">
        <v>21</v>
      </c>
      <c r="BX584" s="4" t="s">
        <v>1028</v>
      </c>
    </row>
    <row r="585" spans="1:76" x14ac:dyDescent="0.25">
      <c r="A585" s="31"/>
      <c r="C585" s="32" t="s">
        <v>135</v>
      </c>
      <c r="D585" s="32" t="s">
        <v>51</v>
      </c>
      <c r="F585" s="33">
        <v>10</v>
      </c>
      <c r="K585" s="34"/>
    </row>
    <row r="586" spans="1:76" x14ac:dyDescent="0.25">
      <c r="A586" s="31"/>
      <c r="C586" s="32" t="s">
        <v>1029</v>
      </c>
      <c r="D586" s="32" t="s">
        <v>51</v>
      </c>
      <c r="F586" s="33">
        <v>1</v>
      </c>
      <c r="K586" s="34"/>
    </row>
    <row r="587" spans="1:76" x14ac:dyDescent="0.25">
      <c r="A587" s="2" t="s">
        <v>1030</v>
      </c>
      <c r="B587" s="3" t="s">
        <v>1031</v>
      </c>
      <c r="C587" s="76" t="s">
        <v>1032</v>
      </c>
      <c r="D587" s="71"/>
      <c r="E587" s="3" t="s">
        <v>103</v>
      </c>
      <c r="F587" s="28">
        <v>3</v>
      </c>
      <c r="G587" s="28">
        <v>0</v>
      </c>
      <c r="H587" s="28">
        <f>ROUND(F587*AO587,2)</f>
        <v>0</v>
      </c>
      <c r="I587" s="28">
        <f>ROUND(F587*AP587,2)</f>
        <v>0</v>
      </c>
      <c r="J587" s="28">
        <f>ROUND(F587*G587,2)</f>
        <v>0</v>
      </c>
      <c r="K587" s="29" t="s">
        <v>60</v>
      </c>
      <c r="Z587" s="28">
        <f>ROUND(IF(AQ587="5",BJ587,0),2)</f>
        <v>0</v>
      </c>
      <c r="AB587" s="28">
        <f>ROUND(IF(AQ587="1",BH587,0),2)</f>
        <v>0</v>
      </c>
      <c r="AC587" s="28">
        <f>ROUND(IF(AQ587="1",BI587,0),2)</f>
        <v>0</v>
      </c>
      <c r="AD587" s="28">
        <f>ROUND(IF(AQ587="7",BH587,0),2)</f>
        <v>0</v>
      </c>
      <c r="AE587" s="28">
        <f>ROUND(IF(AQ587="7",BI587,0),2)</f>
        <v>0</v>
      </c>
      <c r="AF587" s="28">
        <f>ROUND(IF(AQ587="2",BH587,0),2)</f>
        <v>0</v>
      </c>
      <c r="AG587" s="28">
        <f>ROUND(IF(AQ587="2",BI587,0),2)</f>
        <v>0</v>
      </c>
      <c r="AH587" s="28">
        <f>ROUND(IF(AQ587="0",BJ587,0),2)</f>
        <v>0</v>
      </c>
      <c r="AI587" s="10" t="s">
        <v>965</v>
      </c>
      <c r="AJ587" s="28">
        <f>IF(AN587=0,J587,0)</f>
        <v>0</v>
      </c>
      <c r="AK587" s="28">
        <f>IF(AN587=12,J587,0)</f>
        <v>0</v>
      </c>
      <c r="AL587" s="28">
        <f>IF(AN587=21,J587,0)</f>
        <v>0</v>
      </c>
      <c r="AN587" s="28">
        <v>21</v>
      </c>
      <c r="AO587" s="28">
        <f>G587*0.121659664</f>
        <v>0</v>
      </c>
      <c r="AP587" s="28">
        <f>G587*(1-0.121659664)</f>
        <v>0</v>
      </c>
      <c r="AQ587" s="30" t="s">
        <v>56</v>
      </c>
      <c r="AV587" s="28">
        <f>ROUND(AW587+AX587,2)</f>
        <v>0</v>
      </c>
      <c r="AW587" s="28">
        <f>ROUND(F587*AO587,2)</f>
        <v>0</v>
      </c>
      <c r="AX587" s="28">
        <f>ROUND(F587*AP587,2)</f>
        <v>0</v>
      </c>
      <c r="AY587" s="30" t="s">
        <v>309</v>
      </c>
      <c r="AZ587" s="30" t="s">
        <v>996</v>
      </c>
      <c r="BA587" s="10" t="s">
        <v>970</v>
      </c>
      <c r="BC587" s="28">
        <f>AW587+AX587</f>
        <v>0</v>
      </c>
      <c r="BD587" s="28">
        <f>G587/(100-BE587)*100</f>
        <v>0</v>
      </c>
      <c r="BE587" s="28">
        <v>0</v>
      </c>
      <c r="BF587" s="28">
        <f>595</f>
        <v>595</v>
      </c>
      <c r="BH587" s="28">
        <f>F587*AO587</f>
        <v>0</v>
      </c>
      <c r="BI587" s="28">
        <f>F587*AP587</f>
        <v>0</v>
      </c>
      <c r="BJ587" s="28">
        <f>F587*G587</f>
        <v>0</v>
      </c>
      <c r="BK587" s="28"/>
      <c r="BL587" s="28">
        <v>59</v>
      </c>
      <c r="BW587" s="28">
        <v>21</v>
      </c>
      <c r="BX587" s="4" t="s">
        <v>1032</v>
      </c>
    </row>
    <row r="588" spans="1:76" x14ac:dyDescent="0.25">
      <c r="A588" s="31"/>
      <c r="C588" s="32" t="s">
        <v>80</v>
      </c>
      <c r="D588" s="32" t="s">
        <v>1033</v>
      </c>
      <c r="F588" s="33">
        <v>3</v>
      </c>
      <c r="K588" s="34"/>
    </row>
    <row r="589" spans="1:76" x14ac:dyDescent="0.25">
      <c r="A589" s="2" t="s">
        <v>1034</v>
      </c>
      <c r="B589" s="3" t="s">
        <v>1035</v>
      </c>
      <c r="C589" s="76" t="s">
        <v>1036</v>
      </c>
      <c r="D589" s="71"/>
      <c r="E589" s="3" t="s">
        <v>103</v>
      </c>
      <c r="F589" s="28">
        <v>3.45</v>
      </c>
      <c r="G589" s="28">
        <v>0</v>
      </c>
      <c r="H589" s="28">
        <f>ROUND(F589*AO589,2)</f>
        <v>0</v>
      </c>
      <c r="I589" s="28">
        <f>ROUND(F589*AP589,2)</f>
        <v>0</v>
      </c>
      <c r="J589" s="28">
        <f>ROUND(F589*G589,2)</f>
        <v>0</v>
      </c>
      <c r="K589" s="29" t="s">
        <v>60</v>
      </c>
      <c r="Z589" s="28">
        <f>ROUND(IF(AQ589="5",BJ589,0),2)</f>
        <v>0</v>
      </c>
      <c r="AB589" s="28">
        <f>ROUND(IF(AQ589="1",BH589,0),2)</f>
        <v>0</v>
      </c>
      <c r="AC589" s="28">
        <f>ROUND(IF(AQ589="1",BI589,0),2)</f>
        <v>0</v>
      </c>
      <c r="AD589" s="28">
        <f>ROUND(IF(AQ589="7",BH589,0),2)</f>
        <v>0</v>
      </c>
      <c r="AE589" s="28">
        <f>ROUND(IF(AQ589="7",BI589,0),2)</f>
        <v>0</v>
      </c>
      <c r="AF589" s="28">
        <f>ROUND(IF(AQ589="2",BH589,0),2)</f>
        <v>0</v>
      </c>
      <c r="AG589" s="28">
        <f>ROUND(IF(AQ589="2",BI589,0),2)</f>
        <v>0</v>
      </c>
      <c r="AH589" s="28">
        <f>ROUND(IF(AQ589="0",BJ589,0),2)</f>
        <v>0</v>
      </c>
      <c r="AI589" s="10" t="s">
        <v>965</v>
      </c>
      <c r="AJ589" s="28">
        <f>IF(AN589=0,J589,0)</f>
        <v>0</v>
      </c>
      <c r="AK589" s="28">
        <f>IF(AN589=12,J589,0)</f>
        <v>0</v>
      </c>
      <c r="AL589" s="28">
        <f>IF(AN589=21,J589,0)</f>
        <v>0</v>
      </c>
      <c r="AN589" s="28">
        <v>21</v>
      </c>
      <c r="AO589" s="28">
        <f>G589*1</f>
        <v>0</v>
      </c>
      <c r="AP589" s="28">
        <f>G589*(1-1)</f>
        <v>0</v>
      </c>
      <c r="AQ589" s="30" t="s">
        <v>56</v>
      </c>
      <c r="AV589" s="28">
        <f>ROUND(AW589+AX589,2)</f>
        <v>0</v>
      </c>
      <c r="AW589" s="28">
        <f>ROUND(F589*AO589,2)</f>
        <v>0</v>
      </c>
      <c r="AX589" s="28">
        <f>ROUND(F589*AP589,2)</f>
        <v>0</v>
      </c>
      <c r="AY589" s="30" t="s">
        <v>309</v>
      </c>
      <c r="AZ589" s="30" t="s">
        <v>996</v>
      </c>
      <c r="BA589" s="10" t="s">
        <v>970</v>
      </c>
      <c r="BC589" s="28">
        <f>AW589+AX589</f>
        <v>0</v>
      </c>
      <c r="BD589" s="28">
        <f>G589/(100-BE589)*100</f>
        <v>0</v>
      </c>
      <c r="BE589" s="28">
        <v>0</v>
      </c>
      <c r="BF589" s="28">
        <f>597</f>
        <v>597</v>
      </c>
      <c r="BH589" s="28">
        <f>F589*AO589</f>
        <v>0</v>
      </c>
      <c r="BI589" s="28">
        <f>F589*AP589</f>
        <v>0</v>
      </c>
      <c r="BJ589" s="28">
        <f>F589*G589</f>
        <v>0</v>
      </c>
      <c r="BK589" s="28"/>
      <c r="BL589" s="28">
        <v>59</v>
      </c>
      <c r="BW589" s="28">
        <v>21</v>
      </c>
      <c r="BX589" s="4" t="s">
        <v>1036</v>
      </c>
    </row>
    <row r="590" spans="1:76" x14ac:dyDescent="0.25">
      <c r="A590" s="31"/>
      <c r="C590" s="32" t="s">
        <v>80</v>
      </c>
      <c r="D590" s="32" t="s">
        <v>51</v>
      </c>
      <c r="F590" s="33">
        <v>3</v>
      </c>
      <c r="K590" s="34"/>
    </row>
    <row r="591" spans="1:76" x14ac:dyDescent="0.25">
      <c r="A591" s="31"/>
      <c r="C591" s="32" t="s">
        <v>1037</v>
      </c>
      <c r="D591" s="32" t="s">
        <v>51</v>
      </c>
      <c r="F591" s="33">
        <v>0.45</v>
      </c>
      <c r="K591" s="34"/>
    </row>
    <row r="592" spans="1:76" ht="25.5" x14ac:dyDescent="0.25">
      <c r="A592" s="31"/>
      <c r="B592" s="35" t="s">
        <v>68</v>
      </c>
      <c r="C592" s="94" t="s">
        <v>1038</v>
      </c>
      <c r="D592" s="95"/>
      <c r="E592" s="95"/>
      <c r="F592" s="95"/>
      <c r="G592" s="95"/>
      <c r="H592" s="95"/>
      <c r="I592" s="95"/>
      <c r="J592" s="95"/>
      <c r="K592" s="96"/>
      <c r="BX592" s="36" t="s">
        <v>1038</v>
      </c>
    </row>
    <row r="593" spans="1:76" x14ac:dyDescent="0.25">
      <c r="A593" s="24" t="s">
        <v>51</v>
      </c>
      <c r="B593" s="25" t="s">
        <v>943</v>
      </c>
      <c r="C593" s="87" t="s">
        <v>944</v>
      </c>
      <c r="D593" s="88"/>
      <c r="E593" s="26" t="s">
        <v>4</v>
      </c>
      <c r="F593" s="26" t="s">
        <v>4</v>
      </c>
      <c r="G593" s="26" t="s">
        <v>4</v>
      </c>
      <c r="H593" s="1">
        <f>SUM(H594:H594)</f>
        <v>0</v>
      </c>
      <c r="I593" s="1">
        <f>SUM(I594:I594)</f>
        <v>0</v>
      </c>
      <c r="J593" s="1">
        <f>SUM(J594:J594)</f>
        <v>0</v>
      </c>
      <c r="K593" s="27" t="s">
        <v>51</v>
      </c>
      <c r="AI593" s="10" t="s">
        <v>965</v>
      </c>
      <c r="AS593" s="1">
        <f>SUM(AJ594:AJ594)</f>
        <v>0</v>
      </c>
      <c r="AT593" s="1">
        <f>SUM(AK594:AK594)</f>
        <v>0</v>
      </c>
      <c r="AU593" s="1">
        <f>SUM(AL594:AL594)</f>
        <v>0</v>
      </c>
    </row>
    <row r="594" spans="1:76" x14ac:dyDescent="0.25">
      <c r="A594" s="2" t="s">
        <v>1039</v>
      </c>
      <c r="B594" s="3" t="s">
        <v>945</v>
      </c>
      <c r="C594" s="76" t="s">
        <v>946</v>
      </c>
      <c r="D594" s="71"/>
      <c r="E594" s="3" t="s">
        <v>201</v>
      </c>
      <c r="F594" s="28">
        <v>185.39</v>
      </c>
      <c r="G594" s="28">
        <v>0</v>
      </c>
      <c r="H594" s="28">
        <f>ROUND(F594*AO594,2)</f>
        <v>0</v>
      </c>
      <c r="I594" s="28">
        <f>ROUND(F594*AP594,2)</f>
        <v>0</v>
      </c>
      <c r="J594" s="28">
        <f>ROUND(F594*G594,2)</f>
        <v>0</v>
      </c>
      <c r="K594" s="29" t="s">
        <v>60</v>
      </c>
      <c r="Z594" s="28">
        <f>ROUND(IF(AQ594="5",BJ594,0),2)</f>
        <v>0</v>
      </c>
      <c r="AB594" s="28">
        <f>ROUND(IF(AQ594="1",BH594,0),2)</f>
        <v>0</v>
      </c>
      <c r="AC594" s="28">
        <f>ROUND(IF(AQ594="1",BI594,0),2)</f>
        <v>0</v>
      </c>
      <c r="AD594" s="28">
        <f>ROUND(IF(AQ594="7",BH594,0),2)</f>
        <v>0</v>
      </c>
      <c r="AE594" s="28">
        <f>ROUND(IF(AQ594="7",BI594,0),2)</f>
        <v>0</v>
      </c>
      <c r="AF594" s="28">
        <f>ROUND(IF(AQ594="2",BH594,0),2)</f>
        <v>0</v>
      </c>
      <c r="AG594" s="28">
        <f>ROUND(IF(AQ594="2",BI594,0),2)</f>
        <v>0</v>
      </c>
      <c r="AH594" s="28">
        <f>ROUND(IF(AQ594="0",BJ594,0),2)</f>
        <v>0</v>
      </c>
      <c r="AI594" s="10" t="s">
        <v>965</v>
      </c>
      <c r="AJ594" s="28">
        <f>IF(AN594=0,J594,0)</f>
        <v>0</v>
      </c>
      <c r="AK594" s="28">
        <f>IF(AN594=12,J594,0)</f>
        <v>0</v>
      </c>
      <c r="AL594" s="28">
        <f>IF(AN594=21,J594,0)</f>
        <v>0</v>
      </c>
      <c r="AN594" s="28">
        <v>21</v>
      </c>
      <c r="AO594" s="28">
        <f>G594*0</f>
        <v>0</v>
      </c>
      <c r="AP594" s="28">
        <f>G594*(1-0)</f>
        <v>0</v>
      </c>
      <c r="AQ594" s="30" t="s">
        <v>100</v>
      </c>
      <c r="AV594" s="28">
        <f>ROUND(AW594+AX594,2)</f>
        <v>0</v>
      </c>
      <c r="AW594" s="28">
        <f>ROUND(F594*AO594,2)</f>
        <v>0</v>
      </c>
      <c r="AX594" s="28">
        <f>ROUND(F594*AP594,2)</f>
        <v>0</v>
      </c>
      <c r="AY594" s="30" t="s">
        <v>947</v>
      </c>
      <c r="AZ594" s="30" t="s">
        <v>1040</v>
      </c>
      <c r="BA594" s="10" t="s">
        <v>970</v>
      </c>
      <c r="BC594" s="28">
        <f>AW594+AX594</f>
        <v>0</v>
      </c>
      <c r="BD594" s="28">
        <f>G594/(100-BE594)*100</f>
        <v>0</v>
      </c>
      <c r="BE594" s="28">
        <v>0</v>
      </c>
      <c r="BF594" s="28">
        <f>602</f>
        <v>602</v>
      </c>
      <c r="BH594" s="28">
        <f>F594*AO594</f>
        <v>0</v>
      </c>
      <c r="BI594" s="28">
        <f>F594*AP594</f>
        <v>0</v>
      </c>
      <c r="BJ594" s="28">
        <f>F594*G594</f>
        <v>0</v>
      </c>
      <c r="BK594" s="28"/>
      <c r="BL594" s="28"/>
      <c r="BW594" s="28">
        <v>21</v>
      </c>
      <c r="BX594" s="4" t="s">
        <v>946</v>
      </c>
    </row>
    <row r="595" spans="1:76" x14ac:dyDescent="0.25">
      <c r="A595" s="24" t="s">
        <v>51</v>
      </c>
      <c r="B595" s="25" t="s">
        <v>948</v>
      </c>
      <c r="C595" s="87" t="s">
        <v>949</v>
      </c>
      <c r="D595" s="88"/>
      <c r="E595" s="26" t="s">
        <v>4</v>
      </c>
      <c r="F595" s="26" t="s">
        <v>4</v>
      </c>
      <c r="G595" s="26" t="s">
        <v>4</v>
      </c>
      <c r="H595" s="1">
        <f>SUM(H596:H596)</f>
        <v>0</v>
      </c>
      <c r="I595" s="1">
        <f>SUM(I596:I596)</f>
        <v>0</v>
      </c>
      <c r="J595" s="1">
        <f>SUM(J596:J596)</f>
        <v>0</v>
      </c>
      <c r="K595" s="27" t="s">
        <v>51</v>
      </c>
      <c r="AI595" s="10" t="s">
        <v>965</v>
      </c>
      <c r="AS595" s="1">
        <f>SUM(AJ596:AJ596)</f>
        <v>0</v>
      </c>
      <c r="AT595" s="1">
        <f>SUM(AK596:AK596)</f>
        <v>0</v>
      </c>
      <c r="AU595" s="1">
        <f>SUM(AL596:AL596)</f>
        <v>0</v>
      </c>
    </row>
    <row r="596" spans="1:76" x14ac:dyDescent="0.25">
      <c r="A596" s="2" t="s">
        <v>1041</v>
      </c>
      <c r="B596" s="3" t="s">
        <v>1042</v>
      </c>
      <c r="C596" s="76" t="s">
        <v>1043</v>
      </c>
      <c r="D596" s="71"/>
      <c r="E596" s="3" t="s">
        <v>188</v>
      </c>
      <c r="F596" s="28">
        <v>67</v>
      </c>
      <c r="G596" s="28">
        <v>0</v>
      </c>
      <c r="H596" s="28">
        <f>ROUND(F596*AO596,2)</f>
        <v>0</v>
      </c>
      <c r="I596" s="28">
        <f>ROUND(F596*AP596,2)</f>
        <v>0</v>
      </c>
      <c r="J596" s="28">
        <f>ROUND(F596*G596,2)</f>
        <v>0</v>
      </c>
      <c r="K596" s="29" t="s">
        <v>60</v>
      </c>
      <c r="Z596" s="28">
        <f>ROUND(IF(AQ596="5",BJ596,0),2)</f>
        <v>0</v>
      </c>
      <c r="AB596" s="28">
        <f>ROUND(IF(AQ596="1",BH596,0),2)</f>
        <v>0</v>
      </c>
      <c r="AC596" s="28">
        <f>ROUND(IF(AQ596="1",BI596,0),2)</f>
        <v>0</v>
      </c>
      <c r="AD596" s="28">
        <f>ROUND(IF(AQ596="7",BH596,0),2)</f>
        <v>0</v>
      </c>
      <c r="AE596" s="28">
        <f>ROUND(IF(AQ596="7",BI596,0),2)</f>
        <v>0</v>
      </c>
      <c r="AF596" s="28">
        <f>ROUND(IF(AQ596="2",BH596,0),2)</f>
        <v>0</v>
      </c>
      <c r="AG596" s="28">
        <f>ROUND(IF(AQ596="2",BI596,0),2)</f>
        <v>0</v>
      </c>
      <c r="AH596" s="28">
        <f>ROUND(IF(AQ596="0",BJ596,0),2)</f>
        <v>0</v>
      </c>
      <c r="AI596" s="10" t="s">
        <v>965</v>
      </c>
      <c r="AJ596" s="28">
        <f>IF(AN596=0,J596,0)</f>
        <v>0</v>
      </c>
      <c r="AK596" s="28">
        <f>IF(AN596=12,J596,0)</f>
        <v>0</v>
      </c>
      <c r="AL596" s="28">
        <f>IF(AN596=21,J596,0)</f>
        <v>0</v>
      </c>
      <c r="AN596" s="28">
        <v>21</v>
      </c>
      <c r="AO596" s="28">
        <f>G596*0.546875</f>
        <v>0</v>
      </c>
      <c r="AP596" s="28">
        <f>G596*(1-0.546875)</f>
        <v>0</v>
      </c>
      <c r="AQ596" s="30" t="s">
        <v>74</v>
      </c>
      <c r="AV596" s="28">
        <f>ROUND(AW596+AX596,2)</f>
        <v>0</v>
      </c>
      <c r="AW596" s="28">
        <f>ROUND(F596*AO596,2)</f>
        <v>0</v>
      </c>
      <c r="AX596" s="28">
        <f>ROUND(F596*AP596,2)</f>
        <v>0</v>
      </c>
      <c r="AY596" s="30" t="s">
        <v>953</v>
      </c>
      <c r="AZ596" s="30" t="s">
        <v>1040</v>
      </c>
      <c r="BA596" s="10" t="s">
        <v>970</v>
      </c>
      <c r="BC596" s="28">
        <f>AW596+AX596</f>
        <v>0</v>
      </c>
      <c r="BD596" s="28">
        <f>G596/(100-BE596)*100</f>
        <v>0</v>
      </c>
      <c r="BE596" s="28">
        <v>0</v>
      </c>
      <c r="BF596" s="28">
        <f>604</f>
        <v>604</v>
      </c>
      <c r="BH596" s="28">
        <f>F596*AO596</f>
        <v>0</v>
      </c>
      <c r="BI596" s="28">
        <f>F596*AP596</f>
        <v>0</v>
      </c>
      <c r="BJ596" s="28">
        <f>F596*G596</f>
        <v>0</v>
      </c>
      <c r="BK596" s="28"/>
      <c r="BL596" s="28"/>
      <c r="BW596" s="28">
        <v>21</v>
      </c>
      <c r="BX596" s="4" t="s">
        <v>1043</v>
      </c>
    </row>
    <row r="597" spans="1:76" x14ac:dyDescent="0.25">
      <c r="A597" s="24" t="s">
        <v>51</v>
      </c>
      <c r="B597" s="25" t="s">
        <v>51</v>
      </c>
      <c r="C597" s="87" t="s">
        <v>1044</v>
      </c>
      <c r="D597" s="88"/>
      <c r="E597" s="26" t="s">
        <v>4</v>
      </c>
      <c r="F597" s="26" t="s">
        <v>4</v>
      </c>
      <c r="G597" s="26" t="s">
        <v>4</v>
      </c>
      <c r="H597" s="1">
        <f>H598+H605+H608+H612+H614+H628+H649+H660+H672+H676+H694+H704+H753+H756+H765+H823+H839+H858+H862</f>
        <v>0</v>
      </c>
      <c r="I597" s="1">
        <f>I598+I605+I608+I612+I614+I628+I649+I660+I672+I676+I694+I704+I753+I756+I765+I823+I839+I858+I862</f>
        <v>0</v>
      </c>
      <c r="J597" s="1">
        <f>J598+J605+J608+J612+J614+J628+J649+J660+J672+J676+J694+J704+J753+J756+J765+J823+J839+J858+J862</f>
        <v>0</v>
      </c>
      <c r="K597" s="27" t="s">
        <v>51</v>
      </c>
    </row>
    <row r="598" spans="1:76" x14ac:dyDescent="0.25">
      <c r="A598" s="24" t="s">
        <v>51</v>
      </c>
      <c r="B598" s="25" t="s">
        <v>53</v>
      </c>
      <c r="C598" s="87" t="s">
        <v>54</v>
      </c>
      <c r="D598" s="88"/>
      <c r="E598" s="26" t="s">
        <v>4</v>
      </c>
      <c r="F598" s="26" t="s">
        <v>4</v>
      </c>
      <c r="G598" s="26" t="s">
        <v>4</v>
      </c>
      <c r="H598" s="1">
        <f>SUM(H599:H599)</f>
        <v>0</v>
      </c>
      <c r="I598" s="1">
        <f>SUM(I599:I599)</f>
        <v>0</v>
      </c>
      <c r="J598" s="1">
        <f>SUM(J599:J599)</f>
        <v>0</v>
      </c>
      <c r="K598" s="27" t="s">
        <v>51</v>
      </c>
      <c r="AI598" s="10" t="s">
        <v>1045</v>
      </c>
      <c r="AS598" s="1">
        <f>SUM(AJ599:AJ599)</f>
        <v>0</v>
      </c>
      <c r="AT598" s="1">
        <f>SUM(AK599:AK599)</f>
        <v>0</v>
      </c>
      <c r="AU598" s="1">
        <f>SUM(AL599:AL599)</f>
        <v>0</v>
      </c>
    </row>
    <row r="599" spans="1:76" x14ac:dyDescent="0.25">
      <c r="A599" s="2" t="s">
        <v>1046</v>
      </c>
      <c r="B599" s="3" t="s">
        <v>1047</v>
      </c>
      <c r="C599" s="76" t="s">
        <v>1048</v>
      </c>
      <c r="D599" s="71"/>
      <c r="E599" s="3" t="s">
        <v>59</v>
      </c>
      <c r="F599" s="28">
        <v>5.01</v>
      </c>
      <c r="G599" s="28">
        <v>0</v>
      </c>
      <c r="H599" s="28">
        <f>ROUND(F599*AO599,2)</f>
        <v>0</v>
      </c>
      <c r="I599" s="28">
        <f>ROUND(F599*AP599,2)</f>
        <v>0</v>
      </c>
      <c r="J599" s="28">
        <f>ROUND(F599*G599,2)</f>
        <v>0</v>
      </c>
      <c r="K599" s="29" t="s">
        <v>60</v>
      </c>
      <c r="Z599" s="28">
        <f>ROUND(IF(AQ599="5",BJ599,0),2)</f>
        <v>0</v>
      </c>
      <c r="AB599" s="28">
        <f>ROUND(IF(AQ599="1",BH599,0),2)</f>
        <v>0</v>
      </c>
      <c r="AC599" s="28">
        <f>ROUND(IF(AQ599="1",BI599,0),2)</f>
        <v>0</v>
      </c>
      <c r="AD599" s="28">
        <f>ROUND(IF(AQ599="7",BH599,0),2)</f>
        <v>0</v>
      </c>
      <c r="AE599" s="28">
        <f>ROUND(IF(AQ599="7",BI599,0),2)</f>
        <v>0</v>
      </c>
      <c r="AF599" s="28">
        <f>ROUND(IF(AQ599="2",BH599,0),2)</f>
        <v>0</v>
      </c>
      <c r="AG599" s="28">
        <f>ROUND(IF(AQ599="2",BI599,0),2)</f>
        <v>0</v>
      </c>
      <c r="AH599" s="28">
        <f>ROUND(IF(AQ599="0",BJ599,0),2)</f>
        <v>0</v>
      </c>
      <c r="AI599" s="10" t="s">
        <v>1045</v>
      </c>
      <c r="AJ599" s="28">
        <f>IF(AN599=0,J599,0)</f>
        <v>0</v>
      </c>
      <c r="AK599" s="28">
        <f>IF(AN599=12,J599,0)</f>
        <v>0</v>
      </c>
      <c r="AL599" s="28">
        <f>IF(AN599=21,J599,0)</f>
        <v>0</v>
      </c>
      <c r="AN599" s="28">
        <v>21</v>
      </c>
      <c r="AO599" s="28">
        <f>G599*0</f>
        <v>0</v>
      </c>
      <c r="AP599" s="28">
        <f>G599*(1-0)</f>
        <v>0</v>
      </c>
      <c r="AQ599" s="30" t="s">
        <v>56</v>
      </c>
      <c r="AV599" s="28">
        <f>ROUND(AW599+AX599,2)</f>
        <v>0</v>
      </c>
      <c r="AW599" s="28">
        <f>ROUND(F599*AO599,2)</f>
        <v>0</v>
      </c>
      <c r="AX599" s="28">
        <f>ROUND(F599*AP599,2)</f>
        <v>0</v>
      </c>
      <c r="AY599" s="30" t="s">
        <v>61</v>
      </c>
      <c r="AZ599" s="30" t="s">
        <v>1049</v>
      </c>
      <c r="BA599" s="10" t="s">
        <v>1050</v>
      </c>
      <c r="BC599" s="28">
        <f>AW599+AX599</f>
        <v>0</v>
      </c>
      <c r="BD599" s="28">
        <f>G599/(100-BE599)*100</f>
        <v>0</v>
      </c>
      <c r="BE599" s="28">
        <v>0</v>
      </c>
      <c r="BF599" s="28">
        <f>607</f>
        <v>607</v>
      </c>
      <c r="BH599" s="28">
        <f>F599*AO599</f>
        <v>0</v>
      </c>
      <c r="BI599" s="28">
        <f>F599*AP599</f>
        <v>0</v>
      </c>
      <c r="BJ599" s="28">
        <f>F599*G599</f>
        <v>0</v>
      </c>
      <c r="BK599" s="28"/>
      <c r="BL599" s="28">
        <v>13</v>
      </c>
      <c r="BW599" s="28">
        <v>21</v>
      </c>
      <c r="BX599" s="4" t="s">
        <v>1048</v>
      </c>
    </row>
    <row r="600" spans="1:76" ht="13.5" customHeight="1" x14ac:dyDescent="0.25">
      <c r="A600" s="31"/>
      <c r="B600" s="35" t="s">
        <v>105</v>
      </c>
      <c r="C600" s="97" t="s">
        <v>1051</v>
      </c>
      <c r="D600" s="98"/>
      <c r="E600" s="98"/>
      <c r="F600" s="98"/>
      <c r="G600" s="98"/>
      <c r="H600" s="98"/>
      <c r="I600" s="98"/>
      <c r="J600" s="98"/>
      <c r="K600" s="99"/>
    </row>
    <row r="601" spans="1:76" x14ac:dyDescent="0.25">
      <c r="A601" s="31"/>
      <c r="C601" s="32" t="s">
        <v>1052</v>
      </c>
      <c r="D601" s="32" t="s">
        <v>51</v>
      </c>
      <c r="F601" s="33">
        <v>0.63</v>
      </c>
      <c r="K601" s="34"/>
    </row>
    <row r="602" spans="1:76" x14ac:dyDescent="0.25">
      <c r="A602" s="31"/>
      <c r="C602" s="32" t="s">
        <v>1053</v>
      </c>
      <c r="D602" s="32" t="s">
        <v>51</v>
      </c>
      <c r="F602" s="33">
        <v>0.56399999999999995</v>
      </c>
      <c r="K602" s="34"/>
    </row>
    <row r="603" spans="1:76" x14ac:dyDescent="0.25">
      <c r="A603" s="31"/>
      <c r="C603" s="32" t="s">
        <v>1054</v>
      </c>
      <c r="D603" s="32" t="s">
        <v>51</v>
      </c>
      <c r="F603" s="33">
        <v>0.51200000000000001</v>
      </c>
      <c r="K603" s="34"/>
    </row>
    <row r="604" spans="1:76" x14ac:dyDescent="0.25">
      <c r="A604" s="31"/>
      <c r="C604" s="32" t="s">
        <v>1055</v>
      </c>
      <c r="D604" s="32" t="s">
        <v>1056</v>
      </c>
      <c r="F604" s="33">
        <v>3.3</v>
      </c>
      <c r="K604" s="34"/>
    </row>
    <row r="605" spans="1:76" x14ac:dyDescent="0.25">
      <c r="A605" s="24" t="s">
        <v>51</v>
      </c>
      <c r="B605" s="25" t="s">
        <v>116</v>
      </c>
      <c r="C605" s="87" t="s">
        <v>117</v>
      </c>
      <c r="D605" s="88"/>
      <c r="E605" s="26" t="s">
        <v>4</v>
      </c>
      <c r="F605" s="26" t="s">
        <v>4</v>
      </c>
      <c r="G605" s="26" t="s">
        <v>4</v>
      </c>
      <c r="H605" s="1">
        <f>SUM(H606:H606)</f>
        <v>0</v>
      </c>
      <c r="I605" s="1">
        <f>SUM(I606:I606)</f>
        <v>0</v>
      </c>
      <c r="J605" s="1">
        <f>SUM(J606:J606)</f>
        <v>0</v>
      </c>
      <c r="K605" s="27" t="s">
        <v>51</v>
      </c>
      <c r="AI605" s="10" t="s">
        <v>1045</v>
      </c>
      <c r="AS605" s="1">
        <f>SUM(AJ606:AJ606)</f>
        <v>0</v>
      </c>
      <c r="AT605" s="1">
        <f>SUM(AK606:AK606)</f>
        <v>0</v>
      </c>
      <c r="AU605" s="1">
        <f>SUM(AL606:AL606)</f>
        <v>0</v>
      </c>
    </row>
    <row r="606" spans="1:76" x14ac:dyDescent="0.25">
      <c r="A606" s="2" t="s">
        <v>1057</v>
      </c>
      <c r="B606" s="3" t="s">
        <v>1058</v>
      </c>
      <c r="C606" s="76" t="s">
        <v>1059</v>
      </c>
      <c r="D606" s="71"/>
      <c r="E606" s="3" t="s">
        <v>59</v>
      </c>
      <c r="F606" s="28">
        <v>60.12</v>
      </c>
      <c r="G606" s="28">
        <v>0</v>
      </c>
      <c r="H606" s="28">
        <f>ROUND(F606*AO606,2)</f>
        <v>0</v>
      </c>
      <c r="I606" s="28">
        <f>ROUND(F606*AP606,2)</f>
        <v>0</v>
      </c>
      <c r="J606" s="28">
        <f>ROUND(F606*G606,2)</f>
        <v>0</v>
      </c>
      <c r="K606" s="29" t="s">
        <v>60</v>
      </c>
      <c r="Z606" s="28">
        <f>ROUND(IF(AQ606="5",BJ606,0),2)</f>
        <v>0</v>
      </c>
      <c r="AB606" s="28">
        <f>ROUND(IF(AQ606="1",BH606,0),2)</f>
        <v>0</v>
      </c>
      <c r="AC606" s="28">
        <f>ROUND(IF(AQ606="1",BI606,0),2)</f>
        <v>0</v>
      </c>
      <c r="AD606" s="28">
        <f>ROUND(IF(AQ606="7",BH606,0),2)</f>
        <v>0</v>
      </c>
      <c r="AE606" s="28">
        <f>ROUND(IF(AQ606="7",BI606,0),2)</f>
        <v>0</v>
      </c>
      <c r="AF606" s="28">
        <f>ROUND(IF(AQ606="2",BH606,0),2)</f>
        <v>0</v>
      </c>
      <c r="AG606" s="28">
        <f>ROUND(IF(AQ606="2",BI606,0),2)</f>
        <v>0</v>
      </c>
      <c r="AH606" s="28">
        <f>ROUND(IF(AQ606="0",BJ606,0),2)</f>
        <v>0</v>
      </c>
      <c r="AI606" s="10" t="s">
        <v>1045</v>
      </c>
      <c r="AJ606" s="28">
        <f>IF(AN606=0,J606,0)</f>
        <v>0</v>
      </c>
      <c r="AK606" s="28">
        <f>IF(AN606=12,J606,0)</f>
        <v>0</v>
      </c>
      <c r="AL606" s="28">
        <f>IF(AN606=21,J606,0)</f>
        <v>0</v>
      </c>
      <c r="AN606" s="28">
        <v>21</v>
      </c>
      <c r="AO606" s="28">
        <f>G606*0</f>
        <v>0</v>
      </c>
      <c r="AP606" s="28">
        <f>G606*(1-0)</f>
        <v>0</v>
      </c>
      <c r="AQ606" s="30" t="s">
        <v>56</v>
      </c>
      <c r="AV606" s="28">
        <f>ROUND(AW606+AX606,2)</f>
        <v>0</v>
      </c>
      <c r="AW606" s="28">
        <f>ROUND(F606*AO606,2)</f>
        <v>0</v>
      </c>
      <c r="AX606" s="28">
        <f>ROUND(F606*AP606,2)</f>
        <v>0</v>
      </c>
      <c r="AY606" s="30" t="s">
        <v>121</v>
      </c>
      <c r="AZ606" s="30" t="s">
        <v>1049</v>
      </c>
      <c r="BA606" s="10" t="s">
        <v>1050</v>
      </c>
      <c r="BC606" s="28">
        <f>AW606+AX606</f>
        <v>0</v>
      </c>
      <c r="BD606" s="28">
        <f>G606/(100-BE606)*100</f>
        <v>0</v>
      </c>
      <c r="BE606" s="28">
        <v>0</v>
      </c>
      <c r="BF606" s="28">
        <f>614</f>
        <v>614</v>
      </c>
      <c r="BH606" s="28">
        <f>F606*AO606</f>
        <v>0</v>
      </c>
      <c r="BI606" s="28">
        <f>F606*AP606</f>
        <v>0</v>
      </c>
      <c r="BJ606" s="28">
        <f>F606*G606</f>
        <v>0</v>
      </c>
      <c r="BK606" s="28"/>
      <c r="BL606" s="28">
        <v>16</v>
      </c>
      <c r="BW606" s="28">
        <v>21</v>
      </c>
      <c r="BX606" s="4" t="s">
        <v>1059</v>
      </c>
    </row>
    <row r="607" spans="1:76" x14ac:dyDescent="0.25">
      <c r="A607" s="31"/>
      <c r="C607" s="32" t="s">
        <v>1060</v>
      </c>
      <c r="D607" s="32" t="s">
        <v>1061</v>
      </c>
      <c r="F607" s="33">
        <v>60.12</v>
      </c>
      <c r="K607" s="34"/>
    </row>
    <row r="608" spans="1:76" x14ac:dyDescent="0.25">
      <c r="A608" s="24" t="s">
        <v>51</v>
      </c>
      <c r="B608" s="25" t="s">
        <v>185</v>
      </c>
      <c r="C608" s="87" t="s">
        <v>191</v>
      </c>
      <c r="D608" s="88"/>
      <c r="E608" s="26" t="s">
        <v>4</v>
      </c>
      <c r="F608" s="26" t="s">
        <v>4</v>
      </c>
      <c r="G608" s="26" t="s">
        <v>4</v>
      </c>
      <c r="H608" s="1">
        <f>SUM(H609:H609)</f>
        <v>0</v>
      </c>
      <c r="I608" s="1">
        <f>SUM(I609:I609)</f>
        <v>0</v>
      </c>
      <c r="J608" s="1">
        <f>SUM(J609:J609)</f>
        <v>0</v>
      </c>
      <c r="K608" s="27" t="s">
        <v>51</v>
      </c>
      <c r="AI608" s="10" t="s">
        <v>1045</v>
      </c>
      <c r="AS608" s="1">
        <f>SUM(AJ609:AJ609)</f>
        <v>0</v>
      </c>
      <c r="AT608" s="1">
        <f>SUM(AK609:AK609)</f>
        <v>0</v>
      </c>
      <c r="AU608" s="1">
        <f>SUM(AL609:AL609)</f>
        <v>0</v>
      </c>
    </row>
    <row r="609" spans="1:76" x14ac:dyDescent="0.25">
      <c r="A609" s="2" t="s">
        <v>1062</v>
      </c>
      <c r="B609" s="3" t="s">
        <v>1063</v>
      </c>
      <c r="C609" s="76" t="s">
        <v>1064</v>
      </c>
      <c r="D609" s="71"/>
      <c r="E609" s="3" t="s">
        <v>103</v>
      </c>
      <c r="F609" s="28">
        <v>28.84</v>
      </c>
      <c r="G609" s="28">
        <v>0</v>
      </c>
      <c r="H609" s="28">
        <f>ROUND(F609*AO609,2)</f>
        <v>0</v>
      </c>
      <c r="I609" s="28">
        <f>ROUND(F609*AP609,2)</f>
        <v>0</v>
      </c>
      <c r="J609" s="28">
        <f>ROUND(F609*G609,2)</f>
        <v>0</v>
      </c>
      <c r="K609" s="29" t="s">
        <v>60</v>
      </c>
      <c r="Z609" s="28">
        <f>ROUND(IF(AQ609="5",BJ609,0),2)</f>
        <v>0</v>
      </c>
      <c r="AB609" s="28">
        <f>ROUND(IF(AQ609="1",BH609,0),2)</f>
        <v>0</v>
      </c>
      <c r="AC609" s="28">
        <f>ROUND(IF(AQ609="1",BI609,0),2)</f>
        <v>0</v>
      </c>
      <c r="AD609" s="28">
        <f>ROUND(IF(AQ609="7",BH609,0),2)</f>
        <v>0</v>
      </c>
      <c r="AE609" s="28">
        <f>ROUND(IF(AQ609="7",BI609,0),2)</f>
        <v>0</v>
      </c>
      <c r="AF609" s="28">
        <f>ROUND(IF(AQ609="2",BH609,0),2)</f>
        <v>0</v>
      </c>
      <c r="AG609" s="28">
        <f>ROUND(IF(AQ609="2",BI609,0),2)</f>
        <v>0</v>
      </c>
      <c r="AH609" s="28">
        <f>ROUND(IF(AQ609="0",BJ609,0),2)</f>
        <v>0</v>
      </c>
      <c r="AI609" s="10" t="s">
        <v>1045</v>
      </c>
      <c r="AJ609" s="28">
        <f>IF(AN609=0,J609,0)</f>
        <v>0</v>
      </c>
      <c r="AK609" s="28">
        <f>IF(AN609=12,J609,0)</f>
        <v>0</v>
      </c>
      <c r="AL609" s="28">
        <f>IF(AN609=21,J609,0)</f>
        <v>0</v>
      </c>
      <c r="AN609" s="28">
        <v>21</v>
      </c>
      <c r="AO609" s="28">
        <f>G609*0.015552773</f>
        <v>0</v>
      </c>
      <c r="AP609" s="28">
        <f>G609*(1-0.015552773)</f>
        <v>0</v>
      </c>
      <c r="AQ609" s="30" t="s">
        <v>56</v>
      </c>
      <c r="AV609" s="28">
        <f>ROUND(AW609+AX609,2)</f>
        <v>0</v>
      </c>
      <c r="AW609" s="28">
        <f>ROUND(F609*AO609,2)</f>
        <v>0</v>
      </c>
      <c r="AX609" s="28">
        <f>ROUND(F609*AP609,2)</f>
        <v>0</v>
      </c>
      <c r="AY609" s="30" t="s">
        <v>195</v>
      </c>
      <c r="AZ609" s="30" t="s">
        <v>1049</v>
      </c>
      <c r="BA609" s="10" t="s">
        <v>1050</v>
      </c>
      <c r="BC609" s="28">
        <f>AW609+AX609</f>
        <v>0</v>
      </c>
      <c r="BD609" s="28">
        <f>G609/(100-BE609)*100</f>
        <v>0</v>
      </c>
      <c r="BE609" s="28">
        <v>0</v>
      </c>
      <c r="BF609" s="28">
        <f>617</f>
        <v>617</v>
      </c>
      <c r="BH609" s="28">
        <f>F609*AO609</f>
        <v>0</v>
      </c>
      <c r="BI609" s="28">
        <f>F609*AP609</f>
        <v>0</v>
      </c>
      <c r="BJ609" s="28">
        <f>F609*G609</f>
        <v>0</v>
      </c>
      <c r="BK609" s="28"/>
      <c r="BL609" s="28">
        <v>18</v>
      </c>
      <c r="BW609" s="28">
        <v>21</v>
      </c>
      <c r="BX609" s="4" t="s">
        <v>1064</v>
      </c>
    </row>
    <row r="610" spans="1:76" ht="13.5" customHeight="1" x14ac:dyDescent="0.25">
      <c r="A610" s="31"/>
      <c r="B610" s="35" t="s">
        <v>105</v>
      </c>
      <c r="C610" s="97" t="s">
        <v>1065</v>
      </c>
      <c r="D610" s="98"/>
      <c r="E610" s="98"/>
      <c r="F610" s="98"/>
      <c r="G610" s="98"/>
      <c r="H610" s="98"/>
      <c r="I610" s="98"/>
      <c r="J610" s="98"/>
      <c r="K610" s="99"/>
    </row>
    <row r="611" spans="1:76" x14ac:dyDescent="0.25">
      <c r="A611" s="31"/>
      <c r="C611" s="32" t="s">
        <v>1066</v>
      </c>
      <c r="D611" s="32" t="s">
        <v>51</v>
      </c>
      <c r="F611" s="33">
        <v>28.8401</v>
      </c>
      <c r="K611" s="34"/>
    </row>
    <row r="612" spans="1:76" x14ac:dyDescent="0.25">
      <c r="A612" s="24" t="s">
        <v>51</v>
      </c>
      <c r="B612" s="25" t="s">
        <v>192</v>
      </c>
      <c r="C612" s="87" t="s">
        <v>1067</v>
      </c>
      <c r="D612" s="88"/>
      <c r="E612" s="26" t="s">
        <v>4</v>
      </c>
      <c r="F612" s="26" t="s">
        <v>4</v>
      </c>
      <c r="G612" s="26" t="s">
        <v>4</v>
      </c>
      <c r="H612" s="1">
        <f>SUM(H613:H613)</f>
        <v>0</v>
      </c>
      <c r="I612" s="1">
        <f>SUM(I613:I613)</f>
        <v>0</v>
      </c>
      <c r="J612" s="1">
        <f>SUM(J613:J613)</f>
        <v>0</v>
      </c>
      <c r="K612" s="27" t="s">
        <v>51</v>
      </c>
      <c r="AI612" s="10" t="s">
        <v>1045</v>
      </c>
      <c r="AS612" s="1">
        <f>SUM(AJ613:AJ613)</f>
        <v>0</v>
      </c>
      <c r="AT612" s="1">
        <f>SUM(AK613:AK613)</f>
        <v>0</v>
      </c>
      <c r="AU612" s="1">
        <f>SUM(AL613:AL613)</f>
        <v>0</v>
      </c>
    </row>
    <row r="613" spans="1:76" x14ac:dyDescent="0.25">
      <c r="A613" s="2" t="s">
        <v>1068</v>
      </c>
      <c r="B613" s="3" t="s">
        <v>149</v>
      </c>
      <c r="C613" s="76" t="s">
        <v>150</v>
      </c>
      <c r="D613" s="71"/>
      <c r="E613" s="3" t="s">
        <v>59</v>
      </c>
      <c r="F613" s="28">
        <v>5.01</v>
      </c>
      <c r="G613" s="28">
        <v>0</v>
      </c>
      <c r="H613" s="28">
        <f>ROUND(F613*AO613,2)</f>
        <v>0</v>
      </c>
      <c r="I613" s="28">
        <f>ROUND(F613*AP613,2)</f>
        <v>0</v>
      </c>
      <c r="J613" s="28">
        <f>ROUND(F613*G613,2)</f>
        <v>0</v>
      </c>
      <c r="K613" s="29" t="s">
        <v>60</v>
      </c>
      <c r="Z613" s="28">
        <f>ROUND(IF(AQ613="5",BJ613,0),2)</f>
        <v>0</v>
      </c>
      <c r="AB613" s="28">
        <f>ROUND(IF(AQ613="1",BH613,0),2)</f>
        <v>0</v>
      </c>
      <c r="AC613" s="28">
        <f>ROUND(IF(AQ613="1",BI613,0),2)</f>
        <v>0</v>
      </c>
      <c r="AD613" s="28">
        <f>ROUND(IF(AQ613="7",BH613,0),2)</f>
        <v>0</v>
      </c>
      <c r="AE613" s="28">
        <f>ROUND(IF(AQ613="7",BI613,0),2)</f>
        <v>0</v>
      </c>
      <c r="AF613" s="28">
        <f>ROUND(IF(AQ613="2",BH613,0),2)</f>
        <v>0</v>
      </c>
      <c r="AG613" s="28">
        <f>ROUND(IF(AQ613="2",BI613,0),2)</f>
        <v>0</v>
      </c>
      <c r="AH613" s="28">
        <f>ROUND(IF(AQ613="0",BJ613,0),2)</f>
        <v>0</v>
      </c>
      <c r="AI613" s="10" t="s">
        <v>1045</v>
      </c>
      <c r="AJ613" s="28">
        <f>IF(AN613=0,J613,0)</f>
        <v>0</v>
      </c>
      <c r="AK613" s="28">
        <f>IF(AN613=12,J613,0)</f>
        <v>0</v>
      </c>
      <c r="AL613" s="28">
        <f>IF(AN613=21,J613,0)</f>
        <v>0</v>
      </c>
      <c r="AN613" s="28">
        <v>21</v>
      </c>
      <c r="AO613" s="28">
        <f>G613*0</f>
        <v>0</v>
      </c>
      <c r="AP613" s="28">
        <f>G613*(1-0)</f>
        <v>0</v>
      </c>
      <c r="AQ613" s="30" t="s">
        <v>56</v>
      </c>
      <c r="AV613" s="28">
        <f>ROUND(AW613+AX613,2)</f>
        <v>0</v>
      </c>
      <c r="AW613" s="28">
        <f>ROUND(F613*AO613,2)</f>
        <v>0</v>
      </c>
      <c r="AX613" s="28">
        <f>ROUND(F613*AP613,2)</f>
        <v>0</v>
      </c>
      <c r="AY613" s="30" t="s">
        <v>1069</v>
      </c>
      <c r="AZ613" s="30" t="s">
        <v>1049</v>
      </c>
      <c r="BA613" s="10" t="s">
        <v>1050</v>
      </c>
      <c r="BC613" s="28">
        <f>AW613+AX613</f>
        <v>0</v>
      </c>
      <c r="BD613" s="28">
        <f>G613/(100-BE613)*100</f>
        <v>0</v>
      </c>
      <c r="BE613" s="28">
        <v>0</v>
      </c>
      <c r="BF613" s="28">
        <f>621</f>
        <v>621</v>
      </c>
      <c r="BH613" s="28">
        <f>F613*AO613</f>
        <v>0</v>
      </c>
      <c r="BI613" s="28">
        <f>F613*AP613</f>
        <v>0</v>
      </c>
      <c r="BJ613" s="28">
        <f>F613*G613</f>
        <v>0</v>
      </c>
      <c r="BK613" s="28"/>
      <c r="BL613" s="28">
        <v>19</v>
      </c>
      <c r="BW613" s="28">
        <v>21</v>
      </c>
      <c r="BX613" s="4" t="s">
        <v>150</v>
      </c>
    </row>
    <row r="614" spans="1:76" x14ac:dyDescent="0.25">
      <c r="A614" s="24" t="s">
        <v>51</v>
      </c>
      <c r="B614" s="25" t="s">
        <v>229</v>
      </c>
      <c r="C614" s="87" t="s">
        <v>230</v>
      </c>
      <c r="D614" s="88"/>
      <c r="E614" s="26" t="s">
        <v>4</v>
      </c>
      <c r="F614" s="26" t="s">
        <v>4</v>
      </c>
      <c r="G614" s="26" t="s">
        <v>4</v>
      </c>
      <c r="H614" s="1">
        <f>SUM(H615:H627)</f>
        <v>0</v>
      </c>
      <c r="I614" s="1">
        <f>SUM(I615:I627)</f>
        <v>0</v>
      </c>
      <c r="J614" s="1">
        <f>SUM(J615:J627)</f>
        <v>0</v>
      </c>
      <c r="K614" s="27" t="s">
        <v>51</v>
      </c>
      <c r="AI614" s="10" t="s">
        <v>1045</v>
      </c>
      <c r="AS614" s="1">
        <f>SUM(AJ615:AJ627)</f>
        <v>0</v>
      </c>
      <c r="AT614" s="1">
        <f>SUM(AK615:AK627)</f>
        <v>0</v>
      </c>
      <c r="AU614" s="1">
        <f>SUM(AL615:AL627)</f>
        <v>0</v>
      </c>
    </row>
    <row r="615" spans="1:76" x14ac:dyDescent="0.25">
      <c r="A615" s="2" t="s">
        <v>1070</v>
      </c>
      <c r="B615" s="3" t="s">
        <v>1071</v>
      </c>
      <c r="C615" s="76" t="s">
        <v>1072</v>
      </c>
      <c r="D615" s="71"/>
      <c r="E615" s="3" t="s">
        <v>59</v>
      </c>
      <c r="F615" s="28">
        <v>1.43</v>
      </c>
      <c r="G615" s="28">
        <v>0</v>
      </c>
      <c r="H615" s="28">
        <f>ROUND(F615*AO615,2)</f>
        <v>0</v>
      </c>
      <c r="I615" s="28">
        <f>ROUND(F615*AP615,2)</f>
        <v>0</v>
      </c>
      <c r="J615" s="28">
        <f>ROUND(F615*G615,2)</f>
        <v>0</v>
      </c>
      <c r="K615" s="29" t="s">
        <v>60</v>
      </c>
      <c r="Z615" s="28">
        <f>ROUND(IF(AQ615="5",BJ615,0),2)</f>
        <v>0</v>
      </c>
      <c r="AB615" s="28">
        <f>ROUND(IF(AQ615="1",BH615,0),2)</f>
        <v>0</v>
      </c>
      <c r="AC615" s="28">
        <f>ROUND(IF(AQ615="1",BI615,0),2)</f>
        <v>0</v>
      </c>
      <c r="AD615" s="28">
        <f>ROUND(IF(AQ615="7",BH615,0),2)</f>
        <v>0</v>
      </c>
      <c r="AE615" s="28">
        <f>ROUND(IF(AQ615="7",BI615,0),2)</f>
        <v>0</v>
      </c>
      <c r="AF615" s="28">
        <f>ROUND(IF(AQ615="2",BH615,0),2)</f>
        <v>0</v>
      </c>
      <c r="AG615" s="28">
        <f>ROUND(IF(AQ615="2",BI615,0),2)</f>
        <v>0</v>
      </c>
      <c r="AH615" s="28">
        <f>ROUND(IF(AQ615="0",BJ615,0),2)</f>
        <v>0</v>
      </c>
      <c r="AI615" s="10" t="s">
        <v>1045</v>
      </c>
      <c r="AJ615" s="28">
        <f>IF(AN615=0,J615,0)</f>
        <v>0</v>
      </c>
      <c r="AK615" s="28">
        <f>IF(AN615=12,J615,0)</f>
        <v>0</v>
      </c>
      <c r="AL615" s="28">
        <f>IF(AN615=21,J615,0)</f>
        <v>0</v>
      </c>
      <c r="AN615" s="28">
        <v>21</v>
      </c>
      <c r="AO615" s="28">
        <f>G615*0.90239344</f>
        <v>0</v>
      </c>
      <c r="AP615" s="28">
        <f>G615*(1-0.90239344)</f>
        <v>0</v>
      </c>
      <c r="AQ615" s="30" t="s">
        <v>56</v>
      </c>
      <c r="AV615" s="28">
        <f>ROUND(AW615+AX615,2)</f>
        <v>0</v>
      </c>
      <c r="AW615" s="28">
        <f>ROUND(F615*AO615,2)</f>
        <v>0</v>
      </c>
      <c r="AX615" s="28">
        <f>ROUND(F615*AP615,2)</f>
        <v>0</v>
      </c>
      <c r="AY615" s="30" t="s">
        <v>234</v>
      </c>
      <c r="AZ615" s="30" t="s">
        <v>1073</v>
      </c>
      <c r="BA615" s="10" t="s">
        <v>1050</v>
      </c>
      <c r="BC615" s="28">
        <f>AW615+AX615</f>
        <v>0</v>
      </c>
      <c r="BD615" s="28">
        <f>G615/(100-BE615)*100</f>
        <v>0</v>
      </c>
      <c r="BE615" s="28">
        <v>0</v>
      </c>
      <c r="BF615" s="28">
        <f>623</f>
        <v>623</v>
      </c>
      <c r="BH615" s="28">
        <f>F615*AO615</f>
        <v>0</v>
      </c>
      <c r="BI615" s="28">
        <f>F615*AP615</f>
        <v>0</v>
      </c>
      <c r="BJ615" s="28">
        <f>F615*G615</f>
        <v>0</v>
      </c>
      <c r="BK615" s="28"/>
      <c r="BL615" s="28">
        <v>27</v>
      </c>
      <c r="BW615" s="28">
        <v>21</v>
      </c>
      <c r="BX615" s="4" t="s">
        <v>1072</v>
      </c>
    </row>
    <row r="616" spans="1:76" x14ac:dyDescent="0.25">
      <c r="A616" s="31"/>
      <c r="C616" s="32" t="s">
        <v>1074</v>
      </c>
      <c r="D616" s="32" t="s">
        <v>51</v>
      </c>
      <c r="F616" s="33">
        <v>0.72</v>
      </c>
      <c r="K616" s="34"/>
    </row>
    <row r="617" spans="1:76" x14ac:dyDescent="0.25">
      <c r="A617" s="31"/>
      <c r="C617" s="32" t="s">
        <v>1075</v>
      </c>
      <c r="D617" s="32" t="s">
        <v>51</v>
      </c>
      <c r="F617" s="33">
        <v>0.70499999999999996</v>
      </c>
      <c r="K617" s="34"/>
    </row>
    <row r="618" spans="1:76" x14ac:dyDescent="0.25">
      <c r="A618" s="2" t="s">
        <v>1076</v>
      </c>
      <c r="B618" s="3" t="s">
        <v>1077</v>
      </c>
      <c r="C618" s="76" t="s">
        <v>1078</v>
      </c>
      <c r="D618" s="71"/>
      <c r="E618" s="3" t="s">
        <v>103</v>
      </c>
      <c r="F618" s="28">
        <v>0.95</v>
      </c>
      <c r="G618" s="28">
        <v>0</v>
      </c>
      <c r="H618" s="28">
        <f>ROUND(F618*AO618,2)</f>
        <v>0</v>
      </c>
      <c r="I618" s="28">
        <f>ROUND(F618*AP618,2)</f>
        <v>0</v>
      </c>
      <c r="J618" s="28">
        <f>ROUND(F618*G618,2)</f>
        <v>0</v>
      </c>
      <c r="K618" s="29" t="s">
        <v>60</v>
      </c>
      <c r="Z618" s="28">
        <f>ROUND(IF(AQ618="5",BJ618,0),2)</f>
        <v>0</v>
      </c>
      <c r="AB618" s="28">
        <f>ROUND(IF(AQ618="1",BH618,0),2)</f>
        <v>0</v>
      </c>
      <c r="AC618" s="28">
        <f>ROUND(IF(AQ618="1",BI618,0),2)</f>
        <v>0</v>
      </c>
      <c r="AD618" s="28">
        <f>ROUND(IF(AQ618="7",BH618,0),2)</f>
        <v>0</v>
      </c>
      <c r="AE618" s="28">
        <f>ROUND(IF(AQ618="7",BI618,0),2)</f>
        <v>0</v>
      </c>
      <c r="AF618" s="28">
        <f>ROUND(IF(AQ618="2",BH618,0),2)</f>
        <v>0</v>
      </c>
      <c r="AG618" s="28">
        <f>ROUND(IF(AQ618="2",BI618,0),2)</f>
        <v>0</v>
      </c>
      <c r="AH618" s="28">
        <f>ROUND(IF(AQ618="0",BJ618,0),2)</f>
        <v>0</v>
      </c>
      <c r="AI618" s="10" t="s">
        <v>1045</v>
      </c>
      <c r="AJ618" s="28">
        <f>IF(AN618=0,J618,0)</f>
        <v>0</v>
      </c>
      <c r="AK618" s="28">
        <f>IF(AN618=12,J618,0)</f>
        <v>0</v>
      </c>
      <c r="AL618" s="28">
        <f>IF(AN618=21,J618,0)</f>
        <v>0</v>
      </c>
      <c r="AN618" s="28">
        <v>21</v>
      </c>
      <c r="AO618" s="28">
        <f>G618*0.322432702</f>
        <v>0</v>
      </c>
      <c r="AP618" s="28">
        <f>G618*(1-0.322432702)</f>
        <v>0</v>
      </c>
      <c r="AQ618" s="30" t="s">
        <v>56</v>
      </c>
      <c r="AV618" s="28">
        <f>ROUND(AW618+AX618,2)</f>
        <v>0</v>
      </c>
      <c r="AW618" s="28">
        <f>ROUND(F618*AO618,2)</f>
        <v>0</v>
      </c>
      <c r="AX618" s="28">
        <f>ROUND(F618*AP618,2)</f>
        <v>0</v>
      </c>
      <c r="AY618" s="30" t="s">
        <v>234</v>
      </c>
      <c r="AZ618" s="30" t="s">
        <v>1073</v>
      </c>
      <c r="BA618" s="10" t="s">
        <v>1050</v>
      </c>
      <c r="BC618" s="28">
        <f>AW618+AX618</f>
        <v>0</v>
      </c>
      <c r="BD618" s="28">
        <f>G618/(100-BE618)*100</f>
        <v>0</v>
      </c>
      <c r="BE618" s="28">
        <v>0</v>
      </c>
      <c r="BF618" s="28">
        <f>626</f>
        <v>626</v>
      </c>
      <c r="BH618" s="28">
        <f>F618*AO618</f>
        <v>0</v>
      </c>
      <c r="BI618" s="28">
        <f>F618*AP618</f>
        <v>0</v>
      </c>
      <c r="BJ618" s="28">
        <f>F618*G618</f>
        <v>0</v>
      </c>
      <c r="BK618" s="28"/>
      <c r="BL618" s="28">
        <v>27</v>
      </c>
      <c r="BW618" s="28">
        <v>21</v>
      </c>
      <c r="BX618" s="4" t="s">
        <v>1078</v>
      </c>
    </row>
    <row r="619" spans="1:76" x14ac:dyDescent="0.25">
      <c r="A619" s="31"/>
      <c r="C619" s="32" t="s">
        <v>1079</v>
      </c>
      <c r="D619" s="32" t="s">
        <v>51</v>
      </c>
      <c r="F619" s="33">
        <v>0.36</v>
      </c>
      <c r="K619" s="34"/>
    </row>
    <row r="620" spans="1:76" x14ac:dyDescent="0.25">
      <c r="A620" s="31"/>
      <c r="C620" s="32" t="s">
        <v>1080</v>
      </c>
      <c r="D620" s="32" t="s">
        <v>51</v>
      </c>
      <c r="F620" s="33">
        <v>0.59</v>
      </c>
      <c r="K620" s="34"/>
    </row>
    <row r="621" spans="1:76" x14ac:dyDescent="0.25">
      <c r="A621" s="2" t="s">
        <v>1081</v>
      </c>
      <c r="B621" s="3" t="s">
        <v>1082</v>
      </c>
      <c r="C621" s="76" t="s">
        <v>1083</v>
      </c>
      <c r="D621" s="71"/>
      <c r="E621" s="3" t="s">
        <v>103</v>
      </c>
      <c r="F621" s="28">
        <v>0.95</v>
      </c>
      <c r="G621" s="28">
        <v>0</v>
      </c>
      <c r="H621" s="28">
        <f>ROUND(F621*AO621,2)</f>
        <v>0</v>
      </c>
      <c r="I621" s="28">
        <f>ROUND(F621*AP621,2)</f>
        <v>0</v>
      </c>
      <c r="J621" s="28">
        <f>ROUND(F621*G621,2)</f>
        <v>0</v>
      </c>
      <c r="K621" s="29" t="s">
        <v>60</v>
      </c>
      <c r="Z621" s="28">
        <f>ROUND(IF(AQ621="5",BJ621,0),2)</f>
        <v>0</v>
      </c>
      <c r="AB621" s="28">
        <f>ROUND(IF(AQ621="1",BH621,0),2)</f>
        <v>0</v>
      </c>
      <c r="AC621" s="28">
        <f>ROUND(IF(AQ621="1",BI621,0),2)</f>
        <v>0</v>
      </c>
      <c r="AD621" s="28">
        <f>ROUND(IF(AQ621="7",BH621,0),2)</f>
        <v>0</v>
      </c>
      <c r="AE621" s="28">
        <f>ROUND(IF(AQ621="7",BI621,0),2)</f>
        <v>0</v>
      </c>
      <c r="AF621" s="28">
        <f>ROUND(IF(AQ621="2",BH621,0),2)</f>
        <v>0</v>
      </c>
      <c r="AG621" s="28">
        <f>ROUND(IF(AQ621="2",BI621,0),2)</f>
        <v>0</v>
      </c>
      <c r="AH621" s="28">
        <f>ROUND(IF(AQ621="0",BJ621,0),2)</f>
        <v>0</v>
      </c>
      <c r="AI621" s="10" t="s">
        <v>1045</v>
      </c>
      <c r="AJ621" s="28">
        <f>IF(AN621=0,J621,0)</f>
        <v>0</v>
      </c>
      <c r="AK621" s="28">
        <f>IF(AN621=12,J621,0)</f>
        <v>0</v>
      </c>
      <c r="AL621" s="28">
        <f>IF(AN621=21,J621,0)</f>
        <v>0</v>
      </c>
      <c r="AN621" s="28">
        <v>21</v>
      </c>
      <c r="AO621" s="28">
        <f>G621*0</f>
        <v>0</v>
      </c>
      <c r="AP621" s="28">
        <f>G621*(1-0)</f>
        <v>0</v>
      </c>
      <c r="AQ621" s="30" t="s">
        <v>56</v>
      </c>
      <c r="AV621" s="28">
        <f>ROUND(AW621+AX621,2)</f>
        <v>0</v>
      </c>
      <c r="AW621" s="28">
        <f>ROUND(F621*AO621,2)</f>
        <v>0</v>
      </c>
      <c r="AX621" s="28">
        <f>ROUND(F621*AP621,2)</f>
        <v>0</v>
      </c>
      <c r="AY621" s="30" t="s">
        <v>234</v>
      </c>
      <c r="AZ621" s="30" t="s">
        <v>1073</v>
      </c>
      <c r="BA621" s="10" t="s">
        <v>1050</v>
      </c>
      <c r="BC621" s="28">
        <f>AW621+AX621</f>
        <v>0</v>
      </c>
      <c r="BD621" s="28">
        <f>G621/(100-BE621)*100</f>
        <v>0</v>
      </c>
      <c r="BE621" s="28">
        <v>0</v>
      </c>
      <c r="BF621" s="28">
        <f>629</f>
        <v>629</v>
      </c>
      <c r="BH621" s="28">
        <f>F621*AO621</f>
        <v>0</v>
      </c>
      <c r="BI621" s="28">
        <f>F621*AP621</f>
        <v>0</v>
      </c>
      <c r="BJ621" s="28">
        <f>F621*G621</f>
        <v>0</v>
      </c>
      <c r="BK621" s="28"/>
      <c r="BL621" s="28">
        <v>27</v>
      </c>
      <c r="BW621" s="28">
        <v>21</v>
      </c>
      <c r="BX621" s="4" t="s">
        <v>1083</v>
      </c>
    </row>
    <row r="622" spans="1:76" x14ac:dyDescent="0.25">
      <c r="A622" s="2" t="s">
        <v>1084</v>
      </c>
      <c r="B622" s="3" t="s">
        <v>1085</v>
      </c>
      <c r="C622" s="76" t="s">
        <v>1086</v>
      </c>
      <c r="D622" s="71"/>
      <c r="E622" s="3" t="s">
        <v>59</v>
      </c>
      <c r="F622" s="28">
        <v>4.5199999999999996</v>
      </c>
      <c r="G622" s="28">
        <v>0</v>
      </c>
      <c r="H622" s="28">
        <f>ROUND(F622*AO622,2)</f>
        <v>0</v>
      </c>
      <c r="I622" s="28">
        <f>ROUND(F622*AP622,2)</f>
        <v>0</v>
      </c>
      <c r="J622" s="28">
        <f>ROUND(F622*G622,2)</f>
        <v>0</v>
      </c>
      <c r="K622" s="29" t="s">
        <v>60</v>
      </c>
      <c r="Z622" s="28">
        <f>ROUND(IF(AQ622="5",BJ622,0),2)</f>
        <v>0</v>
      </c>
      <c r="AB622" s="28">
        <f>ROUND(IF(AQ622="1",BH622,0),2)</f>
        <v>0</v>
      </c>
      <c r="AC622" s="28">
        <f>ROUND(IF(AQ622="1",BI622,0),2)</f>
        <v>0</v>
      </c>
      <c r="AD622" s="28">
        <f>ROUND(IF(AQ622="7",BH622,0),2)</f>
        <v>0</v>
      </c>
      <c r="AE622" s="28">
        <f>ROUND(IF(AQ622="7",BI622,0),2)</f>
        <v>0</v>
      </c>
      <c r="AF622" s="28">
        <f>ROUND(IF(AQ622="2",BH622,0),2)</f>
        <v>0</v>
      </c>
      <c r="AG622" s="28">
        <f>ROUND(IF(AQ622="2",BI622,0),2)</f>
        <v>0</v>
      </c>
      <c r="AH622" s="28">
        <f>ROUND(IF(AQ622="0",BJ622,0),2)</f>
        <v>0</v>
      </c>
      <c r="AI622" s="10" t="s">
        <v>1045</v>
      </c>
      <c r="AJ622" s="28">
        <f>IF(AN622=0,J622,0)</f>
        <v>0</v>
      </c>
      <c r="AK622" s="28">
        <f>IF(AN622=12,J622,0)</f>
        <v>0</v>
      </c>
      <c r="AL622" s="28">
        <f>IF(AN622=21,J622,0)</f>
        <v>0</v>
      </c>
      <c r="AN622" s="28">
        <v>21</v>
      </c>
      <c r="AO622" s="28">
        <f>G622*0.902392804</f>
        <v>0</v>
      </c>
      <c r="AP622" s="28">
        <f>G622*(1-0.902392804)</f>
        <v>0</v>
      </c>
      <c r="AQ622" s="30" t="s">
        <v>56</v>
      </c>
      <c r="AV622" s="28">
        <f>ROUND(AW622+AX622,2)</f>
        <v>0</v>
      </c>
      <c r="AW622" s="28">
        <f>ROUND(F622*AO622,2)</f>
        <v>0</v>
      </c>
      <c r="AX622" s="28">
        <f>ROUND(F622*AP622,2)</f>
        <v>0</v>
      </c>
      <c r="AY622" s="30" t="s">
        <v>234</v>
      </c>
      <c r="AZ622" s="30" t="s">
        <v>1073</v>
      </c>
      <c r="BA622" s="10" t="s">
        <v>1050</v>
      </c>
      <c r="BC622" s="28">
        <f>AW622+AX622</f>
        <v>0</v>
      </c>
      <c r="BD622" s="28">
        <f>G622/(100-BE622)*100</f>
        <v>0</v>
      </c>
      <c r="BE622" s="28">
        <v>0</v>
      </c>
      <c r="BF622" s="28">
        <f>630</f>
        <v>630</v>
      </c>
      <c r="BH622" s="28">
        <f>F622*AO622</f>
        <v>0</v>
      </c>
      <c r="BI622" s="28">
        <f>F622*AP622</f>
        <v>0</v>
      </c>
      <c r="BJ622" s="28">
        <f>F622*G622</f>
        <v>0</v>
      </c>
      <c r="BK622" s="28"/>
      <c r="BL622" s="28">
        <v>27</v>
      </c>
      <c r="BW622" s="28">
        <v>21</v>
      </c>
      <c r="BX622" s="4" t="s">
        <v>1086</v>
      </c>
    </row>
    <row r="623" spans="1:76" x14ac:dyDescent="0.25">
      <c r="A623" s="31"/>
      <c r="C623" s="32" t="s">
        <v>1087</v>
      </c>
      <c r="D623" s="32" t="s">
        <v>51</v>
      </c>
      <c r="F623" s="33">
        <v>1.216</v>
      </c>
      <c r="K623" s="34"/>
    </row>
    <row r="624" spans="1:76" x14ac:dyDescent="0.25">
      <c r="A624" s="31"/>
      <c r="C624" s="32" t="s">
        <v>1055</v>
      </c>
      <c r="D624" s="32" t="s">
        <v>1088</v>
      </c>
      <c r="F624" s="33">
        <v>3.3</v>
      </c>
      <c r="K624" s="34"/>
    </row>
    <row r="625" spans="1:76" x14ac:dyDescent="0.25">
      <c r="A625" s="2" t="s">
        <v>1089</v>
      </c>
      <c r="B625" s="3" t="s">
        <v>1090</v>
      </c>
      <c r="C625" s="76" t="s">
        <v>1091</v>
      </c>
      <c r="D625" s="71"/>
      <c r="E625" s="3" t="s">
        <v>103</v>
      </c>
      <c r="F625" s="28">
        <v>3.52</v>
      </c>
      <c r="G625" s="28">
        <v>0</v>
      </c>
      <c r="H625" s="28">
        <f>ROUND(F625*AO625,2)</f>
        <v>0</v>
      </c>
      <c r="I625" s="28">
        <f>ROUND(F625*AP625,2)</f>
        <v>0</v>
      </c>
      <c r="J625" s="28">
        <f>ROUND(F625*G625,2)</f>
        <v>0</v>
      </c>
      <c r="K625" s="29" t="s">
        <v>60</v>
      </c>
      <c r="Z625" s="28">
        <f>ROUND(IF(AQ625="5",BJ625,0),2)</f>
        <v>0</v>
      </c>
      <c r="AB625" s="28">
        <f>ROUND(IF(AQ625="1",BH625,0),2)</f>
        <v>0</v>
      </c>
      <c r="AC625" s="28">
        <f>ROUND(IF(AQ625="1",BI625,0),2)</f>
        <v>0</v>
      </c>
      <c r="AD625" s="28">
        <f>ROUND(IF(AQ625="7",BH625,0),2)</f>
        <v>0</v>
      </c>
      <c r="AE625" s="28">
        <f>ROUND(IF(AQ625="7",BI625,0),2)</f>
        <v>0</v>
      </c>
      <c r="AF625" s="28">
        <f>ROUND(IF(AQ625="2",BH625,0),2)</f>
        <v>0</v>
      </c>
      <c r="AG625" s="28">
        <f>ROUND(IF(AQ625="2",BI625,0),2)</f>
        <v>0</v>
      </c>
      <c r="AH625" s="28">
        <f>ROUND(IF(AQ625="0",BJ625,0),2)</f>
        <v>0</v>
      </c>
      <c r="AI625" s="10" t="s">
        <v>1045</v>
      </c>
      <c r="AJ625" s="28">
        <f>IF(AN625=0,J625,0)</f>
        <v>0</v>
      </c>
      <c r="AK625" s="28">
        <f>IF(AN625=12,J625,0)</f>
        <v>0</v>
      </c>
      <c r="AL625" s="28">
        <f>IF(AN625=21,J625,0)</f>
        <v>0</v>
      </c>
      <c r="AN625" s="28">
        <v>21</v>
      </c>
      <c r="AO625" s="28">
        <f>G625*0.335356758</f>
        <v>0</v>
      </c>
      <c r="AP625" s="28">
        <f>G625*(1-0.335356758)</f>
        <v>0</v>
      </c>
      <c r="AQ625" s="30" t="s">
        <v>56</v>
      </c>
      <c r="AV625" s="28">
        <f>ROUND(AW625+AX625,2)</f>
        <v>0</v>
      </c>
      <c r="AW625" s="28">
        <f>ROUND(F625*AO625,2)</f>
        <v>0</v>
      </c>
      <c r="AX625" s="28">
        <f>ROUND(F625*AP625,2)</f>
        <v>0</v>
      </c>
      <c r="AY625" s="30" t="s">
        <v>234</v>
      </c>
      <c r="AZ625" s="30" t="s">
        <v>1073</v>
      </c>
      <c r="BA625" s="10" t="s">
        <v>1050</v>
      </c>
      <c r="BC625" s="28">
        <f>AW625+AX625</f>
        <v>0</v>
      </c>
      <c r="BD625" s="28">
        <f>G625/(100-BE625)*100</f>
        <v>0</v>
      </c>
      <c r="BE625" s="28">
        <v>0</v>
      </c>
      <c r="BF625" s="28">
        <f>633</f>
        <v>633</v>
      </c>
      <c r="BH625" s="28">
        <f>F625*AO625</f>
        <v>0</v>
      </c>
      <c r="BI625" s="28">
        <f>F625*AP625</f>
        <v>0</v>
      </c>
      <c r="BJ625" s="28">
        <f>F625*G625</f>
        <v>0</v>
      </c>
      <c r="BK625" s="28"/>
      <c r="BL625" s="28">
        <v>27</v>
      </c>
      <c r="BW625" s="28">
        <v>21</v>
      </c>
      <c r="BX625" s="4" t="s">
        <v>1091</v>
      </c>
    </row>
    <row r="626" spans="1:76" x14ac:dyDescent="0.25">
      <c r="A626" s="31"/>
      <c r="C626" s="32" t="s">
        <v>1092</v>
      </c>
      <c r="D626" s="32" t="s">
        <v>51</v>
      </c>
      <c r="F626" s="33">
        <v>3.52</v>
      </c>
      <c r="K626" s="34"/>
    </row>
    <row r="627" spans="1:76" x14ac:dyDescent="0.25">
      <c r="A627" s="2" t="s">
        <v>1093</v>
      </c>
      <c r="B627" s="3" t="s">
        <v>1094</v>
      </c>
      <c r="C627" s="76" t="s">
        <v>1095</v>
      </c>
      <c r="D627" s="71"/>
      <c r="E627" s="3" t="s">
        <v>103</v>
      </c>
      <c r="F627" s="28">
        <v>3.52</v>
      </c>
      <c r="G627" s="28">
        <v>0</v>
      </c>
      <c r="H627" s="28">
        <f>ROUND(F627*AO627,2)</f>
        <v>0</v>
      </c>
      <c r="I627" s="28">
        <f>ROUND(F627*AP627,2)</f>
        <v>0</v>
      </c>
      <c r="J627" s="28">
        <f>ROUND(F627*G627,2)</f>
        <v>0</v>
      </c>
      <c r="K627" s="29" t="s">
        <v>60</v>
      </c>
      <c r="Z627" s="28">
        <f>ROUND(IF(AQ627="5",BJ627,0),2)</f>
        <v>0</v>
      </c>
      <c r="AB627" s="28">
        <f>ROUND(IF(AQ627="1",BH627,0),2)</f>
        <v>0</v>
      </c>
      <c r="AC627" s="28">
        <f>ROUND(IF(AQ627="1",BI627,0),2)</f>
        <v>0</v>
      </c>
      <c r="AD627" s="28">
        <f>ROUND(IF(AQ627="7",BH627,0),2)</f>
        <v>0</v>
      </c>
      <c r="AE627" s="28">
        <f>ROUND(IF(AQ627="7",BI627,0),2)</f>
        <v>0</v>
      </c>
      <c r="AF627" s="28">
        <f>ROUND(IF(AQ627="2",BH627,0),2)</f>
        <v>0</v>
      </c>
      <c r="AG627" s="28">
        <f>ROUND(IF(AQ627="2",BI627,0),2)</f>
        <v>0</v>
      </c>
      <c r="AH627" s="28">
        <f>ROUND(IF(AQ627="0",BJ627,0),2)</f>
        <v>0</v>
      </c>
      <c r="AI627" s="10" t="s">
        <v>1045</v>
      </c>
      <c r="AJ627" s="28">
        <f>IF(AN627=0,J627,0)</f>
        <v>0</v>
      </c>
      <c r="AK627" s="28">
        <f>IF(AN627=12,J627,0)</f>
        <v>0</v>
      </c>
      <c r="AL627" s="28">
        <f>IF(AN627=21,J627,0)</f>
        <v>0</v>
      </c>
      <c r="AN627" s="28">
        <v>21</v>
      </c>
      <c r="AO627" s="28">
        <f>G627*0</f>
        <v>0</v>
      </c>
      <c r="AP627" s="28">
        <f>G627*(1-0)</f>
        <v>0</v>
      </c>
      <c r="AQ627" s="30" t="s">
        <v>56</v>
      </c>
      <c r="AV627" s="28">
        <f>ROUND(AW627+AX627,2)</f>
        <v>0</v>
      </c>
      <c r="AW627" s="28">
        <f>ROUND(F627*AO627,2)</f>
        <v>0</v>
      </c>
      <c r="AX627" s="28">
        <f>ROUND(F627*AP627,2)</f>
        <v>0</v>
      </c>
      <c r="AY627" s="30" t="s">
        <v>234</v>
      </c>
      <c r="AZ627" s="30" t="s">
        <v>1073</v>
      </c>
      <c r="BA627" s="10" t="s">
        <v>1050</v>
      </c>
      <c r="BC627" s="28">
        <f>AW627+AX627</f>
        <v>0</v>
      </c>
      <c r="BD627" s="28">
        <f>G627/(100-BE627)*100</f>
        <v>0</v>
      </c>
      <c r="BE627" s="28">
        <v>0</v>
      </c>
      <c r="BF627" s="28">
        <f>635</f>
        <v>635</v>
      </c>
      <c r="BH627" s="28">
        <f>F627*AO627</f>
        <v>0</v>
      </c>
      <c r="BI627" s="28">
        <f>F627*AP627</f>
        <v>0</v>
      </c>
      <c r="BJ627" s="28">
        <f>F627*G627</f>
        <v>0</v>
      </c>
      <c r="BK627" s="28"/>
      <c r="BL627" s="28">
        <v>27</v>
      </c>
      <c r="BW627" s="28">
        <v>21</v>
      </c>
      <c r="BX627" s="4" t="s">
        <v>1095</v>
      </c>
    </row>
    <row r="628" spans="1:76" x14ac:dyDescent="0.25">
      <c r="A628" s="24" t="s">
        <v>51</v>
      </c>
      <c r="B628" s="25" t="s">
        <v>240</v>
      </c>
      <c r="C628" s="87" t="s">
        <v>241</v>
      </c>
      <c r="D628" s="88"/>
      <c r="E628" s="26" t="s">
        <v>4</v>
      </c>
      <c r="F628" s="26" t="s">
        <v>4</v>
      </c>
      <c r="G628" s="26" t="s">
        <v>4</v>
      </c>
      <c r="H628" s="1">
        <f>SUM(H629:H648)</f>
        <v>0</v>
      </c>
      <c r="I628" s="1">
        <f>SUM(I629:I648)</f>
        <v>0</v>
      </c>
      <c r="J628" s="1">
        <f>SUM(J629:J648)</f>
        <v>0</v>
      </c>
      <c r="K628" s="27" t="s">
        <v>51</v>
      </c>
      <c r="AI628" s="10" t="s">
        <v>1045</v>
      </c>
      <c r="AS628" s="1">
        <f>SUM(AJ629:AJ648)</f>
        <v>0</v>
      </c>
      <c r="AT628" s="1">
        <f>SUM(AK629:AK648)</f>
        <v>0</v>
      </c>
      <c r="AU628" s="1">
        <f>SUM(AL629:AL648)</f>
        <v>0</v>
      </c>
    </row>
    <row r="629" spans="1:76" x14ac:dyDescent="0.25">
      <c r="A629" s="2" t="s">
        <v>1096</v>
      </c>
      <c r="B629" s="3" t="s">
        <v>1097</v>
      </c>
      <c r="C629" s="76" t="s">
        <v>1098</v>
      </c>
      <c r="D629" s="71"/>
      <c r="E629" s="3" t="s">
        <v>59</v>
      </c>
      <c r="F629" s="28">
        <v>12.29</v>
      </c>
      <c r="G629" s="28">
        <v>0</v>
      </c>
      <c r="H629" s="28">
        <f>ROUND(F629*AO629,2)</f>
        <v>0</v>
      </c>
      <c r="I629" s="28">
        <f>ROUND(F629*AP629,2)</f>
        <v>0</v>
      </c>
      <c r="J629" s="28">
        <f>ROUND(F629*G629,2)</f>
        <v>0</v>
      </c>
      <c r="K629" s="29" t="s">
        <v>60</v>
      </c>
      <c r="Z629" s="28">
        <f>ROUND(IF(AQ629="5",BJ629,0),2)</f>
        <v>0</v>
      </c>
      <c r="AB629" s="28">
        <f>ROUND(IF(AQ629="1",BH629,0),2)</f>
        <v>0</v>
      </c>
      <c r="AC629" s="28">
        <f>ROUND(IF(AQ629="1",BI629,0),2)</f>
        <v>0</v>
      </c>
      <c r="AD629" s="28">
        <f>ROUND(IF(AQ629="7",BH629,0),2)</f>
        <v>0</v>
      </c>
      <c r="AE629" s="28">
        <f>ROUND(IF(AQ629="7",BI629,0),2)</f>
        <v>0</v>
      </c>
      <c r="AF629" s="28">
        <f>ROUND(IF(AQ629="2",BH629,0),2)</f>
        <v>0</v>
      </c>
      <c r="AG629" s="28">
        <f>ROUND(IF(AQ629="2",BI629,0),2)</f>
        <v>0</v>
      </c>
      <c r="AH629" s="28">
        <f>ROUND(IF(AQ629="0",BJ629,0),2)</f>
        <v>0</v>
      </c>
      <c r="AI629" s="10" t="s">
        <v>1045</v>
      </c>
      <c r="AJ629" s="28">
        <f>IF(AN629=0,J629,0)</f>
        <v>0</v>
      </c>
      <c r="AK629" s="28">
        <f>IF(AN629=12,J629,0)</f>
        <v>0</v>
      </c>
      <c r="AL629" s="28">
        <f>IF(AN629=21,J629,0)</f>
        <v>0</v>
      </c>
      <c r="AN629" s="28">
        <v>21</v>
      </c>
      <c r="AO629" s="28">
        <f>G629*0.85102268</f>
        <v>0</v>
      </c>
      <c r="AP629" s="28">
        <f>G629*(1-0.85102268)</f>
        <v>0</v>
      </c>
      <c r="AQ629" s="30" t="s">
        <v>56</v>
      </c>
      <c r="AV629" s="28">
        <f>ROUND(AW629+AX629,2)</f>
        <v>0</v>
      </c>
      <c r="AW629" s="28">
        <f>ROUND(F629*AO629,2)</f>
        <v>0</v>
      </c>
      <c r="AX629" s="28">
        <f>ROUND(F629*AP629,2)</f>
        <v>0</v>
      </c>
      <c r="AY629" s="30" t="s">
        <v>244</v>
      </c>
      <c r="AZ629" s="30" t="s">
        <v>1099</v>
      </c>
      <c r="BA629" s="10" t="s">
        <v>1050</v>
      </c>
      <c r="BC629" s="28">
        <f>AW629+AX629</f>
        <v>0</v>
      </c>
      <c r="BD629" s="28">
        <f>G629/(100-BE629)*100</f>
        <v>0</v>
      </c>
      <c r="BE629" s="28">
        <v>0</v>
      </c>
      <c r="BF629" s="28">
        <f>637</f>
        <v>637</v>
      </c>
      <c r="BH629" s="28">
        <f>F629*AO629</f>
        <v>0</v>
      </c>
      <c r="BI629" s="28">
        <f>F629*AP629</f>
        <v>0</v>
      </c>
      <c r="BJ629" s="28">
        <f>F629*G629</f>
        <v>0</v>
      </c>
      <c r="BK629" s="28"/>
      <c r="BL629" s="28">
        <v>31</v>
      </c>
      <c r="BW629" s="28">
        <v>21</v>
      </c>
      <c r="BX629" s="4" t="s">
        <v>1098</v>
      </c>
    </row>
    <row r="630" spans="1:76" x14ac:dyDescent="0.25">
      <c r="A630" s="31"/>
      <c r="C630" s="32" t="s">
        <v>1100</v>
      </c>
      <c r="D630" s="32" t="s">
        <v>51</v>
      </c>
      <c r="F630" s="33">
        <v>4.032</v>
      </c>
      <c r="K630" s="34"/>
    </row>
    <row r="631" spans="1:76" x14ac:dyDescent="0.25">
      <c r="A631" s="31"/>
      <c r="C631" s="32" t="s">
        <v>1101</v>
      </c>
      <c r="D631" s="32" t="s">
        <v>51</v>
      </c>
      <c r="F631" s="33">
        <v>0.30249999999999999</v>
      </c>
      <c r="K631" s="34"/>
    </row>
    <row r="632" spans="1:76" x14ac:dyDescent="0.25">
      <c r="A632" s="31"/>
      <c r="C632" s="32" t="s">
        <v>1102</v>
      </c>
      <c r="D632" s="32" t="s">
        <v>51</v>
      </c>
      <c r="F632" s="33">
        <v>2.25</v>
      </c>
      <c r="K632" s="34"/>
    </row>
    <row r="633" spans="1:76" x14ac:dyDescent="0.25">
      <c r="A633" s="31"/>
      <c r="C633" s="32" t="s">
        <v>1103</v>
      </c>
      <c r="D633" s="32" t="s">
        <v>51</v>
      </c>
      <c r="F633" s="33">
        <v>0.221</v>
      </c>
      <c r="K633" s="34"/>
    </row>
    <row r="634" spans="1:76" x14ac:dyDescent="0.25">
      <c r="A634" s="31"/>
      <c r="C634" s="32" t="s">
        <v>1104</v>
      </c>
      <c r="D634" s="32" t="s">
        <v>51</v>
      </c>
      <c r="F634" s="33">
        <v>1.075</v>
      </c>
      <c r="K634" s="34"/>
    </row>
    <row r="635" spans="1:76" x14ac:dyDescent="0.25">
      <c r="A635" s="31"/>
      <c r="C635" s="32" t="s">
        <v>1105</v>
      </c>
      <c r="D635" s="32" t="s">
        <v>51</v>
      </c>
      <c r="F635" s="33">
        <v>0.58125000000000004</v>
      </c>
      <c r="K635" s="34"/>
    </row>
    <row r="636" spans="1:76" x14ac:dyDescent="0.25">
      <c r="A636" s="31"/>
      <c r="C636" s="32" t="s">
        <v>1106</v>
      </c>
      <c r="D636" s="32" t="s">
        <v>51</v>
      </c>
      <c r="F636" s="33">
        <v>3.8250000000000002</v>
      </c>
      <c r="K636" s="34"/>
    </row>
    <row r="637" spans="1:76" x14ac:dyDescent="0.25">
      <c r="A637" s="2" t="s">
        <v>1107</v>
      </c>
      <c r="B637" s="3" t="s">
        <v>1108</v>
      </c>
      <c r="C637" s="76" t="s">
        <v>1109</v>
      </c>
      <c r="D637" s="71"/>
      <c r="E637" s="3" t="s">
        <v>103</v>
      </c>
      <c r="F637" s="28">
        <v>86.89</v>
      </c>
      <c r="G637" s="28">
        <v>0</v>
      </c>
      <c r="H637" s="28">
        <f>ROUND(F637*AO637,2)</f>
        <v>0</v>
      </c>
      <c r="I637" s="28">
        <f>ROUND(F637*AP637,2)</f>
        <v>0</v>
      </c>
      <c r="J637" s="28">
        <f>ROUND(F637*G637,2)</f>
        <v>0</v>
      </c>
      <c r="K637" s="29" t="s">
        <v>60</v>
      </c>
      <c r="Z637" s="28">
        <f>ROUND(IF(AQ637="5",BJ637,0),2)</f>
        <v>0</v>
      </c>
      <c r="AB637" s="28">
        <f>ROUND(IF(AQ637="1",BH637,0),2)</f>
        <v>0</v>
      </c>
      <c r="AC637" s="28">
        <f>ROUND(IF(AQ637="1",BI637,0),2)</f>
        <v>0</v>
      </c>
      <c r="AD637" s="28">
        <f>ROUND(IF(AQ637="7",BH637,0),2)</f>
        <v>0</v>
      </c>
      <c r="AE637" s="28">
        <f>ROUND(IF(AQ637="7",BI637,0),2)</f>
        <v>0</v>
      </c>
      <c r="AF637" s="28">
        <f>ROUND(IF(AQ637="2",BH637,0),2)</f>
        <v>0</v>
      </c>
      <c r="AG637" s="28">
        <f>ROUND(IF(AQ637="2",BI637,0),2)</f>
        <v>0</v>
      </c>
      <c r="AH637" s="28">
        <f>ROUND(IF(AQ637="0",BJ637,0),2)</f>
        <v>0</v>
      </c>
      <c r="AI637" s="10" t="s">
        <v>1045</v>
      </c>
      <c r="AJ637" s="28">
        <f>IF(AN637=0,J637,0)</f>
        <v>0</v>
      </c>
      <c r="AK637" s="28">
        <f>IF(AN637=12,J637,0)</f>
        <v>0</v>
      </c>
      <c r="AL637" s="28">
        <f>IF(AN637=21,J637,0)</f>
        <v>0</v>
      </c>
      <c r="AN637" s="28">
        <v>21</v>
      </c>
      <c r="AO637" s="28">
        <f>G637*0.445901873</f>
        <v>0</v>
      </c>
      <c r="AP637" s="28">
        <f>G637*(1-0.445901873)</f>
        <v>0</v>
      </c>
      <c r="AQ637" s="30" t="s">
        <v>56</v>
      </c>
      <c r="AV637" s="28">
        <f>ROUND(AW637+AX637,2)</f>
        <v>0</v>
      </c>
      <c r="AW637" s="28">
        <f>ROUND(F637*AO637,2)</f>
        <v>0</v>
      </c>
      <c r="AX637" s="28">
        <f>ROUND(F637*AP637,2)</f>
        <v>0</v>
      </c>
      <c r="AY637" s="30" t="s">
        <v>244</v>
      </c>
      <c r="AZ637" s="30" t="s">
        <v>1099</v>
      </c>
      <c r="BA637" s="10" t="s">
        <v>1050</v>
      </c>
      <c r="BC637" s="28">
        <f>AW637+AX637</f>
        <v>0</v>
      </c>
      <c r="BD637" s="28">
        <f>G637/(100-BE637)*100</f>
        <v>0</v>
      </c>
      <c r="BE637" s="28">
        <v>0</v>
      </c>
      <c r="BF637" s="28">
        <f>645</f>
        <v>645</v>
      </c>
      <c r="BH637" s="28">
        <f>F637*AO637</f>
        <v>0</v>
      </c>
      <c r="BI637" s="28">
        <f>F637*AP637</f>
        <v>0</v>
      </c>
      <c r="BJ637" s="28">
        <f>F637*G637</f>
        <v>0</v>
      </c>
      <c r="BK637" s="28"/>
      <c r="BL637" s="28">
        <v>31</v>
      </c>
      <c r="BW637" s="28">
        <v>21</v>
      </c>
      <c r="BX637" s="4" t="s">
        <v>1109</v>
      </c>
    </row>
    <row r="638" spans="1:76" x14ac:dyDescent="0.25">
      <c r="A638" s="31"/>
      <c r="C638" s="32" t="s">
        <v>1110</v>
      </c>
      <c r="D638" s="32" t="s">
        <v>51</v>
      </c>
      <c r="F638" s="33">
        <v>13.65</v>
      </c>
      <c r="K638" s="34"/>
    </row>
    <row r="639" spans="1:76" x14ac:dyDescent="0.25">
      <c r="A639" s="31"/>
      <c r="C639" s="32" t="s">
        <v>1111</v>
      </c>
      <c r="D639" s="32" t="s">
        <v>51</v>
      </c>
      <c r="F639" s="33">
        <v>3.0249999999999999</v>
      </c>
      <c r="K639" s="34"/>
    </row>
    <row r="640" spans="1:76" x14ac:dyDescent="0.25">
      <c r="A640" s="31"/>
      <c r="C640" s="32" t="s">
        <v>1112</v>
      </c>
      <c r="D640" s="32" t="s">
        <v>51</v>
      </c>
      <c r="F640" s="33">
        <v>24.3</v>
      </c>
      <c r="K640" s="34"/>
    </row>
    <row r="641" spans="1:76" x14ac:dyDescent="0.25">
      <c r="A641" s="31"/>
      <c r="C641" s="32" t="s">
        <v>1113</v>
      </c>
      <c r="D641" s="32" t="s">
        <v>51</v>
      </c>
      <c r="F641" s="33">
        <v>2.34</v>
      </c>
      <c r="K641" s="34"/>
    </row>
    <row r="642" spans="1:76" x14ac:dyDescent="0.25">
      <c r="A642" s="31"/>
      <c r="C642" s="32" t="s">
        <v>1114</v>
      </c>
      <c r="D642" s="32" t="s">
        <v>51</v>
      </c>
      <c r="F642" s="33">
        <v>11.75</v>
      </c>
      <c r="K642" s="34"/>
    </row>
    <row r="643" spans="1:76" x14ac:dyDescent="0.25">
      <c r="A643" s="31"/>
      <c r="C643" s="32" t="s">
        <v>1115</v>
      </c>
      <c r="D643" s="32" t="s">
        <v>51</v>
      </c>
      <c r="F643" s="33">
        <v>5.0250000000000004</v>
      </c>
      <c r="K643" s="34"/>
    </row>
    <row r="644" spans="1:76" x14ac:dyDescent="0.25">
      <c r="A644" s="31"/>
      <c r="C644" s="32" t="s">
        <v>1116</v>
      </c>
      <c r="D644" s="32" t="s">
        <v>51</v>
      </c>
      <c r="F644" s="33">
        <v>26.8</v>
      </c>
      <c r="K644" s="34"/>
    </row>
    <row r="645" spans="1:76" x14ac:dyDescent="0.25">
      <c r="A645" s="2" t="s">
        <v>1117</v>
      </c>
      <c r="B645" s="3" t="s">
        <v>1118</v>
      </c>
      <c r="C645" s="76" t="s">
        <v>1119</v>
      </c>
      <c r="D645" s="71"/>
      <c r="E645" s="3" t="s">
        <v>103</v>
      </c>
      <c r="F645" s="28">
        <v>86.89</v>
      </c>
      <c r="G645" s="28">
        <v>0</v>
      </c>
      <c r="H645" s="28">
        <f>ROUND(F645*AO645,2)</f>
        <v>0</v>
      </c>
      <c r="I645" s="28">
        <f>ROUND(F645*AP645,2)</f>
        <v>0</v>
      </c>
      <c r="J645" s="28">
        <f>ROUND(F645*G645,2)</f>
        <v>0</v>
      </c>
      <c r="K645" s="29" t="s">
        <v>60</v>
      </c>
      <c r="Z645" s="28">
        <f>ROUND(IF(AQ645="5",BJ645,0),2)</f>
        <v>0</v>
      </c>
      <c r="AB645" s="28">
        <f>ROUND(IF(AQ645="1",BH645,0),2)</f>
        <v>0</v>
      </c>
      <c r="AC645" s="28">
        <f>ROUND(IF(AQ645="1",BI645,0),2)</f>
        <v>0</v>
      </c>
      <c r="AD645" s="28">
        <f>ROUND(IF(AQ645="7",BH645,0),2)</f>
        <v>0</v>
      </c>
      <c r="AE645" s="28">
        <f>ROUND(IF(AQ645="7",BI645,0),2)</f>
        <v>0</v>
      </c>
      <c r="AF645" s="28">
        <f>ROUND(IF(AQ645="2",BH645,0),2)</f>
        <v>0</v>
      </c>
      <c r="AG645" s="28">
        <f>ROUND(IF(AQ645="2",BI645,0),2)</f>
        <v>0</v>
      </c>
      <c r="AH645" s="28">
        <f>ROUND(IF(AQ645="0",BJ645,0),2)</f>
        <v>0</v>
      </c>
      <c r="AI645" s="10" t="s">
        <v>1045</v>
      </c>
      <c r="AJ645" s="28">
        <f>IF(AN645=0,J645,0)</f>
        <v>0</v>
      </c>
      <c r="AK645" s="28">
        <f>IF(AN645=12,J645,0)</f>
        <v>0</v>
      </c>
      <c r="AL645" s="28">
        <f>IF(AN645=21,J645,0)</f>
        <v>0</v>
      </c>
      <c r="AN645" s="28">
        <v>21</v>
      </c>
      <c r="AO645" s="28">
        <f>G645*0</f>
        <v>0</v>
      </c>
      <c r="AP645" s="28">
        <f>G645*(1-0)</f>
        <v>0</v>
      </c>
      <c r="AQ645" s="30" t="s">
        <v>56</v>
      </c>
      <c r="AV645" s="28">
        <f>ROUND(AW645+AX645,2)</f>
        <v>0</v>
      </c>
      <c r="AW645" s="28">
        <f>ROUND(F645*AO645,2)</f>
        <v>0</v>
      </c>
      <c r="AX645" s="28">
        <f>ROUND(F645*AP645,2)</f>
        <v>0</v>
      </c>
      <c r="AY645" s="30" t="s">
        <v>244</v>
      </c>
      <c r="AZ645" s="30" t="s">
        <v>1099</v>
      </c>
      <c r="BA645" s="10" t="s">
        <v>1050</v>
      </c>
      <c r="BC645" s="28">
        <f>AW645+AX645</f>
        <v>0</v>
      </c>
      <c r="BD645" s="28">
        <f>G645/(100-BE645)*100</f>
        <v>0</v>
      </c>
      <c r="BE645" s="28">
        <v>0</v>
      </c>
      <c r="BF645" s="28">
        <f>653</f>
        <v>653</v>
      </c>
      <c r="BH645" s="28">
        <f>F645*AO645</f>
        <v>0</v>
      </c>
      <c r="BI645" s="28">
        <f>F645*AP645</f>
        <v>0</v>
      </c>
      <c r="BJ645" s="28">
        <f>F645*G645</f>
        <v>0</v>
      </c>
      <c r="BK645" s="28"/>
      <c r="BL645" s="28">
        <v>31</v>
      </c>
      <c r="BW645" s="28">
        <v>21</v>
      </c>
      <c r="BX645" s="4" t="s">
        <v>1119</v>
      </c>
    </row>
    <row r="646" spans="1:76" x14ac:dyDescent="0.25">
      <c r="A646" s="2" t="s">
        <v>1120</v>
      </c>
      <c r="B646" s="3" t="s">
        <v>1121</v>
      </c>
      <c r="C646" s="76" t="s">
        <v>1122</v>
      </c>
      <c r="D646" s="71"/>
      <c r="E646" s="3" t="s">
        <v>201</v>
      </c>
      <c r="F646" s="28">
        <v>1.23</v>
      </c>
      <c r="G646" s="28">
        <v>0</v>
      </c>
      <c r="H646" s="28">
        <f>ROUND(F646*AO646,2)</f>
        <v>0</v>
      </c>
      <c r="I646" s="28">
        <f>ROUND(F646*AP646,2)</f>
        <v>0</v>
      </c>
      <c r="J646" s="28">
        <f>ROUND(F646*G646,2)</f>
        <v>0</v>
      </c>
      <c r="K646" s="29" t="s">
        <v>60</v>
      </c>
      <c r="Z646" s="28">
        <f>ROUND(IF(AQ646="5",BJ646,0),2)</f>
        <v>0</v>
      </c>
      <c r="AB646" s="28">
        <f>ROUND(IF(AQ646="1",BH646,0),2)</f>
        <v>0</v>
      </c>
      <c r="AC646" s="28">
        <f>ROUND(IF(AQ646="1",BI646,0),2)</f>
        <v>0</v>
      </c>
      <c r="AD646" s="28">
        <f>ROUND(IF(AQ646="7",BH646,0),2)</f>
        <v>0</v>
      </c>
      <c r="AE646" s="28">
        <f>ROUND(IF(AQ646="7",BI646,0),2)</f>
        <v>0</v>
      </c>
      <c r="AF646" s="28">
        <f>ROUND(IF(AQ646="2",BH646,0),2)</f>
        <v>0</v>
      </c>
      <c r="AG646" s="28">
        <f>ROUND(IF(AQ646="2",BI646,0),2)</f>
        <v>0</v>
      </c>
      <c r="AH646" s="28">
        <f>ROUND(IF(AQ646="0",BJ646,0),2)</f>
        <v>0</v>
      </c>
      <c r="AI646" s="10" t="s">
        <v>1045</v>
      </c>
      <c r="AJ646" s="28">
        <f>IF(AN646=0,J646,0)</f>
        <v>0</v>
      </c>
      <c r="AK646" s="28">
        <f>IF(AN646=12,J646,0)</f>
        <v>0</v>
      </c>
      <c r="AL646" s="28">
        <f>IF(AN646=21,J646,0)</f>
        <v>0</v>
      </c>
      <c r="AN646" s="28">
        <v>21</v>
      </c>
      <c r="AO646" s="28">
        <f>G646*0.721133909</f>
        <v>0</v>
      </c>
      <c r="AP646" s="28">
        <f>G646*(1-0.721133909)</f>
        <v>0</v>
      </c>
      <c r="AQ646" s="30" t="s">
        <v>56</v>
      </c>
      <c r="AV646" s="28">
        <f>ROUND(AW646+AX646,2)</f>
        <v>0</v>
      </c>
      <c r="AW646" s="28">
        <f>ROUND(F646*AO646,2)</f>
        <v>0</v>
      </c>
      <c r="AX646" s="28">
        <f>ROUND(F646*AP646,2)</f>
        <v>0</v>
      </c>
      <c r="AY646" s="30" t="s">
        <v>244</v>
      </c>
      <c r="AZ646" s="30" t="s">
        <v>1099</v>
      </c>
      <c r="BA646" s="10" t="s">
        <v>1050</v>
      </c>
      <c r="BC646" s="28">
        <f>AW646+AX646</f>
        <v>0</v>
      </c>
      <c r="BD646" s="28">
        <f>G646/(100-BE646)*100</f>
        <v>0</v>
      </c>
      <c r="BE646" s="28">
        <v>0</v>
      </c>
      <c r="BF646" s="28">
        <f>654</f>
        <v>654</v>
      </c>
      <c r="BH646" s="28">
        <f>F646*AO646</f>
        <v>0</v>
      </c>
      <c r="BI646" s="28">
        <f>F646*AP646</f>
        <v>0</v>
      </c>
      <c r="BJ646" s="28">
        <f>F646*G646</f>
        <v>0</v>
      </c>
      <c r="BK646" s="28"/>
      <c r="BL646" s="28">
        <v>31</v>
      </c>
      <c r="BW646" s="28">
        <v>21</v>
      </c>
      <c r="BX646" s="4" t="s">
        <v>1122</v>
      </c>
    </row>
    <row r="647" spans="1:76" x14ac:dyDescent="0.25">
      <c r="A647" s="31"/>
      <c r="C647" s="32" t="s">
        <v>1123</v>
      </c>
      <c r="D647" s="32" t="s">
        <v>51</v>
      </c>
      <c r="F647" s="33">
        <v>1.2286699999999999</v>
      </c>
      <c r="K647" s="34"/>
    </row>
    <row r="648" spans="1:76" x14ac:dyDescent="0.25">
      <c r="A648" s="2" t="s">
        <v>1124</v>
      </c>
      <c r="B648" s="3" t="s">
        <v>1125</v>
      </c>
      <c r="C648" s="76" t="s">
        <v>1126</v>
      </c>
      <c r="D648" s="71"/>
      <c r="E648" s="3" t="s">
        <v>293</v>
      </c>
      <c r="F648" s="28">
        <v>2</v>
      </c>
      <c r="G648" s="28">
        <v>0</v>
      </c>
      <c r="H648" s="28">
        <f>ROUND(F648*AO648,2)</f>
        <v>0</v>
      </c>
      <c r="I648" s="28">
        <f>ROUND(F648*AP648,2)</f>
        <v>0</v>
      </c>
      <c r="J648" s="28">
        <f>ROUND(F648*G648,2)</f>
        <v>0</v>
      </c>
      <c r="K648" s="29" t="s">
        <v>60</v>
      </c>
      <c r="Z648" s="28">
        <f>ROUND(IF(AQ648="5",BJ648,0),2)</f>
        <v>0</v>
      </c>
      <c r="AB648" s="28">
        <f>ROUND(IF(AQ648="1",BH648,0),2)</f>
        <v>0</v>
      </c>
      <c r="AC648" s="28">
        <f>ROUND(IF(AQ648="1",BI648,0),2)</f>
        <v>0</v>
      </c>
      <c r="AD648" s="28">
        <f>ROUND(IF(AQ648="7",BH648,0),2)</f>
        <v>0</v>
      </c>
      <c r="AE648" s="28">
        <f>ROUND(IF(AQ648="7",BI648,0),2)</f>
        <v>0</v>
      </c>
      <c r="AF648" s="28">
        <f>ROUND(IF(AQ648="2",BH648,0),2)</f>
        <v>0</v>
      </c>
      <c r="AG648" s="28">
        <f>ROUND(IF(AQ648="2",BI648,0),2)</f>
        <v>0</v>
      </c>
      <c r="AH648" s="28">
        <f>ROUND(IF(AQ648="0",BJ648,0),2)</f>
        <v>0</v>
      </c>
      <c r="AI648" s="10" t="s">
        <v>1045</v>
      </c>
      <c r="AJ648" s="28">
        <f>IF(AN648=0,J648,0)</f>
        <v>0</v>
      </c>
      <c r="AK648" s="28">
        <f>IF(AN648=12,J648,0)</f>
        <v>0</v>
      </c>
      <c r="AL648" s="28">
        <f>IF(AN648=21,J648,0)</f>
        <v>0</v>
      </c>
      <c r="AN648" s="28">
        <v>21</v>
      </c>
      <c r="AO648" s="28">
        <f>G648*0</f>
        <v>0</v>
      </c>
      <c r="AP648" s="28">
        <f>G648*(1-0)</f>
        <v>0</v>
      </c>
      <c r="AQ648" s="30" t="s">
        <v>56</v>
      </c>
      <c r="AV648" s="28">
        <f>ROUND(AW648+AX648,2)</f>
        <v>0</v>
      </c>
      <c r="AW648" s="28">
        <f>ROUND(F648*AO648,2)</f>
        <v>0</v>
      </c>
      <c r="AX648" s="28">
        <f>ROUND(F648*AP648,2)</f>
        <v>0</v>
      </c>
      <c r="AY648" s="30" t="s">
        <v>244</v>
      </c>
      <c r="AZ648" s="30" t="s">
        <v>1099</v>
      </c>
      <c r="BA648" s="10" t="s">
        <v>1050</v>
      </c>
      <c r="BC648" s="28">
        <f>AW648+AX648</f>
        <v>0</v>
      </c>
      <c r="BD648" s="28">
        <f>G648/(100-BE648)*100</f>
        <v>0</v>
      </c>
      <c r="BE648" s="28">
        <v>0</v>
      </c>
      <c r="BF648" s="28">
        <f>656</f>
        <v>656</v>
      </c>
      <c r="BH648" s="28">
        <f>F648*AO648</f>
        <v>0</v>
      </c>
      <c r="BI648" s="28">
        <f>F648*AP648</f>
        <v>0</v>
      </c>
      <c r="BJ648" s="28">
        <f>F648*G648</f>
        <v>0</v>
      </c>
      <c r="BK648" s="28"/>
      <c r="BL648" s="28">
        <v>31</v>
      </c>
      <c r="BW648" s="28">
        <v>21</v>
      </c>
      <c r="BX648" s="4" t="s">
        <v>1126</v>
      </c>
    </row>
    <row r="649" spans="1:76" x14ac:dyDescent="0.25">
      <c r="A649" s="24" t="s">
        <v>51</v>
      </c>
      <c r="B649" s="25" t="s">
        <v>306</v>
      </c>
      <c r="C649" s="87" t="s">
        <v>1127</v>
      </c>
      <c r="D649" s="88"/>
      <c r="E649" s="26" t="s">
        <v>4</v>
      </c>
      <c r="F649" s="26" t="s">
        <v>4</v>
      </c>
      <c r="G649" s="26" t="s">
        <v>4</v>
      </c>
      <c r="H649" s="1">
        <f>SUM(H650:H657)</f>
        <v>0</v>
      </c>
      <c r="I649" s="1">
        <f>SUM(I650:I657)</f>
        <v>0</v>
      </c>
      <c r="J649" s="1">
        <f>SUM(J650:J657)</f>
        <v>0</v>
      </c>
      <c r="K649" s="27" t="s">
        <v>51</v>
      </c>
      <c r="AI649" s="10" t="s">
        <v>1045</v>
      </c>
      <c r="AS649" s="1">
        <f>SUM(AJ650:AJ657)</f>
        <v>0</v>
      </c>
      <c r="AT649" s="1">
        <f>SUM(AK650:AK657)</f>
        <v>0</v>
      </c>
      <c r="AU649" s="1">
        <f>SUM(AL650:AL657)</f>
        <v>0</v>
      </c>
    </row>
    <row r="650" spans="1:76" x14ac:dyDescent="0.25">
      <c r="A650" s="2" t="s">
        <v>1128</v>
      </c>
      <c r="B650" s="3" t="s">
        <v>1129</v>
      </c>
      <c r="C650" s="76" t="s">
        <v>1130</v>
      </c>
      <c r="D650" s="71"/>
      <c r="E650" s="3" t="s">
        <v>293</v>
      </c>
      <c r="F650" s="28">
        <v>332</v>
      </c>
      <c r="G650" s="28">
        <v>0</v>
      </c>
      <c r="H650" s="28">
        <f>ROUND(F650*AO650,2)</f>
        <v>0</v>
      </c>
      <c r="I650" s="28">
        <f>ROUND(F650*AP650,2)</f>
        <v>0</v>
      </c>
      <c r="J650" s="28">
        <f>ROUND(F650*G650,2)</f>
        <v>0</v>
      </c>
      <c r="K650" s="29" t="s">
        <v>60</v>
      </c>
      <c r="Z650" s="28">
        <f>ROUND(IF(AQ650="5",BJ650,0),2)</f>
        <v>0</v>
      </c>
      <c r="AB650" s="28">
        <f>ROUND(IF(AQ650="1",BH650,0),2)</f>
        <v>0</v>
      </c>
      <c r="AC650" s="28">
        <f>ROUND(IF(AQ650="1",BI650,0),2)</f>
        <v>0</v>
      </c>
      <c r="AD650" s="28">
        <f>ROUND(IF(AQ650="7",BH650,0),2)</f>
        <v>0</v>
      </c>
      <c r="AE650" s="28">
        <f>ROUND(IF(AQ650="7",BI650,0),2)</f>
        <v>0</v>
      </c>
      <c r="AF650" s="28">
        <f>ROUND(IF(AQ650="2",BH650,0),2)</f>
        <v>0</v>
      </c>
      <c r="AG650" s="28">
        <f>ROUND(IF(AQ650="2",BI650,0),2)</f>
        <v>0</v>
      </c>
      <c r="AH650" s="28">
        <f>ROUND(IF(AQ650="0",BJ650,0),2)</f>
        <v>0</v>
      </c>
      <c r="AI650" s="10" t="s">
        <v>1045</v>
      </c>
      <c r="AJ650" s="28">
        <f>IF(AN650=0,J650,0)</f>
        <v>0</v>
      </c>
      <c r="AK650" s="28">
        <f>IF(AN650=12,J650,0)</f>
        <v>0</v>
      </c>
      <c r="AL650" s="28">
        <f>IF(AN650=21,J650,0)</f>
        <v>0</v>
      </c>
      <c r="AN650" s="28">
        <v>21</v>
      </c>
      <c r="AO650" s="28">
        <f>G650*0.116236162</f>
        <v>0</v>
      </c>
      <c r="AP650" s="28">
        <f>G650*(1-0.116236162)</f>
        <v>0</v>
      </c>
      <c r="AQ650" s="30" t="s">
        <v>56</v>
      </c>
      <c r="AV650" s="28">
        <f>ROUND(AW650+AX650,2)</f>
        <v>0</v>
      </c>
      <c r="AW650" s="28">
        <f>ROUND(F650*AO650,2)</f>
        <v>0</v>
      </c>
      <c r="AX650" s="28">
        <f>ROUND(F650*AP650,2)</f>
        <v>0</v>
      </c>
      <c r="AY650" s="30" t="s">
        <v>1131</v>
      </c>
      <c r="AZ650" s="30" t="s">
        <v>1099</v>
      </c>
      <c r="BA650" s="10" t="s">
        <v>1050</v>
      </c>
      <c r="BC650" s="28">
        <f>AW650+AX650</f>
        <v>0</v>
      </c>
      <c r="BD650" s="28">
        <f>G650/(100-BE650)*100</f>
        <v>0</v>
      </c>
      <c r="BE650" s="28">
        <v>0</v>
      </c>
      <c r="BF650" s="28">
        <f>658</f>
        <v>658</v>
      </c>
      <c r="BH650" s="28">
        <f>F650*AO650</f>
        <v>0</v>
      </c>
      <c r="BI650" s="28">
        <f>F650*AP650</f>
        <v>0</v>
      </c>
      <c r="BJ650" s="28">
        <f>F650*G650</f>
        <v>0</v>
      </c>
      <c r="BK650" s="28"/>
      <c r="BL650" s="28">
        <v>38</v>
      </c>
      <c r="BW650" s="28">
        <v>21</v>
      </c>
      <c r="BX650" s="4" t="s">
        <v>1130</v>
      </c>
    </row>
    <row r="651" spans="1:76" x14ac:dyDescent="0.25">
      <c r="A651" s="31"/>
      <c r="C651" s="32" t="s">
        <v>1132</v>
      </c>
      <c r="D651" s="32" t="s">
        <v>51</v>
      </c>
      <c r="F651" s="33">
        <v>153.6</v>
      </c>
      <c r="K651" s="34"/>
    </row>
    <row r="652" spans="1:76" x14ac:dyDescent="0.25">
      <c r="A652" s="31"/>
      <c r="C652" s="32" t="s">
        <v>1133</v>
      </c>
      <c r="D652" s="32" t="s">
        <v>51</v>
      </c>
      <c r="F652" s="33">
        <v>48.4</v>
      </c>
      <c r="K652" s="34"/>
    </row>
    <row r="653" spans="1:76" x14ac:dyDescent="0.25">
      <c r="A653" s="31"/>
      <c r="C653" s="32" t="s">
        <v>1134</v>
      </c>
      <c r="D653" s="32" t="s">
        <v>51</v>
      </c>
      <c r="F653" s="33">
        <v>36</v>
      </c>
      <c r="K653" s="34"/>
    </row>
    <row r="654" spans="1:76" x14ac:dyDescent="0.25">
      <c r="A654" s="31"/>
      <c r="C654" s="32" t="s">
        <v>1135</v>
      </c>
      <c r="D654" s="32" t="s">
        <v>51</v>
      </c>
      <c r="F654" s="33">
        <v>24.4</v>
      </c>
      <c r="K654" s="34"/>
    </row>
    <row r="655" spans="1:76" x14ac:dyDescent="0.25">
      <c r="A655" s="31"/>
      <c r="C655" s="32" t="s">
        <v>1136</v>
      </c>
      <c r="D655" s="32" t="s">
        <v>51</v>
      </c>
      <c r="F655" s="33">
        <v>68</v>
      </c>
      <c r="K655" s="34"/>
    </row>
    <row r="656" spans="1:76" x14ac:dyDescent="0.25">
      <c r="A656" s="31"/>
      <c r="C656" s="32" t="s">
        <v>1137</v>
      </c>
      <c r="D656" s="32" t="s">
        <v>51</v>
      </c>
      <c r="F656" s="33">
        <v>332</v>
      </c>
      <c r="K656" s="34"/>
    </row>
    <row r="657" spans="1:76" x14ac:dyDescent="0.25">
      <c r="A657" s="2" t="s">
        <v>1138</v>
      </c>
      <c r="B657" s="3" t="s">
        <v>1139</v>
      </c>
      <c r="C657" s="76" t="s">
        <v>1140</v>
      </c>
      <c r="D657" s="71"/>
      <c r="E657" s="3" t="s">
        <v>201</v>
      </c>
      <c r="F657" s="28">
        <v>0.15</v>
      </c>
      <c r="G657" s="28">
        <v>0</v>
      </c>
      <c r="H657" s="28">
        <f>ROUND(F657*AO657,2)</f>
        <v>0</v>
      </c>
      <c r="I657" s="28">
        <f>ROUND(F657*AP657,2)</f>
        <v>0</v>
      </c>
      <c r="J657" s="28">
        <f>ROUND(F657*G657,2)</f>
        <v>0</v>
      </c>
      <c r="K657" s="29" t="s">
        <v>60</v>
      </c>
      <c r="Z657" s="28">
        <f>ROUND(IF(AQ657="5",BJ657,0),2)</f>
        <v>0</v>
      </c>
      <c r="AB657" s="28">
        <f>ROUND(IF(AQ657="1",BH657,0),2)</f>
        <v>0</v>
      </c>
      <c r="AC657" s="28">
        <f>ROUND(IF(AQ657="1",BI657,0),2)</f>
        <v>0</v>
      </c>
      <c r="AD657" s="28">
        <f>ROUND(IF(AQ657="7",BH657,0),2)</f>
        <v>0</v>
      </c>
      <c r="AE657" s="28">
        <f>ROUND(IF(AQ657="7",BI657,0),2)</f>
        <v>0</v>
      </c>
      <c r="AF657" s="28">
        <f>ROUND(IF(AQ657="2",BH657,0),2)</f>
        <v>0</v>
      </c>
      <c r="AG657" s="28">
        <f>ROUND(IF(AQ657="2",BI657,0),2)</f>
        <v>0</v>
      </c>
      <c r="AH657" s="28">
        <f>ROUND(IF(AQ657="0",BJ657,0),2)</f>
        <v>0</v>
      </c>
      <c r="AI657" s="10" t="s">
        <v>1045</v>
      </c>
      <c r="AJ657" s="28">
        <f>IF(AN657=0,J657,0)</f>
        <v>0</v>
      </c>
      <c r="AK657" s="28">
        <f>IF(AN657=12,J657,0)</f>
        <v>0</v>
      </c>
      <c r="AL657" s="28">
        <f>IF(AN657=21,J657,0)</f>
        <v>0</v>
      </c>
      <c r="AN657" s="28">
        <v>21</v>
      </c>
      <c r="AO657" s="28">
        <f>G657*1</f>
        <v>0</v>
      </c>
      <c r="AP657" s="28">
        <f>G657*(1-1)</f>
        <v>0</v>
      </c>
      <c r="AQ657" s="30" t="s">
        <v>56</v>
      </c>
      <c r="AV657" s="28">
        <f>ROUND(AW657+AX657,2)</f>
        <v>0</v>
      </c>
      <c r="AW657" s="28">
        <f>ROUND(F657*AO657,2)</f>
        <v>0</v>
      </c>
      <c r="AX657" s="28">
        <f>ROUND(F657*AP657,2)</f>
        <v>0</v>
      </c>
      <c r="AY657" s="30" t="s">
        <v>1131</v>
      </c>
      <c r="AZ657" s="30" t="s">
        <v>1099</v>
      </c>
      <c r="BA657" s="10" t="s">
        <v>1050</v>
      </c>
      <c r="BC657" s="28">
        <f>AW657+AX657</f>
        <v>0</v>
      </c>
      <c r="BD657" s="28">
        <f>G657/(100-BE657)*100</f>
        <v>0</v>
      </c>
      <c r="BE657" s="28">
        <v>0</v>
      </c>
      <c r="BF657" s="28">
        <f>665</f>
        <v>665</v>
      </c>
      <c r="BH657" s="28">
        <f>F657*AO657</f>
        <v>0</v>
      </c>
      <c r="BI657" s="28">
        <f>F657*AP657</f>
        <v>0</v>
      </c>
      <c r="BJ657" s="28">
        <f>F657*G657</f>
        <v>0</v>
      </c>
      <c r="BK657" s="28"/>
      <c r="BL657" s="28">
        <v>38</v>
      </c>
      <c r="BW657" s="28">
        <v>21</v>
      </c>
      <c r="BX657" s="4" t="s">
        <v>1140</v>
      </c>
    </row>
    <row r="658" spans="1:76" x14ac:dyDescent="0.25">
      <c r="A658" s="31"/>
      <c r="C658" s="32" t="s">
        <v>1141</v>
      </c>
      <c r="D658" s="32" t="s">
        <v>1142</v>
      </c>
      <c r="F658" s="33">
        <v>0.15</v>
      </c>
      <c r="K658" s="34"/>
    </row>
    <row r="659" spans="1:76" ht="25.5" x14ac:dyDescent="0.25">
      <c r="A659" s="31"/>
      <c r="B659" s="35" t="s">
        <v>68</v>
      </c>
      <c r="C659" s="94" t="s">
        <v>1143</v>
      </c>
      <c r="D659" s="95"/>
      <c r="E659" s="95"/>
      <c r="F659" s="95"/>
      <c r="G659" s="95"/>
      <c r="H659" s="95"/>
      <c r="I659" s="95"/>
      <c r="J659" s="95"/>
      <c r="K659" s="96"/>
      <c r="BX659" s="36" t="s">
        <v>1143</v>
      </c>
    </row>
    <row r="660" spans="1:76" x14ac:dyDescent="0.25">
      <c r="A660" s="24" t="s">
        <v>51</v>
      </c>
      <c r="B660" s="25" t="s">
        <v>325</v>
      </c>
      <c r="C660" s="87" t="s">
        <v>326</v>
      </c>
      <c r="D660" s="88"/>
      <c r="E660" s="26" t="s">
        <v>4</v>
      </c>
      <c r="F660" s="26" t="s">
        <v>4</v>
      </c>
      <c r="G660" s="26" t="s">
        <v>4</v>
      </c>
      <c r="H660" s="1">
        <f>SUM(H661:H669)</f>
        <v>0</v>
      </c>
      <c r="I660" s="1">
        <f>SUM(I661:I669)</f>
        <v>0</v>
      </c>
      <c r="J660" s="1">
        <f>SUM(J661:J669)</f>
        <v>0</v>
      </c>
      <c r="K660" s="27" t="s">
        <v>51</v>
      </c>
      <c r="AI660" s="10" t="s">
        <v>1045</v>
      </c>
      <c r="AS660" s="1">
        <f>SUM(AJ661:AJ669)</f>
        <v>0</v>
      </c>
      <c r="AT660" s="1">
        <f>SUM(AK661:AK669)</f>
        <v>0</v>
      </c>
      <c r="AU660" s="1">
        <f>SUM(AL661:AL669)</f>
        <v>0</v>
      </c>
    </row>
    <row r="661" spans="1:76" x14ac:dyDescent="0.25">
      <c r="A661" s="2" t="s">
        <v>1144</v>
      </c>
      <c r="B661" s="3" t="s">
        <v>1145</v>
      </c>
      <c r="C661" s="76" t="s">
        <v>1146</v>
      </c>
      <c r="D661" s="71"/>
      <c r="E661" s="3" t="s">
        <v>59</v>
      </c>
      <c r="F661" s="28">
        <v>2.86</v>
      </c>
      <c r="G661" s="28">
        <v>0</v>
      </c>
      <c r="H661" s="28">
        <f>ROUND(F661*AO661,2)</f>
        <v>0</v>
      </c>
      <c r="I661" s="28">
        <f>ROUND(F661*AP661,2)</f>
        <v>0</v>
      </c>
      <c r="J661" s="28">
        <f>ROUND(F661*G661,2)</f>
        <v>0</v>
      </c>
      <c r="K661" s="29" t="s">
        <v>60</v>
      </c>
      <c r="Z661" s="28">
        <f>ROUND(IF(AQ661="5",BJ661,0),2)</f>
        <v>0</v>
      </c>
      <c r="AB661" s="28">
        <f>ROUND(IF(AQ661="1",BH661,0),2)</f>
        <v>0</v>
      </c>
      <c r="AC661" s="28">
        <f>ROUND(IF(AQ661="1",BI661,0),2)</f>
        <v>0</v>
      </c>
      <c r="AD661" s="28">
        <f>ROUND(IF(AQ661="7",BH661,0),2)</f>
        <v>0</v>
      </c>
      <c r="AE661" s="28">
        <f>ROUND(IF(AQ661="7",BI661,0),2)</f>
        <v>0</v>
      </c>
      <c r="AF661" s="28">
        <f>ROUND(IF(AQ661="2",BH661,0),2)</f>
        <v>0</v>
      </c>
      <c r="AG661" s="28">
        <f>ROUND(IF(AQ661="2",BI661,0),2)</f>
        <v>0</v>
      </c>
      <c r="AH661" s="28">
        <f>ROUND(IF(AQ661="0",BJ661,0),2)</f>
        <v>0</v>
      </c>
      <c r="AI661" s="10" t="s">
        <v>1045</v>
      </c>
      <c r="AJ661" s="28">
        <f>IF(AN661=0,J661,0)</f>
        <v>0</v>
      </c>
      <c r="AK661" s="28">
        <f>IF(AN661=12,J661,0)</f>
        <v>0</v>
      </c>
      <c r="AL661" s="28">
        <f>IF(AN661=21,J661,0)</f>
        <v>0</v>
      </c>
      <c r="AN661" s="28">
        <v>21</v>
      </c>
      <c r="AO661" s="28">
        <f>G661*0</f>
        <v>0</v>
      </c>
      <c r="AP661" s="28">
        <f>G661*(1-0)</f>
        <v>0</v>
      </c>
      <c r="AQ661" s="30" t="s">
        <v>56</v>
      </c>
      <c r="AV661" s="28">
        <f>ROUND(AW661+AX661,2)</f>
        <v>0</v>
      </c>
      <c r="AW661" s="28">
        <f>ROUND(F661*AO661,2)</f>
        <v>0</v>
      </c>
      <c r="AX661" s="28">
        <f>ROUND(F661*AP661,2)</f>
        <v>0</v>
      </c>
      <c r="AY661" s="30" t="s">
        <v>330</v>
      </c>
      <c r="AZ661" s="30" t="s">
        <v>1147</v>
      </c>
      <c r="BA661" s="10" t="s">
        <v>1050</v>
      </c>
      <c r="BC661" s="28">
        <f>AW661+AX661</f>
        <v>0</v>
      </c>
      <c r="BD661" s="28">
        <f>G661/(100-BE661)*100</f>
        <v>0</v>
      </c>
      <c r="BE661" s="28">
        <v>0</v>
      </c>
      <c r="BF661" s="28">
        <f>669</f>
        <v>669</v>
      </c>
      <c r="BH661" s="28">
        <f>F661*AO661</f>
        <v>0</v>
      </c>
      <c r="BI661" s="28">
        <f>F661*AP661</f>
        <v>0</v>
      </c>
      <c r="BJ661" s="28">
        <f>F661*G661</f>
        <v>0</v>
      </c>
      <c r="BK661" s="28"/>
      <c r="BL661" s="28">
        <v>63</v>
      </c>
      <c r="BW661" s="28">
        <v>21</v>
      </c>
      <c r="BX661" s="4" t="s">
        <v>1146</v>
      </c>
    </row>
    <row r="662" spans="1:76" x14ac:dyDescent="0.25">
      <c r="A662" s="31"/>
      <c r="C662" s="32" t="s">
        <v>1148</v>
      </c>
      <c r="D662" s="32" t="s">
        <v>51</v>
      </c>
      <c r="F662" s="33">
        <v>2.30721</v>
      </c>
      <c r="K662" s="34"/>
    </row>
    <row r="663" spans="1:76" x14ac:dyDescent="0.25">
      <c r="A663" s="31"/>
      <c r="C663" s="32" t="s">
        <v>1149</v>
      </c>
      <c r="D663" s="32" t="s">
        <v>51</v>
      </c>
      <c r="F663" s="33">
        <v>0.30099999999999999</v>
      </c>
      <c r="K663" s="34"/>
    </row>
    <row r="664" spans="1:76" x14ac:dyDescent="0.25">
      <c r="A664" s="31"/>
      <c r="C664" s="32" t="s">
        <v>1150</v>
      </c>
      <c r="D664" s="32" t="s">
        <v>1151</v>
      </c>
      <c r="F664" s="33">
        <v>0.25</v>
      </c>
      <c r="K664" s="34"/>
    </row>
    <row r="665" spans="1:76" x14ac:dyDescent="0.25">
      <c r="A665" s="2" t="s">
        <v>1152</v>
      </c>
      <c r="B665" s="3" t="s">
        <v>1153</v>
      </c>
      <c r="C665" s="76" t="s">
        <v>1154</v>
      </c>
      <c r="D665" s="71"/>
      <c r="E665" s="3" t="s">
        <v>59</v>
      </c>
      <c r="F665" s="28">
        <v>2.81</v>
      </c>
      <c r="G665" s="28">
        <v>0</v>
      </c>
      <c r="H665" s="28">
        <f>ROUND(F665*AO665,2)</f>
        <v>0</v>
      </c>
      <c r="I665" s="28">
        <f>ROUND(F665*AP665,2)</f>
        <v>0</v>
      </c>
      <c r="J665" s="28">
        <f>ROUND(F665*G665,2)</f>
        <v>0</v>
      </c>
      <c r="K665" s="29" t="s">
        <v>60</v>
      </c>
      <c r="Z665" s="28">
        <f>ROUND(IF(AQ665="5",BJ665,0),2)</f>
        <v>0</v>
      </c>
      <c r="AB665" s="28">
        <f>ROUND(IF(AQ665="1",BH665,0),2)</f>
        <v>0</v>
      </c>
      <c r="AC665" s="28">
        <f>ROUND(IF(AQ665="1",BI665,0),2)</f>
        <v>0</v>
      </c>
      <c r="AD665" s="28">
        <f>ROUND(IF(AQ665="7",BH665,0),2)</f>
        <v>0</v>
      </c>
      <c r="AE665" s="28">
        <f>ROUND(IF(AQ665="7",BI665,0),2)</f>
        <v>0</v>
      </c>
      <c r="AF665" s="28">
        <f>ROUND(IF(AQ665="2",BH665,0),2)</f>
        <v>0</v>
      </c>
      <c r="AG665" s="28">
        <f>ROUND(IF(AQ665="2",BI665,0),2)</f>
        <v>0</v>
      </c>
      <c r="AH665" s="28">
        <f>ROUND(IF(AQ665="0",BJ665,0),2)</f>
        <v>0</v>
      </c>
      <c r="AI665" s="10" t="s">
        <v>1045</v>
      </c>
      <c r="AJ665" s="28">
        <f>IF(AN665=0,J665,0)</f>
        <v>0</v>
      </c>
      <c r="AK665" s="28">
        <f>IF(AN665=12,J665,0)</f>
        <v>0</v>
      </c>
      <c r="AL665" s="28">
        <f>IF(AN665=21,J665,0)</f>
        <v>0</v>
      </c>
      <c r="AN665" s="28">
        <v>21</v>
      </c>
      <c r="AO665" s="28">
        <f>G665*1</f>
        <v>0</v>
      </c>
      <c r="AP665" s="28">
        <f>G665*(1-1)</f>
        <v>0</v>
      </c>
      <c r="AQ665" s="30" t="s">
        <v>56</v>
      </c>
      <c r="AV665" s="28">
        <f>ROUND(AW665+AX665,2)</f>
        <v>0</v>
      </c>
      <c r="AW665" s="28">
        <f>ROUND(F665*AO665,2)</f>
        <v>0</v>
      </c>
      <c r="AX665" s="28">
        <f>ROUND(F665*AP665,2)</f>
        <v>0</v>
      </c>
      <c r="AY665" s="30" t="s">
        <v>330</v>
      </c>
      <c r="AZ665" s="30" t="s">
        <v>1147</v>
      </c>
      <c r="BA665" s="10" t="s">
        <v>1050</v>
      </c>
      <c r="BC665" s="28">
        <f>AW665+AX665</f>
        <v>0</v>
      </c>
      <c r="BD665" s="28">
        <f>G665/(100-BE665)*100</f>
        <v>0</v>
      </c>
      <c r="BE665" s="28">
        <v>0</v>
      </c>
      <c r="BF665" s="28">
        <f>673</f>
        <v>673</v>
      </c>
      <c r="BH665" s="28">
        <f>F665*AO665</f>
        <v>0</v>
      </c>
      <c r="BI665" s="28">
        <f>F665*AP665</f>
        <v>0</v>
      </c>
      <c r="BJ665" s="28">
        <f>F665*G665</f>
        <v>0</v>
      </c>
      <c r="BK665" s="28"/>
      <c r="BL665" s="28">
        <v>63</v>
      </c>
      <c r="BW665" s="28">
        <v>21</v>
      </c>
      <c r="BX665" s="4" t="s">
        <v>1154</v>
      </c>
    </row>
    <row r="666" spans="1:76" x14ac:dyDescent="0.25">
      <c r="A666" s="31"/>
      <c r="C666" s="32" t="s">
        <v>1155</v>
      </c>
      <c r="D666" s="32" t="s">
        <v>1156</v>
      </c>
      <c r="F666" s="33">
        <v>2.54</v>
      </c>
      <c r="K666" s="34"/>
    </row>
    <row r="667" spans="1:76" x14ac:dyDescent="0.25">
      <c r="A667" s="31"/>
      <c r="C667" s="32" t="s">
        <v>1157</v>
      </c>
      <c r="D667" s="32" t="s">
        <v>1158</v>
      </c>
      <c r="F667" s="33">
        <v>0.27</v>
      </c>
      <c r="K667" s="34"/>
    </row>
    <row r="668" spans="1:76" ht="51" x14ac:dyDescent="0.25">
      <c r="A668" s="31"/>
      <c r="B668" s="35" t="s">
        <v>68</v>
      </c>
      <c r="C668" s="94" t="s">
        <v>1159</v>
      </c>
      <c r="D668" s="95"/>
      <c r="E668" s="95"/>
      <c r="F668" s="95"/>
      <c r="G668" s="95"/>
      <c r="H668" s="95"/>
      <c r="I668" s="95"/>
      <c r="J668" s="95"/>
      <c r="K668" s="96"/>
      <c r="BX668" s="36" t="s">
        <v>1159</v>
      </c>
    </row>
    <row r="669" spans="1:76" x14ac:dyDescent="0.25">
      <c r="A669" s="2" t="s">
        <v>1160</v>
      </c>
      <c r="B669" s="3" t="s">
        <v>1161</v>
      </c>
      <c r="C669" s="76" t="s">
        <v>1162</v>
      </c>
      <c r="D669" s="71"/>
      <c r="E669" s="3" t="s">
        <v>59</v>
      </c>
      <c r="F669" s="28">
        <v>0.32</v>
      </c>
      <c r="G669" s="28">
        <v>0</v>
      </c>
      <c r="H669" s="28">
        <f>ROUND(F669*AO669,2)</f>
        <v>0</v>
      </c>
      <c r="I669" s="28">
        <f>ROUND(F669*AP669,2)</f>
        <v>0</v>
      </c>
      <c r="J669" s="28">
        <f>ROUND(F669*G669,2)</f>
        <v>0</v>
      </c>
      <c r="K669" s="29" t="s">
        <v>60</v>
      </c>
      <c r="Z669" s="28">
        <f>ROUND(IF(AQ669="5",BJ669,0),2)</f>
        <v>0</v>
      </c>
      <c r="AB669" s="28">
        <f>ROUND(IF(AQ669="1",BH669,0),2)</f>
        <v>0</v>
      </c>
      <c r="AC669" s="28">
        <f>ROUND(IF(AQ669="1",BI669,0),2)</f>
        <v>0</v>
      </c>
      <c r="AD669" s="28">
        <f>ROUND(IF(AQ669="7",BH669,0),2)</f>
        <v>0</v>
      </c>
      <c r="AE669" s="28">
        <f>ROUND(IF(AQ669="7",BI669,0),2)</f>
        <v>0</v>
      </c>
      <c r="AF669" s="28">
        <f>ROUND(IF(AQ669="2",BH669,0),2)</f>
        <v>0</v>
      </c>
      <c r="AG669" s="28">
        <f>ROUND(IF(AQ669="2",BI669,0),2)</f>
        <v>0</v>
      </c>
      <c r="AH669" s="28">
        <f>ROUND(IF(AQ669="0",BJ669,0),2)</f>
        <v>0</v>
      </c>
      <c r="AI669" s="10" t="s">
        <v>1045</v>
      </c>
      <c r="AJ669" s="28">
        <f>IF(AN669=0,J669,0)</f>
        <v>0</v>
      </c>
      <c r="AK669" s="28">
        <f>IF(AN669=12,J669,0)</f>
        <v>0</v>
      </c>
      <c r="AL669" s="28">
        <f>IF(AN669=21,J669,0)</f>
        <v>0</v>
      </c>
      <c r="AN669" s="28">
        <v>21</v>
      </c>
      <c r="AO669" s="28">
        <f>G669*1</f>
        <v>0</v>
      </c>
      <c r="AP669" s="28">
        <f>G669*(1-1)</f>
        <v>0</v>
      </c>
      <c r="AQ669" s="30" t="s">
        <v>56</v>
      </c>
      <c r="AV669" s="28">
        <f>ROUND(AW669+AX669,2)</f>
        <v>0</v>
      </c>
      <c r="AW669" s="28">
        <f>ROUND(F669*AO669,2)</f>
        <v>0</v>
      </c>
      <c r="AX669" s="28">
        <f>ROUND(F669*AP669,2)</f>
        <v>0</v>
      </c>
      <c r="AY669" s="30" t="s">
        <v>330</v>
      </c>
      <c r="AZ669" s="30" t="s">
        <v>1147</v>
      </c>
      <c r="BA669" s="10" t="s">
        <v>1050</v>
      </c>
      <c r="BC669" s="28">
        <f>AW669+AX669</f>
        <v>0</v>
      </c>
      <c r="BD669" s="28">
        <f>G669/(100-BE669)*100</f>
        <v>0</v>
      </c>
      <c r="BE669" s="28">
        <v>0</v>
      </c>
      <c r="BF669" s="28">
        <f>677</f>
        <v>677</v>
      </c>
      <c r="BH669" s="28">
        <f>F669*AO669</f>
        <v>0</v>
      </c>
      <c r="BI669" s="28">
        <f>F669*AP669</f>
        <v>0</v>
      </c>
      <c r="BJ669" s="28">
        <f>F669*G669</f>
        <v>0</v>
      </c>
      <c r="BK669" s="28"/>
      <c r="BL669" s="28">
        <v>63</v>
      </c>
      <c r="BW669" s="28">
        <v>21</v>
      </c>
      <c r="BX669" s="4" t="s">
        <v>1162</v>
      </c>
    </row>
    <row r="670" spans="1:76" x14ac:dyDescent="0.25">
      <c r="A670" s="31"/>
      <c r="C670" s="32" t="s">
        <v>1163</v>
      </c>
      <c r="D670" s="32" t="s">
        <v>1164</v>
      </c>
      <c r="F670" s="33">
        <v>0.32</v>
      </c>
      <c r="K670" s="34"/>
    </row>
    <row r="671" spans="1:76" ht="25.5" x14ac:dyDescent="0.25">
      <c r="A671" s="31"/>
      <c r="B671" s="35" t="s">
        <v>68</v>
      </c>
      <c r="C671" s="94" t="s">
        <v>1165</v>
      </c>
      <c r="D671" s="95"/>
      <c r="E671" s="95"/>
      <c r="F671" s="95"/>
      <c r="G671" s="95"/>
      <c r="H671" s="95"/>
      <c r="I671" s="95"/>
      <c r="J671" s="95"/>
      <c r="K671" s="96"/>
      <c r="BX671" s="36" t="s">
        <v>1165</v>
      </c>
    </row>
    <row r="672" spans="1:76" x14ac:dyDescent="0.25">
      <c r="A672" s="24" t="s">
        <v>51</v>
      </c>
      <c r="B672" s="25" t="s">
        <v>361</v>
      </c>
      <c r="C672" s="87" t="s">
        <v>362</v>
      </c>
      <c r="D672" s="88"/>
      <c r="E672" s="26" t="s">
        <v>4</v>
      </c>
      <c r="F672" s="26" t="s">
        <v>4</v>
      </c>
      <c r="G672" s="26" t="s">
        <v>4</v>
      </c>
      <c r="H672" s="1">
        <f>SUM(H673:H673)</f>
        <v>0</v>
      </c>
      <c r="I672" s="1">
        <f>SUM(I673:I673)</f>
        <v>0</v>
      </c>
      <c r="J672" s="1">
        <f>SUM(J673:J673)</f>
        <v>0</v>
      </c>
      <c r="K672" s="27" t="s">
        <v>51</v>
      </c>
      <c r="AI672" s="10" t="s">
        <v>1045</v>
      </c>
      <c r="AS672" s="1">
        <f>SUM(AJ673:AJ673)</f>
        <v>0</v>
      </c>
      <c r="AT672" s="1">
        <f>SUM(AK673:AK673)</f>
        <v>0</v>
      </c>
      <c r="AU672" s="1">
        <f>SUM(AL673:AL673)</f>
        <v>0</v>
      </c>
    </row>
    <row r="673" spans="1:76" x14ac:dyDescent="0.25">
      <c r="A673" s="2" t="s">
        <v>1166</v>
      </c>
      <c r="B673" s="3" t="s">
        <v>1167</v>
      </c>
      <c r="C673" s="76" t="s">
        <v>1168</v>
      </c>
      <c r="D673" s="71"/>
      <c r="E673" s="3" t="s">
        <v>103</v>
      </c>
      <c r="F673" s="28">
        <v>35.65</v>
      </c>
      <c r="G673" s="28">
        <v>0</v>
      </c>
      <c r="H673" s="28">
        <f>ROUND(F673*AO673,2)</f>
        <v>0</v>
      </c>
      <c r="I673" s="28">
        <f>ROUND(F673*AP673,2)</f>
        <v>0</v>
      </c>
      <c r="J673" s="28">
        <f>ROUND(F673*G673,2)</f>
        <v>0</v>
      </c>
      <c r="K673" s="29" t="s">
        <v>60</v>
      </c>
      <c r="Z673" s="28">
        <f>ROUND(IF(AQ673="5",BJ673,0),2)</f>
        <v>0</v>
      </c>
      <c r="AB673" s="28">
        <f>ROUND(IF(AQ673="1",BH673,0),2)</f>
        <v>0</v>
      </c>
      <c r="AC673" s="28">
        <f>ROUND(IF(AQ673="1",BI673,0),2)</f>
        <v>0</v>
      </c>
      <c r="AD673" s="28">
        <f>ROUND(IF(AQ673="7",BH673,0),2)</f>
        <v>0</v>
      </c>
      <c r="AE673" s="28">
        <f>ROUND(IF(AQ673="7",BI673,0),2)</f>
        <v>0</v>
      </c>
      <c r="AF673" s="28">
        <f>ROUND(IF(AQ673="2",BH673,0),2)</f>
        <v>0</v>
      </c>
      <c r="AG673" s="28">
        <f>ROUND(IF(AQ673="2",BI673,0),2)</f>
        <v>0</v>
      </c>
      <c r="AH673" s="28">
        <f>ROUND(IF(AQ673="0",BJ673,0),2)</f>
        <v>0</v>
      </c>
      <c r="AI673" s="10" t="s">
        <v>1045</v>
      </c>
      <c r="AJ673" s="28">
        <f>IF(AN673=0,J673,0)</f>
        <v>0</v>
      </c>
      <c r="AK673" s="28">
        <f>IF(AN673=12,J673,0)</f>
        <v>0</v>
      </c>
      <c r="AL673" s="28">
        <f>IF(AN673=21,J673,0)</f>
        <v>0</v>
      </c>
      <c r="AN673" s="28">
        <v>21</v>
      </c>
      <c r="AO673" s="28">
        <f>G673*0</f>
        <v>0</v>
      </c>
      <c r="AP673" s="28">
        <f>G673*(1-0)</f>
        <v>0</v>
      </c>
      <c r="AQ673" s="30" t="s">
        <v>118</v>
      </c>
      <c r="AV673" s="28">
        <f>ROUND(AW673+AX673,2)</f>
        <v>0</v>
      </c>
      <c r="AW673" s="28">
        <f>ROUND(F673*AO673,2)</f>
        <v>0</v>
      </c>
      <c r="AX673" s="28">
        <f>ROUND(F673*AP673,2)</f>
        <v>0</v>
      </c>
      <c r="AY673" s="30" t="s">
        <v>366</v>
      </c>
      <c r="AZ673" s="30" t="s">
        <v>1169</v>
      </c>
      <c r="BA673" s="10" t="s">
        <v>1050</v>
      </c>
      <c r="BC673" s="28">
        <f>AW673+AX673</f>
        <v>0</v>
      </c>
      <c r="BD673" s="28">
        <f>G673/(100-BE673)*100</f>
        <v>0</v>
      </c>
      <c r="BE673" s="28">
        <v>0</v>
      </c>
      <c r="BF673" s="28">
        <f>681</f>
        <v>681</v>
      </c>
      <c r="BH673" s="28">
        <f>F673*AO673</f>
        <v>0</v>
      </c>
      <c r="BI673" s="28">
        <f>F673*AP673</f>
        <v>0</v>
      </c>
      <c r="BJ673" s="28">
        <f>F673*G673</f>
        <v>0</v>
      </c>
      <c r="BK673" s="28"/>
      <c r="BL673" s="28">
        <v>711</v>
      </c>
      <c r="BW673" s="28">
        <v>21</v>
      </c>
      <c r="BX673" s="4" t="s">
        <v>1168</v>
      </c>
    </row>
    <row r="674" spans="1:76" x14ac:dyDescent="0.25">
      <c r="A674" s="31"/>
      <c r="C674" s="32" t="s">
        <v>1170</v>
      </c>
      <c r="D674" s="32" t="s">
        <v>1171</v>
      </c>
      <c r="F674" s="33">
        <v>32.549999999999997</v>
      </c>
      <c r="K674" s="34"/>
    </row>
    <row r="675" spans="1:76" x14ac:dyDescent="0.25">
      <c r="A675" s="31"/>
      <c r="C675" s="32" t="s">
        <v>1172</v>
      </c>
      <c r="D675" s="32" t="s">
        <v>1173</v>
      </c>
      <c r="F675" s="33">
        <v>3.1</v>
      </c>
      <c r="K675" s="34"/>
    </row>
    <row r="676" spans="1:76" x14ac:dyDescent="0.25">
      <c r="A676" s="24" t="s">
        <v>51</v>
      </c>
      <c r="B676" s="25" t="s">
        <v>1174</v>
      </c>
      <c r="C676" s="87" t="s">
        <v>1175</v>
      </c>
      <c r="D676" s="88"/>
      <c r="E676" s="26" t="s">
        <v>4</v>
      </c>
      <c r="F676" s="26" t="s">
        <v>4</v>
      </c>
      <c r="G676" s="26" t="s">
        <v>4</v>
      </c>
      <c r="H676" s="1">
        <f>SUM(H677:H690)</f>
        <v>0</v>
      </c>
      <c r="I676" s="1">
        <f>SUM(I677:I690)</f>
        <v>0</v>
      </c>
      <c r="J676" s="1">
        <f>SUM(J677:J690)</f>
        <v>0</v>
      </c>
      <c r="K676" s="27" t="s">
        <v>51</v>
      </c>
      <c r="AI676" s="10" t="s">
        <v>1045</v>
      </c>
      <c r="AS676" s="1">
        <f>SUM(AJ677:AJ690)</f>
        <v>0</v>
      </c>
      <c r="AT676" s="1">
        <f>SUM(AK677:AK690)</f>
        <v>0</v>
      </c>
      <c r="AU676" s="1">
        <f>SUM(AL677:AL690)</f>
        <v>0</v>
      </c>
    </row>
    <row r="677" spans="1:76" x14ac:dyDescent="0.25">
      <c r="A677" s="2" t="s">
        <v>1176</v>
      </c>
      <c r="B677" s="3" t="s">
        <v>1177</v>
      </c>
      <c r="C677" s="76" t="s">
        <v>1178</v>
      </c>
      <c r="D677" s="71"/>
      <c r="E677" s="3" t="s">
        <v>188</v>
      </c>
      <c r="F677" s="28">
        <v>11.7</v>
      </c>
      <c r="G677" s="28">
        <v>0</v>
      </c>
      <c r="H677" s="28">
        <f>ROUND(F677*AO677,2)</f>
        <v>0</v>
      </c>
      <c r="I677" s="28">
        <f>ROUND(F677*AP677,2)</f>
        <v>0</v>
      </c>
      <c r="J677" s="28">
        <f>ROUND(F677*G677,2)</f>
        <v>0</v>
      </c>
      <c r="K677" s="29" t="s">
        <v>60</v>
      </c>
      <c r="Z677" s="28">
        <f>ROUND(IF(AQ677="5",BJ677,0),2)</f>
        <v>0</v>
      </c>
      <c r="AB677" s="28">
        <f>ROUND(IF(AQ677="1",BH677,0),2)</f>
        <v>0</v>
      </c>
      <c r="AC677" s="28">
        <f>ROUND(IF(AQ677="1",BI677,0),2)</f>
        <v>0</v>
      </c>
      <c r="AD677" s="28">
        <f>ROUND(IF(AQ677="7",BH677,0),2)</f>
        <v>0</v>
      </c>
      <c r="AE677" s="28">
        <f>ROUND(IF(AQ677="7",BI677,0),2)</f>
        <v>0</v>
      </c>
      <c r="AF677" s="28">
        <f>ROUND(IF(AQ677="2",BH677,0),2)</f>
        <v>0</v>
      </c>
      <c r="AG677" s="28">
        <f>ROUND(IF(AQ677="2",BI677,0),2)</f>
        <v>0</v>
      </c>
      <c r="AH677" s="28">
        <f>ROUND(IF(AQ677="0",BJ677,0),2)</f>
        <v>0</v>
      </c>
      <c r="AI677" s="10" t="s">
        <v>1045</v>
      </c>
      <c r="AJ677" s="28">
        <f>IF(AN677=0,J677,0)</f>
        <v>0</v>
      </c>
      <c r="AK677" s="28">
        <f>IF(AN677=12,J677,0)</f>
        <v>0</v>
      </c>
      <c r="AL677" s="28">
        <f>IF(AN677=21,J677,0)</f>
        <v>0</v>
      </c>
      <c r="AN677" s="28">
        <v>21</v>
      </c>
      <c r="AO677" s="28">
        <f>G677*0.540824854</f>
        <v>0</v>
      </c>
      <c r="AP677" s="28">
        <f>G677*(1-0.540824854)</f>
        <v>0</v>
      </c>
      <c r="AQ677" s="30" t="s">
        <v>118</v>
      </c>
      <c r="AV677" s="28">
        <f>ROUND(AW677+AX677,2)</f>
        <v>0</v>
      </c>
      <c r="AW677" s="28">
        <f>ROUND(F677*AO677,2)</f>
        <v>0</v>
      </c>
      <c r="AX677" s="28">
        <f>ROUND(F677*AP677,2)</f>
        <v>0</v>
      </c>
      <c r="AY677" s="30" t="s">
        <v>1179</v>
      </c>
      <c r="AZ677" s="30" t="s">
        <v>1169</v>
      </c>
      <c r="BA677" s="10" t="s">
        <v>1050</v>
      </c>
      <c r="BC677" s="28">
        <f>AW677+AX677</f>
        <v>0</v>
      </c>
      <c r="BD677" s="28">
        <f>G677/(100-BE677)*100</f>
        <v>0</v>
      </c>
      <c r="BE677" s="28">
        <v>0</v>
      </c>
      <c r="BF677" s="28">
        <f>685</f>
        <v>685</v>
      </c>
      <c r="BH677" s="28">
        <f>F677*AO677</f>
        <v>0</v>
      </c>
      <c r="BI677" s="28">
        <f>F677*AP677</f>
        <v>0</v>
      </c>
      <c r="BJ677" s="28">
        <f>F677*G677</f>
        <v>0</v>
      </c>
      <c r="BK677" s="28"/>
      <c r="BL677" s="28">
        <v>712</v>
      </c>
      <c r="BW677" s="28">
        <v>21</v>
      </c>
      <c r="BX677" s="4" t="s">
        <v>1178</v>
      </c>
    </row>
    <row r="678" spans="1:76" x14ac:dyDescent="0.25">
      <c r="A678" s="31"/>
      <c r="C678" s="32" t="s">
        <v>1180</v>
      </c>
      <c r="D678" s="32" t="s">
        <v>1181</v>
      </c>
      <c r="F678" s="33">
        <v>8.6</v>
      </c>
      <c r="K678" s="34"/>
    </row>
    <row r="679" spans="1:76" x14ac:dyDescent="0.25">
      <c r="A679" s="31"/>
      <c r="C679" s="32" t="s">
        <v>1182</v>
      </c>
      <c r="D679" s="32" t="s">
        <v>1183</v>
      </c>
      <c r="F679" s="33">
        <v>3.1</v>
      </c>
      <c r="K679" s="34"/>
    </row>
    <row r="680" spans="1:76" x14ac:dyDescent="0.25">
      <c r="A680" s="2" t="s">
        <v>1184</v>
      </c>
      <c r="B680" s="3" t="s">
        <v>1185</v>
      </c>
      <c r="C680" s="76" t="s">
        <v>1186</v>
      </c>
      <c r="D680" s="71"/>
      <c r="E680" s="3" t="s">
        <v>103</v>
      </c>
      <c r="F680" s="28">
        <v>77.98</v>
      </c>
      <c r="G680" s="28">
        <v>0</v>
      </c>
      <c r="H680" s="28">
        <f>ROUND(F680*AO680,2)</f>
        <v>0</v>
      </c>
      <c r="I680" s="28">
        <f>ROUND(F680*AP680,2)</f>
        <v>0</v>
      </c>
      <c r="J680" s="28">
        <f>ROUND(F680*G680,2)</f>
        <v>0</v>
      </c>
      <c r="K680" s="29" t="s">
        <v>60</v>
      </c>
      <c r="Z680" s="28">
        <f>ROUND(IF(AQ680="5",BJ680,0),2)</f>
        <v>0</v>
      </c>
      <c r="AB680" s="28">
        <f>ROUND(IF(AQ680="1",BH680,0),2)</f>
        <v>0</v>
      </c>
      <c r="AC680" s="28">
        <f>ROUND(IF(AQ680="1",BI680,0),2)</f>
        <v>0</v>
      </c>
      <c r="AD680" s="28">
        <f>ROUND(IF(AQ680="7",BH680,0),2)</f>
        <v>0</v>
      </c>
      <c r="AE680" s="28">
        <f>ROUND(IF(AQ680="7",BI680,0),2)</f>
        <v>0</v>
      </c>
      <c r="AF680" s="28">
        <f>ROUND(IF(AQ680="2",BH680,0),2)</f>
        <v>0</v>
      </c>
      <c r="AG680" s="28">
        <f>ROUND(IF(AQ680="2",BI680,0),2)</f>
        <v>0</v>
      </c>
      <c r="AH680" s="28">
        <f>ROUND(IF(AQ680="0",BJ680,0),2)</f>
        <v>0</v>
      </c>
      <c r="AI680" s="10" t="s">
        <v>1045</v>
      </c>
      <c r="AJ680" s="28">
        <f>IF(AN680=0,J680,0)</f>
        <v>0</v>
      </c>
      <c r="AK680" s="28">
        <f>IF(AN680=12,J680,0)</f>
        <v>0</v>
      </c>
      <c r="AL680" s="28">
        <f>IF(AN680=21,J680,0)</f>
        <v>0</v>
      </c>
      <c r="AN680" s="28">
        <v>21</v>
      </c>
      <c r="AO680" s="28">
        <f>G680*0</f>
        <v>0</v>
      </c>
      <c r="AP680" s="28">
        <f>G680*(1-0)</f>
        <v>0</v>
      </c>
      <c r="AQ680" s="30" t="s">
        <v>118</v>
      </c>
      <c r="AV680" s="28">
        <f>ROUND(AW680+AX680,2)</f>
        <v>0</v>
      </c>
      <c r="AW680" s="28">
        <f>ROUND(F680*AO680,2)</f>
        <v>0</v>
      </c>
      <c r="AX680" s="28">
        <f>ROUND(F680*AP680,2)</f>
        <v>0</v>
      </c>
      <c r="AY680" s="30" t="s">
        <v>1179</v>
      </c>
      <c r="AZ680" s="30" t="s">
        <v>1169</v>
      </c>
      <c r="BA680" s="10" t="s">
        <v>1050</v>
      </c>
      <c r="BC680" s="28">
        <f>AW680+AX680</f>
        <v>0</v>
      </c>
      <c r="BD680" s="28">
        <f>G680/(100-BE680)*100</f>
        <v>0</v>
      </c>
      <c r="BE680" s="28">
        <v>0</v>
      </c>
      <c r="BF680" s="28">
        <f>688</f>
        <v>688</v>
      </c>
      <c r="BH680" s="28">
        <f>F680*AO680</f>
        <v>0</v>
      </c>
      <c r="BI680" s="28">
        <f>F680*AP680</f>
        <v>0</v>
      </c>
      <c r="BJ680" s="28">
        <f>F680*G680</f>
        <v>0</v>
      </c>
      <c r="BK680" s="28"/>
      <c r="BL680" s="28">
        <v>712</v>
      </c>
      <c r="BW680" s="28">
        <v>21</v>
      </c>
      <c r="BX680" s="4" t="s">
        <v>1186</v>
      </c>
    </row>
    <row r="681" spans="1:76" ht="13.5" customHeight="1" x14ac:dyDescent="0.25">
      <c r="A681" s="31"/>
      <c r="B681" s="35" t="s">
        <v>105</v>
      </c>
      <c r="C681" s="97" t="s">
        <v>1187</v>
      </c>
      <c r="D681" s="98"/>
      <c r="E681" s="98"/>
      <c r="F681" s="98"/>
      <c r="G681" s="98"/>
      <c r="H681" s="98"/>
      <c r="I681" s="98"/>
      <c r="J681" s="98"/>
      <c r="K681" s="99"/>
    </row>
    <row r="682" spans="1:76" x14ac:dyDescent="0.25">
      <c r="A682" s="31"/>
      <c r="C682" s="32" t="s">
        <v>1188</v>
      </c>
      <c r="D682" s="32" t="s">
        <v>1189</v>
      </c>
      <c r="F682" s="33">
        <v>38.99</v>
      </c>
      <c r="K682" s="34"/>
    </row>
    <row r="683" spans="1:76" x14ac:dyDescent="0.25">
      <c r="A683" s="31"/>
      <c r="C683" s="32" t="s">
        <v>1190</v>
      </c>
      <c r="D683" s="32" t="s">
        <v>1191</v>
      </c>
      <c r="F683" s="33">
        <v>38.99</v>
      </c>
      <c r="K683" s="34"/>
    </row>
    <row r="684" spans="1:76" x14ac:dyDescent="0.25">
      <c r="A684" s="2" t="s">
        <v>1192</v>
      </c>
      <c r="B684" s="3" t="s">
        <v>1193</v>
      </c>
      <c r="C684" s="76" t="s">
        <v>1007</v>
      </c>
      <c r="D684" s="71"/>
      <c r="E684" s="3" t="s">
        <v>103</v>
      </c>
      <c r="F684" s="28">
        <v>50.7</v>
      </c>
      <c r="G684" s="28">
        <v>0</v>
      </c>
      <c r="H684" s="28">
        <f>ROUND(F684*AO684,2)</f>
        <v>0</v>
      </c>
      <c r="I684" s="28">
        <f>ROUND(F684*AP684,2)</f>
        <v>0</v>
      </c>
      <c r="J684" s="28">
        <f>ROUND(F684*G684,2)</f>
        <v>0</v>
      </c>
      <c r="K684" s="29" t="s">
        <v>60</v>
      </c>
      <c r="Z684" s="28">
        <f>ROUND(IF(AQ684="5",BJ684,0),2)</f>
        <v>0</v>
      </c>
      <c r="AB684" s="28">
        <f>ROUND(IF(AQ684="1",BH684,0),2)</f>
        <v>0</v>
      </c>
      <c r="AC684" s="28">
        <f>ROUND(IF(AQ684="1",BI684,0),2)</f>
        <v>0</v>
      </c>
      <c r="AD684" s="28">
        <f>ROUND(IF(AQ684="7",BH684,0),2)</f>
        <v>0</v>
      </c>
      <c r="AE684" s="28">
        <f>ROUND(IF(AQ684="7",BI684,0),2)</f>
        <v>0</v>
      </c>
      <c r="AF684" s="28">
        <f>ROUND(IF(AQ684="2",BH684,0),2)</f>
        <v>0</v>
      </c>
      <c r="AG684" s="28">
        <f>ROUND(IF(AQ684="2",BI684,0),2)</f>
        <v>0</v>
      </c>
      <c r="AH684" s="28">
        <f>ROUND(IF(AQ684="0",BJ684,0),2)</f>
        <v>0</v>
      </c>
      <c r="AI684" s="10" t="s">
        <v>1045</v>
      </c>
      <c r="AJ684" s="28">
        <f>IF(AN684=0,J684,0)</f>
        <v>0</v>
      </c>
      <c r="AK684" s="28">
        <f>IF(AN684=12,J684,0)</f>
        <v>0</v>
      </c>
      <c r="AL684" s="28">
        <f>IF(AN684=21,J684,0)</f>
        <v>0</v>
      </c>
      <c r="AN684" s="28">
        <v>21</v>
      </c>
      <c r="AO684" s="28">
        <f>G684*1</f>
        <v>0</v>
      </c>
      <c r="AP684" s="28">
        <f>G684*(1-1)</f>
        <v>0</v>
      </c>
      <c r="AQ684" s="30" t="s">
        <v>118</v>
      </c>
      <c r="AV684" s="28">
        <f>ROUND(AW684+AX684,2)</f>
        <v>0</v>
      </c>
      <c r="AW684" s="28">
        <f>ROUND(F684*AO684,2)</f>
        <v>0</v>
      </c>
      <c r="AX684" s="28">
        <f>ROUND(F684*AP684,2)</f>
        <v>0</v>
      </c>
      <c r="AY684" s="30" t="s">
        <v>1179</v>
      </c>
      <c r="AZ684" s="30" t="s">
        <v>1169</v>
      </c>
      <c r="BA684" s="10" t="s">
        <v>1050</v>
      </c>
      <c r="BC684" s="28">
        <f>AW684+AX684</f>
        <v>0</v>
      </c>
      <c r="BD684" s="28">
        <f>G684/(100-BE684)*100</f>
        <v>0</v>
      </c>
      <c r="BE684" s="28">
        <v>0</v>
      </c>
      <c r="BF684" s="28">
        <f>692</f>
        <v>692</v>
      </c>
      <c r="BH684" s="28">
        <f>F684*AO684</f>
        <v>0</v>
      </c>
      <c r="BI684" s="28">
        <f>F684*AP684</f>
        <v>0</v>
      </c>
      <c r="BJ684" s="28">
        <f>F684*G684</f>
        <v>0</v>
      </c>
      <c r="BK684" s="28"/>
      <c r="BL684" s="28">
        <v>712</v>
      </c>
      <c r="BW684" s="28">
        <v>21</v>
      </c>
      <c r="BX684" s="4" t="s">
        <v>1007</v>
      </c>
    </row>
    <row r="685" spans="1:76" x14ac:dyDescent="0.25">
      <c r="A685" s="31"/>
      <c r="C685" s="32" t="s">
        <v>1194</v>
      </c>
      <c r="D685" s="32" t="s">
        <v>51</v>
      </c>
      <c r="F685" s="33">
        <v>50.7</v>
      </c>
      <c r="K685" s="34"/>
    </row>
    <row r="686" spans="1:76" ht="38.25" x14ac:dyDescent="0.25">
      <c r="A686" s="31"/>
      <c r="B686" s="35" t="s">
        <v>68</v>
      </c>
      <c r="C686" s="94" t="s">
        <v>1195</v>
      </c>
      <c r="D686" s="95"/>
      <c r="E686" s="95"/>
      <c r="F686" s="95"/>
      <c r="G686" s="95"/>
      <c r="H686" s="95"/>
      <c r="I686" s="95"/>
      <c r="J686" s="95"/>
      <c r="K686" s="96"/>
      <c r="BX686" s="36" t="s">
        <v>1195</v>
      </c>
    </row>
    <row r="687" spans="1:76" x14ac:dyDescent="0.25">
      <c r="A687" s="2" t="s">
        <v>1196</v>
      </c>
      <c r="B687" s="3" t="s">
        <v>1197</v>
      </c>
      <c r="C687" s="76" t="s">
        <v>1198</v>
      </c>
      <c r="D687" s="71"/>
      <c r="E687" s="3" t="s">
        <v>103</v>
      </c>
      <c r="F687" s="28">
        <v>50.7</v>
      </c>
      <c r="G687" s="28">
        <v>0</v>
      </c>
      <c r="H687" s="28">
        <f>ROUND(F687*AO687,2)</f>
        <v>0</v>
      </c>
      <c r="I687" s="28">
        <f>ROUND(F687*AP687,2)</f>
        <v>0</v>
      </c>
      <c r="J687" s="28">
        <f>ROUND(F687*G687,2)</f>
        <v>0</v>
      </c>
      <c r="K687" s="29" t="s">
        <v>60</v>
      </c>
      <c r="Z687" s="28">
        <f>ROUND(IF(AQ687="5",BJ687,0),2)</f>
        <v>0</v>
      </c>
      <c r="AB687" s="28">
        <f>ROUND(IF(AQ687="1",BH687,0),2)</f>
        <v>0</v>
      </c>
      <c r="AC687" s="28">
        <f>ROUND(IF(AQ687="1",BI687,0),2)</f>
        <v>0</v>
      </c>
      <c r="AD687" s="28">
        <f>ROUND(IF(AQ687="7",BH687,0),2)</f>
        <v>0</v>
      </c>
      <c r="AE687" s="28">
        <f>ROUND(IF(AQ687="7",BI687,0),2)</f>
        <v>0</v>
      </c>
      <c r="AF687" s="28">
        <f>ROUND(IF(AQ687="2",BH687,0),2)</f>
        <v>0</v>
      </c>
      <c r="AG687" s="28">
        <f>ROUND(IF(AQ687="2",BI687,0),2)</f>
        <v>0</v>
      </c>
      <c r="AH687" s="28">
        <f>ROUND(IF(AQ687="0",BJ687,0),2)</f>
        <v>0</v>
      </c>
      <c r="AI687" s="10" t="s">
        <v>1045</v>
      </c>
      <c r="AJ687" s="28">
        <f>IF(AN687=0,J687,0)</f>
        <v>0</v>
      </c>
      <c r="AK687" s="28">
        <f>IF(AN687=12,J687,0)</f>
        <v>0</v>
      </c>
      <c r="AL687" s="28">
        <f>IF(AN687=21,J687,0)</f>
        <v>0</v>
      </c>
      <c r="AN687" s="28">
        <v>21</v>
      </c>
      <c r="AO687" s="28">
        <f>G687*1</f>
        <v>0</v>
      </c>
      <c r="AP687" s="28">
        <f>G687*(1-1)</f>
        <v>0</v>
      </c>
      <c r="AQ687" s="30" t="s">
        <v>118</v>
      </c>
      <c r="AV687" s="28">
        <f>ROUND(AW687+AX687,2)</f>
        <v>0</v>
      </c>
      <c r="AW687" s="28">
        <f>ROUND(F687*AO687,2)</f>
        <v>0</v>
      </c>
      <c r="AX687" s="28">
        <f>ROUND(F687*AP687,2)</f>
        <v>0</v>
      </c>
      <c r="AY687" s="30" t="s">
        <v>1179</v>
      </c>
      <c r="AZ687" s="30" t="s">
        <v>1169</v>
      </c>
      <c r="BA687" s="10" t="s">
        <v>1050</v>
      </c>
      <c r="BC687" s="28">
        <f>AW687+AX687</f>
        <v>0</v>
      </c>
      <c r="BD687" s="28">
        <f>G687/(100-BE687)*100</f>
        <v>0</v>
      </c>
      <c r="BE687" s="28">
        <v>0</v>
      </c>
      <c r="BF687" s="28">
        <f>695</f>
        <v>695</v>
      </c>
      <c r="BH687" s="28">
        <f>F687*AO687</f>
        <v>0</v>
      </c>
      <c r="BI687" s="28">
        <f>F687*AP687</f>
        <v>0</v>
      </c>
      <c r="BJ687" s="28">
        <f>F687*G687</f>
        <v>0</v>
      </c>
      <c r="BK687" s="28"/>
      <c r="BL687" s="28">
        <v>712</v>
      </c>
      <c r="BW687" s="28">
        <v>21</v>
      </c>
      <c r="BX687" s="4" t="s">
        <v>1198</v>
      </c>
    </row>
    <row r="688" spans="1:76" x14ac:dyDescent="0.25">
      <c r="A688" s="31"/>
      <c r="C688" s="32" t="s">
        <v>1194</v>
      </c>
      <c r="D688" s="32" t="s">
        <v>51</v>
      </c>
      <c r="F688" s="33">
        <v>50.7</v>
      </c>
      <c r="K688" s="34"/>
    </row>
    <row r="689" spans="1:76" ht="51" x14ac:dyDescent="0.25">
      <c r="A689" s="31"/>
      <c r="B689" s="35" t="s">
        <v>68</v>
      </c>
      <c r="C689" s="94" t="s">
        <v>1199</v>
      </c>
      <c r="D689" s="95"/>
      <c r="E689" s="95"/>
      <c r="F689" s="95"/>
      <c r="G689" s="95"/>
      <c r="H689" s="95"/>
      <c r="I689" s="95"/>
      <c r="J689" s="95"/>
      <c r="K689" s="96"/>
      <c r="BX689" s="36" t="s">
        <v>1199</v>
      </c>
    </row>
    <row r="690" spans="1:76" x14ac:dyDescent="0.25">
      <c r="A690" s="2" t="s">
        <v>1200</v>
      </c>
      <c r="B690" s="3" t="s">
        <v>1201</v>
      </c>
      <c r="C690" s="76" t="s">
        <v>1202</v>
      </c>
      <c r="D690" s="71"/>
      <c r="E690" s="3" t="s">
        <v>103</v>
      </c>
      <c r="F690" s="28">
        <v>35.89</v>
      </c>
      <c r="G690" s="28">
        <v>0</v>
      </c>
      <c r="H690" s="28">
        <f>ROUND(F690*AO690,2)</f>
        <v>0</v>
      </c>
      <c r="I690" s="28">
        <f>ROUND(F690*AP690,2)</f>
        <v>0</v>
      </c>
      <c r="J690" s="28">
        <f>ROUND(F690*G690,2)</f>
        <v>0</v>
      </c>
      <c r="K690" s="29" t="s">
        <v>60</v>
      </c>
      <c r="Z690" s="28">
        <f>ROUND(IF(AQ690="5",BJ690,0),2)</f>
        <v>0</v>
      </c>
      <c r="AB690" s="28">
        <f>ROUND(IF(AQ690="1",BH690,0),2)</f>
        <v>0</v>
      </c>
      <c r="AC690" s="28">
        <f>ROUND(IF(AQ690="1",BI690,0),2)</f>
        <v>0</v>
      </c>
      <c r="AD690" s="28">
        <f>ROUND(IF(AQ690="7",BH690,0),2)</f>
        <v>0</v>
      </c>
      <c r="AE690" s="28">
        <f>ROUND(IF(AQ690="7",BI690,0),2)</f>
        <v>0</v>
      </c>
      <c r="AF690" s="28">
        <f>ROUND(IF(AQ690="2",BH690,0),2)</f>
        <v>0</v>
      </c>
      <c r="AG690" s="28">
        <f>ROUND(IF(AQ690="2",BI690,0),2)</f>
        <v>0</v>
      </c>
      <c r="AH690" s="28">
        <f>ROUND(IF(AQ690="0",BJ690,0),2)</f>
        <v>0</v>
      </c>
      <c r="AI690" s="10" t="s">
        <v>1045</v>
      </c>
      <c r="AJ690" s="28">
        <f>IF(AN690=0,J690,0)</f>
        <v>0</v>
      </c>
      <c r="AK690" s="28">
        <f>IF(AN690=12,J690,0)</f>
        <v>0</v>
      </c>
      <c r="AL690" s="28">
        <f>IF(AN690=21,J690,0)</f>
        <v>0</v>
      </c>
      <c r="AN690" s="28">
        <v>21</v>
      </c>
      <c r="AO690" s="28">
        <f>G690*0.525998892</f>
        <v>0</v>
      </c>
      <c r="AP690" s="28">
        <f>G690*(1-0.525998892)</f>
        <v>0</v>
      </c>
      <c r="AQ690" s="30" t="s">
        <v>118</v>
      </c>
      <c r="AV690" s="28">
        <f>ROUND(AW690+AX690,2)</f>
        <v>0</v>
      </c>
      <c r="AW690" s="28">
        <f>ROUND(F690*AO690,2)</f>
        <v>0</v>
      </c>
      <c r="AX690" s="28">
        <f>ROUND(F690*AP690,2)</f>
        <v>0</v>
      </c>
      <c r="AY690" s="30" t="s">
        <v>1179</v>
      </c>
      <c r="AZ690" s="30" t="s">
        <v>1169</v>
      </c>
      <c r="BA690" s="10" t="s">
        <v>1050</v>
      </c>
      <c r="BC690" s="28">
        <f>AW690+AX690</f>
        <v>0</v>
      </c>
      <c r="BD690" s="28">
        <f>G690/(100-BE690)*100</f>
        <v>0</v>
      </c>
      <c r="BE690" s="28">
        <v>0</v>
      </c>
      <c r="BF690" s="28">
        <f>698</f>
        <v>698</v>
      </c>
      <c r="BH690" s="28">
        <f>F690*AO690</f>
        <v>0</v>
      </c>
      <c r="BI690" s="28">
        <f>F690*AP690</f>
        <v>0</v>
      </c>
      <c r="BJ690" s="28">
        <f>F690*G690</f>
        <v>0</v>
      </c>
      <c r="BK690" s="28"/>
      <c r="BL690" s="28">
        <v>712</v>
      </c>
      <c r="BW690" s="28">
        <v>21</v>
      </c>
      <c r="BX690" s="4" t="s">
        <v>1202</v>
      </c>
    </row>
    <row r="691" spans="1:76" ht="13.5" customHeight="1" x14ac:dyDescent="0.25">
      <c r="A691" s="31"/>
      <c r="B691" s="35" t="s">
        <v>105</v>
      </c>
      <c r="C691" s="97" t="s">
        <v>1203</v>
      </c>
      <c r="D691" s="98"/>
      <c r="E691" s="98"/>
      <c r="F691" s="98"/>
      <c r="G691" s="98"/>
      <c r="H691" s="98"/>
      <c r="I691" s="98"/>
      <c r="J691" s="98"/>
      <c r="K691" s="99"/>
    </row>
    <row r="692" spans="1:76" x14ac:dyDescent="0.25">
      <c r="A692" s="31"/>
      <c r="C692" s="32" t="s">
        <v>1204</v>
      </c>
      <c r="D692" s="32" t="s">
        <v>51</v>
      </c>
      <c r="F692" s="33">
        <v>32.551000000000002</v>
      </c>
      <c r="K692" s="34"/>
    </row>
    <row r="693" spans="1:76" x14ac:dyDescent="0.25">
      <c r="A693" s="31"/>
      <c r="C693" s="32" t="s">
        <v>1205</v>
      </c>
      <c r="D693" s="32" t="s">
        <v>51</v>
      </c>
      <c r="F693" s="33">
        <v>3.34</v>
      </c>
      <c r="K693" s="34"/>
    </row>
    <row r="694" spans="1:76" x14ac:dyDescent="0.25">
      <c r="A694" s="24" t="s">
        <v>51</v>
      </c>
      <c r="B694" s="25" t="s">
        <v>1206</v>
      </c>
      <c r="C694" s="87" t="s">
        <v>1207</v>
      </c>
      <c r="D694" s="88"/>
      <c r="E694" s="26" t="s">
        <v>4</v>
      </c>
      <c r="F694" s="26" t="s">
        <v>4</v>
      </c>
      <c r="G694" s="26" t="s">
        <v>4</v>
      </c>
      <c r="H694" s="1">
        <f>SUM(H695:H702)</f>
        <v>0</v>
      </c>
      <c r="I694" s="1">
        <f>SUM(I695:I702)</f>
        <v>0</v>
      </c>
      <c r="J694" s="1">
        <f>SUM(J695:J702)</f>
        <v>0</v>
      </c>
      <c r="K694" s="27" t="s">
        <v>51</v>
      </c>
      <c r="AI694" s="10" t="s">
        <v>1045</v>
      </c>
      <c r="AS694" s="1">
        <f>SUM(AJ695:AJ702)</f>
        <v>0</v>
      </c>
      <c r="AT694" s="1">
        <f>SUM(AK695:AK702)</f>
        <v>0</v>
      </c>
      <c r="AU694" s="1">
        <f>SUM(AL695:AL702)</f>
        <v>0</v>
      </c>
    </row>
    <row r="695" spans="1:76" x14ac:dyDescent="0.25">
      <c r="A695" s="2" t="s">
        <v>1208</v>
      </c>
      <c r="B695" s="3" t="s">
        <v>1209</v>
      </c>
      <c r="C695" s="76" t="s">
        <v>1210</v>
      </c>
      <c r="D695" s="71"/>
      <c r="E695" s="3" t="s">
        <v>103</v>
      </c>
      <c r="F695" s="28">
        <v>5.27</v>
      </c>
      <c r="G695" s="28">
        <v>0</v>
      </c>
      <c r="H695" s="28">
        <f>ROUND(F695*AO695,2)</f>
        <v>0</v>
      </c>
      <c r="I695" s="28">
        <f>ROUND(F695*AP695,2)</f>
        <v>0</v>
      </c>
      <c r="J695" s="28">
        <f>ROUND(F695*G695,2)</f>
        <v>0</v>
      </c>
      <c r="K695" s="29" t="s">
        <v>424</v>
      </c>
      <c r="Z695" s="28">
        <f>ROUND(IF(AQ695="5",BJ695,0),2)</f>
        <v>0</v>
      </c>
      <c r="AB695" s="28">
        <f>ROUND(IF(AQ695="1",BH695,0),2)</f>
        <v>0</v>
      </c>
      <c r="AC695" s="28">
        <f>ROUND(IF(AQ695="1",BI695,0),2)</f>
        <v>0</v>
      </c>
      <c r="AD695" s="28">
        <f>ROUND(IF(AQ695="7",BH695,0),2)</f>
        <v>0</v>
      </c>
      <c r="AE695" s="28">
        <f>ROUND(IF(AQ695="7",BI695,0),2)</f>
        <v>0</v>
      </c>
      <c r="AF695" s="28">
        <f>ROUND(IF(AQ695="2",BH695,0),2)</f>
        <v>0</v>
      </c>
      <c r="AG695" s="28">
        <f>ROUND(IF(AQ695="2",BI695,0),2)</f>
        <v>0</v>
      </c>
      <c r="AH695" s="28">
        <f>ROUND(IF(AQ695="0",BJ695,0),2)</f>
        <v>0</v>
      </c>
      <c r="AI695" s="10" t="s">
        <v>1045</v>
      </c>
      <c r="AJ695" s="28">
        <f>IF(AN695=0,J695,0)</f>
        <v>0</v>
      </c>
      <c r="AK695" s="28">
        <f>IF(AN695=12,J695,0)</f>
        <v>0</v>
      </c>
      <c r="AL695" s="28">
        <f>IF(AN695=21,J695,0)</f>
        <v>0</v>
      </c>
      <c r="AN695" s="28">
        <v>21</v>
      </c>
      <c r="AO695" s="28">
        <f>G695*0.151447661</f>
        <v>0</v>
      </c>
      <c r="AP695" s="28">
        <f>G695*(1-0.151447661)</f>
        <v>0</v>
      </c>
      <c r="AQ695" s="30" t="s">
        <v>118</v>
      </c>
      <c r="AV695" s="28">
        <f>ROUND(AW695+AX695,2)</f>
        <v>0</v>
      </c>
      <c r="AW695" s="28">
        <f>ROUND(F695*AO695,2)</f>
        <v>0</v>
      </c>
      <c r="AX695" s="28">
        <f>ROUND(F695*AP695,2)</f>
        <v>0</v>
      </c>
      <c r="AY695" s="30" t="s">
        <v>1211</v>
      </c>
      <c r="AZ695" s="30" t="s">
        <v>1169</v>
      </c>
      <c r="BA695" s="10" t="s">
        <v>1050</v>
      </c>
      <c r="BC695" s="28">
        <f>AW695+AX695</f>
        <v>0</v>
      </c>
      <c r="BD695" s="28">
        <f>G695/(100-BE695)*100</f>
        <v>0</v>
      </c>
      <c r="BE695" s="28">
        <v>0</v>
      </c>
      <c r="BF695" s="28">
        <f>703</f>
        <v>703</v>
      </c>
      <c r="BH695" s="28">
        <f>F695*AO695</f>
        <v>0</v>
      </c>
      <c r="BI695" s="28">
        <f>F695*AP695</f>
        <v>0</v>
      </c>
      <c r="BJ695" s="28">
        <f>F695*G695</f>
        <v>0</v>
      </c>
      <c r="BK695" s="28"/>
      <c r="BL695" s="28">
        <v>714</v>
      </c>
      <c r="BW695" s="28">
        <v>21</v>
      </c>
      <c r="BX695" s="4" t="s">
        <v>1210</v>
      </c>
    </row>
    <row r="696" spans="1:76" ht="13.5" customHeight="1" x14ac:dyDescent="0.25">
      <c r="A696" s="31"/>
      <c r="B696" s="35" t="s">
        <v>105</v>
      </c>
      <c r="C696" s="97" t="s">
        <v>1212</v>
      </c>
      <c r="D696" s="98"/>
      <c r="E696" s="98"/>
      <c r="F696" s="98"/>
      <c r="G696" s="98"/>
      <c r="H696" s="98"/>
      <c r="I696" s="98"/>
      <c r="J696" s="98"/>
      <c r="K696" s="99"/>
    </row>
    <row r="697" spans="1:76" x14ac:dyDescent="0.25">
      <c r="A697" s="31"/>
      <c r="C697" s="32" t="s">
        <v>1213</v>
      </c>
      <c r="D697" s="32" t="s">
        <v>1214</v>
      </c>
      <c r="F697" s="33">
        <v>5.27</v>
      </c>
      <c r="K697" s="34"/>
    </row>
    <row r="698" spans="1:76" x14ac:dyDescent="0.25">
      <c r="A698" s="2" t="s">
        <v>1215</v>
      </c>
      <c r="B698" s="3" t="s">
        <v>1216</v>
      </c>
      <c r="C698" s="76" t="s">
        <v>1217</v>
      </c>
      <c r="D698" s="71"/>
      <c r="E698" s="3" t="s">
        <v>188</v>
      </c>
      <c r="F698" s="28">
        <v>88</v>
      </c>
      <c r="G698" s="28">
        <v>0</v>
      </c>
      <c r="H698" s="28">
        <f>ROUND(F698*AO698,2)</f>
        <v>0</v>
      </c>
      <c r="I698" s="28">
        <f>ROUND(F698*AP698,2)</f>
        <v>0</v>
      </c>
      <c r="J698" s="28">
        <f>ROUND(F698*G698,2)</f>
        <v>0</v>
      </c>
      <c r="K698" s="29" t="s">
        <v>424</v>
      </c>
      <c r="Z698" s="28">
        <f>ROUND(IF(AQ698="5",BJ698,0),2)</f>
        <v>0</v>
      </c>
      <c r="AB698" s="28">
        <f>ROUND(IF(AQ698="1",BH698,0),2)</f>
        <v>0</v>
      </c>
      <c r="AC698" s="28">
        <f>ROUND(IF(AQ698="1",BI698,0),2)</f>
        <v>0</v>
      </c>
      <c r="AD698" s="28">
        <f>ROUND(IF(AQ698="7",BH698,0),2)</f>
        <v>0</v>
      </c>
      <c r="AE698" s="28">
        <f>ROUND(IF(AQ698="7",BI698,0),2)</f>
        <v>0</v>
      </c>
      <c r="AF698" s="28">
        <f>ROUND(IF(AQ698="2",BH698,0),2)</f>
        <v>0</v>
      </c>
      <c r="AG698" s="28">
        <f>ROUND(IF(AQ698="2",BI698,0),2)</f>
        <v>0</v>
      </c>
      <c r="AH698" s="28">
        <f>ROUND(IF(AQ698="0",BJ698,0),2)</f>
        <v>0</v>
      </c>
      <c r="AI698" s="10" t="s">
        <v>1045</v>
      </c>
      <c r="AJ698" s="28">
        <f>IF(AN698=0,J698,0)</f>
        <v>0</v>
      </c>
      <c r="AK698" s="28">
        <f>IF(AN698=12,J698,0)</f>
        <v>0</v>
      </c>
      <c r="AL698" s="28">
        <f>IF(AN698=21,J698,0)</f>
        <v>0</v>
      </c>
      <c r="AN698" s="28">
        <v>21</v>
      </c>
      <c r="AO698" s="28">
        <f>G698*1</f>
        <v>0</v>
      </c>
      <c r="AP698" s="28">
        <f>G698*(1-1)</f>
        <v>0</v>
      </c>
      <c r="AQ698" s="30" t="s">
        <v>118</v>
      </c>
      <c r="AV698" s="28">
        <f>ROUND(AW698+AX698,2)</f>
        <v>0</v>
      </c>
      <c r="AW698" s="28">
        <f>ROUND(F698*AO698,2)</f>
        <v>0</v>
      </c>
      <c r="AX698" s="28">
        <f>ROUND(F698*AP698,2)</f>
        <v>0</v>
      </c>
      <c r="AY698" s="30" t="s">
        <v>1211</v>
      </c>
      <c r="AZ698" s="30" t="s">
        <v>1169</v>
      </c>
      <c r="BA698" s="10" t="s">
        <v>1050</v>
      </c>
      <c r="BC698" s="28">
        <f>AW698+AX698</f>
        <v>0</v>
      </c>
      <c r="BD698" s="28">
        <f>G698/(100-BE698)*100</f>
        <v>0</v>
      </c>
      <c r="BE698" s="28">
        <v>0</v>
      </c>
      <c r="BF698" s="28">
        <f>706</f>
        <v>706</v>
      </c>
      <c r="BH698" s="28">
        <f>F698*AO698</f>
        <v>0</v>
      </c>
      <c r="BI698" s="28">
        <f>F698*AP698</f>
        <v>0</v>
      </c>
      <c r="BJ698" s="28">
        <f>F698*G698</f>
        <v>0</v>
      </c>
      <c r="BK698" s="28"/>
      <c r="BL698" s="28">
        <v>714</v>
      </c>
      <c r="BW698" s="28">
        <v>21</v>
      </c>
      <c r="BX698" s="4" t="s">
        <v>1217</v>
      </c>
    </row>
    <row r="699" spans="1:76" x14ac:dyDescent="0.25">
      <c r="A699" s="31"/>
      <c r="C699" s="32" t="s">
        <v>1218</v>
      </c>
      <c r="D699" s="32" t="s">
        <v>1219</v>
      </c>
      <c r="F699" s="33">
        <v>76</v>
      </c>
      <c r="K699" s="34"/>
    </row>
    <row r="700" spans="1:76" x14ac:dyDescent="0.25">
      <c r="A700" s="31"/>
      <c r="C700" s="32" t="s">
        <v>1220</v>
      </c>
      <c r="D700" s="32" t="s">
        <v>1221</v>
      </c>
      <c r="F700" s="33">
        <v>12</v>
      </c>
      <c r="K700" s="34"/>
    </row>
    <row r="701" spans="1:76" x14ac:dyDescent="0.25">
      <c r="A701" s="31"/>
      <c r="B701" s="35" t="s">
        <v>68</v>
      </c>
      <c r="C701" s="94" t="s">
        <v>1222</v>
      </c>
      <c r="D701" s="95"/>
      <c r="E701" s="95"/>
      <c r="F701" s="95"/>
      <c r="G701" s="95"/>
      <c r="H701" s="95"/>
      <c r="I701" s="95"/>
      <c r="J701" s="95"/>
      <c r="K701" s="96"/>
      <c r="BX701" s="36" t="s">
        <v>1222</v>
      </c>
    </row>
    <row r="702" spans="1:76" x14ac:dyDescent="0.25">
      <c r="A702" s="2" t="s">
        <v>1223</v>
      </c>
      <c r="B702" s="3" t="s">
        <v>1224</v>
      </c>
      <c r="C702" s="76" t="s">
        <v>1225</v>
      </c>
      <c r="D702" s="71"/>
      <c r="E702" s="3" t="s">
        <v>188</v>
      </c>
      <c r="F702" s="28">
        <v>4</v>
      </c>
      <c r="G702" s="28">
        <v>0</v>
      </c>
      <c r="H702" s="28">
        <f>ROUND(F702*AO702,2)</f>
        <v>0</v>
      </c>
      <c r="I702" s="28">
        <f>ROUND(F702*AP702,2)</f>
        <v>0</v>
      </c>
      <c r="J702" s="28">
        <f>ROUND(F702*G702,2)</f>
        <v>0</v>
      </c>
      <c r="K702" s="29" t="s">
        <v>424</v>
      </c>
      <c r="Z702" s="28">
        <f>ROUND(IF(AQ702="5",BJ702,0),2)</f>
        <v>0</v>
      </c>
      <c r="AB702" s="28">
        <f>ROUND(IF(AQ702="1",BH702,0),2)</f>
        <v>0</v>
      </c>
      <c r="AC702" s="28">
        <f>ROUND(IF(AQ702="1",BI702,0),2)</f>
        <v>0</v>
      </c>
      <c r="AD702" s="28">
        <f>ROUND(IF(AQ702="7",BH702,0),2)</f>
        <v>0</v>
      </c>
      <c r="AE702" s="28">
        <f>ROUND(IF(AQ702="7",BI702,0),2)</f>
        <v>0</v>
      </c>
      <c r="AF702" s="28">
        <f>ROUND(IF(AQ702="2",BH702,0),2)</f>
        <v>0</v>
      </c>
      <c r="AG702" s="28">
        <f>ROUND(IF(AQ702="2",BI702,0),2)</f>
        <v>0</v>
      </c>
      <c r="AH702" s="28">
        <f>ROUND(IF(AQ702="0",BJ702,0),2)</f>
        <v>0</v>
      </c>
      <c r="AI702" s="10" t="s">
        <v>1045</v>
      </c>
      <c r="AJ702" s="28">
        <f>IF(AN702=0,J702,0)</f>
        <v>0</v>
      </c>
      <c r="AK702" s="28">
        <f>IF(AN702=12,J702,0)</f>
        <v>0</v>
      </c>
      <c r="AL702" s="28">
        <f>IF(AN702=21,J702,0)</f>
        <v>0</v>
      </c>
      <c r="AN702" s="28">
        <v>21</v>
      </c>
      <c r="AO702" s="28">
        <f>G702*1</f>
        <v>0</v>
      </c>
      <c r="AP702" s="28">
        <f>G702*(1-1)</f>
        <v>0</v>
      </c>
      <c r="AQ702" s="30" t="s">
        <v>118</v>
      </c>
      <c r="AV702" s="28">
        <f>ROUND(AW702+AX702,2)</f>
        <v>0</v>
      </c>
      <c r="AW702" s="28">
        <f>ROUND(F702*AO702,2)</f>
        <v>0</v>
      </c>
      <c r="AX702" s="28">
        <f>ROUND(F702*AP702,2)</f>
        <v>0</v>
      </c>
      <c r="AY702" s="30" t="s">
        <v>1211</v>
      </c>
      <c r="AZ702" s="30" t="s">
        <v>1169</v>
      </c>
      <c r="BA702" s="10" t="s">
        <v>1050</v>
      </c>
      <c r="BC702" s="28">
        <f>AW702+AX702</f>
        <v>0</v>
      </c>
      <c r="BD702" s="28">
        <f>G702/(100-BE702)*100</f>
        <v>0</v>
      </c>
      <c r="BE702" s="28">
        <v>0</v>
      </c>
      <c r="BF702" s="28">
        <f>710</f>
        <v>710</v>
      </c>
      <c r="BH702" s="28">
        <f>F702*AO702</f>
        <v>0</v>
      </c>
      <c r="BI702" s="28">
        <f>F702*AP702</f>
        <v>0</v>
      </c>
      <c r="BJ702" s="28">
        <f>F702*G702</f>
        <v>0</v>
      </c>
      <c r="BK702" s="28"/>
      <c r="BL702" s="28">
        <v>714</v>
      </c>
      <c r="BW702" s="28">
        <v>21</v>
      </c>
      <c r="BX702" s="4" t="s">
        <v>1225</v>
      </c>
    </row>
    <row r="703" spans="1:76" x14ac:dyDescent="0.25">
      <c r="A703" s="31"/>
      <c r="B703" s="35" t="s">
        <v>68</v>
      </c>
      <c r="C703" s="94" t="s">
        <v>1226</v>
      </c>
      <c r="D703" s="95"/>
      <c r="E703" s="95"/>
      <c r="F703" s="95"/>
      <c r="G703" s="95"/>
      <c r="H703" s="95"/>
      <c r="I703" s="95"/>
      <c r="J703" s="95"/>
      <c r="K703" s="96"/>
      <c r="BX703" s="36" t="s">
        <v>1226</v>
      </c>
    </row>
    <row r="704" spans="1:76" x14ac:dyDescent="0.25">
      <c r="A704" s="24" t="s">
        <v>51</v>
      </c>
      <c r="B704" s="25" t="s">
        <v>1227</v>
      </c>
      <c r="C704" s="87" t="s">
        <v>1228</v>
      </c>
      <c r="D704" s="88"/>
      <c r="E704" s="26" t="s">
        <v>4</v>
      </c>
      <c r="F704" s="26" t="s">
        <v>4</v>
      </c>
      <c r="G704" s="26" t="s">
        <v>4</v>
      </c>
      <c r="H704" s="1">
        <f>SUM(H705:H752)</f>
        <v>0</v>
      </c>
      <c r="I704" s="1">
        <f>SUM(I705:I752)</f>
        <v>0</v>
      </c>
      <c r="J704" s="1">
        <f>SUM(J705:J752)</f>
        <v>0</v>
      </c>
      <c r="K704" s="27" t="s">
        <v>51</v>
      </c>
      <c r="AI704" s="10" t="s">
        <v>1045</v>
      </c>
      <c r="AS704" s="1">
        <f>SUM(AJ705:AJ752)</f>
        <v>0</v>
      </c>
      <c r="AT704" s="1">
        <f>SUM(AK705:AK752)</f>
        <v>0</v>
      </c>
      <c r="AU704" s="1">
        <f>SUM(AL705:AL752)</f>
        <v>0</v>
      </c>
    </row>
    <row r="705" spans="1:76" x14ac:dyDescent="0.25">
      <c r="A705" s="2" t="s">
        <v>1229</v>
      </c>
      <c r="B705" s="3" t="s">
        <v>1230</v>
      </c>
      <c r="C705" s="76" t="s">
        <v>1231</v>
      </c>
      <c r="D705" s="71"/>
      <c r="E705" s="3" t="s">
        <v>103</v>
      </c>
      <c r="F705" s="28">
        <v>15.28</v>
      </c>
      <c r="G705" s="28">
        <v>0</v>
      </c>
      <c r="H705" s="28">
        <f>ROUND(F705*AO705,2)</f>
        <v>0</v>
      </c>
      <c r="I705" s="28">
        <f>ROUND(F705*AP705,2)</f>
        <v>0</v>
      </c>
      <c r="J705" s="28">
        <f>ROUND(F705*G705,2)</f>
        <v>0</v>
      </c>
      <c r="K705" s="29" t="s">
        <v>60</v>
      </c>
      <c r="Z705" s="28">
        <f>ROUND(IF(AQ705="5",BJ705,0),2)</f>
        <v>0</v>
      </c>
      <c r="AB705" s="28">
        <f>ROUND(IF(AQ705="1",BH705,0),2)</f>
        <v>0</v>
      </c>
      <c r="AC705" s="28">
        <f>ROUND(IF(AQ705="1",BI705,0),2)</f>
        <v>0</v>
      </c>
      <c r="AD705" s="28">
        <f>ROUND(IF(AQ705="7",BH705,0),2)</f>
        <v>0</v>
      </c>
      <c r="AE705" s="28">
        <f>ROUND(IF(AQ705="7",BI705,0),2)</f>
        <v>0</v>
      </c>
      <c r="AF705" s="28">
        <f>ROUND(IF(AQ705="2",BH705,0),2)</f>
        <v>0</v>
      </c>
      <c r="AG705" s="28">
        <f>ROUND(IF(AQ705="2",BI705,0),2)</f>
        <v>0</v>
      </c>
      <c r="AH705" s="28">
        <f>ROUND(IF(AQ705="0",BJ705,0),2)</f>
        <v>0</v>
      </c>
      <c r="AI705" s="10" t="s">
        <v>1045</v>
      </c>
      <c r="AJ705" s="28">
        <f>IF(AN705=0,J705,0)</f>
        <v>0</v>
      </c>
      <c r="AK705" s="28">
        <f>IF(AN705=12,J705,0)</f>
        <v>0</v>
      </c>
      <c r="AL705" s="28">
        <f>IF(AN705=21,J705,0)</f>
        <v>0</v>
      </c>
      <c r="AN705" s="28">
        <v>21</v>
      </c>
      <c r="AO705" s="28">
        <f>G705*0.045754054</f>
        <v>0</v>
      </c>
      <c r="AP705" s="28">
        <f>G705*(1-0.045754054)</f>
        <v>0</v>
      </c>
      <c r="AQ705" s="30" t="s">
        <v>118</v>
      </c>
      <c r="AV705" s="28">
        <f>ROUND(AW705+AX705,2)</f>
        <v>0</v>
      </c>
      <c r="AW705" s="28">
        <f>ROUND(F705*AO705,2)</f>
        <v>0</v>
      </c>
      <c r="AX705" s="28">
        <f>ROUND(F705*AP705,2)</f>
        <v>0</v>
      </c>
      <c r="AY705" s="30" t="s">
        <v>1232</v>
      </c>
      <c r="AZ705" s="30" t="s">
        <v>1233</v>
      </c>
      <c r="BA705" s="10" t="s">
        <v>1050</v>
      </c>
      <c r="BC705" s="28">
        <f>AW705+AX705</f>
        <v>0</v>
      </c>
      <c r="BD705" s="28">
        <f>G705/(100-BE705)*100</f>
        <v>0</v>
      </c>
      <c r="BE705" s="28">
        <v>0</v>
      </c>
      <c r="BF705" s="28">
        <f>713</f>
        <v>713</v>
      </c>
      <c r="BH705" s="28">
        <f>F705*AO705</f>
        <v>0</v>
      </c>
      <c r="BI705" s="28">
        <f>F705*AP705</f>
        <v>0</v>
      </c>
      <c r="BJ705" s="28">
        <f>F705*G705</f>
        <v>0</v>
      </c>
      <c r="BK705" s="28"/>
      <c r="BL705" s="28">
        <v>762</v>
      </c>
      <c r="BW705" s="28">
        <v>21</v>
      </c>
      <c r="BX705" s="4" t="s">
        <v>1231</v>
      </c>
    </row>
    <row r="706" spans="1:76" x14ac:dyDescent="0.25">
      <c r="A706" s="31"/>
      <c r="C706" s="32" t="s">
        <v>1234</v>
      </c>
      <c r="D706" s="32" t="s">
        <v>51</v>
      </c>
      <c r="F706" s="33">
        <v>15.275</v>
      </c>
      <c r="K706" s="34"/>
    </row>
    <row r="707" spans="1:76" x14ac:dyDescent="0.25">
      <c r="A707" s="2" t="s">
        <v>1235</v>
      </c>
      <c r="B707" s="3" t="s">
        <v>1236</v>
      </c>
      <c r="C707" s="76" t="s">
        <v>1237</v>
      </c>
      <c r="D707" s="71"/>
      <c r="E707" s="3" t="s">
        <v>59</v>
      </c>
      <c r="F707" s="28">
        <v>0.31</v>
      </c>
      <c r="G707" s="28">
        <v>0</v>
      </c>
      <c r="H707" s="28">
        <f>ROUND(F707*AO707,2)</f>
        <v>0</v>
      </c>
      <c r="I707" s="28">
        <f>ROUND(F707*AP707,2)</f>
        <v>0</v>
      </c>
      <c r="J707" s="28">
        <f>ROUND(F707*G707,2)</f>
        <v>0</v>
      </c>
      <c r="K707" s="29" t="s">
        <v>60</v>
      </c>
      <c r="Z707" s="28">
        <f>ROUND(IF(AQ707="5",BJ707,0),2)</f>
        <v>0</v>
      </c>
      <c r="AB707" s="28">
        <f>ROUND(IF(AQ707="1",BH707,0),2)</f>
        <v>0</v>
      </c>
      <c r="AC707" s="28">
        <f>ROUND(IF(AQ707="1",BI707,0),2)</f>
        <v>0</v>
      </c>
      <c r="AD707" s="28">
        <f>ROUND(IF(AQ707="7",BH707,0),2)</f>
        <v>0</v>
      </c>
      <c r="AE707" s="28">
        <f>ROUND(IF(AQ707="7",BI707,0),2)</f>
        <v>0</v>
      </c>
      <c r="AF707" s="28">
        <f>ROUND(IF(AQ707="2",BH707,0),2)</f>
        <v>0</v>
      </c>
      <c r="AG707" s="28">
        <f>ROUND(IF(AQ707="2",BI707,0),2)</f>
        <v>0</v>
      </c>
      <c r="AH707" s="28">
        <f>ROUND(IF(AQ707="0",BJ707,0),2)</f>
        <v>0</v>
      </c>
      <c r="AI707" s="10" t="s">
        <v>1045</v>
      </c>
      <c r="AJ707" s="28">
        <f>IF(AN707=0,J707,0)</f>
        <v>0</v>
      </c>
      <c r="AK707" s="28">
        <f>IF(AN707=12,J707,0)</f>
        <v>0</v>
      </c>
      <c r="AL707" s="28">
        <f>IF(AN707=21,J707,0)</f>
        <v>0</v>
      </c>
      <c r="AN707" s="28">
        <v>21</v>
      </c>
      <c r="AO707" s="28">
        <f>G707*0.99977758</f>
        <v>0</v>
      </c>
      <c r="AP707" s="28">
        <f>G707*(1-0.99977758)</f>
        <v>0</v>
      </c>
      <c r="AQ707" s="30" t="s">
        <v>118</v>
      </c>
      <c r="AV707" s="28">
        <f>ROUND(AW707+AX707,2)</f>
        <v>0</v>
      </c>
      <c r="AW707" s="28">
        <f>ROUND(F707*AO707,2)</f>
        <v>0</v>
      </c>
      <c r="AX707" s="28">
        <f>ROUND(F707*AP707,2)</f>
        <v>0</v>
      </c>
      <c r="AY707" s="30" t="s">
        <v>1232</v>
      </c>
      <c r="AZ707" s="30" t="s">
        <v>1233</v>
      </c>
      <c r="BA707" s="10" t="s">
        <v>1050</v>
      </c>
      <c r="BC707" s="28">
        <f>AW707+AX707</f>
        <v>0</v>
      </c>
      <c r="BD707" s="28">
        <f>G707/(100-BE707)*100</f>
        <v>0</v>
      </c>
      <c r="BE707" s="28">
        <v>0</v>
      </c>
      <c r="BF707" s="28">
        <f>715</f>
        <v>715</v>
      </c>
      <c r="BH707" s="28">
        <f>F707*AO707</f>
        <v>0</v>
      </c>
      <c r="BI707" s="28">
        <f>F707*AP707</f>
        <v>0</v>
      </c>
      <c r="BJ707" s="28">
        <f>F707*G707</f>
        <v>0</v>
      </c>
      <c r="BK707" s="28"/>
      <c r="BL707" s="28">
        <v>762</v>
      </c>
      <c r="BW707" s="28">
        <v>21</v>
      </c>
      <c r="BX707" s="4" t="s">
        <v>1237</v>
      </c>
    </row>
    <row r="708" spans="1:76" x14ac:dyDescent="0.25">
      <c r="A708" s="31"/>
      <c r="C708" s="32" t="s">
        <v>1238</v>
      </c>
      <c r="D708" s="32" t="s">
        <v>51</v>
      </c>
      <c r="F708" s="33">
        <v>0.31268000000000001</v>
      </c>
      <c r="K708" s="34"/>
    </row>
    <row r="709" spans="1:76" x14ac:dyDescent="0.25">
      <c r="A709" s="2" t="s">
        <v>1239</v>
      </c>
      <c r="B709" s="3" t="s">
        <v>1240</v>
      </c>
      <c r="C709" s="76" t="s">
        <v>1241</v>
      </c>
      <c r="D709" s="71"/>
      <c r="E709" s="3" t="s">
        <v>293</v>
      </c>
      <c r="F709" s="28">
        <v>8</v>
      </c>
      <c r="G709" s="28">
        <v>0</v>
      </c>
      <c r="H709" s="28">
        <f>ROUND(F709*AO709,2)</f>
        <v>0</v>
      </c>
      <c r="I709" s="28">
        <f>ROUND(F709*AP709,2)</f>
        <v>0</v>
      </c>
      <c r="J709" s="28">
        <f>ROUND(F709*G709,2)</f>
        <v>0</v>
      </c>
      <c r="K709" s="29" t="s">
        <v>60</v>
      </c>
      <c r="Z709" s="28">
        <f>ROUND(IF(AQ709="5",BJ709,0),2)</f>
        <v>0</v>
      </c>
      <c r="AB709" s="28">
        <f>ROUND(IF(AQ709="1",BH709,0),2)</f>
        <v>0</v>
      </c>
      <c r="AC709" s="28">
        <f>ROUND(IF(AQ709="1",BI709,0),2)</f>
        <v>0</v>
      </c>
      <c r="AD709" s="28">
        <f>ROUND(IF(AQ709="7",BH709,0),2)</f>
        <v>0</v>
      </c>
      <c r="AE709" s="28">
        <f>ROUND(IF(AQ709="7",BI709,0),2)</f>
        <v>0</v>
      </c>
      <c r="AF709" s="28">
        <f>ROUND(IF(AQ709="2",BH709,0),2)</f>
        <v>0</v>
      </c>
      <c r="AG709" s="28">
        <f>ROUND(IF(AQ709="2",BI709,0),2)</f>
        <v>0</v>
      </c>
      <c r="AH709" s="28">
        <f>ROUND(IF(AQ709="0",BJ709,0),2)</f>
        <v>0</v>
      </c>
      <c r="AI709" s="10" t="s">
        <v>1045</v>
      </c>
      <c r="AJ709" s="28">
        <f>IF(AN709=0,J709,0)</f>
        <v>0</v>
      </c>
      <c r="AK709" s="28">
        <f>IF(AN709=12,J709,0)</f>
        <v>0</v>
      </c>
      <c r="AL709" s="28">
        <f>IF(AN709=21,J709,0)</f>
        <v>0</v>
      </c>
      <c r="AN709" s="28">
        <v>21</v>
      </c>
      <c r="AO709" s="28">
        <f>G709*0.049430745</f>
        <v>0</v>
      </c>
      <c r="AP709" s="28">
        <f>G709*(1-0.049430745)</f>
        <v>0</v>
      </c>
      <c r="AQ709" s="30" t="s">
        <v>118</v>
      </c>
      <c r="AV709" s="28">
        <f>ROUND(AW709+AX709,2)</f>
        <v>0</v>
      </c>
      <c r="AW709" s="28">
        <f>ROUND(F709*AO709,2)</f>
        <v>0</v>
      </c>
      <c r="AX709" s="28">
        <f>ROUND(F709*AP709,2)</f>
        <v>0</v>
      </c>
      <c r="AY709" s="30" t="s">
        <v>1232</v>
      </c>
      <c r="AZ709" s="30" t="s">
        <v>1233</v>
      </c>
      <c r="BA709" s="10" t="s">
        <v>1050</v>
      </c>
      <c r="BC709" s="28">
        <f>AW709+AX709</f>
        <v>0</v>
      </c>
      <c r="BD709" s="28">
        <f>G709/(100-BE709)*100</f>
        <v>0</v>
      </c>
      <c r="BE709" s="28">
        <v>0</v>
      </c>
      <c r="BF709" s="28">
        <f>717</f>
        <v>717</v>
      </c>
      <c r="BH709" s="28">
        <f>F709*AO709</f>
        <v>0</v>
      </c>
      <c r="BI709" s="28">
        <f>F709*AP709</f>
        <v>0</v>
      </c>
      <c r="BJ709" s="28">
        <f>F709*G709</f>
        <v>0</v>
      </c>
      <c r="BK709" s="28"/>
      <c r="BL709" s="28">
        <v>762</v>
      </c>
      <c r="BW709" s="28">
        <v>21</v>
      </c>
      <c r="BX709" s="4" t="s">
        <v>1241</v>
      </c>
    </row>
    <row r="710" spans="1:76" x14ac:dyDescent="0.25">
      <c r="A710" s="31"/>
      <c r="C710" s="32" t="s">
        <v>1242</v>
      </c>
      <c r="D710" s="32" t="s">
        <v>51</v>
      </c>
      <c r="F710" s="33">
        <v>6</v>
      </c>
      <c r="K710" s="34"/>
    </row>
    <row r="711" spans="1:76" x14ac:dyDescent="0.25">
      <c r="A711" s="31"/>
      <c r="C711" s="32" t="s">
        <v>1243</v>
      </c>
      <c r="D711" s="32" t="s">
        <v>51</v>
      </c>
      <c r="F711" s="33">
        <v>2</v>
      </c>
      <c r="K711" s="34"/>
    </row>
    <row r="712" spans="1:76" x14ac:dyDescent="0.25">
      <c r="A712" s="2" t="s">
        <v>766</v>
      </c>
      <c r="B712" s="3" t="s">
        <v>1244</v>
      </c>
      <c r="C712" s="76" t="s">
        <v>1245</v>
      </c>
      <c r="D712" s="71"/>
      <c r="E712" s="3" t="s">
        <v>103</v>
      </c>
      <c r="F712" s="28">
        <v>3.34</v>
      </c>
      <c r="G712" s="28">
        <v>0</v>
      </c>
      <c r="H712" s="28">
        <f>ROUND(F712*AO712,2)</f>
        <v>0</v>
      </c>
      <c r="I712" s="28">
        <f>ROUND(F712*AP712,2)</f>
        <v>0</v>
      </c>
      <c r="J712" s="28">
        <f>ROUND(F712*G712,2)</f>
        <v>0</v>
      </c>
      <c r="K712" s="29" t="s">
        <v>60</v>
      </c>
      <c r="Z712" s="28">
        <f>ROUND(IF(AQ712="5",BJ712,0),2)</f>
        <v>0</v>
      </c>
      <c r="AB712" s="28">
        <f>ROUND(IF(AQ712="1",BH712,0),2)</f>
        <v>0</v>
      </c>
      <c r="AC712" s="28">
        <f>ROUND(IF(AQ712="1",BI712,0),2)</f>
        <v>0</v>
      </c>
      <c r="AD712" s="28">
        <f>ROUND(IF(AQ712="7",BH712,0),2)</f>
        <v>0</v>
      </c>
      <c r="AE712" s="28">
        <f>ROUND(IF(AQ712="7",BI712,0),2)</f>
        <v>0</v>
      </c>
      <c r="AF712" s="28">
        <f>ROUND(IF(AQ712="2",BH712,0),2)</f>
        <v>0</v>
      </c>
      <c r="AG712" s="28">
        <f>ROUND(IF(AQ712="2",BI712,0),2)</f>
        <v>0</v>
      </c>
      <c r="AH712" s="28">
        <f>ROUND(IF(AQ712="0",BJ712,0),2)</f>
        <v>0</v>
      </c>
      <c r="AI712" s="10" t="s">
        <v>1045</v>
      </c>
      <c r="AJ712" s="28">
        <f>IF(AN712=0,J712,0)</f>
        <v>0</v>
      </c>
      <c r="AK712" s="28">
        <f>IF(AN712=12,J712,0)</f>
        <v>0</v>
      </c>
      <c r="AL712" s="28">
        <f>IF(AN712=21,J712,0)</f>
        <v>0</v>
      </c>
      <c r="AN712" s="28">
        <v>21</v>
      </c>
      <c r="AO712" s="28">
        <f>G712*0.634682265</f>
        <v>0</v>
      </c>
      <c r="AP712" s="28">
        <f>G712*(1-0.634682265)</f>
        <v>0</v>
      </c>
      <c r="AQ712" s="30" t="s">
        <v>118</v>
      </c>
      <c r="AV712" s="28">
        <f>ROUND(AW712+AX712,2)</f>
        <v>0</v>
      </c>
      <c r="AW712" s="28">
        <f>ROUND(F712*AO712,2)</f>
        <v>0</v>
      </c>
      <c r="AX712" s="28">
        <f>ROUND(F712*AP712,2)</f>
        <v>0</v>
      </c>
      <c r="AY712" s="30" t="s">
        <v>1232</v>
      </c>
      <c r="AZ712" s="30" t="s">
        <v>1233</v>
      </c>
      <c r="BA712" s="10" t="s">
        <v>1050</v>
      </c>
      <c r="BC712" s="28">
        <f>AW712+AX712</f>
        <v>0</v>
      </c>
      <c r="BD712" s="28">
        <f>G712/(100-BE712)*100</f>
        <v>0</v>
      </c>
      <c r="BE712" s="28">
        <v>0</v>
      </c>
      <c r="BF712" s="28">
        <f>720</f>
        <v>720</v>
      </c>
      <c r="BH712" s="28">
        <f>F712*AO712</f>
        <v>0</v>
      </c>
      <c r="BI712" s="28">
        <f>F712*AP712</f>
        <v>0</v>
      </c>
      <c r="BJ712" s="28">
        <f>F712*G712</f>
        <v>0</v>
      </c>
      <c r="BK712" s="28"/>
      <c r="BL712" s="28">
        <v>762</v>
      </c>
      <c r="BW712" s="28">
        <v>21</v>
      </c>
      <c r="BX712" s="4" t="s">
        <v>1245</v>
      </c>
    </row>
    <row r="713" spans="1:76" ht="13.5" customHeight="1" x14ac:dyDescent="0.25">
      <c r="A713" s="31"/>
      <c r="B713" s="35" t="s">
        <v>105</v>
      </c>
      <c r="C713" s="97" t="s">
        <v>1246</v>
      </c>
      <c r="D713" s="98"/>
      <c r="E713" s="98"/>
      <c r="F713" s="98"/>
      <c r="G713" s="98"/>
      <c r="H713" s="98"/>
      <c r="I713" s="98"/>
      <c r="J713" s="98"/>
      <c r="K713" s="99"/>
    </row>
    <row r="714" spans="1:76" x14ac:dyDescent="0.25">
      <c r="A714" s="31"/>
      <c r="C714" s="32" t="s">
        <v>1247</v>
      </c>
      <c r="D714" s="32" t="s">
        <v>51</v>
      </c>
      <c r="F714" s="33">
        <v>3.34</v>
      </c>
      <c r="K714" s="34"/>
    </row>
    <row r="715" spans="1:76" x14ac:dyDescent="0.25">
      <c r="A715" s="2" t="s">
        <v>1248</v>
      </c>
      <c r="B715" s="3" t="s">
        <v>1249</v>
      </c>
      <c r="C715" s="76" t="s">
        <v>1250</v>
      </c>
      <c r="D715" s="71"/>
      <c r="E715" s="3" t="s">
        <v>103</v>
      </c>
      <c r="F715" s="28">
        <v>3.34</v>
      </c>
      <c r="G715" s="28">
        <v>0</v>
      </c>
      <c r="H715" s="28">
        <f>ROUND(F715*AO715,2)</f>
        <v>0</v>
      </c>
      <c r="I715" s="28">
        <f>ROUND(F715*AP715,2)</f>
        <v>0</v>
      </c>
      <c r="J715" s="28">
        <f>ROUND(F715*G715,2)</f>
        <v>0</v>
      </c>
      <c r="K715" s="29" t="s">
        <v>60</v>
      </c>
      <c r="Z715" s="28">
        <f>ROUND(IF(AQ715="5",BJ715,0),2)</f>
        <v>0</v>
      </c>
      <c r="AB715" s="28">
        <f>ROUND(IF(AQ715="1",BH715,0),2)</f>
        <v>0</v>
      </c>
      <c r="AC715" s="28">
        <f>ROUND(IF(AQ715="1",BI715,0),2)</f>
        <v>0</v>
      </c>
      <c r="AD715" s="28">
        <f>ROUND(IF(AQ715="7",BH715,0),2)</f>
        <v>0</v>
      </c>
      <c r="AE715" s="28">
        <f>ROUND(IF(AQ715="7",BI715,0),2)</f>
        <v>0</v>
      </c>
      <c r="AF715" s="28">
        <f>ROUND(IF(AQ715="2",BH715,0),2)</f>
        <v>0</v>
      </c>
      <c r="AG715" s="28">
        <f>ROUND(IF(AQ715="2",BI715,0),2)</f>
        <v>0</v>
      </c>
      <c r="AH715" s="28">
        <f>ROUND(IF(AQ715="0",BJ715,0),2)</f>
        <v>0</v>
      </c>
      <c r="AI715" s="10" t="s">
        <v>1045</v>
      </c>
      <c r="AJ715" s="28">
        <f>IF(AN715=0,J715,0)</f>
        <v>0</v>
      </c>
      <c r="AK715" s="28">
        <f>IF(AN715=12,J715,0)</f>
        <v>0</v>
      </c>
      <c r="AL715" s="28">
        <f>IF(AN715=21,J715,0)</f>
        <v>0</v>
      </c>
      <c r="AN715" s="28">
        <v>21</v>
      </c>
      <c r="AO715" s="28">
        <f>G715*0.999352332</f>
        <v>0</v>
      </c>
      <c r="AP715" s="28">
        <f>G715*(1-0.999352332)</f>
        <v>0</v>
      </c>
      <c r="AQ715" s="30" t="s">
        <v>118</v>
      </c>
      <c r="AV715" s="28">
        <f>ROUND(AW715+AX715,2)</f>
        <v>0</v>
      </c>
      <c r="AW715" s="28">
        <f>ROUND(F715*AO715,2)</f>
        <v>0</v>
      </c>
      <c r="AX715" s="28">
        <f>ROUND(F715*AP715,2)</f>
        <v>0</v>
      </c>
      <c r="AY715" s="30" t="s">
        <v>1232</v>
      </c>
      <c r="AZ715" s="30" t="s">
        <v>1233</v>
      </c>
      <c r="BA715" s="10" t="s">
        <v>1050</v>
      </c>
      <c r="BC715" s="28">
        <f>AW715+AX715</f>
        <v>0</v>
      </c>
      <c r="BD715" s="28">
        <f>G715/(100-BE715)*100</f>
        <v>0</v>
      </c>
      <c r="BE715" s="28">
        <v>0</v>
      </c>
      <c r="BF715" s="28">
        <f>723</f>
        <v>723</v>
      </c>
      <c r="BH715" s="28">
        <f>F715*AO715</f>
        <v>0</v>
      </c>
      <c r="BI715" s="28">
        <f>F715*AP715</f>
        <v>0</v>
      </c>
      <c r="BJ715" s="28">
        <f>F715*G715</f>
        <v>0</v>
      </c>
      <c r="BK715" s="28"/>
      <c r="BL715" s="28">
        <v>762</v>
      </c>
      <c r="BW715" s="28">
        <v>21</v>
      </c>
      <c r="BX715" s="4" t="s">
        <v>1250</v>
      </c>
    </row>
    <row r="716" spans="1:76" x14ac:dyDescent="0.25">
      <c r="A716" s="31"/>
      <c r="C716" s="32" t="s">
        <v>1251</v>
      </c>
      <c r="D716" s="32" t="s">
        <v>51</v>
      </c>
      <c r="F716" s="33">
        <v>3.34</v>
      </c>
      <c r="K716" s="34"/>
    </row>
    <row r="717" spans="1:76" x14ac:dyDescent="0.25">
      <c r="A717" s="2" t="s">
        <v>1252</v>
      </c>
      <c r="B717" s="3" t="s">
        <v>1253</v>
      </c>
      <c r="C717" s="76" t="s">
        <v>1254</v>
      </c>
      <c r="D717" s="71"/>
      <c r="E717" s="3" t="s">
        <v>188</v>
      </c>
      <c r="F717" s="28">
        <v>153.05000000000001</v>
      </c>
      <c r="G717" s="28">
        <v>0</v>
      </c>
      <c r="H717" s="28">
        <f>ROUND(F717*AO717,2)</f>
        <v>0</v>
      </c>
      <c r="I717" s="28">
        <f>ROUND(F717*AP717,2)</f>
        <v>0</v>
      </c>
      <c r="J717" s="28">
        <f>ROUND(F717*G717,2)</f>
        <v>0</v>
      </c>
      <c r="K717" s="29" t="s">
        <v>60</v>
      </c>
      <c r="Z717" s="28">
        <f>ROUND(IF(AQ717="5",BJ717,0),2)</f>
        <v>0</v>
      </c>
      <c r="AB717" s="28">
        <f>ROUND(IF(AQ717="1",BH717,0),2)</f>
        <v>0</v>
      </c>
      <c r="AC717" s="28">
        <f>ROUND(IF(AQ717="1",BI717,0),2)</f>
        <v>0</v>
      </c>
      <c r="AD717" s="28">
        <f>ROUND(IF(AQ717="7",BH717,0),2)</f>
        <v>0</v>
      </c>
      <c r="AE717" s="28">
        <f>ROUND(IF(AQ717="7",BI717,0),2)</f>
        <v>0</v>
      </c>
      <c r="AF717" s="28">
        <f>ROUND(IF(AQ717="2",BH717,0),2)</f>
        <v>0</v>
      </c>
      <c r="AG717" s="28">
        <f>ROUND(IF(AQ717="2",BI717,0),2)</f>
        <v>0</v>
      </c>
      <c r="AH717" s="28">
        <f>ROUND(IF(AQ717="0",BJ717,0),2)</f>
        <v>0</v>
      </c>
      <c r="AI717" s="10" t="s">
        <v>1045</v>
      </c>
      <c r="AJ717" s="28">
        <f>IF(AN717=0,J717,0)</f>
        <v>0</v>
      </c>
      <c r="AK717" s="28">
        <f>IF(AN717=12,J717,0)</f>
        <v>0</v>
      </c>
      <c r="AL717" s="28">
        <f>IF(AN717=21,J717,0)</f>
        <v>0</v>
      </c>
      <c r="AN717" s="28">
        <v>21</v>
      </c>
      <c r="AO717" s="28">
        <f>G717*0.02930159</f>
        <v>0</v>
      </c>
      <c r="AP717" s="28">
        <f>G717*(1-0.02930159)</f>
        <v>0</v>
      </c>
      <c r="AQ717" s="30" t="s">
        <v>118</v>
      </c>
      <c r="AV717" s="28">
        <f>ROUND(AW717+AX717,2)</f>
        <v>0</v>
      </c>
      <c r="AW717" s="28">
        <f>ROUND(F717*AO717,2)</f>
        <v>0</v>
      </c>
      <c r="AX717" s="28">
        <f>ROUND(F717*AP717,2)</f>
        <v>0</v>
      </c>
      <c r="AY717" s="30" t="s">
        <v>1232</v>
      </c>
      <c r="AZ717" s="30" t="s">
        <v>1233</v>
      </c>
      <c r="BA717" s="10" t="s">
        <v>1050</v>
      </c>
      <c r="BC717" s="28">
        <f>AW717+AX717</f>
        <v>0</v>
      </c>
      <c r="BD717" s="28">
        <f>G717/(100-BE717)*100</f>
        <v>0</v>
      </c>
      <c r="BE717" s="28">
        <v>0</v>
      </c>
      <c r="BF717" s="28">
        <f>725</f>
        <v>725</v>
      </c>
      <c r="BH717" s="28">
        <f>F717*AO717</f>
        <v>0</v>
      </c>
      <c r="BI717" s="28">
        <f>F717*AP717</f>
        <v>0</v>
      </c>
      <c r="BJ717" s="28">
        <f>F717*G717</f>
        <v>0</v>
      </c>
      <c r="BK717" s="28"/>
      <c r="BL717" s="28">
        <v>762</v>
      </c>
      <c r="BW717" s="28">
        <v>21</v>
      </c>
      <c r="BX717" s="4" t="s">
        <v>1254</v>
      </c>
    </row>
    <row r="718" spans="1:76" x14ac:dyDescent="0.25">
      <c r="A718" s="31"/>
      <c r="C718" s="32" t="s">
        <v>1255</v>
      </c>
      <c r="D718" s="32" t="s">
        <v>51</v>
      </c>
      <c r="F718" s="33">
        <v>137.25</v>
      </c>
      <c r="K718" s="34"/>
    </row>
    <row r="719" spans="1:76" x14ac:dyDescent="0.25">
      <c r="A719" s="31"/>
      <c r="C719" s="32" t="s">
        <v>1256</v>
      </c>
      <c r="D719" s="32" t="s">
        <v>51</v>
      </c>
      <c r="F719" s="33">
        <v>8.6</v>
      </c>
      <c r="K719" s="34"/>
    </row>
    <row r="720" spans="1:76" x14ac:dyDescent="0.25">
      <c r="A720" s="31"/>
      <c r="C720" s="32" t="s">
        <v>1257</v>
      </c>
      <c r="D720" s="32" t="s">
        <v>51</v>
      </c>
      <c r="F720" s="33">
        <v>7.2</v>
      </c>
      <c r="K720" s="34"/>
    </row>
    <row r="721" spans="1:76" x14ac:dyDescent="0.25">
      <c r="A721" s="2" t="s">
        <v>1258</v>
      </c>
      <c r="B721" s="3" t="s">
        <v>1259</v>
      </c>
      <c r="C721" s="76" t="s">
        <v>1260</v>
      </c>
      <c r="D721" s="71"/>
      <c r="E721" s="3" t="s">
        <v>188</v>
      </c>
      <c r="F721" s="28">
        <v>62.42</v>
      </c>
      <c r="G721" s="28">
        <v>0</v>
      </c>
      <c r="H721" s="28">
        <f>ROUND(F721*AO721,2)</f>
        <v>0</v>
      </c>
      <c r="I721" s="28">
        <f>ROUND(F721*AP721,2)</f>
        <v>0</v>
      </c>
      <c r="J721" s="28">
        <f>ROUND(F721*G721,2)</f>
        <v>0</v>
      </c>
      <c r="K721" s="29" t="s">
        <v>60</v>
      </c>
      <c r="Z721" s="28">
        <f>ROUND(IF(AQ721="5",BJ721,0),2)</f>
        <v>0</v>
      </c>
      <c r="AB721" s="28">
        <f>ROUND(IF(AQ721="1",BH721,0),2)</f>
        <v>0</v>
      </c>
      <c r="AC721" s="28">
        <f>ROUND(IF(AQ721="1",BI721,0),2)</f>
        <v>0</v>
      </c>
      <c r="AD721" s="28">
        <f>ROUND(IF(AQ721="7",BH721,0),2)</f>
        <v>0</v>
      </c>
      <c r="AE721" s="28">
        <f>ROUND(IF(AQ721="7",BI721,0),2)</f>
        <v>0</v>
      </c>
      <c r="AF721" s="28">
        <f>ROUND(IF(AQ721="2",BH721,0),2)</f>
        <v>0</v>
      </c>
      <c r="AG721" s="28">
        <f>ROUND(IF(AQ721="2",BI721,0),2)</f>
        <v>0</v>
      </c>
      <c r="AH721" s="28">
        <f>ROUND(IF(AQ721="0",BJ721,0),2)</f>
        <v>0</v>
      </c>
      <c r="AI721" s="10" t="s">
        <v>1045</v>
      </c>
      <c r="AJ721" s="28">
        <f>IF(AN721=0,J721,0)</f>
        <v>0</v>
      </c>
      <c r="AK721" s="28">
        <f>IF(AN721=12,J721,0)</f>
        <v>0</v>
      </c>
      <c r="AL721" s="28">
        <f>IF(AN721=21,J721,0)</f>
        <v>0</v>
      </c>
      <c r="AN721" s="28">
        <v>21</v>
      </c>
      <c r="AO721" s="28">
        <f>G721*0.024315622</f>
        <v>0</v>
      </c>
      <c r="AP721" s="28">
        <f>G721*(1-0.024315622)</f>
        <v>0</v>
      </c>
      <c r="AQ721" s="30" t="s">
        <v>118</v>
      </c>
      <c r="AV721" s="28">
        <f>ROUND(AW721+AX721,2)</f>
        <v>0</v>
      </c>
      <c r="AW721" s="28">
        <f>ROUND(F721*AO721,2)</f>
        <v>0</v>
      </c>
      <c r="AX721" s="28">
        <f>ROUND(F721*AP721,2)</f>
        <v>0</v>
      </c>
      <c r="AY721" s="30" t="s">
        <v>1232</v>
      </c>
      <c r="AZ721" s="30" t="s">
        <v>1233</v>
      </c>
      <c r="BA721" s="10" t="s">
        <v>1050</v>
      </c>
      <c r="BC721" s="28">
        <f>AW721+AX721</f>
        <v>0</v>
      </c>
      <c r="BD721" s="28">
        <f>G721/(100-BE721)*100</f>
        <v>0</v>
      </c>
      <c r="BE721" s="28">
        <v>0</v>
      </c>
      <c r="BF721" s="28">
        <f>729</f>
        <v>729</v>
      </c>
      <c r="BH721" s="28">
        <f>F721*AO721</f>
        <v>0</v>
      </c>
      <c r="BI721" s="28">
        <f>F721*AP721</f>
        <v>0</v>
      </c>
      <c r="BJ721" s="28">
        <f>F721*G721</f>
        <v>0</v>
      </c>
      <c r="BK721" s="28"/>
      <c r="BL721" s="28">
        <v>762</v>
      </c>
      <c r="BW721" s="28">
        <v>21</v>
      </c>
      <c r="BX721" s="4" t="s">
        <v>1260</v>
      </c>
    </row>
    <row r="722" spans="1:76" x14ac:dyDescent="0.25">
      <c r="A722" s="31"/>
      <c r="C722" s="32" t="s">
        <v>1261</v>
      </c>
      <c r="D722" s="32" t="s">
        <v>51</v>
      </c>
      <c r="F722" s="33">
        <v>58.5</v>
      </c>
      <c r="K722" s="34"/>
    </row>
    <row r="723" spans="1:76" x14ac:dyDescent="0.25">
      <c r="A723" s="31"/>
      <c r="C723" s="32" t="s">
        <v>1262</v>
      </c>
      <c r="D723" s="32" t="s">
        <v>51</v>
      </c>
      <c r="F723" s="33">
        <v>3.92</v>
      </c>
      <c r="K723" s="34"/>
    </row>
    <row r="724" spans="1:76" x14ac:dyDescent="0.25">
      <c r="A724" s="2" t="s">
        <v>1263</v>
      </c>
      <c r="B724" s="3" t="s">
        <v>1264</v>
      </c>
      <c r="C724" s="76" t="s">
        <v>1265</v>
      </c>
      <c r="D724" s="71"/>
      <c r="E724" s="3" t="s">
        <v>188</v>
      </c>
      <c r="F724" s="28">
        <v>14.9</v>
      </c>
      <c r="G724" s="28">
        <v>0</v>
      </c>
      <c r="H724" s="28">
        <f>ROUND(F724*AO724,2)</f>
        <v>0</v>
      </c>
      <c r="I724" s="28">
        <f>ROUND(F724*AP724,2)</f>
        <v>0</v>
      </c>
      <c r="J724" s="28">
        <f>ROUND(F724*G724,2)</f>
        <v>0</v>
      </c>
      <c r="K724" s="29" t="s">
        <v>60</v>
      </c>
      <c r="Z724" s="28">
        <f>ROUND(IF(AQ724="5",BJ724,0),2)</f>
        <v>0</v>
      </c>
      <c r="AB724" s="28">
        <f>ROUND(IF(AQ724="1",BH724,0),2)</f>
        <v>0</v>
      </c>
      <c r="AC724" s="28">
        <f>ROUND(IF(AQ724="1",BI724,0),2)</f>
        <v>0</v>
      </c>
      <c r="AD724" s="28">
        <f>ROUND(IF(AQ724="7",BH724,0),2)</f>
        <v>0</v>
      </c>
      <c r="AE724" s="28">
        <f>ROUND(IF(AQ724="7",BI724,0),2)</f>
        <v>0</v>
      </c>
      <c r="AF724" s="28">
        <f>ROUND(IF(AQ724="2",BH724,0),2)</f>
        <v>0</v>
      </c>
      <c r="AG724" s="28">
        <f>ROUND(IF(AQ724="2",BI724,0),2)</f>
        <v>0</v>
      </c>
      <c r="AH724" s="28">
        <f>ROUND(IF(AQ724="0",BJ724,0),2)</f>
        <v>0</v>
      </c>
      <c r="AI724" s="10" t="s">
        <v>1045</v>
      </c>
      <c r="AJ724" s="28">
        <f>IF(AN724=0,J724,0)</f>
        <v>0</v>
      </c>
      <c r="AK724" s="28">
        <f>IF(AN724=12,J724,0)</f>
        <v>0</v>
      </c>
      <c r="AL724" s="28">
        <f>IF(AN724=21,J724,0)</f>
        <v>0</v>
      </c>
      <c r="AN724" s="28">
        <v>21</v>
      </c>
      <c r="AO724" s="28">
        <f>G724*0.021434199</f>
        <v>0</v>
      </c>
      <c r="AP724" s="28">
        <f>G724*(1-0.021434199)</f>
        <v>0</v>
      </c>
      <c r="AQ724" s="30" t="s">
        <v>118</v>
      </c>
      <c r="AV724" s="28">
        <f>ROUND(AW724+AX724,2)</f>
        <v>0</v>
      </c>
      <c r="AW724" s="28">
        <f>ROUND(F724*AO724,2)</f>
        <v>0</v>
      </c>
      <c r="AX724" s="28">
        <f>ROUND(F724*AP724,2)</f>
        <v>0</v>
      </c>
      <c r="AY724" s="30" t="s">
        <v>1232</v>
      </c>
      <c r="AZ724" s="30" t="s">
        <v>1233</v>
      </c>
      <c r="BA724" s="10" t="s">
        <v>1050</v>
      </c>
      <c r="BC724" s="28">
        <f>AW724+AX724</f>
        <v>0</v>
      </c>
      <c r="BD724" s="28">
        <f>G724/(100-BE724)*100</f>
        <v>0</v>
      </c>
      <c r="BE724" s="28">
        <v>0</v>
      </c>
      <c r="BF724" s="28">
        <f>732</f>
        <v>732</v>
      </c>
      <c r="BH724" s="28">
        <f>F724*AO724</f>
        <v>0</v>
      </c>
      <c r="BI724" s="28">
        <f>F724*AP724</f>
        <v>0</v>
      </c>
      <c r="BJ724" s="28">
        <f>F724*G724</f>
        <v>0</v>
      </c>
      <c r="BK724" s="28"/>
      <c r="BL724" s="28">
        <v>762</v>
      </c>
      <c r="BW724" s="28">
        <v>21</v>
      </c>
      <c r="BX724" s="4" t="s">
        <v>1265</v>
      </c>
    </row>
    <row r="725" spans="1:76" x14ac:dyDescent="0.25">
      <c r="A725" s="31"/>
      <c r="C725" s="32" t="s">
        <v>1266</v>
      </c>
      <c r="D725" s="32" t="s">
        <v>51</v>
      </c>
      <c r="F725" s="33">
        <v>8.9</v>
      </c>
      <c r="K725" s="34"/>
    </row>
    <row r="726" spans="1:76" x14ac:dyDescent="0.25">
      <c r="A726" s="31"/>
      <c r="C726" s="32" t="s">
        <v>1267</v>
      </c>
      <c r="D726" s="32" t="s">
        <v>51</v>
      </c>
      <c r="F726" s="33">
        <v>4.5</v>
      </c>
      <c r="K726" s="34"/>
    </row>
    <row r="727" spans="1:76" x14ac:dyDescent="0.25">
      <c r="A727" s="31"/>
      <c r="C727" s="32" t="s">
        <v>1268</v>
      </c>
      <c r="D727" s="32" t="s">
        <v>51</v>
      </c>
      <c r="F727" s="33">
        <v>0.66</v>
      </c>
      <c r="K727" s="34"/>
    </row>
    <row r="728" spans="1:76" x14ac:dyDescent="0.25">
      <c r="A728" s="31"/>
      <c r="C728" s="32" t="s">
        <v>1269</v>
      </c>
      <c r="D728" s="32" t="s">
        <v>51</v>
      </c>
      <c r="F728" s="33">
        <v>0.84</v>
      </c>
      <c r="K728" s="34"/>
    </row>
    <row r="729" spans="1:76" x14ac:dyDescent="0.25">
      <c r="A729" s="2" t="s">
        <v>1270</v>
      </c>
      <c r="B729" s="3" t="s">
        <v>1271</v>
      </c>
      <c r="C729" s="76" t="s">
        <v>1272</v>
      </c>
      <c r="D729" s="71"/>
      <c r="E729" s="3" t="s">
        <v>188</v>
      </c>
      <c r="F729" s="28">
        <v>16.100000000000001</v>
      </c>
      <c r="G729" s="28">
        <v>0</v>
      </c>
      <c r="H729" s="28">
        <f>ROUND(F729*AO729,2)</f>
        <v>0</v>
      </c>
      <c r="I729" s="28">
        <f>ROUND(F729*AP729,2)</f>
        <v>0</v>
      </c>
      <c r="J729" s="28">
        <f>ROUND(F729*G729,2)</f>
        <v>0</v>
      </c>
      <c r="K729" s="29" t="s">
        <v>60</v>
      </c>
      <c r="Z729" s="28">
        <f>ROUND(IF(AQ729="5",BJ729,0),2)</f>
        <v>0</v>
      </c>
      <c r="AB729" s="28">
        <f>ROUND(IF(AQ729="1",BH729,0),2)</f>
        <v>0</v>
      </c>
      <c r="AC729" s="28">
        <f>ROUND(IF(AQ729="1",BI729,0),2)</f>
        <v>0</v>
      </c>
      <c r="AD729" s="28">
        <f>ROUND(IF(AQ729="7",BH729,0),2)</f>
        <v>0</v>
      </c>
      <c r="AE729" s="28">
        <f>ROUND(IF(AQ729="7",BI729,0),2)</f>
        <v>0</v>
      </c>
      <c r="AF729" s="28">
        <f>ROUND(IF(AQ729="2",BH729,0),2)</f>
        <v>0</v>
      </c>
      <c r="AG729" s="28">
        <f>ROUND(IF(AQ729="2",BI729,0),2)</f>
        <v>0</v>
      </c>
      <c r="AH729" s="28">
        <f>ROUND(IF(AQ729="0",BJ729,0),2)</f>
        <v>0</v>
      </c>
      <c r="AI729" s="10" t="s">
        <v>1045</v>
      </c>
      <c r="AJ729" s="28">
        <f>IF(AN729=0,J729,0)</f>
        <v>0</v>
      </c>
      <c r="AK729" s="28">
        <f>IF(AN729=12,J729,0)</f>
        <v>0</v>
      </c>
      <c r="AL729" s="28">
        <f>IF(AN729=21,J729,0)</f>
        <v>0</v>
      </c>
      <c r="AN729" s="28">
        <v>21</v>
      </c>
      <c r="AO729" s="28">
        <f>G729*0.017670696</f>
        <v>0</v>
      </c>
      <c r="AP729" s="28">
        <f>G729*(1-0.017670696)</f>
        <v>0</v>
      </c>
      <c r="AQ729" s="30" t="s">
        <v>118</v>
      </c>
      <c r="AV729" s="28">
        <f>ROUND(AW729+AX729,2)</f>
        <v>0</v>
      </c>
      <c r="AW729" s="28">
        <f>ROUND(F729*AO729,2)</f>
        <v>0</v>
      </c>
      <c r="AX729" s="28">
        <f>ROUND(F729*AP729,2)</f>
        <v>0</v>
      </c>
      <c r="AY729" s="30" t="s">
        <v>1232</v>
      </c>
      <c r="AZ729" s="30" t="s">
        <v>1233</v>
      </c>
      <c r="BA729" s="10" t="s">
        <v>1050</v>
      </c>
      <c r="BC729" s="28">
        <f>AW729+AX729</f>
        <v>0</v>
      </c>
      <c r="BD729" s="28">
        <f>G729/(100-BE729)*100</f>
        <v>0</v>
      </c>
      <c r="BE729" s="28">
        <v>0</v>
      </c>
      <c r="BF729" s="28">
        <f>737</f>
        <v>737</v>
      </c>
      <c r="BH729" s="28">
        <f>F729*AO729</f>
        <v>0</v>
      </c>
      <c r="BI729" s="28">
        <f>F729*AP729</f>
        <v>0</v>
      </c>
      <c r="BJ729" s="28">
        <f>F729*G729</f>
        <v>0</v>
      </c>
      <c r="BK729" s="28"/>
      <c r="BL729" s="28">
        <v>762</v>
      </c>
      <c r="BW729" s="28">
        <v>21</v>
      </c>
      <c r="BX729" s="4" t="s">
        <v>1272</v>
      </c>
    </row>
    <row r="730" spans="1:76" x14ac:dyDescent="0.25">
      <c r="A730" s="31"/>
      <c r="C730" s="32" t="s">
        <v>1273</v>
      </c>
      <c r="D730" s="32" t="s">
        <v>51</v>
      </c>
      <c r="F730" s="33">
        <v>8.9</v>
      </c>
      <c r="K730" s="34"/>
    </row>
    <row r="731" spans="1:76" x14ac:dyDescent="0.25">
      <c r="A731" s="31"/>
      <c r="C731" s="32" t="s">
        <v>1274</v>
      </c>
      <c r="D731" s="32" t="s">
        <v>51</v>
      </c>
      <c r="F731" s="33">
        <v>7.2</v>
      </c>
      <c r="K731" s="34"/>
    </row>
    <row r="732" spans="1:76" x14ac:dyDescent="0.25">
      <c r="A732" s="2" t="s">
        <v>1275</v>
      </c>
      <c r="B732" s="3" t="s">
        <v>1276</v>
      </c>
      <c r="C732" s="76" t="s">
        <v>1277</v>
      </c>
      <c r="D732" s="71"/>
      <c r="E732" s="3" t="s">
        <v>59</v>
      </c>
      <c r="F732" s="28">
        <v>3.92</v>
      </c>
      <c r="G732" s="28">
        <v>0</v>
      </c>
      <c r="H732" s="28">
        <f>ROUND(F732*AO732,2)</f>
        <v>0</v>
      </c>
      <c r="I732" s="28">
        <f>ROUND(F732*AP732,2)</f>
        <v>0</v>
      </c>
      <c r="J732" s="28">
        <f>ROUND(F732*G732,2)</f>
        <v>0</v>
      </c>
      <c r="K732" s="29" t="s">
        <v>60</v>
      </c>
      <c r="Z732" s="28">
        <f>ROUND(IF(AQ732="5",BJ732,0),2)</f>
        <v>0</v>
      </c>
      <c r="AB732" s="28">
        <f>ROUND(IF(AQ732="1",BH732,0),2)</f>
        <v>0</v>
      </c>
      <c r="AC732" s="28">
        <f>ROUND(IF(AQ732="1",BI732,0),2)</f>
        <v>0</v>
      </c>
      <c r="AD732" s="28">
        <f>ROUND(IF(AQ732="7",BH732,0),2)</f>
        <v>0</v>
      </c>
      <c r="AE732" s="28">
        <f>ROUND(IF(AQ732="7",BI732,0),2)</f>
        <v>0</v>
      </c>
      <c r="AF732" s="28">
        <f>ROUND(IF(AQ732="2",BH732,0),2)</f>
        <v>0</v>
      </c>
      <c r="AG732" s="28">
        <f>ROUND(IF(AQ732="2",BI732,0),2)</f>
        <v>0</v>
      </c>
      <c r="AH732" s="28">
        <f>ROUND(IF(AQ732="0",BJ732,0),2)</f>
        <v>0</v>
      </c>
      <c r="AI732" s="10" t="s">
        <v>1045</v>
      </c>
      <c r="AJ732" s="28">
        <f>IF(AN732=0,J732,0)</f>
        <v>0</v>
      </c>
      <c r="AK732" s="28">
        <f>IF(AN732=12,J732,0)</f>
        <v>0</v>
      </c>
      <c r="AL732" s="28">
        <f>IF(AN732=21,J732,0)</f>
        <v>0</v>
      </c>
      <c r="AN732" s="28">
        <v>21</v>
      </c>
      <c r="AO732" s="28">
        <f>G732*1</f>
        <v>0</v>
      </c>
      <c r="AP732" s="28">
        <f>G732*(1-1)</f>
        <v>0</v>
      </c>
      <c r="AQ732" s="30" t="s">
        <v>118</v>
      </c>
      <c r="AV732" s="28">
        <f>ROUND(AW732+AX732,2)</f>
        <v>0</v>
      </c>
      <c r="AW732" s="28">
        <f>ROUND(F732*AO732,2)</f>
        <v>0</v>
      </c>
      <c r="AX732" s="28">
        <f>ROUND(F732*AP732,2)</f>
        <v>0</v>
      </c>
      <c r="AY732" s="30" t="s">
        <v>1232</v>
      </c>
      <c r="AZ732" s="30" t="s">
        <v>1233</v>
      </c>
      <c r="BA732" s="10" t="s">
        <v>1050</v>
      </c>
      <c r="BC732" s="28">
        <f>AW732+AX732</f>
        <v>0</v>
      </c>
      <c r="BD732" s="28">
        <f>G732/(100-BE732)*100</f>
        <v>0</v>
      </c>
      <c r="BE732" s="28">
        <v>0</v>
      </c>
      <c r="BF732" s="28">
        <f>740</f>
        <v>740</v>
      </c>
      <c r="BH732" s="28">
        <f>F732*AO732</f>
        <v>0</v>
      </c>
      <c r="BI732" s="28">
        <f>F732*AP732</f>
        <v>0</v>
      </c>
      <c r="BJ732" s="28">
        <f>F732*G732</f>
        <v>0</v>
      </c>
      <c r="BK732" s="28"/>
      <c r="BL732" s="28">
        <v>762</v>
      </c>
      <c r="BW732" s="28">
        <v>21</v>
      </c>
      <c r="BX732" s="4" t="s">
        <v>1277</v>
      </c>
    </row>
    <row r="733" spans="1:76" x14ac:dyDescent="0.25">
      <c r="A733" s="2" t="s">
        <v>1278</v>
      </c>
      <c r="B733" s="3" t="s">
        <v>1279</v>
      </c>
      <c r="C733" s="76" t="s">
        <v>1280</v>
      </c>
      <c r="D733" s="71"/>
      <c r="E733" s="3" t="s">
        <v>59</v>
      </c>
      <c r="F733" s="28">
        <v>4.3099999999999996</v>
      </c>
      <c r="G733" s="28">
        <v>0</v>
      </c>
      <c r="H733" s="28">
        <f>ROUND(F733*AO733,2)</f>
        <v>0</v>
      </c>
      <c r="I733" s="28">
        <f>ROUND(F733*AP733,2)</f>
        <v>0</v>
      </c>
      <c r="J733" s="28">
        <f>ROUND(F733*G733,2)</f>
        <v>0</v>
      </c>
      <c r="K733" s="29" t="s">
        <v>60</v>
      </c>
      <c r="Z733" s="28">
        <f>ROUND(IF(AQ733="5",BJ733,0),2)</f>
        <v>0</v>
      </c>
      <c r="AB733" s="28">
        <f>ROUND(IF(AQ733="1",BH733,0),2)</f>
        <v>0</v>
      </c>
      <c r="AC733" s="28">
        <f>ROUND(IF(AQ733="1",BI733,0),2)</f>
        <v>0</v>
      </c>
      <c r="AD733" s="28">
        <f>ROUND(IF(AQ733="7",BH733,0),2)</f>
        <v>0</v>
      </c>
      <c r="AE733" s="28">
        <f>ROUND(IF(AQ733="7",BI733,0),2)</f>
        <v>0</v>
      </c>
      <c r="AF733" s="28">
        <f>ROUND(IF(AQ733="2",BH733,0),2)</f>
        <v>0</v>
      </c>
      <c r="AG733" s="28">
        <f>ROUND(IF(AQ733="2",BI733,0),2)</f>
        <v>0</v>
      </c>
      <c r="AH733" s="28">
        <f>ROUND(IF(AQ733="0",BJ733,0),2)</f>
        <v>0</v>
      </c>
      <c r="AI733" s="10" t="s">
        <v>1045</v>
      </c>
      <c r="AJ733" s="28">
        <f>IF(AN733=0,J733,0)</f>
        <v>0</v>
      </c>
      <c r="AK733" s="28">
        <f>IF(AN733=12,J733,0)</f>
        <v>0</v>
      </c>
      <c r="AL733" s="28">
        <f>IF(AN733=21,J733,0)</f>
        <v>0</v>
      </c>
      <c r="AN733" s="28">
        <v>21</v>
      </c>
      <c r="AO733" s="28">
        <f>G733*1</f>
        <v>0</v>
      </c>
      <c r="AP733" s="28">
        <f>G733*(1-1)</f>
        <v>0</v>
      </c>
      <c r="AQ733" s="30" t="s">
        <v>118</v>
      </c>
      <c r="AV733" s="28">
        <f>ROUND(AW733+AX733,2)</f>
        <v>0</v>
      </c>
      <c r="AW733" s="28">
        <f>ROUND(F733*AO733,2)</f>
        <v>0</v>
      </c>
      <c r="AX733" s="28">
        <f>ROUND(F733*AP733,2)</f>
        <v>0</v>
      </c>
      <c r="AY733" s="30" t="s">
        <v>1232</v>
      </c>
      <c r="AZ733" s="30" t="s">
        <v>1233</v>
      </c>
      <c r="BA733" s="10" t="s">
        <v>1050</v>
      </c>
      <c r="BC733" s="28">
        <f>AW733+AX733</f>
        <v>0</v>
      </c>
      <c r="BD733" s="28">
        <f>G733/(100-BE733)*100</f>
        <v>0</v>
      </c>
      <c r="BE733" s="28">
        <v>0</v>
      </c>
      <c r="BF733" s="28">
        <f>741</f>
        <v>741</v>
      </c>
      <c r="BH733" s="28">
        <f>F733*AO733</f>
        <v>0</v>
      </c>
      <c r="BI733" s="28">
        <f>F733*AP733</f>
        <v>0</v>
      </c>
      <c r="BJ733" s="28">
        <f>F733*G733</f>
        <v>0</v>
      </c>
      <c r="BK733" s="28"/>
      <c r="BL733" s="28">
        <v>762</v>
      </c>
      <c r="BW733" s="28">
        <v>21</v>
      </c>
      <c r="BX733" s="4" t="s">
        <v>1280</v>
      </c>
    </row>
    <row r="734" spans="1:76" x14ac:dyDescent="0.25">
      <c r="A734" s="31"/>
      <c r="C734" s="32" t="s">
        <v>1281</v>
      </c>
      <c r="D734" s="32" t="s">
        <v>51</v>
      </c>
      <c r="F734" s="33">
        <v>0</v>
      </c>
      <c r="K734" s="34"/>
    </row>
    <row r="735" spans="1:76" x14ac:dyDescent="0.25">
      <c r="A735" s="31"/>
      <c r="C735" s="32" t="s">
        <v>1282</v>
      </c>
      <c r="D735" s="32" t="s">
        <v>51</v>
      </c>
      <c r="F735" s="33">
        <v>0</v>
      </c>
      <c r="K735" s="34"/>
    </row>
    <row r="736" spans="1:76" x14ac:dyDescent="0.25">
      <c r="A736" s="31"/>
      <c r="C736" s="32" t="s">
        <v>1283</v>
      </c>
      <c r="D736" s="32" t="s">
        <v>51</v>
      </c>
      <c r="F736" s="33">
        <v>0</v>
      </c>
      <c r="K736" s="34"/>
    </row>
    <row r="737" spans="1:76" x14ac:dyDescent="0.25">
      <c r="A737" s="31"/>
      <c r="C737" s="32" t="s">
        <v>1284</v>
      </c>
      <c r="D737" s="32" t="s">
        <v>51</v>
      </c>
      <c r="F737" s="33">
        <v>0</v>
      </c>
      <c r="K737" s="34"/>
    </row>
    <row r="738" spans="1:76" x14ac:dyDescent="0.25">
      <c r="A738" s="31"/>
      <c r="C738" s="32" t="s">
        <v>1285</v>
      </c>
      <c r="D738" s="32" t="s">
        <v>51</v>
      </c>
      <c r="F738" s="33">
        <v>0</v>
      </c>
      <c r="K738" s="34"/>
    </row>
    <row r="739" spans="1:76" x14ac:dyDescent="0.25">
      <c r="A739" s="31"/>
      <c r="C739" s="32" t="s">
        <v>1286</v>
      </c>
      <c r="D739" s="32" t="s">
        <v>51</v>
      </c>
      <c r="F739" s="33">
        <v>0</v>
      </c>
      <c r="K739" s="34"/>
    </row>
    <row r="740" spans="1:76" x14ac:dyDescent="0.25">
      <c r="A740" s="31"/>
      <c r="C740" s="32" t="s">
        <v>1287</v>
      </c>
      <c r="D740" s="32" t="s">
        <v>51</v>
      </c>
      <c r="F740" s="33">
        <v>0</v>
      </c>
      <c r="K740" s="34"/>
    </row>
    <row r="741" spans="1:76" x14ac:dyDescent="0.25">
      <c r="A741" s="31"/>
      <c r="C741" s="32" t="s">
        <v>1288</v>
      </c>
      <c r="D741" s="32" t="s">
        <v>51</v>
      </c>
      <c r="F741" s="33">
        <v>0</v>
      </c>
      <c r="K741" s="34"/>
    </row>
    <row r="742" spans="1:76" x14ac:dyDescent="0.25">
      <c r="A742" s="31"/>
      <c r="C742" s="32" t="s">
        <v>1289</v>
      </c>
      <c r="D742" s="32" t="s">
        <v>51</v>
      </c>
      <c r="F742" s="33">
        <v>0</v>
      </c>
      <c r="K742" s="34"/>
    </row>
    <row r="743" spans="1:76" x14ac:dyDescent="0.25">
      <c r="A743" s="31"/>
      <c r="C743" s="32" t="s">
        <v>1290</v>
      </c>
      <c r="D743" s="32" t="s">
        <v>51</v>
      </c>
      <c r="F743" s="33">
        <v>0</v>
      </c>
      <c r="K743" s="34"/>
    </row>
    <row r="744" spans="1:76" x14ac:dyDescent="0.25">
      <c r="A744" s="31"/>
      <c r="C744" s="32" t="s">
        <v>1291</v>
      </c>
      <c r="D744" s="32" t="s">
        <v>51</v>
      </c>
      <c r="F744" s="33">
        <v>0</v>
      </c>
      <c r="K744" s="34"/>
    </row>
    <row r="745" spans="1:76" x14ac:dyDescent="0.25">
      <c r="A745" s="31"/>
      <c r="C745" s="32" t="s">
        <v>1292</v>
      </c>
      <c r="D745" s="32" t="s">
        <v>51</v>
      </c>
      <c r="F745" s="33">
        <v>3.92</v>
      </c>
      <c r="K745" s="34"/>
    </row>
    <row r="746" spans="1:76" x14ac:dyDescent="0.25">
      <c r="A746" s="31"/>
      <c r="C746" s="32" t="s">
        <v>1238</v>
      </c>
      <c r="D746" s="32" t="s">
        <v>51</v>
      </c>
      <c r="F746" s="33">
        <v>0</v>
      </c>
      <c r="K746" s="34"/>
    </row>
    <row r="747" spans="1:76" x14ac:dyDescent="0.25">
      <c r="A747" s="31"/>
      <c r="C747" s="32" t="s">
        <v>1293</v>
      </c>
      <c r="D747" s="32" t="s">
        <v>51</v>
      </c>
      <c r="F747" s="33">
        <v>0.39</v>
      </c>
      <c r="K747" s="34"/>
    </row>
    <row r="748" spans="1:76" ht="25.5" x14ac:dyDescent="0.25">
      <c r="A748" s="31"/>
      <c r="B748" s="35" t="s">
        <v>68</v>
      </c>
      <c r="C748" s="94" t="s">
        <v>1294</v>
      </c>
      <c r="D748" s="95"/>
      <c r="E748" s="95"/>
      <c r="F748" s="95"/>
      <c r="G748" s="95"/>
      <c r="H748" s="95"/>
      <c r="I748" s="95"/>
      <c r="J748" s="95"/>
      <c r="K748" s="96"/>
      <c r="BX748" s="36" t="s">
        <v>1294</v>
      </c>
    </row>
    <row r="749" spans="1:76" x14ac:dyDescent="0.25">
      <c r="A749" s="2" t="s">
        <v>1295</v>
      </c>
      <c r="B749" s="3" t="s">
        <v>1296</v>
      </c>
      <c r="C749" s="76" t="s">
        <v>1297</v>
      </c>
      <c r="D749" s="71"/>
      <c r="E749" s="3" t="s">
        <v>59</v>
      </c>
      <c r="F749" s="28">
        <v>4.3099999999999996</v>
      </c>
      <c r="G749" s="28">
        <v>0</v>
      </c>
      <c r="H749" s="28">
        <f>ROUND(F749*AO749,2)</f>
        <v>0</v>
      </c>
      <c r="I749" s="28">
        <f>ROUND(F749*AP749,2)</f>
        <v>0</v>
      </c>
      <c r="J749" s="28">
        <f>ROUND(F749*G749,2)</f>
        <v>0</v>
      </c>
      <c r="K749" s="29" t="s">
        <v>60</v>
      </c>
      <c r="Z749" s="28">
        <f>ROUND(IF(AQ749="5",BJ749,0),2)</f>
        <v>0</v>
      </c>
      <c r="AB749" s="28">
        <f>ROUND(IF(AQ749="1",BH749,0),2)</f>
        <v>0</v>
      </c>
      <c r="AC749" s="28">
        <f>ROUND(IF(AQ749="1",BI749,0),2)</f>
        <v>0</v>
      </c>
      <c r="AD749" s="28">
        <f>ROUND(IF(AQ749="7",BH749,0),2)</f>
        <v>0</v>
      </c>
      <c r="AE749" s="28">
        <f>ROUND(IF(AQ749="7",BI749,0),2)</f>
        <v>0</v>
      </c>
      <c r="AF749" s="28">
        <f>ROUND(IF(AQ749="2",BH749,0),2)</f>
        <v>0</v>
      </c>
      <c r="AG749" s="28">
        <f>ROUND(IF(AQ749="2",BI749,0),2)</f>
        <v>0</v>
      </c>
      <c r="AH749" s="28">
        <f>ROUND(IF(AQ749="0",BJ749,0),2)</f>
        <v>0</v>
      </c>
      <c r="AI749" s="10" t="s">
        <v>1045</v>
      </c>
      <c r="AJ749" s="28">
        <f>IF(AN749=0,J749,0)</f>
        <v>0</v>
      </c>
      <c r="AK749" s="28">
        <f>IF(AN749=12,J749,0)</f>
        <v>0</v>
      </c>
      <c r="AL749" s="28">
        <f>IF(AN749=21,J749,0)</f>
        <v>0</v>
      </c>
      <c r="AN749" s="28">
        <v>21</v>
      </c>
      <c r="AO749" s="28">
        <f>G749*0</f>
        <v>0</v>
      </c>
      <c r="AP749" s="28">
        <f>G749*(1-0)</f>
        <v>0</v>
      </c>
      <c r="AQ749" s="30" t="s">
        <v>118</v>
      </c>
      <c r="AV749" s="28">
        <f>ROUND(AW749+AX749,2)</f>
        <v>0</v>
      </c>
      <c r="AW749" s="28">
        <f>ROUND(F749*AO749,2)</f>
        <v>0</v>
      </c>
      <c r="AX749" s="28">
        <f>ROUND(F749*AP749,2)</f>
        <v>0</v>
      </c>
      <c r="AY749" s="30" t="s">
        <v>1232</v>
      </c>
      <c r="AZ749" s="30" t="s">
        <v>1233</v>
      </c>
      <c r="BA749" s="10" t="s">
        <v>1050</v>
      </c>
      <c r="BC749" s="28">
        <f>AW749+AX749</f>
        <v>0</v>
      </c>
      <c r="BD749" s="28">
        <f>G749/(100-BE749)*100</f>
        <v>0</v>
      </c>
      <c r="BE749" s="28">
        <v>0</v>
      </c>
      <c r="BF749" s="28">
        <f>757</f>
        <v>757</v>
      </c>
      <c r="BH749" s="28">
        <f>F749*AO749</f>
        <v>0</v>
      </c>
      <c r="BI749" s="28">
        <f>F749*AP749</f>
        <v>0</v>
      </c>
      <c r="BJ749" s="28">
        <f>F749*G749</f>
        <v>0</v>
      </c>
      <c r="BK749" s="28"/>
      <c r="BL749" s="28">
        <v>762</v>
      </c>
      <c r="BW749" s="28">
        <v>21</v>
      </c>
      <c r="BX749" s="4" t="s">
        <v>1297</v>
      </c>
    </row>
    <row r="750" spans="1:76" x14ac:dyDescent="0.25">
      <c r="A750" s="2" t="s">
        <v>1298</v>
      </c>
      <c r="B750" s="3" t="s">
        <v>1299</v>
      </c>
      <c r="C750" s="76" t="s">
        <v>1300</v>
      </c>
      <c r="D750" s="71"/>
      <c r="E750" s="3" t="s">
        <v>1301</v>
      </c>
      <c r="F750" s="28">
        <v>3.64</v>
      </c>
      <c r="G750" s="28">
        <v>0</v>
      </c>
      <c r="H750" s="28">
        <f>ROUND(F750*AO750,2)</f>
        <v>0</v>
      </c>
      <c r="I750" s="28">
        <f>ROUND(F750*AP750,2)</f>
        <v>0</v>
      </c>
      <c r="J750" s="28">
        <f>ROUND(F750*G750,2)</f>
        <v>0</v>
      </c>
      <c r="K750" s="29" t="s">
        <v>60</v>
      </c>
      <c r="Z750" s="28">
        <f>ROUND(IF(AQ750="5",BJ750,0),2)</f>
        <v>0</v>
      </c>
      <c r="AB750" s="28">
        <f>ROUND(IF(AQ750="1",BH750,0),2)</f>
        <v>0</v>
      </c>
      <c r="AC750" s="28">
        <f>ROUND(IF(AQ750="1",BI750,0),2)</f>
        <v>0</v>
      </c>
      <c r="AD750" s="28">
        <f>ROUND(IF(AQ750="7",BH750,0),2)</f>
        <v>0</v>
      </c>
      <c r="AE750" s="28">
        <f>ROUND(IF(AQ750="7",BI750,0),2)</f>
        <v>0</v>
      </c>
      <c r="AF750" s="28">
        <f>ROUND(IF(AQ750="2",BH750,0),2)</f>
        <v>0</v>
      </c>
      <c r="AG750" s="28">
        <f>ROUND(IF(AQ750="2",BI750,0),2)</f>
        <v>0</v>
      </c>
      <c r="AH750" s="28">
        <f>ROUND(IF(AQ750="0",BJ750,0),2)</f>
        <v>0</v>
      </c>
      <c r="AI750" s="10" t="s">
        <v>1045</v>
      </c>
      <c r="AJ750" s="28">
        <f>IF(AN750=0,J750,0)</f>
        <v>0</v>
      </c>
      <c r="AK750" s="28">
        <f>IF(AN750=12,J750,0)</f>
        <v>0</v>
      </c>
      <c r="AL750" s="28">
        <f>IF(AN750=21,J750,0)</f>
        <v>0</v>
      </c>
      <c r="AN750" s="28">
        <v>21</v>
      </c>
      <c r="AO750" s="28">
        <f>G750*1</f>
        <v>0</v>
      </c>
      <c r="AP750" s="28">
        <f>G750*(1-1)</f>
        <v>0</v>
      </c>
      <c r="AQ750" s="30" t="s">
        <v>118</v>
      </c>
      <c r="AV750" s="28">
        <f>ROUND(AW750+AX750,2)</f>
        <v>0</v>
      </c>
      <c r="AW750" s="28">
        <f>ROUND(F750*AO750,2)</f>
        <v>0</v>
      </c>
      <c r="AX750" s="28">
        <f>ROUND(F750*AP750,2)</f>
        <v>0</v>
      </c>
      <c r="AY750" s="30" t="s">
        <v>1232</v>
      </c>
      <c r="AZ750" s="30" t="s">
        <v>1233</v>
      </c>
      <c r="BA750" s="10" t="s">
        <v>1050</v>
      </c>
      <c r="BC750" s="28">
        <f>AW750+AX750</f>
        <v>0</v>
      </c>
      <c r="BD750" s="28">
        <f>G750/(100-BE750)*100</f>
        <v>0</v>
      </c>
      <c r="BE750" s="28">
        <v>0</v>
      </c>
      <c r="BF750" s="28">
        <f>758</f>
        <v>758</v>
      </c>
      <c r="BH750" s="28">
        <f>F750*AO750</f>
        <v>0</v>
      </c>
      <c r="BI750" s="28">
        <f>F750*AP750</f>
        <v>0</v>
      </c>
      <c r="BJ750" s="28">
        <f>F750*G750</f>
        <v>0</v>
      </c>
      <c r="BK750" s="28"/>
      <c r="BL750" s="28">
        <v>762</v>
      </c>
      <c r="BW750" s="28">
        <v>21</v>
      </c>
      <c r="BX750" s="4" t="s">
        <v>1300</v>
      </c>
    </row>
    <row r="751" spans="1:76" x14ac:dyDescent="0.25">
      <c r="A751" s="31"/>
      <c r="C751" s="32" t="s">
        <v>1302</v>
      </c>
      <c r="D751" s="32" t="s">
        <v>51</v>
      </c>
      <c r="F751" s="33">
        <v>3.6375000000000002</v>
      </c>
      <c r="K751" s="34"/>
    </row>
    <row r="752" spans="1:76" x14ac:dyDescent="0.25">
      <c r="A752" s="2" t="s">
        <v>1303</v>
      </c>
      <c r="B752" s="3" t="s">
        <v>1304</v>
      </c>
      <c r="C752" s="76" t="s">
        <v>1305</v>
      </c>
      <c r="D752" s="71"/>
      <c r="E752" s="3" t="s">
        <v>1306</v>
      </c>
      <c r="F752" s="28">
        <v>1775.55</v>
      </c>
      <c r="G752" s="28">
        <v>0</v>
      </c>
      <c r="H752" s="28">
        <f>ROUND(F752*AO752,2)</f>
        <v>0</v>
      </c>
      <c r="I752" s="28">
        <f>ROUND(F752*AP752,2)</f>
        <v>0</v>
      </c>
      <c r="J752" s="28">
        <f>ROUND(F752*G752,2)</f>
        <v>0</v>
      </c>
      <c r="K752" s="29" t="s">
        <v>60</v>
      </c>
      <c r="Z752" s="28">
        <f>ROUND(IF(AQ752="5",BJ752,0),2)</f>
        <v>0</v>
      </c>
      <c r="AB752" s="28">
        <f>ROUND(IF(AQ752="1",BH752,0),2)</f>
        <v>0</v>
      </c>
      <c r="AC752" s="28">
        <f>ROUND(IF(AQ752="1",BI752,0),2)</f>
        <v>0</v>
      </c>
      <c r="AD752" s="28">
        <f>ROUND(IF(AQ752="7",BH752,0),2)</f>
        <v>0</v>
      </c>
      <c r="AE752" s="28">
        <f>ROUND(IF(AQ752="7",BI752,0),2)</f>
        <v>0</v>
      </c>
      <c r="AF752" s="28">
        <f>ROUND(IF(AQ752="2",BH752,0),2)</f>
        <v>0</v>
      </c>
      <c r="AG752" s="28">
        <f>ROUND(IF(AQ752="2",BI752,0),2)</f>
        <v>0</v>
      </c>
      <c r="AH752" s="28">
        <f>ROUND(IF(AQ752="0",BJ752,0),2)</f>
        <v>0</v>
      </c>
      <c r="AI752" s="10" t="s">
        <v>1045</v>
      </c>
      <c r="AJ752" s="28">
        <f>IF(AN752=0,J752,0)</f>
        <v>0</v>
      </c>
      <c r="AK752" s="28">
        <f>IF(AN752=12,J752,0)</f>
        <v>0</v>
      </c>
      <c r="AL752" s="28">
        <f>IF(AN752=21,J752,0)</f>
        <v>0</v>
      </c>
      <c r="AN752" s="28">
        <v>21</v>
      </c>
      <c r="AO752" s="28">
        <f>G752*0</f>
        <v>0</v>
      </c>
      <c r="AP752" s="28">
        <f>G752*(1-0)</f>
        <v>0</v>
      </c>
      <c r="AQ752" s="30" t="s">
        <v>100</v>
      </c>
      <c r="AV752" s="28">
        <f>ROUND(AW752+AX752,2)</f>
        <v>0</v>
      </c>
      <c r="AW752" s="28">
        <f>ROUND(F752*AO752,2)</f>
        <v>0</v>
      </c>
      <c r="AX752" s="28">
        <f>ROUND(F752*AP752,2)</f>
        <v>0</v>
      </c>
      <c r="AY752" s="30" t="s">
        <v>1232</v>
      </c>
      <c r="AZ752" s="30" t="s">
        <v>1233</v>
      </c>
      <c r="BA752" s="10" t="s">
        <v>1050</v>
      </c>
      <c r="BC752" s="28">
        <f>AW752+AX752</f>
        <v>0</v>
      </c>
      <c r="BD752" s="28">
        <f>G752/(100-BE752)*100</f>
        <v>0</v>
      </c>
      <c r="BE752" s="28">
        <v>0</v>
      </c>
      <c r="BF752" s="28">
        <f>760</f>
        <v>760</v>
      </c>
      <c r="BH752" s="28">
        <f>F752*AO752</f>
        <v>0</v>
      </c>
      <c r="BI752" s="28">
        <f>F752*AP752</f>
        <v>0</v>
      </c>
      <c r="BJ752" s="28">
        <f>F752*G752</f>
        <v>0</v>
      </c>
      <c r="BK752" s="28"/>
      <c r="BL752" s="28">
        <v>762</v>
      </c>
      <c r="BW752" s="28">
        <v>21</v>
      </c>
      <c r="BX752" s="4" t="s">
        <v>1305</v>
      </c>
    </row>
    <row r="753" spans="1:76" x14ac:dyDescent="0.25">
      <c r="A753" s="24" t="s">
        <v>51</v>
      </c>
      <c r="B753" s="25" t="s">
        <v>1307</v>
      </c>
      <c r="C753" s="87" t="s">
        <v>1308</v>
      </c>
      <c r="D753" s="88"/>
      <c r="E753" s="26" t="s">
        <v>4</v>
      </c>
      <c r="F753" s="26" t="s">
        <v>4</v>
      </c>
      <c r="G753" s="26" t="s">
        <v>4</v>
      </c>
      <c r="H753" s="1">
        <f>SUM(H754:H754)</f>
        <v>0</v>
      </c>
      <c r="I753" s="1">
        <f>SUM(I754:I754)</f>
        <v>0</v>
      </c>
      <c r="J753" s="1">
        <f>SUM(J754:J754)</f>
        <v>0</v>
      </c>
      <c r="K753" s="27" t="s">
        <v>51</v>
      </c>
      <c r="AI753" s="10" t="s">
        <v>1045</v>
      </c>
      <c r="AS753" s="1">
        <f>SUM(AJ754:AJ754)</f>
        <v>0</v>
      </c>
      <c r="AT753" s="1">
        <f>SUM(AK754:AK754)</f>
        <v>0</v>
      </c>
      <c r="AU753" s="1">
        <f>SUM(AL754:AL754)</f>
        <v>0</v>
      </c>
    </row>
    <row r="754" spans="1:76" ht="25.5" x14ac:dyDescent="0.25">
      <c r="A754" s="2" t="s">
        <v>1309</v>
      </c>
      <c r="B754" s="3" t="s">
        <v>1310</v>
      </c>
      <c r="C754" s="76" t="s">
        <v>1311</v>
      </c>
      <c r="D754" s="71"/>
      <c r="E754" s="3" t="s">
        <v>103</v>
      </c>
      <c r="F754" s="28">
        <v>32.25</v>
      </c>
      <c r="G754" s="28">
        <v>0</v>
      </c>
      <c r="H754" s="28">
        <f>ROUND(F754*AO754,2)</f>
        <v>0</v>
      </c>
      <c r="I754" s="28">
        <f>ROUND(F754*AP754,2)</f>
        <v>0</v>
      </c>
      <c r="J754" s="28">
        <f>ROUND(F754*G754,2)</f>
        <v>0</v>
      </c>
      <c r="K754" s="29" t="s">
        <v>60</v>
      </c>
      <c r="Z754" s="28">
        <f>ROUND(IF(AQ754="5",BJ754,0),2)</f>
        <v>0</v>
      </c>
      <c r="AB754" s="28">
        <f>ROUND(IF(AQ754="1",BH754,0),2)</f>
        <v>0</v>
      </c>
      <c r="AC754" s="28">
        <f>ROUND(IF(AQ754="1",BI754,0),2)</f>
        <v>0</v>
      </c>
      <c r="AD754" s="28">
        <f>ROUND(IF(AQ754="7",BH754,0),2)</f>
        <v>0</v>
      </c>
      <c r="AE754" s="28">
        <f>ROUND(IF(AQ754="7",BI754,0),2)</f>
        <v>0</v>
      </c>
      <c r="AF754" s="28">
        <f>ROUND(IF(AQ754="2",BH754,0),2)</f>
        <v>0</v>
      </c>
      <c r="AG754" s="28">
        <f>ROUND(IF(AQ754="2",BI754,0),2)</f>
        <v>0</v>
      </c>
      <c r="AH754" s="28">
        <f>ROUND(IF(AQ754="0",BJ754,0),2)</f>
        <v>0</v>
      </c>
      <c r="AI754" s="10" t="s">
        <v>1045</v>
      </c>
      <c r="AJ754" s="28">
        <f>IF(AN754=0,J754,0)</f>
        <v>0</v>
      </c>
      <c r="AK754" s="28">
        <f>IF(AN754=12,J754,0)</f>
        <v>0</v>
      </c>
      <c r="AL754" s="28">
        <f>IF(AN754=21,J754,0)</f>
        <v>0</v>
      </c>
      <c r="AN754" s="28">
        <v>21</v>
      </c>
      <c r="AO754" s="28">
        <f>G754*0</f>
        <v>0</v>
      </c>
      <c r="AP754" s="28">
        <f>G754*(1-0)</f>
        <v>0</v>
      </c>
      <c r="AQ754" s="30" t="s">
        <v>118</v>
      </c>
      <c r="AV754" s="28">
        <f>ROUND(AW754+AX754,2)</f>
        <v>0</v>
      </c>
      <c r="AW754" s="28">
        <f>ROUND(F754*AO754,2)</f>
        <v>0</v>
      </c>
      <c r="AX754" s="28">
        <f>ROUND(F754*AP754,2)</f>
        <v>0</v>
      </c>
      <c r="AY754" s="30" t="s">
        <v>1312</v>
      </c>
      <c r="AZ754" s="30" t="s">
        <v>1233</v>
      </c>
      <c r="BA754" s="10" t="s">
        <v>1050</v>
      </c>
      <c r="BC754" s="28">
        <f>AW754+AX754</f>
        <v>0</v>
      </c>
      <c r="BD754" s="28">
        <f>G754/(100-BE754)*100</f>
        <v>0</v>
      </c>
      <c r="BE754" s="28">
        <v>0</v>
      </c>
      <c r="BF754" s="28">
        <f>762</f>
        <v>762</v>
      </c>
      <c r="BH754" s="28">
        <f>F754*AO754</f>
        <v>0</v>
      </c>
      <c r="BI754" s="28">
        <f>F754*AP754</f>
        <v>0</v>
      </c>
      <c r="BJ754" s="28">
        <f>F754*G754</f>
        <v>0</v>
      </c>
      <c r="BK754" s="28"/>
      <c r="BL754" s="28">
        <v>763</v>
      </c>
      <c r="BW754" s="28">
        <v>21</v>
      </c>
      <c r="BX754" s="4" t="s">
        <v>1311</v>
      </c>
    </row>
    <row r="755" spans="1:76" x14ac:dyDescent="0.25">
      <c r="A755" s="31"/>
      <c r="C755" s="32" t="s">
        <v>1313</v>
      </c>
      <c r="D755" s="32" t="s">
        <v>51</v>
      </c>
      <c r="F755" s="33">
        <v>32.25</v>
      </c>
      <c r="K755" s="34"/>
    </row>
    <row r="756" spans="1:76" x14ac:dyDescent="0.25">
      <c r="A756" s="24" t="s">
        <v>51</v>
      </c>
      <c r="B756" s="25" t="s">
        <v>431</v>
      </c>
      <c r="C756" s="87" t="s">
        <v>432</v>
      </c>
      <c r="D756" s="88"/>
      <c r="E756" s="26" t="s">
        <v>4</v>
      </c>
      <c r="F756" s="26" t="s">
        <v>4</v>
      </c>
      <c r="G756" s="26" t="s">
        <v>4</v>
      </c>
      <c r="H756" s="1">
        <f>SUM(H757:H764)</f>
        <v>0</v>
      </c>
      <c r="I756" s="1">
        <f>SUM(I757:I764)</f>
        <v>0</v>
      </c>
      <c r="J756" s="1">
        <f>SUM(J757:J764)</f>
        <v>0</v>
      </c>
      <c r="K756" s="27" t="s">
        <v>51</v>
      </c>
      <c r="AI756" s="10" t="s">
        <v>1045</v>
      </c>
      <c r="AS756" s="1">
        <f>SUM(AJ757:AJ764)</f>
        <v>0</v>
      </c>
      <c r="AT756" s="1">
        <f>SUM(AK757:AK764)</f>
        <v>0</v>
      </c>
      <c r="AU756" s="1">
        <f>SUM(AL757:AL764)</f>
        <v>0</v>
      </c>
    </row>
    <row r="757" spans="1:76" ht="25.5" x14ac:dyDescent="0.25">
      <c r="A757" s="2" t="s">
        <v>1314</v>
      </c>
      <c r="B757" s="3" t="s">
        <v>1315</v>
      </c>
      <c r="C757" s="76" t="s">
        <v>1316</v>
      </c>
      <c r="D757" s="71"/>
      <c r="E757" s="3" t="s">
        <v>188</v>
      </c>
      <c r="F757" s="28">
        <v>22</v>
      </c>
      <c r="G757" s="28">
        <v>0</v>
      </c>
      <c r="H757" s="28">
        <f>ROUND(F757*AO757,2)</f>
        <v>0</v>
      </c>
      <c r="I757" s="28">
        <f>ROUND(F757*AP757,2)</f>
        <v>0</v>
      </c>
      <c r="J757" s="28">
        <f>ROUND(F757*G757,2)</f>
        <v>0</v>
      </c>
      <c r="K757" s="29" t="s">
        <v>60</v>
      </c>
      <c r="Z757" s="28">
        <f>ROUND(IF(AQ757="5",BJ757,0),2)</f>
        <v>0</v>
      </c>
      <c r="AB757" s="28">
        <f>ROUND(IF(AQ757="1",BH757,0),2)</f>
        <v>0</v>
      </c>
      <c r="AC757" s="28">
        <f>ROUND(IF(AQ757="1",BI757,0),2)</f>
        <v>0</v>
      </c>
      <c r="AD757" s="28">
        <f>ROUND(IF(AQ757="7",BH757,0),2)</f>
        <v>0</v>
      </c>
      <c r="AE757" s="28">
        <f>ROUND(IF(AQ757="7",BI757,0),2)</f>
        <v>0</v>
      </c>
      <c r="AF757" s="28">
        <f>ROUND(IF(AQ757="2",BH757,0),2)</f>
        <v>0</v>
      </c>
      <c r="AG757" s="28">
        <f>ROUND(IF(AQ757="2",BI757,0),2)</f>
        <v>0</v>
      </c>
      <c r="AH757" s="28">
        <f>ROUND(IF(AQ757="0",BJ757,0),2)</f>
        <v>0</v>
      </c>
      <c r="AI757" s="10" t="s">
        <v>1045</v>
      </c>
      <c r="AJ757" s="28">
        <f>IF(AN757=0,J757,0)</f>
        <v>0</v>
      </c>
      <c r="AK757" s="28">
        <f>IF(AN757=12,J757,0)</f>
        <v>0</v>
      </c>
      <c r="AL757" s="28">
        <f>IF(AN757=21,J757,0)</f>
        <v>0</v>
      </c>
      <c r="AN757" s="28">
        <v>21</v>
      </c>
      <c r="AO757" s="28">
        <f>G757*0</f>
        <v>0</v>
      </c>
      <c r="AP757" s="28">
        <f>G757*(1-0)</f>
        <v>0</v>
      </c>
      <c r="AQ757" s="30" t="s">
        <v>118</v>
      </c>
      <c r="AV757" s="28">
        <f>ROUND(AW757+AX757,2)</f>
        <v>0</v>
      </c>
      <c r="AW757" s="28">
        <f>ROUND(F757*AO757,2)</f>
        <v>0</v>
      </c>
      <c r="AX757" s="28">
        <f>ROUND(F757*AP757,2)</f>
        <v>0</v>
      </c>
      <c r="AY757" s="30" t="s">
        <v>435</v>
      </c>
      <c r="AZ757" s="30" t="s">
        <v>1233</v>
      </c>
      <c r="BA757" s="10" t="s">
        <v>1050</v>
      </c>
      <c r="BC757" s="28">
        <f>AW757+AX757</f>
        <v>0</v>
      </c>
      <c r="BD757" s="28">
        <f>G757/(100-BE757)*100</f>
        <v>0</v>
      </c>
      <c r="BE757" s="28">
        <v>0</v>
      </c>
      <c r="BF757" s="28">
        <f>765</f>
        <v>765</v>
      </c>
      <c r="BH757" s="28">
        <f>F757*AO757</f>
        <v>0</v>
      </c>
      <c r="BI757" s="28">
        <f>F757*AP757</f>
        <v>0</v>
      </c>
      <c r="BJ757" s="28">
        <f>F757*G757</f>
        <v>0</v>
      </c>
      <c r="BK757" s="28"/>
      <c r="BL757" s="28">
        <v>764</v>
      </c>
      <c r="BW757" s="28">
        <v>21</v>
      </c>
      <c r="BX757" s="4" t="s">
        <v>1316</v>
      </c>
    </row>
    <row r="758" spans="1:76" x14ac:dyDescent="0.25">
      <c r="A758" s="31"/>
      <c r="C758" s="32" t="s">
        <v>1317</v>
      </c>
      <c r="D758" s="32" t="s">
        <v>437</v>
      </c>
      <c r="F758" s="33">
        <v>16.899999999999999</v>
      </c>
      <c r="K758" s="34"/>
    </row>
    <row r="759" spans="1:76" x14ac:dyDescent="0.25">
      <c r="A759" s="31"/>
      <c r="C759" s="32" t="s">
        <v>1318</v>
      </c>
      <c r="D759" s="32" t="s">
        <v>1319</v>
      </c>
      <c r="F759" s="33">
        <v>5.0999999999999996</v>
      </c>
      <c r="K759" s="34"/>
    </row>
    <row r="760" spans="1:76" ht="25.5" x14ac:dyDescent="0.25">
      <c r="A760" s="2" t="s">
        <v>1320</v>
      </c>
      <c r="B760" s="3" t="s">
        <v>1321</v>
      </c>
      <c r="C760" s="76" t="s">
        <v>1322</v>
      </c>
      <c r="D760" s="71"/>
      <c r="E760" s="3" t="s">
        <v>188</v>
      </c>
      <c r="F760" s="28">
        <v>2.5</v>
      </c>
      <c r="G760" s="28">
        <v>0</v>
      </c>
      <c r="H760" s="28">
        <f>ROUND(F760*AO760,2)</f>
        <v>0</v>
      </c>
      <c r="I760" s="28">
        <f>ROUND(F760*AP760,2)</f>
        <v>0</v>
      </c>
      <c r="J760" s="28">
        <f>ROUND(F760*G760,2)</f>
        <v>0</v>
      </c>
      <c r="K760" s="29" t="s">
        <v>60</v>
      </c>
      <c r="Z760" s="28">
        <f>ROUND(IF(AQ760="5",BJ760,0),2)</f>
        <v>0</v>
      </c>
      <c r="AB760" s="28">
        <f>ROUND(IF(AQ760="1",BH760,0),2)</f>
        <v>0</v>
      </c>
      <c r="AC760" s="28">
        <f>ROUND(IF(AQ760="1",BI760,0),2)</f>
        <v>0</v>
      </c>
      <c r="AD760" s="28">
        <f>ROUND(IF(AQ760="7",BH760,0),2)</f>
        <v>0</v>
      </c>
      <c r="AE760" s="28">
        <f>ROUND(IF(AQ760="7",BI760,0),2)</f>
        <v>0</v>
      </c>
      <c r="AF760" s="28">
        <f>ROUND(IF(AQ760="2",BH760,0),2)</f>
        <v>0</v>
      </c>
      <c r="AG760" s="28">
        <f>ROUND(IF(AQ760="2",BI760,0),2)</f>
        <v>0</v>
      </c>
      <c r="AH760" s="28">
        <f>ROUND(IF(AQ760="0",BJ760,0),2)</f>
        <v>0</v>
      </c>
      <c r="AI760" s="10" t="s">
        <v>1045</v>
      </c>
      <c r="AJ760" s="28">
        <f>IF(AN760=0,J760,0)</f>
        <v>0</v>
      </c>
      <c r="AK760" s="28">
        <f>IF(AN760=12,J760,0)</f>
        <v>0</v>
      </c>
      <c r="AL760" s="28">
        <f>IF(AN760=21,J760,0)</f>
        <v>0</v>
      </c>
      <c r="AN760" s="28">
        <v>21</v>
      </c>
      <c r="AO760" s="28">
        <f>G760*0</f>
        <v>0</v>
      </c>
      <c r="AP760" s="28">
        <f>G760*(1-0)</f>
        <v>0</v>
      </c>
      <c r="AQ760" s="30" t="s">
        <v>118</v>
      </c>
      <c r="AV760" s="28">
        <f>ROUND(AW760+AX760,2)</f>
        <v>0</v>
      </c>
      <c r="AW760" s="28">
        <f>ROUND(F760*AO760,2)</f>
        <v>0</v>
      </c>
      <c r="AX760" s="28">
        <f>ROUND(F760*AP760,2)</f>
        <v>0</v>
      </c>
      <c r="AY760" s="30" t="s">
        <v>435</v>
      </c>
      <c r="AZ760" s="30" t="s">
        <v>1233</v>
      </c>
      <c r="BA760" s="10" t="s">
        <v>1050</v>
      </c>
      <c r="BC760" s="28">
        <f>AW760+AX760</f>
        <v>0</v>
      </c>
      <c r="BD760" s="28">
        <f>G760/(100-BE760)*100</f>
        <v>0</v>
      </c>
      <c r="BE760" s="28">
        <v>0</v>
      </c>
      <c r="BF760" s="28">
        <f>768</f>
        <v>768</v>
      </c>
      <c r="BH760" s="28">
        <f>F760*AO760</f>
        <v>0</v>
      </c>
      <c r="BI760" s="28">
        <f>F760*AP760</f>
        <v>0</v>
      </c>
      <c r="BJ760" s="28">
        <f>F760*G760</f>
        <v>0</v>
      </c>
      <c r="BK760" s="28"/>
      <c r="BL760" s="28">
        <v>764</v>
      </c>
      <c r="BW760" s="28">
        <v>21</v>
      </c>
      <c r="BX760" s="4" t="s">
        <v>1322</v>
      </c>
    </row>
    <row r="761" spans="1:76" ht="25.5" x14ac:dyDescent="0.25">
      <c r="A761" s="2" t="s">
        <v>1323</v>
      </c>
      <c r="B761" s="3" t="s">
        <v>1324</v>
      </c>
      <c r="C761" s="76" t="s">
        <v>1325</v>
      </c>
      <c r="D761" s="71"/>
      <c r="E761" s="3" t="s">
        <v>188</v>
      </c>
      <c r="F761" s="28">
        <v>8.6</v>
      </c>
      <c r="G761" s="28">
        <v>0</v>
      </c>
      <c r="H761" s="28">
        <f>ROUND(F761*AO761,2)</f>
        <v>0</v>
      </c>
      <c r="I761" s="28">
        <f>ROUND(F761*AP761,2)</f>
        <v>0</v>
      </c>
      <c r="J761" s="28">
        <f>ROUND(F761*G761,2)</f>
        <v>0</v>
      </c>
      <c r="K761" s="29" t="s">
        <v>60</v>
      </c>
      <c r="Z761" s="28">
        <f>ROUND(IF(AQ761="5",BJ761,0),2)</f>
        <v>0</v>
      </c>
      <c r="AB761" s="28">
        <f>ROUND(IF(AQ761="1",BH761,0),2)</f>
        <v>0</v>
      </c>
      <c r="AC761" s="28">
        <f>ROUND(IF(AQ761="1",BI761,0),2)</f>
        <v>0</v>
      </c>
      <c r="AD761" s="28">
        <f>ROUND(IF(AQ761="7",BH761,0),2)</f>
        <v>0</v>
      </c>
      <c r="AE761" s="28">
        <f>ROUND(IF(AQ761="7",BI761,0),2)</f>
        <v>0</v>
      </c>
      <c r="AF761" s="28">
        <f>ROUND(IF(AQ761="2",BH761,0),2)</f>
        <v>0</v>
      </c>
      <c r="AG761" s="28">
        <f>ROUND(IF(AQ761="2",BI761,0),2)</f>
        <v>0</v>
      </c>
      <c r="AH761" s="28">
        <f>ROUND(IF(AQ761="0",BJ761,0),2)</f>
        <v>0</v>
      </c>
      <c r="AI761" s="10" t="s">
        <v>1045</v>
      </c>
      <c r="AJ761" s="28">
        <f>IF(AN761=0,J761,0)</f>
        <v>0</v>
      </c>
      <c r="AK761" s="28">
        <f>IF(AN761=12,J761,0)</f>
        <v>0</v>
      </c>
      <c r="AL761" s="28">
        <f>IF(AN761=21,J761,0)</f>
        <v>0</v>
      </c>
      <c r="AN761" s="28">
        <v>21</v>
      </c>
      <c r="AO761" s="28">
        <f>G761*0</f>
        <v>0</v>
      </c>
      <c r="AP761" s="28">
        <f>G761*(1-0)</f>
        <v>0</v>
      </c>
      <c r="AQ761" s="30" t="s">
        <v>118</v>
      </c>
      <c r="AV761" s="28">
        <f>ROUND(AW761+AX761,2)</f>
        <v>0</v>
      </c>
      <c r="AW761" s="28">
        <f>ROUND(F761*AO761,2)</f>
        <v>0</v>
      </c>
      <c r="AX761" s="28">
        <f>ROUND(F761*AP761,2)</f>
        <v>0</v>
      </c>
      <c r="AY761" s="30" t="s">
        <v>435</v>
      </c>
      <c r="AZ761" s="30" t="s">
        <v>1233</v>
      </c>
      <c r="BA761" s="10" t="s">
        <v>1050</v>
      </c>
      <c r="BC761" s="28">
        <f>AW761+AX761</f>
        <v>0</v>
      </c>
      <c r="BD761" s="28">
        <f>G761/(100-BE761)*100</f>
        <v>0</v>
      </c>
      <c r="BE761" s="28">
        <v>0</v>
      </c>
      <c r="BF761" s="28">
        <f>769</f>
        <v>769</v>
      </c>
      <c r="BH761" s="28">
        <f>F761*AO761</f>
        <v>0</v>
      </c>
      <c r="BI761" s="28">
        <f>F761*AP761</f>
        <v>0</v>
      </c>
      <c r="BJ761" s="28">
        <f>F761*G761</f>
        <v>0</v>
      </c>
      <c r="BK761" s="28"/>
      <c r="BL761" s="28">
        <v>764</v>
      </c>
      <c r="BW761" s="28">
        <v>21</v>
      </c>
      <c r="BX761" s="4" t="s">
        <v>1325</v>
      </c>
    </row>
    <row r="762" spans="1:76" ht="25.5" x14ac:dyDescent="0.25">
      <c r="A762" s="2" t="s">
        <v>1326</v>
      </c>
      <c r="B762" s="3" t="s">
        <v>1327</v>
      </c>
      <c r="C762" s="76" t="s">
        <v>1328</v>
      </c>
      <c r="D762" s="71"/>
      <c r="E762" s="3" t="s">
        <v>293</v>
      </c>
      <c r="F762" s="28">
        <v>1</v>
      </c>
      <c r="G762" s="28">
        <v>0</v>
      </c>
      <c r="H762" s="28">
        <f>ROUND(F762*AO762,2)</f>
        <v>0</v>
      </c>
      <c r="I762" s="28">
        <f>ROUND(F762*AP762,2)</f>
        <v>0</v>
      </c>
      <c r="J762" s="28">
        <f>ROUND(F762*G762,2)</f>
        <v>0</v>
      </c>
      <c r="K762" s="29" t="s">
        <v>60</v>
      </c>
      <c r="Z762" s="28">
        <f>ROUND(IF(AQ762="5",BJ762,0),2)</f>
        <v>0</v>
      </c>
      <c r="AB762" s="28">
        <f>ROUND(IF(AQ762="1",BH762,0),2)</f>
        <v>0</v>
      </c>
      <c r="AC762" s="28">
        <f>ROUND(IF(AQ762="1",BI762,0),2)</f>
        <v>0</v>
      </c>
      <c r="AD762" s="28">
        <f>ROUND(IF(AQ762="7",BH762,0),2)</f>
        <v>0</v>
      </c>
      <c r="AE762" s="28">
        <f>ROUND(IF(AQ762="7",BI762,0),2)</f>
        <v>0</v>
      </c>
      <c r="AF762" s="28">
        <f>ROUND(IF(AQ762="2",BH762,0),2)</f>
        <v>0</v>
      </c>
      <c r="AG762" s="28">
        <f>ROUND(IF(AQ762="2",BI762,0),2)</f>
        <v>0</v>
      </c>
      <c r="AH762" s="28">
        <f>ROUND(IF(AQ762="0",BJ762,0),2)</f>
        <v>0</v>
      </c>
      <c r="AI762" s="10" t="s">
        <v>1045</v>
      </c>
      <c r="AJ762" s="28">
        <f>IF(AN762=0,J762,0)</f>
        <v>0</v>
      </c>
      <c r="AK762" s="28">
        <f>IF(AN762=12,J762,0)</f>
        <v>0</v>
      </c>
      <c r="AL762" s="28">
        <f>IF(AN762=21,J762,0)</f>
        <v>0</v>
      </c>
      <c r="AN762" s="28">
        <v>21</v>
      </c>
      <c r="AO762" s="28">
        <f>G762*0</f>
        <v>0</v>
      </c>
      <c r="AP762" s="28">
        <f>G762*(1-0)</f>
        <v>0</v>
      </c>
      <c r="AQ762" s="30" t="s">
        <v>118</v>
      </c>
      <c r="AV762" s="28">
        <f>ROUND(AW762+AX762,2)</f>
        <v>0</v>
      </c>
      <c r="AW762" s="28">
        <f>ROUND(F762*AO762,2)</f>
        <v>0</v>
      </c>
      <c r="AX762" s="28">
        <f>ROUND(F762*AP762,2)</f>
        <v>0</v>
      </c>
      <c r="AY762" s="30" t="s">
        <v>435</v>
      </c>
      <c r="AZ762" s="30" t="s">
        <v>1233</v>
      </c>
      <c r="BA762" s="10" t="s">
        <v>1050</v>
      </c>
      <c r="BC762" s="28">
        <f>AW762+AX762</f>
        <v>0</v>
      </c>
      <c r="BD762" s="28">
        <f>G762/(100-BE762)*100</f>
        <v>0</v>
      </c>
      <c r="BE762" s="28">
        <v>0</v>
      </c>
      <c r="BF762" s="28">
        <f>770</f>
        <v>770</v>
      </c>
      <c r="BH762" s="28">
        <f>F762*AO762</f>
        <v>0</v>
      </c>
      <c r="BI762" s="28">
        <f>F762*AP762</f>
        <v>0</v>
      </c>
      <c r="BJ762" s="28">
        <f>F762*G762</f>
        <v>0</v>
      </c>
      <c r="BK762" s="28"/>
      <c r="BL762" s="28">
        <v>764</v>
      </c>
      <c r="BW762" s="28">
        <v>21</v>
      </c>
      <c r="BX762" s="4" t="s">
        <v>1328</v>
      </c>
    </row>
    <row r="763" spans="1:76" x14ac:dyDescent="0.25">
      <c r="A763" s="2" t="s">
        <v>1329</v>
      </c>
      <c r="B763" s="3" t="s">
        <v>1330</v>
      </c>
      <c r="C763" s="76" t="s">
        <v>1331</v>
      </c>
      <c r="D763" s="71"/>
      <c r="E763" s="3" t="s">
        <v>293</v>
      </c>
      <c r="F763" s="28">
        <v>15</v>
      </c>
      <c r="G763" s="28">
        <v>0</v>
      </c>
      <c r="H763" s="28">
        <f>ROUND(F763*AO763,2)</f>
        <v>0</v>
      </c>
      <c r="I763" s="28">
        <f>ROUND(F763*AP763,2)</f>
        <v>0</v>
      </c>
      <c r="J763" s="28">
        <f>ROUND(F763*G763,2)</f>
        <v>0</v>
      </c>
      <c r="K763" s="29" t="s">
        <v>60</v>
      </c>
      <c r="Z763" s="28">
        <f>ROUND(IF(AQ763="5",BJ763,0),2)</f>
        <v>0</v>
      </c>
      <c r="AB763" s="28">
        <f>ROUND(IF(AQ763="1",BH763,0),2)</f>
        <v>0</v>
      </c>
      <c r="AC763" s="28">
        <f>ROUND(IF(AQ763="1",BI763,0),2)</f>
        <v>0</v>
      </c>
      <c r="AD763" s="28">
        <f>ROUND(IF(AQ763="7",BH763,0),2)</f>
        <v>0</v>
      </c>
      <c r="AE763" s="28">
        <f>ROUND(IF(AQ763="7",BI763,0),2)</f>
        <v>0</v>
      </c>
      <c r="AF763" s="28">
        <f>ROUND(IF(AQ763="2",BH763,0),2)</f>
        <v>0</v>
      </c>
      <c r="AG763" s="28">
        <f>ROUND(IF(AQ763="2",BI763,0),2)</f>
        <v>0</v>
      </c>
      <c r="AH763" s="28">
        <f>ROUND(IF(AQ763="0",BJ763,0),2)</f>
        <v>0</v>
      </c>
      <c r="AI763" s="10" t="s">
        <v>1045</v>
      </c>
      <c r="AJ763" s="28">
        <f>IF(AN763=0,J763,0)</f>
        <v>0</v>
      </c>
      <c r="AK763" s="28">
        <f>IF(AN763=12,J763,0)</f>
        <v>0</v>
      </c>
      <c r="AL763" s="28">
        <f>IF(AN763=21,J763,0)</f>
        <v>0</v>
      </c>
      <c r="AN763" s="28">
        <v>21</v>
      </c>
      <c r="AO763" s="28">
        <f>G763*0</f>
        <v>0</v>
      </c>
      <c r="AP763" s="28">
        <f>G763*(1-0)</f>
        <v>0</v>
      </c>
      <c r="AQ763" s="30" t="s">
        <v>118</v>
      </c>
      <c r="AV763" s="28">
        <f>ROUND(AW763+AX763,2)</f>
        <v>0</v>
      </c>
      <c r="AW763" s="28">
        <f>ROUND(F763*AO763,2)</f>
        <v>0</v>
      </c>
      <c r="AX763" s="28">
        <f>ROUND(F763*AP763,2)</f>
        <v>0</v>
      </c>
      <c r="AY763" s="30" t="s">
        <v>435</v>
      </c>
      <c r="AZ763" s="30" t="s">
        <v>1233</v>
      </c>
      <c r="BA763" s="10" t="s">
        <v>1050</v>
      </c>
      <c r="BC763" s="28">
        <f>AW763+AX763</f>
        <v>0</v>
      </c>
      <c r="BD763" s="28">
        <f>G763/(100-BE763)*100</f>
        <v>0</v>
      </c>
      <c r="BE763" s="28">
        <v>0</v>
      </c>
      <c r="BF763" s="28">
        <f>771</f>
        <v>771</v>
      </c>
      <c r="BH763" s="28">
        <f>F763*AO763</f>
        <v>0</v>
      </c>
      <c r="BI763" s="28">
        <f>F763*AP763</f>
        <v>0</v>
      </c>
      <c r="BJ763" s="28">
        <f>F763*G763</f>
        <v>0</v>
      </c>
      <c r="BK763" s="28"/>
      <c r="BL763" s="28">
        <v>764</v>
      </c>
      <c r="BW763" s="28">
        <v>21</v>
      </c>
      <c r="BX763" s="4" t="s">
        <v>1331</v>
      </c>
    </row>
    <row r="764" spans="1:76" x14ac:dyDescent="0.25">
      <c r="A764" s="2" t="s">
        <v>1332</v>
      </c>
      <c r="B764" s="3" t="s">
        <v>1333</v>
      </c>
      <c r="C764" s="76" t="s">
        <v>1334</v>
      </c>
      <c r="D764" s="71"/>
      <c r="E764" s="3" t="s">
        <v>1306</v>
      </c>
      <c r="F764" s="28">
        <v>174.55</v>
      </c>
      <c r="G764" s="28">
        <v>0</v>
      </c>
      <c r="H764" s="28">
        <f>ROUND(F764*AO764,2)</f>
        <v>0</v>
      </c>
      <c r="I764" s="28">
        <f>ROUND(F764*AP764,2)</f>
        <v>0</v>
      </c>
      <c r="J764" s="28">
        <f>ROUND(F764*G764,2)</f>
        <v>0</v>
      </c>
      <c r="K764" s="29" t="s">
        <v>60</v>
      </c>
      <c r="Z764" s="28">
        <f>ROUND(IF(AQ764="5",BJ764,0),2)</f>
        <v>0</v>
      </c>
      <c r="AB764" s="28">
        <f>ROUND(IF(AQ764="1",BH764,0),2)</f>
        <v>0</v>
      </c>
      <c r="AC764" s="28">
        <f>ROUND(IF(AQ764="1",BI764,0),2)</f>
        <v>0</v>
      </c>
      <c r="AD764" s="28">
        <f>ROUND(IF(AQ764="7",BH764,0),2)</f>
        <v>0</v>
      </c>
      <c r="AE764" s="28">
        <f>ROUND(IF(AQ764="7",BI764,0),2)</f>
        <v>0</v>
      </c>
      <c r="AF764" s="28">
        <f>ROUND(IF(AQ764="2",BH764,0),2)</f>
        <v>0</v>
      </c>
      <c r="AG764" s="28">
        <f>ROUND(IF(AQ764="2",BI764,0),2)</f>
        <v>0</v>
      </c>
      <c r="AH764" s="28">
        <f>ROUND(IF(AQ764="0",BJ764,0),2)</f>
        <v>0</v>
      </c>
      <c r="AI764" s="10" t="s">
        <v>1045</v>
      </c>
      <c r="AJ764" s="28">
        <f>IF(AN764=0,J764,0)</f>
        <v>0</v>
      </c>
      <c r="AK764" s="28">
        <f>IF(AN764=12,J764,0)</f>
        <v>0</v>
      </c>
      <c r="AL764" s="28">
        <f>IF(AN764=21,J764,0)</f>
        <v>0</v>
      </c>
      <c r="AN764" s="28">
        <v>21</v>
      </c>
      <c r="AO764" s="28">
        <f>G764*0</f>
        <v>0</v>
      </c>
      <c r="AP764" s="28">
        <f>G764*(1-0)</f>
        <v>0</v>
      </c>
      <c r="AQ764" s="30" t="s">
        <v>100</v>
      </c>
      <c r="AV764" s="28">
        <f>ROUND(AW764+AX764,2)</f>
        <v>0</v>
      </c>
      <c r="AW764" s="28">
        <f>ROUND(F764*AO764,2)</f>
        <v>0</v>
      </c>
      <c r="AX764" s="28">
        <f>ROUND(F764*AP764,2)</f>
        <v>0</v>
      </c>
      <c r="AY764" s="30" t="s">
        <v>435</v>
      </c>
      <c r="AZ764" s="30" t="s">
        <v>1233</v>
      </c>
      <c r="BA764" s="10" t="s">
        <v>1050</v>
      </c>
      <c r="BC764" s="28">
        <f>AW764+AX764</f>
        <v>0</v>
      </c>
      <c r="BD764" s="28">
        <f>G764/(100-BE764)*100</f>
        <v>0</v>
      </c>
      <c r="BE764" s="28">
        <v>0</v>
      </c>
      <c r="BF764" s="28">
        <f>772</f>
        <v>772</v>
      </c>
      <c r="BH764" s="28">
        <f>F764*AO764</f>
        <v>0</v>
      </c>
      <c r="BI764" s="28">
        <f>F764*AP764</f>
        <v>0</v>
      </c>
      <c r="BJ764" s="28">
        <f>F764*G764</f>
        <v>0</v>
      </c>
      <c r="BK764" s="28"/>
      <c r="BL764" s="28">
        <v>764</v>
      </c>
      <c r="BW764" s="28">
        <v>21</v>
      </c>
      <c r="BX764" s="4" t="s">
        <v>1334</v>
      </c>
    </row>
    <row r="765" spans="1:76" x14ac:dyDescent="0.25">
      <c r="A765" s="24" t="s">
        <v>51</v>
      </c>
      <c r="B765" s="25" t="s">
        <v>1335</v>
      </c>
      <c r="C765" s="87" t="s">
        <v>1336</v>
      </c>
      <c r="D765" s="88"/>
      <c r="E765" s="26" t="s">
        <v>4</v>
      </c>
      <c r="F765" s="26" t="s">
        <v>4</v>
      </c>
      <c r="G765" s="26" t="s">
        <v>4</v>
      </c>
      <c r="H765" s="1">
        <f>SUM(H766:H822)</f>
        <v>0</v>
      </c>
      <c r="I765" s="1">
        <f>SUM(I766:I822)</f>
        <v>0</v>
      </c>
      <c r="J765" s="1">
        <f>SUM(J766:J822)</f>
        <v>0</v>
      </c>
      <c r="K765" s="27" t="s">
        <v>51</v>
      </c>
      <c r="AI765" s="10" t="s">
        <v>1045</v>
      </c>
      <c r="AS765" s="1">
        <f>SUM(AJ766:AJ822)</f>
        <v>0</v>
      </c>
      <c r="AT765" s="1">
        <f>SUM(AK766:AK822)</f>
        <v>0</v>
      </c>
      <c r="AU765" s="1">
        <f>SUM(AL766:AL822)</f>
        <v>0</v>
      </c>
    </row>
    <row r="766" spans="1:76" ht="25.5" x14ac:dyDescent="0.25">
      <c r="A766" s="2" t="s">
        <v>1337</v>
      </c>
      <c r="B766" s="3" t="s">
        <v>1338</v>
      </c>
      <c r="C766" s="76" t="s">
        <v>1339</v>
      </c>
      <c r="D766" s="71"/>
      <c r="E766" s="3" t="s">
        <v>103</v>
      </c>
      <c r="F766" s="28">
        <v>12.67</v>
      </c>
      <c r="G766" s="28">
        <v>0</v>
      </c>
      <c r="H766" s="28">
        <f>ROUND(F766*AO766,2)</f>
        <v>0</v>
      </c>
      <c r="I766" s="28">
        <f>ROUND(F766*AP766,2)</f>
        <v>0</v>
      </c>
      <c r="J766" s="28">
        <f>ROUND(F766*G766,2)</f>
        <v>0</v>
      </c>
      <c r="K766" s="29" t="s">
        <v>60</v>
      </c>
      <c r="Z766" s="28">
        <f>ROUND(IF(AQ766="5",BJ766,0),2)</f>
        <v>0</v>
      </c>
      <c r="AB766" s="28">
        <f>ROUND(IF(AQ766="1",BH766,0),2)</f>
        <v>0</v>
      </c>
      <c r="AC766" s="28">
        <f>ROUND(IF(AQ766="1",BI766,0),2)</f>
        <v>0</v>
      </c>
      <c r="AD766" s="28">
        <f>ROUND(IF(AQ766="7",BH766,0),2)</f>
        <v>0</v>
      </c>
      <c r="AE766" s="28">
        <f>ROUND(IF(AQ766="7",BI766,0),2)</f>
        <v>0</v>
      </c>
      <c r="AF766" s="28">
        <f>ROUND(IF(AQ766="2",BH766,0),2)</f>
        <v>0</v>
      </c>
      <c r="AG766" s="28">
        <f>ROUND(IF(AQ766="2",BI766,0),2)</f>
        <v>0</v>
      </c>
      <c r="AH766" s="28">
        <f>ROUND(IF(AQ766="0",BJ766,0),2)</f>
        <v>0</v>
      </c>
      <c r="AI766" s="10" t="s">
        <v>1045</v>
      </c>
      <c r="AJ766" s="28">
        <f>IF(AN766=0,J766,0)</f>
        <v>0</v>
      </c>
      <c r="AK766" s="28">
        <f>IF(AN766=12,J766,0)</f>
        <v>0</v>
      </c>
      <c r="AL766" s="28">
        <f>IF(AN766=21,J766,0)</f>
        <v>0</v>
      </c>
      <c r="AN766" s="28">
        <v>21</v>
      </c>
      <c r="AO766" s="28">
        <f>G766*0</f>
        <v>0</v>
      </c>
      <c r="AP766" s="28">
        <f>G766*(1-0)</f>
        <v>0</v>
      </c>
      <c r="AQ766" s="30" t="s">
        <v>118</v>
      </c>
      <c r="AV766" s="28">
        <f>ROUND(AW766+AX766,2)</f>
        <v>0</v>
      </c>
      <c r="AW766" s="28">
        <f>ROUND(F766*AO766,2)</f>
        <v>0</v>
      </c>
      <c r="AX766" s="28">
        <f>ROUND(F766*AP766,2)</f>
        <v>0</v>
      </c>
      <c r="AY766" s="30" t="s">
        <v>1340</v>
      </c>
      <c r="AZ766" s="30" t="s">
        <v>1233</v>
      </c>
      <c r="BA766" s="10" t="s">
        <v>1050</v>
      </c>
      <c r="BC766" s="28">
        <f>AW766+AX766</f>
        <v>0</v>
      </c>
      <c r="BD766" s="28">
        <f>G766/(100-BE766)*100</f>
        <v>0</v>
      </c>
      <c r="BE766" s="28">
        <v>0</v>
      </c>
      <c r="BF766" s="28">
        <f>774</f>
        <v>774</v>
      </c>
      <c r="BH766" s="28">
        <f>F766*AO766</f>
        <v>0</v>
      </c>
      <c r="BI766" s="28">
        <f>F766*AP766</f>
        <v>0</v>
      </c>
      <c r="BJ766" s="28">
        <f>F766*G766</f>
        <v>0</v>
      </c>
      <c r="BK766" s="28"/>
      <c r="BL766" s="28">
        <v>766</v>
      </c>
      <c r="BW766" s="28">
        <v>21</v>
      </c>
      <c r="BX766" s="4" t="s">
        <v>1339</v>
      </c>
    </row>
    <row r="767" spans="1:76" x14ac:dyDescent="0.25">
      <c r="A767" s="31"/>
      <c r="C767" s="32" t="s">
        <v>1341</v>
      </c>
      <c r="D767" s="32" t="s">
        <v>51</v>
      </c>
      <c r="F767" s="33">
        <v>12.67</v>
      </c>
      <c r="K767" s="34"/>
    </row>
    <row r="768" spans="1:76" ht="25.5" x14ac:dyDescent="0.25">
      <c r="A768" s="2" t="s">
        <v>1342</v>
      </c>
      <c r="B768" s="3" t="s">
        <v>1343</v>
      </c>
      <c r="C768" s="76" t="s">
        <v>1344</v>
      </c>
      <c r="D768" s="71"/>
      <c r="E768" s="3" t="s">
        <v>103</v>
      </c>
      <c r="F768" s="28">
        <v>34.22</v>
      </c>
      <c r="G768" s="28">
        <v>0</v>
      </c>
      <c r="H768" s="28">
        <f>ROUND(F768*AO768,2)</f>
        <v>0</v>
      </c>
      <c r="I768" s="28">
        <f>ROUND(F768*AP768,2)</f>
        <v>0</v>
      </c>
      <c r="J768" s="28">
        <f>ROUND(F768*G768,2)</f>
        <v>0</v>
      </c>
      <c r="K768" s="29" t="s">
        <v>60</v>
      </c>
      <c r="Z768" s="28">
        <f>ROUND(IF(AQ768="5",BJ768,0),2)</f>
        <v>0</v>
      </c>
      <c r="AB768" s="28">
        <f>ROUND(IF(AQ768="1",BH768,0),2)</f>
        <v>0</v>
      </c>
      <c r="AC768" s="28">
        <f>ROUND(IF(AQ768="1",BI768,0),2)</f>
        <v>0</v>
      </c>
      <c r="AD768" s="28">
        <f>ROUND(IF(AQ768="7",BH768,0),2)</f>
        <v>0</v>
      </c>
      <c r="AE768" s="28">
        <f>ROUND(IF(AQ768="7",BI768,0),2)</f>
        <v>0</v>
      </c>
      <c r="AF768" s="28">
        <f>ROUND(IF(AQ768="2",BH768,0),2)</f>
        <v>0</v>
      </c>
      <c r="AG768" s="28">
        <f>ROUND(IF(AQ768="2",BI768,0),2)</f>
        <v>0</v>
      </c>
      <c r="AH768" s="28">
        <f>ROUND(IF(AQ768="0",BJ768,0),2)</f>
        <v>0</v>
      </c>
      <c r="AI768" s="10" t="s">
        <v>1045</v>
      </c>
      <c r="AJ768" s="28">
        <f>IF(AN768=0,J768,0)</f>
        <v>0</v>
      </c>
      <c r="AK768" s="28">
        <f>IF(AN768=12,J768,0)</f>
        <v>0</v>
      </c>
      <c r="AL768" s="28">
        <f>IF(AN768=21,J768,0)</f>
        <v>0</v>
      </c>
      <c r="AN768" s="28">
        <v>21</v>
      </c>
      <c r="AO768" s="28">
        <f>G768*0</f>
        <v>0</v>
      </c>
      <c r="AP768" s="28">
        <f>G768*(1-0)</f>
        <v>0</v>
      </c>
      <c r="AQ768" s="30" t="s">
        <v>118</v>
      </c>
      <c r="AV768" s="28">
        <f>ROUND(AW768+AX768,2)</f>
        <v>0</v>
      </c>
      <c r="AW768" s="28">
        <f>ROUND(F768*AO768,2)</f>
        <v>0</v>
      </c>
      <c r="AX768" s="28">
        <f>ROUND(F768*AP768,2)</f>
        <v>0</v>
      </c>
      <c r="AY768" s="30" t="s">
        <v>1340</v>
      </c>
      <c r="AZ768" s="30" t="s">
        <v>1233</v>
      </c>
      <c r="BA768" s="10" t="s">
        <v>1050</v>
      </c>
      <c r="BC768" s="28">
        <f>AW768+AX768</f>
        <v>0</v>
      </c>
      <c r="BD768" s="28">
        <f>G768/(100-BE768)*100</f>
        <v>0</v>
      </c>
      <c r="BE768" s="28">
        <v>0</v>
      </c>
      <c r="BF768" s="28">
        <f>776</f>
        <v>776</v>
      </c>
      <c r="BH768" s="28">
        <f>F768*AO768</f>
        <v>0</v>
      </c>
      <c r="BI768" s="28">
        <f>F768*AP768</f>
        <v>0</v>
      </c>
      <c r="BJ768" s="28">
        <f>F768*G768</f>
        <v>0</v>
      </c>
      <c r="BK768" s="28"/>
      <c r="BL768" s="28">
        <v>766</v>
      </c>
      <c r="BW768" s="28">
        <v>21</v>
      </c>
      <c r="BX768" s="4" t="s">
        <v>1344</v>
      </c>
    </row>
    <row r="769" spans="1:76" x14ac:dyDescent="0.25">
      <c r="A769" s="31"/>
      <c r="C769" s="32" t="s">
        <v>1345</v>
      </c>
      <c r="D769" s="32" t="s">
        <v>51</v>
      </c>
      <c r="F769" s="33">
        <v>34.22</v>
      </c>
      <c r="K769" s="34"/>
    </row>
    <row r="770" spans="1:76" x14ac:dyDescent="0.25">
      <c r="A770" s="2" t="s">
        <v>1346</v>
      </c>
      <c r="B770" s="3" t="s">
        <v>1347</v>
      </c>
      <c r="C770" s="76" t="s">
        <v>1348</v>
      </c>
      <c r="D770" s="71"/>
      <c r="E770" s="3" t="s">
        <v>188</v>
      </c>
      <c r="F770" s="28">
        <v>34.22</v>
      </c>
      <c r="G770" s="28">
        <v>0</v>
      </c>
      <c r="H770" s="28">
        <f>ROUND(F770*AO770,2)</f>
        <v>0</v>
      </c>
      <c r="I770" s="28">
        <f>ROUND(F770*AP770,2)</f>
        <v>0</v>
      </c>
      <c r="J770" s="28">
        <f>ROUND(F770*G770,2)</f>
        <v>0</v>
      </c>
      <c r="K770" s="29" t="s">
        <v>60</v>
      </c>
      <c r="Z770" s="28">
        <f>ROUND(IF(AQ770="5",BJ770,0),2)</f>
        <v>0</v>
      </c>
      <c r="AB770" s="28">
        <f>ROUND(IF(AQ770="1",BH770,0),2)</f>
        <v>0</v>
      </c>
      <c r="AC770" s="28">
        <f>ROUND(IF(AQ770="1",BI770,0),2)</f>
        <v>0</v>
      </c>
      <c r="AD770" s="28">
        <f>ROUND(IF(AQ770="7",BH770,0),2)</f>
        <v>0</v>
      </c>
      <c r="AE770" s="28">
        <f>ROUND(IF(AQ770="7",BI770,0),2)</f>
        <v>0</v>
      </c>
      <c r="AF770" s="28">
        <f>ROUND(IF(AQ770="2",BH770,0),2)</f>
        <v>0</v>
      </c>
      <c r="AG770" s="28">
        <f>ROUND(IF(AQ770="2",BI770,0),2)</f>
        <v>0</v>
      </c>
      <c r="AH770" s="28">
        <f>ROUND(IF(AQ770="0",BJ770,0),2)</f>
        <v>0</v>
      </c>
      <c r="AI770" s="10" t="s">
        <v>1045</v>
      </c>
      <c r="AJ770" s="28">
        <f>IF(AN770=0,J770,0)</f>
        <v>0</v>
      </c>
      <c r="AK770" s="28">
        <f>IF(AN770=12,J770,0)</f>
        <v>0</v>
      </c>
      <c r="AL770" s="28">
        <f>IF(AN770=21,J770,0)</f>
        <v>0</v>
      </c>
      <c r="AN770" s="28">
        <v>21</v>
      </c>
      <c r="AO770" s="28">
        <f>G770*0</f>
        <v>0</v>
      </c>
      <c r="AP770" s="28">
        <f>G770*(1-0)</f>
        <v>0</v>
      </c>
      <c r="AQ770" s="30" t="s">
        <v>118</v>
      </c>
      <c r="AV770" s="28">
        <f>ROUND(AW770+AX770,2)</f>
        <v>0</v>
      </c>
      <c r="AW770" s="28">
        <f>ROUND(F770*AO770,2)</f>
        <v>0</v>
      </c>
      <c r="AX770" s="28">
        <f>ROUND(F770*AP770,2)</f>
        <v>0</v>
      </c>
      <c r="AY770" s="30" t="s">
        <v>1340</v>
      </c>
      <c r="AZ770" s="30" t="s">
        <v>1233</v>
      </c>
      <c r="BA770" s="10" t="s">
        <v>1050</v>
      </c>
      <c r="BC770" s="28">
        <f>AW770+AX770</f>
        <v>0</v>
      </c>
      <c r="BD770" s="28">
        <f>G770/(100-BE770)*100</f>
        <v>0</v>
      </c>
      <c r="BE770" s="28">
        <v>0</v>
      </c>
      <c r="BF770" s="28">
        <f>778</f>
        <v>778</v>
      </c>
      <c r="BH770" s="28">
        <f>F770*AO770</f>
        <v>0</v>
      </c>
      <c r="BI770" s="28">
        <f>F770*AP770</f>
        <v>0</v>
      </c>
      <c r="BJ770" s="28">
        <f>F770*G770</f>
        <v>0</v>
      </c>
      <c r="BK770" s="28"/>
      <c r="BL770" s="28">
        <v>766</v>
      </c>
      <c r="BW770" s="28">
        <v>21</v>
      </c>
      <c r="BX770" s="4" t="s">
        <v>1348</v>
      </c>
    </row>
    <row r="771" spans="1:76" x14ac:dyDescent="0.25">
      <c r="A771" s="31"/>
      <c r="C771" s="32" t="s">
        <v>1349</v>
      </c>
      <c r="D771" s="32" t="s">
        <v>437</v>
      </c>
      <c r="F771" s="33">
        <v>34.22</v>
      </c>
      <c r="K771" s="34"/>
    </row>
    <row r="772" spans="1:76" x14ac:dyDescent="0.25">
      <c r="A772" s="2" t="s">
        <v>1350</v>
      </c>
      <c r="B772" s="3" t="s">
        <v>1351</v>
      </c>
      <c r="C772" s="76" t="s">
        <v>1352</v>
      </c>
      <c r="D772" s="71"/>
      <c r="E772" s="3" t="s">
        <v>188</v>
      </c>
      <c r="F772" s="28">
        <v>12.67</v>
      </c>
      <c r="G772" s="28">
        <v>0</v>
      </c>
      <c r="H772" s="28">
        <f>ROUND(F772*AO772,2)</f>
        <v>0</v>
      </c>
      <c r="I772" s="28">
        <f>ROUND(F772*AP772,2)</f>
        <v>0</v>
      </c>
      <c r="J772" s="28">
        <f>ROUND(F772*G772,2)</f>
        <v>0</v>
      </c>
      <c r="K772" s="29" t="s">
        <v>60</v>
      </c>
      <c r="Z772" s="28">
        <f>ROUND(IF(AQ772="5",BJ772,0),2)</f>
        <v>0</v>
      </c>
      <c r="AB772" s="28">
        <f>ROUND(IF(AQ772="1",BH772,0),2)</f>
        <v>0</v>
      </c>
      <c r="AC772" s="28">
        <f>ROUND(IF(AQ772="1",BI772,0),2)</f>
        <v>0</v>
      </c>
      <c r="AD772" s="28">
        <f>ROUND(IF(AQ772="7",BH772,0),2)</f>
        <v>0</v>
      </c>
      <c r="AE772" s="28">
        <f>ROUND(IF(AQ772="7",BI772,0),2)</f>
        <v>0</v>
      </c>
      <c r="AF772" s="28">
        <f>ROUND(IF(AQ772="2",BH772,0),2)</f>
        <v>0</v>
      </c>
      <c r="AG772" s="28">
        <f>ROUND(IF(AQ772="2",BI772,0),2)</f>
        <v>0</v>
      </c>
      <c r="AH772" s="28">
        <f>ROUND(IF(AQ772="0",BJ772,0),2)</f>
        <v>0</v>
      </c>
      <c r="AI772" s="10" t="s">
        <v>1045</v>
      </c>
      <c r="AJ772" s="28">
        <f>IF(AN772=0,J772,0)</f>
        <v>0</v>
      </c>
      <c r="AK772" s="28">
        <f>IF(AN772=12,J772,0)</f>
        <v>0</v>
      </c>
      <c r="AL772" s="28">
        <f>IF(AN772=21,J772,0)</f>
        <v>0</v>
      </c>
      <c r="AN772" s="28">
        <v>21</v>
      </c>
      <c r="AO772" s="28">
        <f>G772*0</f>
        <v>0</v>
      </c>
      <c r="AP772" s="28">
        <f>G772*(1-0)</f>
        <v>0</v>
      </c>
      <c r="AQ772" s="30" t="s">
        <v>118</v>
      </c>
      <c r="AV772" s="28">
        <f>ROUND(AW772+AX772,2)</f>
        <v>0</v>
      </c>
      <c r="AW772" s="28">
        <f>ROUND(F772*AO772,2)</f>
        <v>0</v>
      </c>
      <c r="AX772" s="28">
        <f>ROUND(F772*AP772,2)</f>
        <v>0</v>
      </c>
      <c r="AY772" s="30" t="s">
        <v>1340</v>
      </c>
      <c r="AZ772" s="30" t="s">
        <v>1233</v>
      </c>
      <c r="BA772" s="10" t="s">
        <v>1050</v>
      </c>
      <c r="BC772" s="28">
        <f>AW772+AX772</f>
        <v>0</v>
      </c>
      <c r="BD772" s="28">
        <f>G772/(100-BE772)*100</f>
        <v>0</v>
      </c>
      <c r="BE772" s="28">
        <v>0</v>
      </c>
      <c r="BF772" s="28">
        <f>780</f>
        <v>780</v>
      </c>
      <c r="BH772" s="28">
        <f>F772*AO772</f>
        <v>0</v>
      </c>
      <c r="BI772" s="28">
        <f>F772*AP772</f>
        <v>0</v>
      </c>
      <c r="BJ772" s="28">
        <f>F772*G772</f>
        <v>0</v>
      </c>
      <c r="BK772" s="28"/>
      <c r="BL772" s="28">
        <v>766</v>
      </c>
      <c r="BW772" s="28">
        <v>21</v>
      </c>
      <c r="BX772" s="4" t="s">
        <v>1352</v>
      </c>
    </row>
    <row r="773" spans="1:76" ht="13.5" customHeight="1" x14ac:dyDescent="0.25">
      <c r="A773" s="31"/>
      <c r="B773" s="35" t="s">
        <v>105</v>
      </c>
      <c r="C773" s="97" t="s">
        <v>1353</v>
      </c>
      <c r="D773" s="98"/>
      <c r="E773" s="98"/>
      <c r="F773" s="98"/>
      <c r="G773" s="98"/>
      <c r="H773" s="98"/>
      <c r="I773" s="98"/>
      <c r="J773" s="98"/>
      <c r="K773" s="99"/>
    </row>
    <row r="774" spans="1:76" x14ac:dyDescent="0.25">
      <c r="A774" s="2" t="s">
        <v>1354</v>
      </c>
      <c r="B774" s="3" t="s">
        <v>1355</v>
      </c>
      <c r="C774" s="76" t="s">
        <v>1356</v>
      </c>
      <c r="D774" s="71"/>
      <c r="E774" s="3" t="s">
        <v>103</v>
      </c>
      <c r="F774" s="28">
        <v>52.52</v>
      </c>
      <c r="G774" s="28">
        <v>0</v>
      </c>
      <c r="H774" s="28">
        <f>ROUND(F774*AO774,2)</f>
        <v>0</v>
      </c>
      <c r="I774" s="28">
        <f>ROUND(F774*AP774,2)</f>
        <v>0</v>
      </c>
      <c r="J774" s="28">
        <f>ROUND(F774*G774,2)</f>
        <v>0</v>
      </c>
      <c r="K774" s="29" t="s">
        <v>60</v>
      </c>
      <c r="Z774" s="28">
        <f>ROUND(IF(AQ774="5",BJ774,0),2)</f>
        <v>0</v>
      </c>
      <c r="AB774" s="28">
        <f>ROUND(IF(AQ774="1",BH774,0),2)</f>
        <v>0</v>
      </c>
      <c r="AC774" s="28">
        <f>ROUND(IF(AQ774="1",BI774,0),2)</f>
        <v>0</v>
      </c>
      <c r="AD774" s="28">
        <f>ROUND(IF(AQ774="7",BH774,0),2)</f>
        <v>0</v>
      </c>
      <c r="AE774" s="28">
        <f>ROUND(IF(AQ774="7",BI774,0),2)</f>
        <v>0</v>
      </c>
      <c r="AF774" s="28">
        <f>ROUND(IF(AQ774="2",BH774,0),2)</f>
        <v>0</v>
      </c>
      <c r="AG774" s="28">
        <f>ROUND(IF(AQ774="2",BI774,0),2)</f>
        <v>0</v>
      </c>
      <c r="AH774" s="28">
        <f>ROUND(IF(AQ774="0",BJ774,0),2)</f>
        <v>0</v>
      </c>
      <c r="AI774" s="10" t="s">
        <v>1045</v>
      </c>
      <c r="AJ774" s="28">
        <f>IF(AN774=0,J774,0)</f>
        <v>0</v>
      </c>
      <c r="AK774" s="28">
        <f>IF(AN774=12,J774,0)</f>
        <v>0</v>
      </c>
      <c r="AL774" s="28">
        <f>IF(AN774=21,J774,0)</f>
        <v>0</v>
      </c>
      <c r="AN774" s="28">
        <v>21</v>
      </c>
      <c r="AO774" s="28">
        <f>G774*1</f>
        <v>0</v>
      </c>
      <c r="AP774" s="28">
        <f>G774*(1-1)</f>
        <v>0</v>
      </c>
      <c r="AQ774" s="30" t="s">
        <v>118</v>
      </c>
      <c r="AV774" s="28">
        <f>ROUND(AW774+AX774,2)</f>
        <v>0</v>
      </c>
      <c r="AW774" s="28">
        <f>ROUND(F774*AO774,2)</f>
        <v>0</v>
      </c>
      <c r="AX774" s="28">
        <f>ROUND(F774*AP774,2)</f>
        <v>0</v>
      </c>
      <c r="AY774" s="30" t="s">
        <v>1340</v>
      </c>
      <c r="AZ774" s="30" t="s">
        <v>1233</v>
      </c>
      <c r="BA774" s="10" t="s">
        <v>1050</v>
      </c>
      <c r="BC774" s="28">
        <f>AW774+AX774</f>
        <v>0</v>
      </c>
      <c r="BD774" s="28">
        <f>G774/(100-BE774)*100</f>
        <v>0</v>
      </c>
      <c r="BE774" s="28">
        <v>0</v>
      </c>
      <c r="BF774" s="28">
        <f>782</f>
        <v>782</v>
      </c>
      <c r="BH774" s="28">
        <f>F774*AO774</f>
        <v>0</v>
      </c>
      <c r="BI774" s="28">
        <f>F774*AP774</f>
        <v>0</v>
      </c>
      <c r="BJ774" s="28">
        <f>F774*G774</f>
        <v>0</v>
      </c>
      <c r="BK774" s="28"/>
      <c r="BL774" s="28">
        <v>766</v>
      </c>
      <c r="BW774" s="28">
        <v>21</v>
      </c>
      <c r="BX774" s="4" t="s">
        <v>1356</v>
      </c>
    </row>
    <row r="775" spans="1:76" x14ac:dyDescent="0.25">
      <c r="A775" s="31"/>
      <c r="C775" s="32" t="s">
        <v>1341</v>
      </c>
      <c r="D775" s="32" t="s">
        <v>51</v>
      </c>
      <c r="F775" s="33">
        <v>12.67</v>
      </c>
      <c r="K775" s="34"/>
    </row>
    <row r="776" spans="1:76" x14ac:dyDescent="0.25">
      <c r="A776" s="31"/>
      <c r="C776" s="32" t="s">
        <v>1345</v>
      </c>
      <c r="D776" s="32" t="s">
        <v>51</v>
      </c>
      <c r="F776" s="33">
        <v>34.22</v>
      </c>
      <c r="K776" s="34"/>
    </row>
    <row r="777" spans="1:76" x14ac:dyDescent="0.25">
      <c r="A777" s="31"/>
      <c r="C777" s="32" t="s">
        <v>1357</v>
      </c>
      <c r="D777" s="32" t="s">
        <v>51</v>
      </c>
      <c r="F777" s="33">
        <v>52.516800000000003</v>
      </c>
      <c r="K777" s="34"/>
    </row>
    <row r="778" spans="1:76" x14ac:dyDescent="0.25">
      <c r="A778" s="2" t="s">
        <v>1358</v>
      </c>
      <c r="B778" s="3" t="s">
        <v>1359</v>
      </c>
      <c r="C778" s="76" t="s">
        <v>1360</v>
      </c>
      <c r="D778" s="71"/>
      <c r="E778" s="3" t="s">
        <v>1306</v>
      </c>
      <c r="F778" s="28">
        <v>342.77</v>
      </c>
      <c r="G778" s="28">
        <v>0</v>
      </c>
      <c r="H778" s="28">
        <f>ROUND(F778*AO778,2)</f>
        <v>0</v>
      </c>
      <c r="I778" s="28">
        <f>ROUND(F778*AP778,2)</f>
        <v>0</v>
      </c>
      <c r="J778" s="28">
        <f>ROUND(F778*G778,2)</f>
        <v>0</v>
      </c>
      <c r="K778" s="29" t="s">
        <v>60</v>
      </c>
      <c r="Z778" s="28">
        <f>ROUND(IF(AQ778="5",BJ778,0),2)</f>
        <v>0</v>
      </c>
      <c r="AB778" s="28">
        <f>ROUND(IF(AQ778="1",BH778,0),2)</f>
        <v>0</v>
      </c>
      <c r="AC778" s="28">
        <f>ROUND(IF(AQ778="1",BI778,0),2)</f>
        <v>0</v>
      </c>
      <c r="AD778" s="28">
        <f>ROUND(IF(AQ778="7",BH778,0),2)</f>
        <v>0</v>
      </c>
      <c r="AE778" s="28">
        <f>ROUND(IF(AQ778="7",BI778,0),2)</f>
        <v>0</v>
      </c>
      <c r="AF778" s="28">
        <f>ROUND(IF(AQ778="2",BH778,0),2)</f>
        <v>0</v>
      </c>
      <c r="AG778" s="28">
        <f>ROUND(IF(AQ778="2",BI778,0),2)</f>
        <v>0</v>
      </c>
      <c r="AH778" s="28">
        <f>ROUND(IF(AQ778="0",BJ778,0),2)</f>
        <v>0</v>
      </c>
      <c r="AI778" s="10" t="s">
        <v>1045</v>
      </c>
      <c r="AJ778" s="28">
        <f>IF(AN778=0,J778,0)</f>
        <v>0</v>
      </c>
      <c r="AK778" s="28">
        <f>IF(AN778=12,J778,0)</f>
        <v>0</v>
      </c>
      <c r="AL778" s="28">
        <f>IF(AN778=21,J778,0)</f>
        <v>0</v>
      </c>
      <c r="AN778" s="28">
        <v>21</v>
      </c>
      <c r="AO778" s="28">
        <f>G778*0</f>
        <v>0</v>
      </c>
      <c r="AP778" s="28">
        <f>G778*(1-0)</f>
        <v>0</v>
      </c>
      <c r="AQ778" s="30" t="s">
        <v>100</v>
      </c>
      <c r="AV778" s="28">
        <f>ROUND(AW778+AX778,2)</f>
        <v>0</v>
      </c>
      <c r="AW778" s="28">
        <f>ROUND(F778*AO778,2)</f>
        <v>0</v>
      </c>
      <c r="AX778" s="28">
        <f>ROUND(F778*AP778,2)</f>
        <v>0</v>
      </c>
      <c r="AY778" s="30" t="s">
        <v>1340</v>
      </c>
      <c r="AZ778" s="30" t="s">
        <v>1233</v>
      </c>
      <c r="BA778" s="10" t="s">
        <v>1050</v>
      </c>
      <c r="BC778" s="28">
        <f>AW778+AX778</f>
        <v>0</v>
      </c>
      <c r="BD778" s="28">
        <f>G778/(100-BE778)*100</f>
        <v>0</v>
      </c>
      <c r="BE778" s="28">
        <v>0</v>
      </c>
      <c r="BF778" s="28">
        <f>786</f>
        <v>786</v>
      </c>
      <c r="BH778" s="28">
        <f>F778*AO778</f>
        <v>0</v>
      </c>
      <c r="BI778" s="28">
        <f>F778*AP778</f>
        <v>0</v>
      </c>
      <c r="BJ778" s="28">
        <f>F778*G778</f>
        <v>0</v>
      </c>
      <c r="BK778" s="28"/>
      <c r="BL778" s="28">
        <v>766</v>
      </c>
      <c r="BW778" s="28">
        <v>21</v>
      </c>
      <c r="BX778" s="4" t="s">
        <v>1360</v>
      </c>
    </row>
    <row r="779" spans="1:76" x14ac:dyDescent="0.25">
      <c r="A779" s="2" t="s">
        <v>1361</v>
      </c>
      <c r="B779" s="3" t="s">
        <v>1362</v>
      </c>
      <c r="C779" s="76" t="s">
        <v>1363</v>
      </c>
      <c r="D779" s="71"/>
      <c r="E779" s="3" t="s">
        <v>103</v>
      </c>
      <c r="F779" s="28">
        <v>129</v>
      </c>
      <c r="G779" s="28">
        <v>0</v>
      </c>
      <c r="H779" s="28">
        <f>ROUND(F779*AO779,2)</f>
        <v>0</v>
      </c>
      <c r="I779" s="28">
        <f>ROUND(F779*AP779,2)</f>
        <v>0</v>
      </c>
      <c r="J779" s="28">
        <f>ROUND(F779*G779,2)</f>
        <v>0</v>
      </c>
      <c r="K779" s="29" t="s">
        <v>60</v>
      </c>
      <c r="Z779" s="28">
        <f>ROUND(IF(AQ779="5",BJ779,0),2)</f>
        <v>0</v>
      </c>
      <c r="AB779" s="28">
        <f>ROUND(IF(AQ779="1",BH779,0),2)</f>
        <v>0</v>
      </c>
      <c r="AC779" s="28">
        <f>ROUND(IF(AQ779="1",BI779,0),2)</f>
        <v>0</v>
      </c>
      <c r="AD779" s="28">
        <f>ROUND(IF(AQ779="7",BH779,0),2)</f>
        <v>0</v>
      </c>
      <c r="AE779" s="28">
        <f>ROUND(IF(AQ779="7",BI779,0),2)</f>
        <v>0</v>
      </c>
      <c r="AF779" s="28">
        <f>ROUND(IF(AQ779="2",BH779,0),2)</f>
        <v>0</v>
      </c>
      <c r="AG779" s="28">
        <f>ROUND(IF(AQ779="2",BI779,0),2)</f>
        <v>0</v>
      </c>
      <c r="AH779" s="28">
        <f>ROUND(IF(AQ779="0",BJ779,0),2)</f>
        <v>0</v>
      </c>
      <c r="AI779" s="10" t="s">
        <v>1045</v>
      </c>
      <c r="AJ779" s="28">
        <f>IF(AN779=0,J779,0)</f>
        <v>0</v>
      </c>
      <c r="AK779" s="28">
        <f>IF(AN779=12,J779,0)</f>
        <v>0</v>
      </c>
      <c r="AL779" s="28">
        <f>IF(AN779=21,J779,0)</f>
        <v>0</v>
      </c>
      <c r="AN779" s="28">
        <v>21</v>
      </c>
      <c r="AO779" s="28">
        <f>G779*0</f>
        <v>0</v>
      </c>
      <c r="AP779" s="28">
        <f>G779*(1-0)</f>
        <v>0</v>
      </c>
      <c r="AQ779" s="30" t="s">
        <v>118</v>
      </c>
      <c r="AV779" s="28">
        <f>ROUND(AW779+AX779,2)</f>
        <v>0</v>
      </c>
      <c r="AW779" s="28">
        <f>ROUND(F779*AO779,2)</f>
        <v>0</v>
      </c>
      <c r="AX779" s="28">
        <f>ROUND(F779*AP779,2)</f>
        <v>0</v>
      </c>
      <c r="AY779" s="30" t="s">
        <v>1340</v>
      </c>
      <c r="AZ779" s="30" t="s">
        <v>1233</v>
      </c>
      <c r="BA779" s="10" t="s">
        <v>1050</v>
      </c>
      <c r="BC779" s="28">
        <f>AW779+AX779</f>
        <v>0</v>
      </c>
      <c r="BD779" s="28">
        <f>G779/(100-BE779)*100</f>
        <v>0</v>
      </c>
      <c r="BE779" s="28">
        <v>0</v>
      </c>
      <c r="BF779" s="28">
        <f>787</f>
        <v>787</v>
      </c>
      <c r="BH779" s="28">
        <f>F779*AO779</f>
        <v>0</v>
      </c>
      <c r="BI779" s="28">
        <f>F779*AP779</f>
        <v>0</v>
      </c>
      <c r="BJ779" s="28">
        <f>F779*G779</f>
        <v>0</v>
      </c>
      <c r="BK779" s="28"/>
      <c r="BL779" s="28">
        <v>766</v>
      </c>
      <c r="BW779" s="28">
        <v>21</v>
      </c>
      <c r="BX779" s="4" t="s">
        <v>1363</v>
      </c>
    </row>
    <row r="780" spans="1:76" ht="13.5" customHeight="1" x14ac:dyDescent="0.25">
      <c r="A780" s="31"/>
      <c r="B780" s="35" t="s">
        <v>105</v>
      </c>
      <c r="C780" s="97" t="s">
        <v>1364</v>
      </c>
      <c r="D780" s="98"/>
      <c r="E780" s="98"/>
      <c r="F780" s="98"/>
      <c r="G780" s="98"/>
      <c r="H780" s="98"/>
      <c r="I780" s="98"/>
      <c r="J780" s="98"/>
      <c r="K780" s="99"/>
    </row>
    <row r="781" spans="1:76" ht="38.25" x14ac:dyDescent="0.25">
      <c r="A781" s="31"/>
      <c r="B781" s="35" t="s">
        <v>68</v>
      </c>
      <c r="C781" s="94" t="s">
        <v>1365</v>
      </c>
      <c r="D781" s="95"/>
      <c r="E781" s="95"/>
      <c r="F781" s="95"/>
      <c r="G781" s="95"/>
      <c r="H781" s="95"/>
      <c r="I781" s="95"/>
      <c r="J781" s="95"/>
      <c r="K781" s="96"/>
      <c r="BX781" s="36" t="s">
        <v>1365</v>
      </c>
    </row>
    <row r="782" spans="1:76" x14ac:dyDescent="0.25">
      <c r="A782" s="2" t="s">
        <v>1366</v>
      </c>
      <c r="B782" s="3" t="s">
        <v>1367</v>
      </c>
      <c r="C782" s="76" t="s">
        <v>1368</v>
      </c>
      <c r="D782" s="71"/>
      <c r="E782" s="3" t="s">
        <v>457</v>
      </c>
      <c r="F782" s="28">
        <v>1</v>
      </c>
      <c r="G782" s="28">
        <v>0</v>
      </c>
      <c r="H782" s="28">
        <f t="shared" ref="H782:H801" si="0">ROUND(F782*AO782,2)</f>
        <v>0</v>
      </c>
      <c r="I782" s="28">
        <f t="shared" ref="I782:I801" si="1">ROUND(F782*AP782,2)</f>
        <v>0</v>
      </c>
      <c r="J782" s="28">
        <f t="shared" ref="J782:J801" si="2">ROUND(F782*G782,2)</f>
        <v>0</v>
      </c>
      <c r="K782" s="29" t="s">
        <v>1369</v>
      </c>
      <c r="Z782" s="28">
        <f t="shared" ref="Z782:Z801" si="3">ROUND(IF(AQ782="5",BJ782,0),2)</f>
        <v>0</v>
      </c>
      <c r="AB782" s="28">
        <f t="shared" ref="AB782:AB801" si="4">ROUND(IF(AQ782="1",BH782,0),2)</f>
        <v>0</v>
      </c>
      <c r="AC782" s="28">
        <f t="shared" ref="AC782:AC801" si="5">ROUND(IF(AQ782="1",BI782,0),2)</f>
        <v>0</v>
      </c>
      <c r="AD782" s="28">
        <f t="shared" ref="AD782:AD801" si="6">ROUND(IF(AQ782="7",BH782,0),2)</f>
        <v>0</v>
      </c>
      <c r="AE782" s="28">
        <f t="shared" ref="AE782:AE801" si="7">ROUND(IF(AQ782="7",BI782,0),2)</f>
        <v>0</v>
      </c>
      <c r="AF782" s="28">
        <f t="shared" ref="AF782:AF801" si="8">ROUND(IF(AQ782="2",BH782,0),2)</f>
        <v>0</v>
      </c>
      <c r="AG782" s="28">
        <f t="shared" ref="AG782:AG801" si="9">ROUND(IF(AQ782="2",BI782,0),2)</f>
        <v>0</v>
      </c>
      <c r="AH782" s="28">
        <f t="shared" ref="AH782:AH801" si="10">ROUND(IF(AQ782="0",BJ782,0),2)</f>
        <v>0</v>
      </c>
      <c r="AI782" s="10" t="s">
        <v>1045</v>
      </c>
      <c r="AJ782" s="28">
        <f t="shared" ref="AJ782:AJ801" si="11">IF(AN782=0,J782,0)</f>
        <v>0</v>
      </c>
      <c r="AK782" s="28">
        <f t="shared" ref="AK782:AK801" si="12">IF(AN782=12,J782,0)</f>
        <v>0</v>
      </c>
      <c r="AL782" s="28">
        <f t="shared" ref="AL782:AL801" si="13">IF(AN782=21,J782,0)</f>
        <v>0</v>
      </c>
      <c r="AN782" s="28">
        <v>21</v>
      </c>
      <c r="AO782" s="28">
        <f t="shared" ref="AO782:AO800" si="14">G782*1</f>
        <v>0</v>
      </c>
      <c r="AP782" s="28">
        <f t="shared" ref="AP782:AP800" si="15">G782*(1-1)</f>
        <v>0</v>
      </c>
      <c r="AQ782" s="30" t="s">
        <v>118</v>
      </c>
      <c r="AV782" s="28">
        <f t="shared" ref="AV782:AV801" si="16">ROUND(AW782+AX782,2)</f>
        <v>0</v>
      </c>
      <c r="AW782" s="28">
        <f t="shared" ref="AW782:AW801" si="17">ROUND(F782*AO782,2)</f>
        <v>0</v>
      </c>
      <c r="AX782" s="28">
        <f t="shared" ref="AX782:AX801" si="18">ROUND(F782*AP782,2)</f>
        <v>0</v>
      </c>
      <c r="AY782" s="30" t="s">
        <v>1340</v>
      </c>
      <c r="AZ782" s="30" t="s">
        <v>1233</v>
      </c>
      <c r="BA782" s="10" t="s">
        <v>1050</v>
      </c>
      <c r="BC782" s="28">
        <f t="shared" ref="BC782:BC801" si="19">AW782+AX782</f>
        <v>0</v>
      </c>
      <c r="BD782" s="28">
        <f t="shared" ref="BD782:BD801" si="20">G782/(100-BE782)*100</f>
        <v>0</v>
      </c>
      <c r="BE782" s="28">
        <v>0</v>
      </c>
      <c r="BF782" s="28">
        <f>790</f>
        <v>790</v>
      </c>
      <c r="BH782" s="28">
        <f t="shared" ref="BH782:BH801" si="21">F782*AO782</f>
        <v>0</v>
      </c>
      <c r="BI782" s="28">
        <f t="shared" ref="BI782:BI801" si="22">F782*AP782</f>
        <v>0</v>
      </c>
      <c r="BJ782" s="28">
        <f t="shared" ref="BJ782:BJ801" si="23">F782*G782</f>
        <v>0</v>
      </c>
      <c r="BK782" s="28"/>
      <c r="BL782" s="28">
        <v>766</v>
      </c>
      <c r="BW782" s="28">
        <v>21</v>
      </c>
      <c r="BX782" s="4" t="s">
        <v>1368</v>
      </c>
    </row>
    <row r="783" spans="1:76" ht="25.5" x14ac:dyDescent="0.25">
      <c r="A783" s="2" t="s">
        <v>1370</v>
      </c>
      <c r="B783" s="3" t="s">
        <v>1371</v>
      </c>
      <c r="C783" s="76" t="s">
        <v>2465</v>
      </c>
      <c r="D783" s="71"/>
      <c r="E783" s="3" t="s">
        <v>457</v>
      </c>
      <c r="F783" s="28">
        <v>1</v>
      </c>
      <c r="G783" s="28">
        <v>0</v>
      </c>
      <c r="H783" s="28">
        <f t="shared" si="0"/>
        <v>0</v>
      </c>
      <c r="I783" s="28">
        <f t="shared" si="1"/>
        <v>0</v>
      </c>
      <c r="J783" s="28">
        <f t="shared" si="2"/>
        <v>0</v>
      </c>
      <c r="K783" s="29" t="s">
        <v>1369</v>
      </c>
      <c r="Z783" s="28">
        <f t="shared" si="3"/>
        <v>0</v>
      </c>
      <c r="AB783" s="28">
        <f t="shared" si="4"/>
        <v>0</v>
      </c>
      <c r="AC783" s="28">
        <f t="shared" si="5"/>
        <v>0</v>
      </c>
      <c r="AD783" s="28">
        <f t="shared" si="6"/>
        <v>0</v>
      </c>
      <c r="AE783" s="28">
        <f t="shared" si="7"/>
        <v>0</v>
      </c>
      <c r="AF783" s="28">
        <f t="shared" si="8"/>
        <v>0</v>
      </c>
      <c r="AG783" s="28">
        <f t="shared" si="9"/>
        <v>0</v>
      </c>
      <c r="AH783" s="28">
        <f t="shared" si="10"/>
        <v>0</v>
      </c>
      <c r="AI783" s="10" t="s">
        <v>1045</v>
      </c>
      <c r="AJ783" s="28">
        <f t="shared" si="11"/>
        <v>0</v>
      </c>
      <c r="AK783" s="28">
        <f t="shared" si="12"/>
        <v>0</v>
      </c>
      <c r="AL783" s="28">
        <f t="shared" si="13"/>
        <v>0</v>
      </c>
      <c r="AN783" s="28">
        <v>21</v>
      </c>
      <c r="AO783" s="28">
        <f t="shared" si="14"/>
        <v>0</v>
      </c>
      <c r="AP783" s="28">
        <f t="shared" si="15"/>
        <v>0</v>
      </c>
      <c r="AQ783" s="30" t="s">
        <v>118</v>
      </c>
      <c r="AV783" s="28">
        <f t="shared" si="16"/>
        <v>0</v>
      </c>
      <c r="AW783" s="28">
        <f t="shared" si="17"/>
        <v>0</v>
      </c>
      <c r="AX783" s="28">
        <f t="shared" si="18"/>
        <v>0</v>
      </c>
      <c r="AY783" s="30" t="s">
        <v>1340</v>
      </c>
      <c r="AZ783" s="30" t="s">
        <v>1233</v>
      </c>
      <c r="BA783" s="10" t="s">
        <v>1050</v>
      </c>
      <c r="BC783" s="28">
        <f t="shared" si="19"/>
        <v>0</v>
      </c>
      <c r="BD783" s="28">
        <f t="shared" si="20"/>
        <v>0</v>
      </c>
      <c r="BE783" s="28">
        <v>0</v>
      </c>
      <c r="BF783" s="28">
        <f>791</f>
        <v>791</v>
      </c>
      <c r="BH783" s="28">
        <f t="shared" si="21"/>
        <v>0</v>
      </c>
      <c r="BI783" s="28">
        <f t="shared" si="22"/>
        <v>0</v>
      </c>
      <c r="BJ783" s="28">
        <f t="shared" si="23"/>
        <v>0</v>
      </c>
      <c r="BK783" s="28"/>
      <c r="BL783" s="28">
        <v>766</v>
      </c>
      <c r="BW783" s="28">
        <v>21</v>
      </c>
      <c r="BX783" s="4" t="s">
        <v>1372</v>
      </c>
    </row>
    <row r="784" spans="1:76" x14ac:dyDescent="0.25">
      <c r="A784" s="2" t="s">
        <v>1373</v>
      </c>
      <c r="B784" s="3" t="s">
        <v>1374</v>
      </c>
      <c r="C784" s="76" t="s">
        <v>1375</v>
      </c>
      <c r="D784" s="71"/>
      <c r="E784" s="3" t="s">
        <v>1376</v>
      </c>
      <c r="F784" s="28">
        <v>1</v>
      </c>
      <c r="G784" s="28">
        <v>0</v>
      </c>
      <c r="H784" s="28">
        <f t="shared" si="0"/>
        <v>0</v>
      </c>
      <c r="I784" s="28">
        <f t="shared" si="1"/>
        <v>0</v>
      </c>
      <c r="J784" s="28">
        <f t="shared" si="2"/>
        <v>0</v>
      </c>
      <c r="K784" s="29" t="s">
        <v>1369</v>
      </c>
      <c r="Z784" s="28">
        <f t="shared" si="3"/>
        <v>0</v>
      </c>
      <c r="AB784" s="28">
        <f t="shared" si="4"/>
        <v>0</v>
      </c>
      <c r="AC784" s="28">
        <f t="shared" si="5"/>
        <v>0</v>
      </c>
      <c r="AD784" s="28">
        <f t="shared" si="6"/>
        <v>0</v>
      </c>
      <c r="AE784" s="28">
        <f t="shared" si="7"/>
        <v>0</v>
      </c>
      <c r="AF784" s="28">
        <f t="shared" si="8"/>
        <v>0</v>
      </c>
      <c r="AG784" s="28">
        <f t="shared" si="9"/>
        <v>0</v>
      </c>
      <c r="AH784" s="28">
        <f t="shared" si="10"/>
        <v>0</v>
      </c>
      <c r="AI784" s="10" t="s">
        <v>1045</v>
      </c>
      <c r="AJ784" s="28">
        <f t="shared" si="11"/>
        <v>0</v>
      </c>
      <c r="AK784" s="28">
        <f t="shared" si="12"/>
        <v>0</v>
      </c>
      <c r="AL784" s="28">
        <f t="shared" si="13"/>
        <v>0</v>
      </c>
      <c r="AN784" s="28">
        <v>21</v>
      </c>
      <c r="AO784" s="28">
        <f t="shared" si="14"/>
        <v>0</v>
      </c>
      <c r="AP784" s="28">
        <f t="shared" si="15"/>
        <v>0</v>
      </c>
      <c r="AQ784" s="30" t="s">
        <v>118</v>
      </c>
      <c r="AV784" s="28">
        <f t="shared" si="16"/>
        <v>0</v>
      </c>
      <c r="AW784" s="28">
        <f t="shared" si="17"/>
        <v>0</v>
      </c>
      <c r="AX784" s="28">
        <f t="shared" si="18"/>
        <v>0</v>
      </c>
      <c r="AY784" s="30" t="s">
        <v>1340</v>
      </c>
      <c r="AZ784" s="30" t="s">
        <v>1233</v>
      </c>
      <c r="BA784" s="10" t="s">
        <v>1050</v>
      </c>
      <c r="BC784" s="28">
        <f t="shared" si="19"/>
        <v>0</v>
      </c>
      <c r="BD784" s="28">
        <f t="shared" si="20"/>
        <v>0</v>
      </c>
      <c r="BE784" s="28">
        <v>0</v>
      </c>
      <c r="BF784" s="28">
        <f>792</f>
        <v>792</v>
      </c>
      <c r="BH784" s="28">
        <f t="shared" si="21"/>
        <v>0</v>
      </c>
      <c r="BI784" s="28">
        <f t="shared" si="22"/>
        <v>0</v>
      </c>
      <c r="BJ784" s="28">
        <f t="shared" si="23"/>
        <v>0</v>
      </c>
      <c r="BK784" s="28"/>
      <c r="BL784" s="28">
        <v>766</v>
      </c>
      <c r="BW784" s="28">
        <v>21</v>
      </c>
      <c r="BX784" s="4" t="s">
        <v>1375</v>
      </c>
    </row>
    <row r="785" spans="1:76" x14ac:dyDescent="0.25">
      <c r="A785" s="2" t="s">
        <v>1377</v>
      </c>
      <c r="B785" s="3" t="s">
        <v>1378</v>
      </c>
      <c r="C785" s="76" t="s">
        <v>1379</v>
      </c>
      <c r="D785" s="71"/>
      <c r="E785" s="3" t="s">
        <v>457</v>
      </c>
      <c r="F785" s="28">
        <v>1</v>
      </c>
      <c r="G785" s="28">
        <v>0</v>
      </c>
      <c r="H785" s="28">
        <f t="shared" si="0"/>
        <v>0</v>
      </c>
      <c r="I785" s="28">
        <f t="shared" si="1"/>
        <v>0</v>
      </c>
      <c r="J785" s="28">
        <f t="shared" si="2"/>
        <v>0</v>
      </c>
      <c r="K785" s="29" t="s">
        <v>1369</v>
      </c>
      <c r="Z785" s="28">
        <f t="shared" si="3"/>
        <v>0</v>
      </c>
      <c r="AB785" s="28">
        <f t="shared" si="4"/>
        <v>0</v>
      </c>
      <c r="AC785" s="28">
        <f t="shared" si="5"/>
        <v>0</v>
      </c>
      <c r="AD785" s="28">
        <f t="shared" si="6"/>
        <v>0</v>
      </c>
      <c r="AE785" s="28">
        <f t="shared" si="7"/>
        <v>0</v>
      </c>
      <c r="AF785" s="28">
        <f t="shared" si="8"/>
        <v>0</v>
      </c>
      <c r="AG785" s="28">
        <f t="shared" si="9"/>
        <v>0</v>
      </c>
      <c r="AH785" s="28">
        <f t="shared" si="10"/>
        <v>0</v>
      </c>
      <c r="AI785" s="10" t="s">
        <v>1045</v>
      </c>
      <c r="AJ785" s="28">
        <f t="shared" si="11"/>
        <v>0</v>
      </c>
      <c r="AK785" s="28">
        <f t="shared" si="12"/>
        <v>0</v>
      </c>
      <c r="AL785" s="28">
        <f t="shared" si="13"/>
        <v>0</v>
      </c>
      <c r="AN785" s="28">
        <v>21</v>
      </c>
      <c r="AO785" s="28">
        <f t="shared" si="14"/>
        <v>0</v>
      </c>
      <c r="AP785" s="28">
        <f t="shared" si="15"/>
        <v>0</v>
      </c>
      <c r="AQ785" s="30" t="s">
        <v>118</v>
      </c>
      <c r="AV785" s="28">
        <f t="shared" si="16"/>
        <v>0</v>
      </c>
      <c r="AW785" s="28">
        <f t="shared" si="17"/>
        <v>0</v>
      </c>
      <c r="AX785" s="28">
        <f t="shared" si="18"/>
        <v>0</v>
      </c>
      <c r="AY785" s="30" t="s">
        <v>1340</v>
      </c>
      <c r="AZ785" s="30" t="s">
        <v>1233</v>
      </c>
      <c r="BA785" s="10" t="s">
        <v>1050</v>
      </c>
      <c r="BC785" s="28">
        <f t="shared" si="19"/>
        <v>0</v>
      </c>
      <c r="BD785" s="28">
        <f t="shared" si="20"/>
        <v>0</v>
      </c>
      <c r="BE785" s="28">
        <v>0</v>
      </c>
      <c r="BF785" s="28">
        <f>793</f>
        <v>793</v>
      </c>
      <c r="BH785" s="28">
        <f t="shared" si="21"/>
        <v>0</v>
      </c>
      <c r="BI785" s="28">
        <f t="shared" si="22"/>
        <v>0</v>
      </c>
      <c r="BJ785" s="28">
        <f t="shared" si="23"/>
        <v>0</v>
      </c>
      <c r="BK785" s="28"/>
      <c r="BL785" s="28">
        <v>766</v>
      </c>
      <c r="BW785" s="28">
        <v>21</v>
      </c>
      <c r="BX785" s="4" t="s">
        <v>1379</v>
      </c>
    </row>
    <row r="786" spans="1:76" x14ac:dyDescent="0.25">
      <c r="A786" s="2" t="s">
        <v>1380</v>
      </c>
      <c r="B786" s="3" t="s">
        <v>1381</v>
      </c>
      <c r="C786" s="76" t="s">
        <v>1382</v>
      </c>
      <c r="D786" s="71"/>
      <c r="E786" s="3" t="s">
        <v>1376</v>
      </c>
      <c r="F786" s="28">
        <v>3</v>
      </c>
      <c r="G786" s="28">
        <v>0</v>
      </c>
      <c r="H786" s="28">
        <f t="shared" si="0"/>
        <v>0</v>
      </c>
      <c r="I786" s="28">
        <f t="shared" si="1"/>
        <v>0</v>
      </c>
      <c r="J786" s="28">
        <f t="shared" si="2"/>
        <v>0</v>
      </c>
      <c r="K786" s="29" t="s">
        <v>1369</v>
      </c>
      <c r="Z786" s="28">
        <f t="shared" si="3"/>
        <v>0</v>
      </c>
      <c r="AB786" s="28">
        <f t="shared" si="4"/>
        <v>0</v>
      </c>
      <c r="AC786" s="28">
        <f t="shared" si="5"/>
        <v>0</v>
      </c>
      <c r="AD786" s="28">
        <f t="shared" si="6"/>
        <v>0</v>
      </c>
      <c r="AE786" s="28">
        <f t="shared" si="7"/>
        <v>0</v>
      </c>
      <c r="AF786" s="28">
        <f t="shared" si="8"/>
        <v>0</v>
      </c>
      <c r="AG786" s="28">
        <f t="shared" si="9"/>
        <v>0</v>
      </c>
      <c r="AH786" s="28">
        <f t="shared" si="10"/>
        <v>0</v>
      </c>
      <c r="AI786" s="10" t="s">
        <v>1045</v>
      </c>
      <c r="AJ786" s="28">
        <f t="shared" si="11"/>
        <v>0</v>
      </c>
      <c r="AK786" s="28">
        <f t="shared" si="12"/>
        <v>0</v>
      </c>
      <c r="AL786" s="28">
        <f t="shared" si="13"/>
        <v>0</v>
      </c>
      <c r="AN786" s="28">
        <v>21</v>
      </c>
      <c r="AO786" s="28">
        <f t="shared" si="14"/>
        <v>0</v>
      </c>
      <c r="AP786" s="28">
        <f t="shared" si="15"/>
        <v>0</v>
      </c>
      <c r="AQ786" s="30" t="s">
        <v>118</v>
      </c>
      <c r="AV786" s="28">
        <f t="shared" si="16"/>
        <v>0</v>
      </c>
      <c r="AW786" s="28">
        <f t="shared" si="17"/>
        <v>0</v>
      </c>
      <c r="AX786" s="28">
        <f t="shared" si="18"/>
        <v>0</v>
      </c>
      <c r="AY786" s="30" t="s">
        <v>1340</v>
      </c>
      <c r="AZ786" s="30" t="s">
        <v>1233</v>
      </c>
      <c r="BA786" s="10" t="s">
        <v>1050</v>
      </c>
      <c r="BC786" s="28">
        <f t="shared" si="19"/>
        <v>0</v>
      </c>
      <c r="BD786" s="28">
        <f t="shared" si="20"/>
        <v>0</v>
      </c>
      <c r="BE786" s="28">
        <v>0</v>
      </c>
      <c r="BF786" s="28">
        <f>794</f>
        <v>794</v>
      </c>
      <c r="BH786" s="28">
        <f t="shared" si="21"/>
        <v>0</v>
      </c>
      <c r="BI786" s="28">
        <f t="shared" si="22"/>
        <v>0</v>
      </c>
      <c r="BJ786" s="28">
        <f t="shared" si="23"/>
        <v>0</v>
      </c>
      <c r="BK786" s="28"/>
      <c r="BL786" s="28">
        <v>766</v>
      </c>
      <c r="BW786" s="28">
        <v>21</v>
      </c>
      <c r="BX786" s="4" t="s">
        <v>1382</v>
      </c>
    </row>
    <row r="787" spans="1:76" x14ac:dyDescent="0.25">
      <c r="A787" s="2" t="s">
        <v>1383</v>
      </c>
      <c r="B787" s="3" t="s">
        <v>1384</v>
      </c>
      <c r="C787" s="76" t="s">
        <v>1385</v>
      </c>
      <c r="D787" s="71"/>
      <c r="E787" s="3" t="s">
        <v>293</v>
      </c>
      <c r="F787" s="28">
        <v>2</v>
      </c>
      <c r="G787" s="28">
        <v>0</v>
      </c>
      <c r="H787" s="28">
        <f t="shared" si="0"/>
        <v>0</v>
      </c>
      <c r="I787" s="28">
        <f t="shared" si="1"/>
        <v>0</v>
      </c>
      <c r="J787" s="28">
        <f t="shared" si="2"/>
        <v>0</v>
      </c>
      <c r="K787" s="29" t="s">
        <v>1369</v>
      </c>
      <c r="Z787" s="28">
        <f t="shared" si="3"/>
        <v>0</v>
      </c>
      <c r="AB787" s="28">
        <f t="shared" si="4"/>
        <v>0</v>
      </c>
      <c r="AC787" s="28">
        <f t="shared" si="5"/>
        <v>0</v>
      </c>
      <c r="AD787" s="28">
        <f t="shared" si="6"/>
        <v>0</v>
      </c>
      <c r="AE787" s="28">
        <f t="shared" si="7"/>
        <v>0</v>
      </c>
      <c r="AF787" s="28">
        <f t="shared" si="8"/>
        <v>0</v>
      </c>
      <c r="AG787" s="28">
        <f t="shared" si="9"/>
        <v>0</v>
      </c>
      <c r="AH787" s="28">
        <f t="shared" si="10"/>
        <v>0</v>
      </c>
      <c r="AI787" s="10" t="s">
        <v>1045</v>
      </c>
      <c r="AJ787" s="28">
        <f t="shared" si="11"/>
        <v>0</v>
      </c>
      <c r="AK787" s="28">
        <f t="shared" si="12"/>
        <v>0</v>
      </c>
      <c r="AL787" s="28">
        <f t="shared" si="13"/>
        <v>0</v>
      </c>
      <c r="AN787" s="28">
        <v>21</v>
      </c>
      <c r="AO787" s="28">
        <f t="shared" si="14"/>
        <v>0</v>
      </c>
      <c r="AP787" s="28">
        <f t="shared" si="15"/>
        <v>0</v>
      </c>
      <c r="AQ787" s="30" t="s">
        <v>118</v>
      </c>
      <c r="AV787" s="28">
        <f t="shared" si="16"/>
        <v>0</v>
      </c>
      <c r="AW787" s="28">
        <f t="shared" si="17"/>
        <v>0</v>
      </c>
      <c r="AX787" s="28">
        <f t="shared" si="18"/>
        <v>0</v>
      </c>
      <c r="AY787" s="30" t="s">
        <v>1340</v>
      </c>
      <c r="AZ787" s="30" t="s">
        <v>1233</v>
      </c>
      <c r="BA787" s="10" t="s">
        <v>1050</v>
      </c>
      <c r="BC787" s="28">
        <f t="shared" si="19"/>
        <v>0</v>
      </c>
      <c r="BD787" s="28">
        <f t="shared" si="20"/>
        <v>0</v>
      </c>
      <c r="BE787" s="28">
        <v>0</v>
      </c>
      <c r="BF787" s="28">
        <f>795</f>
        <v>795</v>
      </c>
      <c r="BH787" s="28">
        <f t="shared" si="21"/>
        <v>0</v>
      </c>
      <c r="BI787" s="28">
        <f t="shared" si="22"/>
        <v>0</v>
      </c>
      <c r="BJ787" s="28">
        <f t="shared" si="23"/>
        <v>0</v>
      </c>
      <c r="BK787" s="28"/>
      <c r="BL787" s="28">
        <v>766</v>
      </c>
      <c r="BW787" s="28">
        <v>21</v>
      </c>
      <c r="BX787" s="4" t="s">
        <v>1385</v>
      </c>
    </row>
    <row r="788" spans="1:76" x14ac:dyDescent="0.25">
      <c r="A788" s="2" t="s">
        <v>1386</v>
      </c>
      <c r="B788" s="3" t="s">
        <v>1387</v>
      </c>
      <c r="C788" s="76" t="s">
        <v>1388</v>
      </c>
      <c r="D788" s="71"/>
      <c r="E788" s="3" t="s">
        <v>293</v>
      </c>
      <c r="F788" s="28">
        <v>2</v>
      </c>
      <c r="G788" s="28">
        <v>0</v>
      </c>
      <c r="H788" s="28">
        <f t="shared" si="0"/>
        <v>0</v>
      </c>
      <c r="I788" s="28">
        <f t="shared" si="1"/>
        <v>0</v>
      </c>
      <c r="J788" s="28">
        <f t="shared" si="2"/>
        <v>0</v>
      </c>
      <c r="K788" s="29" t="s">
        <v>1369</v>
      </c>
      <c r="Z788" s="28">
        <f t="shared" si="3"/>
        <v>0</v>
      </c>
      <c r="AB788" s="28">
        <f t="shared" si="4"/>
        <v>0</v>
      </c>
      <c r="AC788" s="28">
        <f t="shared" si="5"/>
        <v>0</v>
      </c>
      <c r="AD788" s="28">
        <f t="shared" si="6"/>
        <v>0</v>
      </c>
      <c r="AE788" s="28">
        <f t="shared" si="7"/>
        <v>0</v>
      </c>
      <c r="AF788" s="28">
        <f t="shared" si="8"/>
        <v>0</v>
      </c>
      <c r="AG788" s="28">
        <f t="shared" si="9"/>
        <v>0</v>
      </c>
      <c r="AH788" s="28">
        <f t="shared" si="10"/>
        <v>0</v>
      </c>
      <c r="AI788" s="10" t="s">
        <v>1045</v>
      </c>
      <c r="AJ788" s="28">
        <f t="shared" si="11"/>
        <v>0</v>
      </c>
      <c r="AK788" s="28">
        <f t="shared" si="12"/>
        <v>0</v>
      </c>
      <c r="AL788" s="28">
        <f t="shared" si="13"/>
        <v>0</v>
      </c>
      <c r="AN788" s="28">
        <v>21</v>
      </c>
      <c r="AO788" s="28">
        <f t="shared" si="14"/>
        <v>0</v>
      </c>
      <c r="AP788" s="28">
        <f t="shared" si="15"/>
        <v>0</v>
      </c>
      <c r="AQ788" s="30" t="s">
        <v>118</v>
      </c>
      <c r="AV788" s="28">
        <f t="shared" si="16"/>
        <v>0</v>
      </c>
      <c r="AW788" s="28">
        <f t="shared" si="17"/>
        <v>0</v>
      </c>
      <c r="AX788" s="28">
        <f t="shared" si="18"/>
        <v>0</v>
      </c>
      <c r="AY788" s="30" t="s">
        <v>1340</v>
      </c>
      <c r="AZ788" s="30" t="s">
        <v>1233</v>
      </c>
      <c r="BA788" s="10" t="s">
        <v>1050</v>
      </c>
      <c r="BC788" s="28">
        <f t="shared" si="19"/>
        <v>0</v>
      </c>
      <c r="BD788" s="28">
        <f t="shared" si="20"/>
        <v>0</v>
      </c>
      <c r="BE788" s="28">
        <v>0</v>
      </c>
      <c r="BF788" s="28">
        <f>796</f>
        <v>796</v>
      </c>
      <c r="BH788" s="28">
        <f t="shared" si="21"/>
        <v>0</v>
      </c>
      <c r="BI788" s="28">
        <f t="shared" si="22"/>
        <v>0</v>
      </c>
      <c r="BJ788" s="28">
        <f t="shared" si="23"/>
        <v>0</v>
      </c>
      <c r="BK788" s="28"/>
      <c r="BL788" s="28">
        <v>766</v>
      </c>
      <c r="BW788" s="28">
        <v>21</v>
      </c>
      <c r="BX788" s="4" t="s">
        <v>1388</v>
      </c>
    </row>
    <row r="789" spans="1:76" x14ac:dyDescent="0.25">
      <c r="A789" s="2" t="s">
        <v>1389</v>
      </c>
      <c r="B789" s="3" t="s">
        <v>1390</v>
      </c>
      <c r="C789" s="76" t="s">
        <v>1391</v>
      </c>
      <c r="D789" s="71"/>
      <c r="E789" s="3" t="s">
        <v>1376</v>
      </c>
      <c r="F789" s="28">
        <v>4</v>
      </c>
      <c r="G789" s="28">
        <v>0</v>
      </c>
      <c r="H789" s="28">
        <f t="shared" si="0"/>
        <v>0</v>
      </c>
      <c r="I789" s="28">
        <f t="shared" si="1"/>
        <v>0</v>
      </c>
      <c r="J789" s="28">
        <f t="shared" si="2"/>
        <v>0</v>
      </c>
      <c r="K789" s="29" t="s">
        <v>1369</v>
      </c>
      <c r="Z789" s="28">
        <f t="shared" si="3"/>
        <v>0</v>
      </c>
      <c r="AB789" s="28">
        <f t="shared" si="4"/>
        <v>0</v>
      </c>
      <c r="AC789" s="28">
        <f t="shared" si="5"/>
        <v>0</v>
      </c>
      <c r="AD789" s="28">
        <f t="shared" si="6"/>
        <v>0</v>
      </c>
      <c r="AE789" s="28">
        <f t="shared" si="7"/>
        <v>0</v>
      </c>
      <c r="AF789" s="28">
        <f t="shared" si="8"/>
        <v>0</v>
      </c>
      <c r="AG789" s="28">
        <f t="shared" si="9"/>
        <v>0</v>
      </c>
      <c r="AH789" s="28">
        <f t="shared" si="10"/>
        <v>0</v>
      </c>
      <c r="AI789" s="10" t="s">
        <v>1045</v>
      </c>
      <c r="AJ789" s="28">
        <f t="shared" si="11"/>
        <v>0</v>
      </c>
      <c r="AK789" s="28">
        <f t="shared" si="12"/>
        <v>0</v>
      </c>
      <c r="AL789" s="28">
        <f t="shared" si="13"/>
        <v>0</v>
      </c>
      <c r="AN789" s="28">
        <v>21</v>
      </c>
      <c r="AO789" s="28">
        <f t="shared" si="14"/>
        <v>0</v>
      </c>
      <c r="AP789" s="28">
        <f t="shared" si="15"/>
        <v>0</v>
      </c>
      <c r="AQ789" s="30" t="s">
        <v>118</v>
      </c>
      <c r="AV789" s="28">
        <f t="shared" si="16"/>
        <v>0</v>
      </c>
      <c r="AW789" s="28">
        <f t="shared" si="17"/>
        <v>0</v>
      </c>
      <c r="AX789" s="28">
        <f t="shared" si="18"/>
        <v>0</v>
      </c>
      <c r="AY789" s="30" t="s">
        <v>1340</v>
      </c>
      <c r="AZ789" s="30" t="s">
        <v>1233</v>
      </c>
      <c r="BA789" s="10" t="s">
        <v>1050</v>
      </c>
      <c r="BC789" s="28">
        <f t="shared" si="19"/>
        <v>0</v>
      </c>
      <c r="BD789" s="28">
        <f t="shared" si="20"/>
        <v>0</v>
      </c>
      <c r="BE789" s="28">
        <v>0</v>
      </c>
      <c r="BF789" s="28">
        <f>797</f>
        <v>797</v>
      </c>
      <c r="BH789" s="28">
        <f t="shared" si="21"/>
        <v>0</v>
      </c>
      <c r="BI789" s="28">
        <f t="shared" si="22"/>
        <v>0</v>
      </c>
      <c r="BJ789" s="28">
        <f t="shared" si="23"/>
        <v>0</v>
      </c>
      <c r="BK789" s="28"/>
      <c r="BL789" s="28">
        <v>766</v>
      </c>
      <c r="BW789" s="28">
        <v>21</v>
      </c>
      <c r="BX789" s="4" t="s">
        <v>1391</v>
      </c>
    </row>
    <row r="790" spans="1:76" x14ac:dyDescent="0.25">
      <c r="A790" s="2" t="s">
        <v>1392</v>
      </c>
      <c r="B790" s="3" t="s">
        <v>1393</v>
      </c>
      <c r="C790" s="76" t="s">
        <v>2466</v>
      </c>
      <c r="D790" s="71"/>
      <c r="E790" s="3" t="s">
        <v>1376</v>
      </c>
      <c r="F790" s="28">
        <v>5</v>
      </c>
      <c r="G790" s="28">
        <v>0</v>
      </c>
      <c r="H790" s="28">
        <f t="shared" si="0"/>
        <v>0</v>
      </c>
      <c r="I790" s="28">
        <f t="shared" si="1"/>
        <v>0</v>
      </c>
      <c r="J790" s="28">
        <f t="shared" si="2"/>
        <v>0</v>
      </c>
      <c r="K790" s="29" t="s">
        <v>1369</v>
      </c>
      <c r="Z790" s="28">
        <f t="shared" si="3"/>
        <v>0</v>
      </c>
      <c r="AB790" s="28">
        <f t="shared" si="4"/>
        <v>0</v>
      </c>
      <c r="AC790" s="28">
        <f t="shared" si="5"/>
        <v>0</v>
      </c>
      <c r="AD790" s="28">
        <f t="shared" si="6"/>
        <v>0</v>
      </c>
      <c r="AE790" s="28">
        <f t="shared" si="7"/>
        <v>0</v>
      </c>
      <c r="AF790" s="28">
        <f t="shared" si="8"/>
        <v>0</v>
      </c>
      <c r="AG790" s="28">
        <f t="shared" si="9"/>
        <v>0</v>
      </c>
      <c r="AH790" s="28">
        <f t="shared" si="10"/>
        <v>0</v>
      </c>
      <c r="AI790" s="10" t="s">
        <v>1045</v>
      </c>
      <c r="AJ790" s="28">
        <f t="shared" si="11"/>
        <v>0</v>
      </c>
      <c r="AK790" s="28">
        <f t="shared" si="12"/>
        <v>0</v>
      </c>
      <c r="AL790" s="28">
        <f t="shared" si="13"/>
        <v>0</v>
      </c>
      <c r="AN790" s="28">
        <v>21</v>
      </c>
      <c r="AO790" s="28">
        <f t="shared" si="14"/>
        <v>0</v>
      </c>
      <c r="AP790" s="28">
        <f t="shared" si="15"/>
        <v>0</v>
      </c>
      <c r="AQ790" s="30" t="s">
        <v>118</v>
      </c>
      <c r="AV790" s="28">
        <f t="shared" si="16"/>
        <v>0</v>
      </c>
      <c r="AW790" s="28">
        <f t="shared" si="17"/>
        <v>0</v>
      </c>
      <c r="AX790" s="28">
        <f t="shared" si="18"/>
        <v>0</v>
      </c>
      <c r="AY790" s="30" t="s">
        <v>1340</v>
      </c>
      <c r="AZ790" s="30" t="s">
        <v>1233</v>
      </c>
      <c r="BA790" s="10" t="s">
        <v>1050</v>
      </c>
      <c r="BC790" s="28">
        <f t="shared" si="19"/>
        <v>0</v>
      </c>
      <c r="BD790" s="28">
        <f t="shared" si="20"/>
        <v>0</v>
      </c>
      <c r="BE790" s="28">
        <v>0</v>
      </c>
      <c r="BF790" s="28">
        <f>798</f>
        <v>798</v>
      </c>
      <c r="BH790" s="28">
        <f t="shared" si="21"/>
        <v>0</v>
      </c>
      <c r="BI790" s="28">
        <f t="shared" si="22"/>
        <v>0</v>
      </c>
      <c r="BJ790" s="28">
        <f t="shared" si="23"/>
        <v>0</v>
      </c>
      <c r="BK790" s="28"/>
      <c r="BL790" s="28">
        <v>766</v>
      </c>
      <c r="BW790" s="28">
        <v>21</v>
      </c>
      <c r="BX790" s="4" t="s">
        <v>1394</v>
      </c>
    </row>
    <row r="791" spans="1:76" x14ac:dyDescent="0.25">
      <c r="A791" s="2" t="s">
        <v>1395</v>
      </c>
      <c r="B791" s="3" t="s">
        <v>1396</v>
      </c>
      <c r="C791" s="76" t="s">
        <v>1397</v>
      </c>
      <c r="D791" s="71"/>
      <c r="E791" s="3" t="s">
        <v>457</v>
      </c>
      <c r="F791" s="28">
        <v>1</v>
      </c>
      <c r="G791" s="28">
        <v>0</v>
      </c>
      <c r="H791" s="28">
        <f t="shared" si="0"/>
        <v>0</v>
      </c>
      <c r="I791" s="28">
        <f t="shared" si="1"/>
        <v>0</v>
      </c>
      <c r="J791" s="28">
        <f t="shared" si="2"/>
        <v>0</v>
      </c>
      <c r="K791" s="29" t="s">
        <v>1369</v>
      </c>
      <c r="Z791" s="28">
        <f t="shared" si="3"/>
        <v>0</v>
      </c>
      <c r="AB791" s="28">
        <f t="shared" si="4"/>
        <v>0</v>
      </c>
      <c r="AC791" s="28">
        <f t="shared" si="5"/>
        <v>0</v>
      </c>
      <c r="AD791" s="28">
        <f t="shared" si="6"/>
        <v>0</v>
      </c>
      <c r="AE791" s="28">
        <f t="shared" si="7"/>
        <v>0</v>
      </c>
      <c r="AF791" s="28">
        <f t="shared" si="8"/>
        <v>0</v>
      </c>
      <c r="AG791" s="28">
        <f t="shared" si="9"/>
        <v>0</v>
      </c>
      <c r="AH791" s="28">
        <f t="shared" si="10"/>
        <v>0</v>
      </c>
      <c r="AI791" s="10" t="s">
        <v>1045</v>
      </c>
      <c r="AJ791" s="28">
        <f t="shared" si="11"/>
        <v>0</v>
      </c>
      <c r="AK791" s="28">
        <f t="shared" si="12"/>
        <v>0</v>
      </c>
      <c r="AL791" s="28">
        <f t="shared" si="13"/>
        <v>0</v>
      </c>
      <c r="AN791" s="28">
        <v>21</v>
      </c>
      <c r="AO791" s="28">
        <f t="shared" si="14"/>
        <v>0</v>
      </c>
      <c r="AP791" s="28">
        <f t="shared" si="15"/>
        <v>0</v>
      </c>
      <c r="AQ791" s="30" t="s">
        <v>118</v>
      </c>
      <c r="AV791" s="28">
        <f t="shared" si="16"/>
        <v>0</v>
      </c>
      <c r="AW791" s="28">
        <f t="shared" si="17"/>
        <v>0</v>
      </c>
      <c r="AX791" s="28">
        <f t="shared" si="18"/>
        <v>0</v>
      </c>
      <c r="AY791" s="30" t="s">
        <v>1340</v>
      </c>
      <c r="AZ791" s="30" t="s">
        <v>1233</v>
      </c>
      <c r="BA791" s="10" t="s">
        <v>1050</v>
      </c>
      <c r="BC791" s="28">
        <f t="shared" si="19"/>
        <v>0</v>
      </c>
      <c r="BD791" s="28">
        <f t="shared" si="20"/>
        <v>0</v>
      </c>
      <c r="BE791" s="28">
        <v>0</v>
      </c>
      <c r="BF791" s="28">
        <f>799</f>
        <v>799</v>
      </c>
      <c r="BH791" s="28">
        <f t="shared" si="21"/>
        <v>0</v>
      </c>
      <c r="BI791" s="28">
        <f t="shared" si="22"/>
        <v>0</v>
      </c>
      <c r="BJ791" s="28">
        <f t="shared" si="23"/>
        <v>0</v>
      </c>
      <c r="BK791" s="28"/>
      <c r="BL791" s="28">
        <v>766</v>
      </c>
      <c r="BW791" s="28">
        <v>21</v>
      </c>
      <c r="BX791" s="4" t="s">
        <v>1397</v>
      </c>
    </row>
    <row r="792" spans="1:76" x14ac:dyDescent="0.25">
      <c r="A792" s="2" t="s">
        <v>1398</v>
      </c>
      <c r="B792" s="3" t="s">
        <v>1399</v>
      </c>
      <c r="C792" s="76" t="s">
        <v>1400</v>
      </c>
      <c r="D792" s="71"/>
      <c r="E792" s="3" t="s">
        <v>293</v>
      </c>
      <c r="F792" s="28">
        <v>300</v>
      </c>
      <c r="G792" s="28">
        <v>0</v>
      </c>
      <c r="H792" s="28">
        <f t="shared" si="0"/>
        <v>0</v>
      </c>
      <c r="I792" s="28">
        <f t="shared" si="1"/>
        <v>0</v>
      </c>
      <c r="J792" s="28">
        <f t="shared" si="2"/>
        <v>0</v>
      </c>
      <c r="K792" s="29" t="s">
        <v>1369</v>
      </c>
      <c r="Z792" s="28">
        <f t="shared" si="3"/>
        <v>0</v>
      </c>
      <c r="AB792" s="28">
        <f t="shared" si="4"/>
        <v>0</v>
      </c>
      <c r="AC792" s="28">
        <f t="shared" si="5"/>
        <v>0</v>
      </c>
      <c r="AD792" s="28">
        <f t="shared" si="6"/>
        <v>0</v>
      </c>
      <c r="AE792" s="28">
        <f t="shared" si="7"/>
        <v>0</v>
      </c>
      <c r="AF792" s="28">
        <f t="shared" si="8"/>
        <v>0</v>
      </c>
      <c r="AG792" s="28">
        <f t="shared" si="9"/>
        <v>0</v>
      </c>
      <c r="AH792" s="28">
        <f t="shared" si="10"/>
        <v>0</v>
      </c>
      <c r="AI792" s="10" t="s">
        <v>1045</v>
      </c>
      <c r="AJ792" s="28">
        <f t="shared" si="11"/>
        <v>0</v>
      </c>
      <c r="AK792" s="28">
        <f t="shared" si="12"/>
        <v>0</v>
      </c>
      <c r="AL792" s="28">
        <f t="shared" si="13"/>
        <v>0</v>
      </c>
      <c r="AN792" s="28">
        <v>21</v>
      </c>
      <c r="AO792" s="28">
        <f t="shared" si="14"/>
        <v>0</v>
      </c>
      <c r="AP792" s="28">
        <f t="shared" si="15"/>
        <v>0</v>
      </c>
      <c r="AQ792" s="30" t="s">
        <v>118</v>
      </c>
      <c r="AV792" s="28">
        <f t="shared" si="16"/>
        <v>0</v>
      </c>
      <c r="AW792" s="28">
        <f t="shared" si="17"/>
        <v>0</v>
      </c>
      <c r="AX792" s="28">
        <f t="shared" si="18"/>
        <v>0</v>
      </c>
      <c r="AY792" s="30" t="s">
        <v>1340</v>
      </c>
      <c r="AZ792" s="30" t="s">
        <v>1233</v>
      </c>
      <c r="BA792" s="10" t="s">
        <v>1050</v>
      </c>
      <c r="BC792" s="28">
        <f t="shared" si="19"/>
        <v>0</v>
      </c>
      <c r="BD792" s="28">
        <f t="shared" si="20"/>
        <v>0</v>
      </c>
      <c r="BE792" s="28">
        <v>0</v>
      </c>
      <c r="BF792" s="28">
        <f>800</f>
        <v>800</v>
      </c>
      <c r="BH792" s="28">
        <f t="shared" si="21"/>
        <v>0</v>
      </c>
      <c r="BI792" s="28">
        <f t="shared" si="22"/>
        <v>0</v>
      </c>
      <c r="BJ792" s="28">
        <f t="shared" si="23"/>
        <v>0</v>
      </c>
      <c r="BK792" s="28"/>
      <c r="BL792" s="28">
        <v>766</v>
      </c>
      <c r="BW792" s="28">
        <v>21</v>
      </c>
      <c r="BX792" s="4" t="s">
        <v>1400</v>
      </c>
    </row>
    <row r="793" spans="1:76" x14ac:dyDescent="0.25">
      <c r="A793" s="2" t="s">
        <v>1401</v>
      </c>
      <c r="B793" s="3" t="s">
        <v>1402</v>
      </c>
      <c r="C793" s="76" t="s">
        <v>1403</v>
      </c>
      <c r="D793" s="71"/>
      <c r="E793" s="3" t="s">
        <v>293</v>
      </c>
      <c r="F793" s="28">
        <v>323</v>
      </c>
      <c r="G793" s="28">
        <v>0</v>
      </c>
      <c r="H793" s="28">
        <f t="shared" si="0"/>
        <v>0</v>
      </c>
      <c r="I793" s="28">
        <f t="shared" si="1"/>
        <v>0</v>
      </c>
      <c r="J793" s="28">
        <f t="shared" si="2"/>
        <v>0</v>
      </c>
      <c r="K793" s="29" t="s">
        <v>1369</v>
      </c>
      <c r="Z793" s="28">
        <f t="shared" si="3"/>
        <v>0</v>
      </c>
      <c r="AB793" s="28">
        <f t="shared" si="4"/>
        <v>0</v>
      </c>
      <c r="AC793" s="28">
        <f t="shared" si="5"/>
        <v>0</v>
      </c>
      <c r="AD793" s="28">
        <f t="shared" si="6"/>
        <v>0</v>
      </c>
      <c r="AE793" s="28">
        <f t="shared" si="7"/>
        <v>0</v>
      </c>
      <c r="AF793" s="28">
        <f t="shared" si="8"/>
        <v>0</v>
      </c>
      <c r="AG793" s="28">
        <f t="shared" si="9"/>
        <v>0</v>
      </c>
      <c r="AH793" s="28">
        <f t="shared" si="10"/>
        <v>0</v>
      </c>
      <c r="AI793" s="10" t="s">
        <v>1045</v>
      </c>
      <c r="AJ793" s="28">
        <f t="shared" si="11"/>
        <v>0</v>
      </c>
      <c r="AK793" s="28">
        <f t="shared" si="12"/>
        <v>0</v>
      </c>
      <c r="AL793" s="28">
        <f t="shared" si="13"/>
        <v>0</v>
      </c>
      <c r="AN793" s="28">
        <v>21</v>
      </c>
      <c r="AO793" s="28">
        <f t="shared" si="14"/>
        <v>0</v>
      </c>
      <c r="AP793" s="28">
        <f t="shared" si="15"/>
        <v>0</v>
      </c>
      <c r="AQ793" s="30" t="s">
        <v>118</v>
      </c>
      <c r="AV793" s="28">
        <f t="shared" si="16"/>
        <v>0</v>
      </c>
      <c r="AW793" s="28">
        <f t="shared" si="17"/>
        <v>0</v>
      </c>
      <c r="AX793" s="28">
        <f t="shared" si="18"/>
        <v>0</v>
      </c>
      <c r="AY793" s="30" t="s">
        <v>1340</v>
      </c>
      <c r="AZ793" s="30" t="s">
        <v>1233</v>
      </c>
      <c r="BA793" s="10" t="s">
        <v>1050</v>
      </c>
      <c r="BC793" s="28">
        <f t="shared" si="19"/>
        <v>0</v>
      </c>
      <c r="BD793" s="28">
        <f t="shared" si="20"/>
        <v>0</v>
      </c>
      <c r="BE793" s="28">
        <v>0</v>
      </c>
      <c r="BF793" s="28">
        <f>801</f>
        <v>801</v>
      </c>
      <c r="BH793" s="28">
        <f t="shared" si="21"/>
        <v>0</v>
      </c>
      <c r="BI793" s="28">
        <f t="shared" si="22"/>
        <v>0</v>
      </c>
      <c r="BJ793" s="28">
        <f t="shared" si="23"/>
        <v>0</v>
      </c>
      <c r="BK793" s="28"/>
      <c r="BL793" s="28">
        <v>766</v>
      </c>
      <c r="BW793" s="28">
        <v>21</v>
      </c>
      <c r="BX793" s="4" t="s">
        <v>1403</v>
      </c>
    </row>
    <row r="794" spans="1:76" x14ac:dyDescent="0.25">
      <c r="A794" s="2" t="s">
        <v>1404</v>
      </c>
      <c r="B794" s="3" t="s">
        <v>1405</v>
      </c>
      <c r="C794" s="76" t="s">
        <v>1406</v>
      </c>
      <c r="D794" s="71"/>
      <c r="E794" s="3" t="s">
        <v>293</v>
      </c>
      <c r="F794" s="28">
        <v>3483</v>
      </c>
      <c r="G794" s="28">
        <v>0</v>
      </c>
      <c r="H794" s="28">
        <f t="shared" si="0"/>
        <v>0</v>
      </c>
      <c r="I794" s="28">
        <f t="shared" si="1"/>
        <v>0</v>
      </c>
      <c r="J794" s="28">
        <f t="shared" si="2"/>
        <v>0</v>
      </c>
      <c r="K794" s="29" t="s">
        <v>1369</v>
      </c>
      <c r="Z794" s="28">
        <f t="shared" si="3"/>
        <v>0</v>
      </c>
      <c r="AB794" s="28">
        <f t="shared" si="4"/>
        <v>0</v>
      </c>
      <c r="AC794" s="28">
        <f t="shared" si="5"/>
        <v>0</v>
      </c>
      <c r="AD794" s="28">
        <f t="shared" si="6"/>
        <v>0</v>
      </c>
      <c r="AE794" s="28">
        <f t="shared" si="7"/>
        <v>0</v>
      </c>
      <c r="AF794" s="28">
        <f t="shared" si="8"/>
        <v>0</v>
      </c>
      <c r="AG794" s="28">
        <f t="shared" si="9"/>
        <v>0</v>
      </c>
      <c r="AH794" s="28">
        <f t="shared" si="10"/>
        <v>0</v>
      </c>
      <c r="AI794" s="10" t="s">
        <v>1045</v>
      </c>
      <c r="AJ794" s="28">
        <f t="shared" si="11"/>
        <v>0</v>
      </c>
      <c r="AK794" s="28">
        <f t="shared" si="12"/>
        <v>0</v>
      </c>
      <c r="AL794" s="28">
        <f t="shared" si="13"/>
        <v>0</v>
      </c>
      <c r="AN794" s="28">
        <v>21</v>
      </c>
      <c r="AO794" s="28">
        <f t="shared" si="14"/>
        <v>0</v>
      </c>
      <c r="AP794" s="28">
        <f t="shared" si="15"/>
        <v>0</v>
      </c>
      <c r="AQ794" s="30" t="s">
        <v>118</v>
      </c>
      <c r="AV794" s="28">
        <f t="shared" si="16"/>
        <v>0</v>
      </c>
      <c r="AW794" s="28">
        <f t="shared" si="17"/>
        <v>0</v>
      </c>
      <c r="AX794" s="28">
        <f t="shared" si="18"/>
        <v>0</v>
      </c>
      <c r="AY794" s="30" t="s">
        <v>1340</v>
      </c>
      <c r="AZ794" s="30" t="s">
        <v>1233</v>
      </c>
      <c r="BA794" s="10" t="s">
        <v>1050</v>
      </c>
      <c r="BC794" s="28">
        <f t="shared" si="19"/>
        <v>0</v>
      </c>
      <c r="BD794" s="28">
        <f t="shared" si="20"/>
        <v>0</v>
      </c>
      <c r="BE794" s="28">
        <v>0</v>
      </c>
      <c r="BF794" s="28">
        <f>802</f>
        <v>802</v>
      </c>
      <c r="BH794" s="28">
        <f t="shared" si="21"/>
        <v>0</v>
      </c>
      <c r="BI794" s="28">
        <f t="shared" si="22"/>
        <v>0</v>
      </c>
      <c r="BJ794" s="28">
        <f t="shared" si="23"/>
        <v>0</v>
      </c>
      <c r="BK794" s="28"/>
      <c r="BL794" s="28">
        <v>766</v>
      </c>
      <c r="BW794" s="28">
        <v>21</v>
      </c>
      <c r="BX794" s="4" t="s">
        <v>1406</v>
      </c>
    </row>
    <row r="795" spans="1:76" x14ac:dyDescent="0.25">
      <c r="A795" s="2" t="s">
        <v>1407</v>
      </c>
      <c r="B795" s="3" t="s">
        <v>1408</v>
      </c>
      <c r="C795" s="76" t="s">
        <v>1409</v>
      </c>
      <c r="D795" s="71"/>
      <c r="E795" s="3" t="s">
        <v>293</v>
      </c>
      <c r="F795" s="28">
        <v>117</v>
      </c>
      <c r="G795" s="28">
        <v>0</v>
      </c>
      <c r="H795" s="28">
        <f t="shared" si="0"/>
        <v>0</v>
      </c>
      <c r="I795" s="28">
        <f t="shared" si="1"/>
        <v>0</v>
      </c>
      <c r="J795" s="28">
        <f t="shared" si="2"/>
        <v>0</v>
      </c>
      <c r="K795" s="29" t="s">
        <v>1369</v>
      </c>
      <c r="Z795" s="28">
        <f t="shared" si="3"/>
        <v>0</v>
      </c>
      <c r="AB795" s="28">
        <f t="shared" si="4"/>
        <v>0</v>
      </c>
      <c r="AC795" s="28">
        <f t="shared" si="5"/>
        <v>0</v>
      </c>
      <c r="AD795" s="28">
        <f t="shared" si="6"/>
        <v>0</v>
      </c>
      <c r="AE795" s="28">
        <f t="shared" si="7"/>
        <v>0</v>
      </c>
      <c r="AF795" s="28">
        <f t="shared" si="8"/>
        <v>0</v>
      </c>
      <c r="AG795" s="28">
        <f t="shared" si="9"/>
        <v>0</v>
      </c>
      <c r="AH795" s="28">
        <f t="shared" si="10"/>
        <v>0</v>
      </c>
      <c r="AI795" s="10" t="s">
        <v>1045</v>
      </c>
      <c r="AJ795" s="28">
        <f t="shared" si="11"/>
        <v>0</v>
      </c>
      <c r="AK795" s="28">
        <f t="shared" si="12"/>
        <v>0</v>
      </c>
      <c r="AL795" s="28">
        <f t="shared" si="13"/>
        <v>0</v>
      </c>
      <c r="AN795" s="28">
        <v>21</v>
      </c>
      <c r="AO795" s="28">
        <f t="shared" si="14"/>
        <v>0</v>
      </c>
      <c r="AP795" s="28">
        <f t="shared" si="15"/>
        <v>0</v>
      </c>
      <c r="AQ795" s="30" t="s">
        <v>118</v>
      </c>
      <c r="AV795" s="28">
        <f t="shared" si="16"/>
        <v>0</v>
      </c>
      <c r="AW795" s="28">
        <f t="shared" si="17"/>
        <v>0</v>
      </c>
      <c r="AX795" s="28">
        <f t="shared" si="18"/>
        <v>0</v>
      </c>
      <c r="AY795" s="30" t="s">
        <v>1340</v>
      </c>
      <c r="AZ795" s="30" t="s">
        <v>1233</v>
      </c>
      <c r="BA795" s="10" t="s">
        <v>1050</v>
      </c>
      <c r="BC795" s="28">
        <f t="shared" si="19"/>
        <v>0</v>
      </c>
      <c r="BD795" s="28">
        <f t="shared" si="20"/>
        <v>0</v>
      </c>
      <c r="BE795" s="28">
        <v>0</v>
      </c>
      <c r="BF795" s="28">
        <f>803</f>
        <v>803</v>
      </c>
      <c r="BH795" s="28">
        <f t="shared" si="21"/>
        <v>0</v>
      </c>
      <c r="BI795" s="28">
        <f t="shared" si="22"/>
        <v>0</v>
      </c>
      <c r="BJ795" s="28">
        <f t="shared" si="23"/>
        <v>0</v>
      </c>
      <c r="BK795" s="28"/>
      <c r="BL795" s="28">
        <v>766</v>
      </c>
      <c r="BW795" s="28">
        <v>21</v>
      </c>
      <c r="BX795" s="4" t="s">
        <v>1409</v>
      </c>
    </row>
    <row r="796" spans="1:76" x14ac:dyDescent="0.25">
      <c r="A796" s="2" t="s">
        <v>1410</v>
      </c>
      <c r="B796" s="3" t="s">
        <v>1411</v>
      </c>
      <c r="C796" s="76" t="s">
        <v>1412</v>
      </c>
      <c r="D796" s="71"/>
      <c r="E796" s="3" t="s">
        <v>1413</v>
      </c>
      <c r="F796" s="28">
        <v>2</v>
      </c>
      <c r="G796" s="28">
        <v>0</v>
      </c>
      <c r="H796" s="28">
        <f t="shared" si="0"/>
        <v>0</v>
      </c>
      <c r="I796" s="28">
        <f t="shared" si="1"/>
        <v>0</v>
      </c>
      <c r="J796" s="28">
        <f t="shared" si="2"/>
        <v>0</v>
      </c>
      <c r="K796" s="29" t="s">
        <v>1369</v>
      </c>
      <c r="Z796" s="28">
        <f t="shared" si="3"/>
        <v>0</v>
      </c>
      <c r="AB796" s="28">
        <f t="shared" si="4"/>
        <v>0</v>
      </c>
      <c r="AC796" s="28">
        <f t="shared" si="5"/>
        <v>0</v>
      </c>
      <c r="AD796" s="28">
        <f t="shared" si="6"/>
        <v>0</v>
      </c>
      <c r="AE796" s="28">
        <f t="shared" si="7"/>
        <v>0</v>
      </c>
      <c r="AF796" s="28">
        <f t="shared" si="8"/>
        <v>0</v>
      </c>
      <c r="AG796" s="28">
        <f t="shared" si="9"/>
        <v>0</v>
      </c>
      <c r="AH796" s="28">
        <f t="shared" si="10"/>
        <v>0</v>
      </c>
      <c r="AI796" s="10" t="s">
        <v>1045</v>
      </c>
      <c r="AJ796" s="28">
        <f t="shared" si="11"/>
        <v>0</v>
      </c>
      <c r="AK796" s="28">
        <f t="shared" si="12"/>
        <v>0</v>
      </c>
      <c r="AL796" s="28">
        <f t="shared" si="13"/>
        <v>0</v>
      </c>
      <c r="AN796" s="28">
        <v>21</v>
      </c>
      <c r="AO796" s="28">
        <f t="shared" si="14"/>
        <v>0</v>
      </c>
      <c r="AP796" s="28">
        <f t="shared" si="15"/>
        <v>0</v>
      </c>
      <c r="AQ796" s="30" t="s">
        <v>118</v>
      </c>
      <c r="AV796" s="28">
        <f t="shared" si="16"/>
        <v>0</v>
      </c>
      <c r="AW796" s="28">
        <f t="shared" si="17"/>
        <v>0</v>
      </c>
      <c r="AX796" s="28">
        <f t="shared" si="18"/>
        <v>0</v>
      </c>
      <c r="AY796" s="30" t="s">
        <v>1340</v>
      </c>
      <c r="AZ796" s="30" t="s">
        <v>1233</v>
      </c>
      <c r="BA796" s="10" t="s">
        <v>1050</v>
      </c>
      <c r="BC796" s="28">
        <f t="shared" si="19"/>
        <v>0</v>
      </c>
      <c r="BD796" s="28">
        <f t="shared" si="20"/>
        <v>0</v>
      </c>
      <c r="BE796" s="28">
        <v>0</v>
      </c>
      <c r="BF796" s="28">
        <f>804</f>
        <v>804</v>
      </c>
      <c r="BH796" s="28">
        <f t="shared" si="21"/>
        <v>0</v>
      </c>
      <c r="BI796" s="28">
        <f t="shared" si="22"/>
        <v>0</v>
      </c>
      <c r="BJ796" s="28">
        <f t="shared" si="23"/>
        <v>0</v>
      </c>
      <c r="BK796" s="28"/>
      <c r="BL796" s="28">
        <v>766</v>
      </c>
      <c r="BW796" s="28">
        <v>21</v>
      </c>
      <c r="BX796" s="4" t="s">
        <v>1412</v>
      </c>
    </row>
    <row r="797" spans="1:76" x14ac:dyDescent="0.25">
      <c r="A797" s="2" t="s">
        <v>1414</v>
      </c>
      <c r="B797" s="3" t="s">
        <v>1415</v>
      </c>
      <c r="C797" s="76" t="s">
        <v>1416</v>
      </c>
      <c r="D797" s="71"/>
      <c r="E797" s="3" t="s">
        <v>1413</v>
      </c>
      <c r="F797" s="28">
        <v>20</v>
      </c>
      <c r="G797" s="28">
        <v>0</v>
      </c>
      <c r="H797" s="28">
        <f t="shared" si="0"/>
        <v>0</v>
      </c>
      <c r="I797" s="28">
        <f t="shared" si="1"/>
        <v>0</v>
      </c>
      <c r="J797" s="28">
        <f t="shared" si="2"/>
        <v>0</v>
      </c>
      <c r="K797" s="29" t="s">
        <v>1369</v>
      </c>
      <c r="Z797" s="28">
        <f t="shared" si="3"/>
        <v>0</v>
      </c>
      <c r="AB797" s="28">
        <f t="shared" si="4"/>
        <v>0</v>
      </c>
      <c r="AC797" s="28">
        <f t="shared" si="5"/>
        <v>0</v>
      </c>
      <c r="AD797" s="28">
        <f t="shared" si="6"/>
        <v>0</v>
      </c>
      <c r="AE797" s="28">
        <f t="shared" si="7"/>
        <v>0</v>
      </c>
      <c r="AF797" s="28">
        <f t="shared" si="8"/>
        <v>0</v>
      </c>
      <c r="AG797" s="28">
        <f t="shared" si="9"/>
        <v>0</v>
      </c>
      <c r="AH797" s="28">
        <f t="shared" si="10"/>
        <v>0</v>
      </c>
      <c r="AI797" s="10" t="s">
        <v>1045</v>
      </c>
      <c r="AJ797" s="28">
        <f t="shared" si="11"/>
        <v>0</v>
      </c>
      <c r="AK797" s="28">
        <f t="shared" si="12"/>
        <v>0</v>
      </c>
      <c r="AL797" s="28">
        <f t="shared" si="13"/>
        <v>0</v>
      </c>
      <c r="AN797" s="28">
        <v>21</v>
      </c>
      <c r="AO797" s="28">
        <f t="shared" si="14"/>
        <v>0</v>
      </c>
      <c r="AP797" s="28">
        <f t="shared" si="15"/>
        <v>0</v>
      </c>
      <c r="AQ797" s="30" t="s">
        <v>118</v>
      </c>
      <c r="AV797" s="28">
        <f t="shared" si="16"/>
        <v>0</v>
      </c>
      <c r="AW797" s="28">
        <f t="shared" si="17"/>
        <v>0</v>
      </c>
      <c r="AX797" s="28">
        <f t="shared" si="18"/>
        <v>0</v>
      </c>
      <c r="AY797" s="30" t="s">
        <v>1340</v>
      </c>
      <c r="AZ797" s="30" t="s">
        <v>1233</v>
      </c>
      <c r="BA797" s="10" t="s">
        <v>1050</v>
      </c>
      <c r="BC797" s="28">
        <f t="shared" si="19"/>
        <v>0</v>
      </c>
      <c r="BD797" s="28">
        <f t="shared" si="20"/>
        <v>0</v>
      </c>
      <c r="BE797" s="28">
        <v>0</v>
      </c>
      <c r="BF797" s="28">
        <f>805</f>
        <v>805</v>
      </c>
      <c r="BH797" s="28">
        <f t="shared" si="21"/>
        <v>0</v>
      </c>
      <c r="BI797" s="28">
        <f t="shared" si="22"/>
        <v>0</v>
      </c>
      <c r="BJ797" s="28">
        <f t="shared" si="23"/>
        <v>0</v>
      </c>
      <c r="BK797" s="28"/>
      <c r="BL797" s="28">
        <v>766</v>
      </c>
      <c r="BW797" s="28">
        <v>21</v>
      </c>
      <c r="BX797" s="4" t="s">
        <v>1416</v>
      </c>
    </row>
    <row r="798" spans="1:76" ht="25.5" x14ac:dyDescent="0.25">
      <c r="A798" s="2" t="s">
        <v>1417</v>
      </c>
      <c r="B798" s="3" t="s">
        <v>1418</v>
      </c>
      <c r="C798" s="76" t="s">
        <v>1419</v>
      </c>
      <c r="D798" s="71"/>
      <c r="E798" s="3" t="s">
        <v>1376</v>
      </c>
      <c r="F798" s="28">
        <v>8</v>
      </c>
      <c r="G798" s="28">
        <v>0</v>
      </c>
      <c r="H798" s="28">
        <f t="shared" si="0"/>
        <v>0</v>
      </c>
      <c r="I798" s="28">
        <f t="shared" si="1"/>
        <v>0</v>
      </c>
      <c r="J798" s="28">
        <f t="shared" si="2"/>
        <v>0</v>
      </c>
      <c r="K798" s="29" t="s">
        <v>1369</v>
      </c>
      <c r="Z798" s="28">
        <f t="shared" si="3"/>
        <v>0</v>
      </c>
      <c r="AB798" s="28">
        <f t="shared" si="4"/>
        <v>0</v>
      </c>
      <c r="AC798" s="28">
        <f t="shared" si="5"/>
        <v>0</v>
      </c>
      <c r="AD798" s="28">
        <f t="shared" si="6"/>
        <v>0</v>
      </c>
      <c r="AE798" s="28">
        <f t="shared" si="7"/>
        <v>0</v>
      </c>
      <c r="AF798" s="28">
        <f t="shared" si="8"/>
        <v>0</v>
      </c>
      <c r="AG798" s="28">
        <f t="shared" si="9"/>
        <v>0</v>
      </c>
      <c r="AH798" s="28">
        <f t="shared" si="10"/>
        <v>0</v>
      </c>
      <c r="AI798" s="10" t="s">
        <v>1045</v>
      </c>
      <c r="AJ798" s="28">
        <f t="shared" si="11"/>
        <v>0</v>
      </c>
      <c r="AK798" s="28">
        <f t="shared" si="12"/>
        <v>0</v>
      </c>
      <c r="AL798" s="28">
        <f t="shared" si="13"/>
        <v>0</v>
      </c>
      <c r="AN798" s="28">
        <v>21</v>
      </c>
      <c r="AO798" s="28">
        <f t="shared" si="14"/>
        <v>0</v>
      </c>
      <c r="AP798" s="28">
        <f t="shared" si="15"/>
        <v>0</v>
      </c>
      <c r="AQ798" s="30" t="s">
        <v>118</v>
      </c>
      <c r="AV798" s="28">
        <f t="shared" si="16"/>
        <v>0</v>
      </c>
      <c r="AW798" s="28">
        <f t="shared" si="17"/>
        <v>0</v>
      </c>
      <c r="AX798" s="28">
        <f t="shared" si="18"/>
        <v>0</v>
      </c>
      <c r="AY798" s="30" t="s">
        <v>1340</v>
      </c>
      <c r="AZ798" s="30" t="s">
        <v>1233</v>
      </c>
      <c r="BA798" s="10" t="s">
        <v>1050</v>
      </c>
      <c r="BC798" s="28">
        <f t="shared" si="19"/>
        <v>0</v>
      </c>
      <c r="BD798" s="28">
        <f t="shared" si="20"/>
        <v>0</v>
      </c>
      <c r="BE798" s="28">
        <v>0</v>
      </c>
      <c r="BF798" s="28">
        <f>806</f>
        <v>806</v>
      </c>
      <c r="BH798" s="28">
        <f t="shared" si="21"/>
        <v>0</v>
      </c>
      <c r="BI798" s="28">
        <f t="shared" si="22"/>
        <v>0</v>
      </c>
      <c r="BJ798" s="28">
        <f t="shared" si="23"/>
        <v>0</v>
      </c>
      <c r="BK798" s="28"/>
      <c r="BL798" s="28">
        <v>766</v>
      </c>
      <c r="BW798" s="28">
        <v>21</v>
      </c>
      <c r="BX798" s="4" t="s">
        <v>1419</v>
      </c>
    </row>
    <row r="799" spans="1:76" x14ac:dyDescent="0.25">
      <c r="A799" s="2" t="s">
        <v>1420</v>
      </c>
      <c r="B799" s="3" t="s">
        <v>1421</v>
      </c>
      <c r="C799" s="76" t="s">
        <v>1422</v>
      </c>
      <c r="D799" s="71"/>
      <c r="E799" s="3" t="s">
        <v>293</v>
      </c>
      <c r="F799" s="28">
        <v>6</v>
      </c>
      <c r="G799" s="28">
        <v>0</v>
      </c>
      <c r="H799" s="28">
        <f t="shared" si="0"/>
        <v>0</v>
      </c>
      <c r="I799" s="28">
        <f t="shared" si="1"/>
        <v>0</v>
      </c>
      <c r="J799" s="28">
        <f t="shared" si="2"/>
        <v>0</v>
      </c>
      <c r="K799" s="29" t="s">
        <v>1369</v>
      </c>
      <c r="Z799" s="28">
        <f t="shared" si="3"/>
        <v>0</v>
      </c>
      <c r="AB799" s="28">
        <f t="shared" si="4"/>
        <v>0</v>
      </c>
      <c r="AC799" s="28">
        <f t="shared" si="5"/>
        <v>0</v>
      </c>
      <c r="AD799" s="28">
        <f t="shared" si="6"/>
        <v>0</v>
      </c>
      <c r="AE799" s="28">
        <f t="shared" si="7"/>
        <v>0</v>
      </c>
      <c r="AF799" s="28">
        <f t="shared" si="8"/>
        <v>0</v>
      </c>
      <c r="AG799" s="28">
        <f t="shared" si="9"/>
        <v>0</v>
      </c>
      <c r="AH799" s="28">
        <f t="shared" si="10"/>
        <v>0</v>
      </c>
      <c r="AI799" s="10" t="s">
        <v>1045</v>
      </c>
      <c r="AJ799" s="28">
        <f t="shared" si="11"/>
        <v>0</v>
      </c>
      <c r="AK799" s="28">
        <f t="shared" si="12"/>
        <v>0</v>
      </c>
      <c r="AL799" s="28">
        <f t="shared" si="13"/>
        <v>0</v>
      </c>
      <c r="AN799" s="28">
        <v>21</v>
      </c>
      <c r="AO799" s="28">
        <f t="shared" si="14"/>
        <v>0</v>
      </c>
      <c r="AP799" s="28">
        <f t="shared" si="15"/>
        <v>0</v>
      </c>
      <c r="AQ799" s="30" t="s">
        <v>118</v>
      </c>
      <c r="AV799" s="28">
        <f t="shared" si="16"/>
        <v>0</v>
      </c>
      <c r="AW799" s="28">
        <f t="shared" si="17"/>
        <v>0</v>
      </c>
      <c r="AX799" s="28">
        <f t="shared" si="18"/>
        <v>0</v>
      </c>
      <c r="AY799" s="30" t="s">
        <v>1340</v>
      </c>
      <c r="AZ799" s="30" t="s">
        <v>1233</v>
      </c>
      <c r="BA799" s="10" t="s">
        <v>1050</v>
      </c>
      <c r="BC799" s="28">
        <f t="shared" si="19"/>
        <v>0</v>
      </c>
      <c r="BD799" s="28">
        <f t="shared" si="20"/>
        <v>0</v>
      </c>
      <c r="BE799" s="28">
        <v>0</v>
      </c>
      <c r="BF799" s="28">
        <f>807</f>
        <v>807</v>
      </c>
      <c r="BH799" s="28">
        <f t="shared" si="21"/>
        <v>0</v>
      </c>
      <c r="BI799" s="28">
        <f t="shared" si="22"/>
        <v>0</v>
      </c>
      <c r="BJ799" s="28">
        <f t="shared" si="23"/>
        <v>0</v>
      </c>
      <c r="BK799" s="28"/>
      <c r="BL799" s="28">
        <v>766</v>
      </c>
      <c r="BW799" s="28">
        <v>21</v>
      </c>
      <c r="BX799" s="4" t="s">
        <v>1422</v>
      </c>
    </row>
    <row r="800" spans="1:76" ht="25.5" x14ac:dyDescent="0.25">
      <c r="A800" s="2" t="s">
        <v>1423</v>
      </c>
      <c r="B800" s="3" t="s">
        <v>1424</v>
      </c>
      <c r="C800" s="76" t="s">
        <v>2468</v>
      </c>
      <c r="D800" s="71"/>
      <c r="E800" s="3" t="s">
        <v>1376</v>
      </c>
      <c r="F800" s="28">
        <v>210</v>
      </c>
      <c r="G800" s="28">
        <v>0</v>
      </c>
      <c r="H800" s="28">
        <f t="shared" si="0"/>
        <v>0</v>
      </c>
      <c r="I800" s="28">
        <f t="shared" si="1"/>
        <v>0</v>
      </c>
      <c r="J800" s="28">
        <f t="shared" si="2"/>
        <v>0</v>
      </c>
      <c r="K800" s="29" t="s">
        <v>51</v>
      </c>
      <c r="Z800" s="28">
        <f t="shared" si="3"/>
        <v>0</v>
      </c>
      <c r="AB800" s="28">
        <f t="shared" si="4"/>
        <v>0</v>
      </c>
      <c r="AC800" s="28">
        <f t="shared" si="5"/>
        <v>0</v>
      </c>
      <c r="AD800" s="28">
        <f t="shared" si="6"/>
        <v>0</v>
      </c>
      <c r="AE800" s="28">
        <f t="shared" si="7"/>
        <v>0</v>
      </c>
      <c r="AF800" s="28">
        <f t="shared" si="8"/>
        <v>0</v>
      </c>
      <c r="AG800" s="28">
        <f t="shared" si="9"/>
        <v>0</v>
      </c>
      <c r="AH800" s="28">
        <f t="shared" si="10"/>
        <v>0</v>
      </c>
      <c r="AI800" s="10" t="s">
        <v>1045</v>
      </c>
      <c r="AJ800" s="28">
        <f t="shared" si="11"/>
        <v>0</v>
      </c>
      <c r="AK800" s="28">
        <f t="shared" si="12"/>
        <v>0</v>
      </c>
      <c r="AL800" s="28">
        <f t="shared" si="13"/>
        <v>0</v>
      </c>
      <c r="AN800" s="28">
        <v>21</v>
      </c>
      <c r="AO800" s="28">
        <f t="shared" si="14"/>
        <v>0</v>
      </c>
      <c r="AP800" s="28">
        <f t="shared" si="15"/>
        <v>0</v>
      </c>
      <c r="AQ800" s="30" t="s">
        <v>118</v>
      </c>
      <c r="AV800" s="28">
        <f t="shared" si="16"/>
        <v>0</v>
      </c>
      <c r="AW800" s="28">
        <f t="shared" si="17"/>
        <v>0</v>
      </c>
      <c r="AX800" s="28">
        <f t="shared" si="18"/>
        <v>0</v>
      </c>
      <c r="AY800" s="30" t="s">
        <v>1340</v>
      </c>
      <c r="AZ800" s="30" t="s">
        <v>1233</v>
      </c>
      <c r="BA800" s="10" t="s">
        <v>1050</v>
      </c>
      <c r="BC800" s="28">
        <f t="shared" si="19"/>
        <v>0</v>
      </c>
      <c r="BD800" s="28">
        <f t="shared" si="20"/>
        <v>0</v>
      </c>
      <c r="BE800" s="28">
        <v>0</v>
      </c>
      <c r="BF800" s="28">
        <f>808</f>
        <v>808</v>
      </c>
      <c r="BH800" s="28">
        <f t="shared" si="21"/>
        <v>0</v>
      </c>
      <c r="BI800" s="28">
        <f t="shared" si="22"/>
        <v>0</v>
      </c>
      <c r="BJ800" s="28">
        <f t="shared" si="23"/>
        <v>0</v>
      </c>
      <c r="BK800" s="28"/>
      <c r="BL800" s="28">
        <v>766</v>
      </c>
      <c r="BW800" s="28">
        <v>21</v>
      </c>
      <c r="BX800" s="4" t="s">
        <v>1425</v>
      </c>
    </row>
    <row r="801" spans="1:76" x14ac:dyDescent="0.25">
      <c r="A801" s="2" t="s">
        <v>1426</v>
      </c>
      <c r="B801" s="3" t="s">
        <v>1427</v>
      </c>
      <c r="C801" s="76" t="s">
        <v>1428</v>
      </c>
      <c r="D801" s="71"/>
      <c r="E801" s="3" t="s">
        <v>103</v>
      </c>
      <c r="F801" s="28">
        <v>26</v>
      </c>
      <c r="G801" s="28">
        <v>0</v>
      </c>
      <c r="H801" s="28">
        <f t="shared" si="0"/>
        <v>0</v>
      </c>
      <c r="I801" s="28">
        <f t="shared" si="1"/>
        <v>0</v>
      </c>
      <c r="J801" s="28">
        <f t="shared" si="2"/>
        <v>0</v>
      </c>
      <c r="K801" s="29" t="s">
        <v>60</v>
      </c>
      <c r="Z801" s="28">
        <f t="shared" si="3"/>
        <v>0</v>
      </c>
      <c r="AB801" s="28">
        <f t="shared" si="4"/>
        <v>0</v>
      </c>
      <c r="AC801" s="28">
        <f t="shared" si="5"/>
        <v>0</v>
      </c>
      <c r="AD801" s="28">
        <f t="shared" si="6"/>
        <v>0</v>
      </c>
      <c r="AE801" s="28">
        <f t="shared" si="7"/>
        <v>0</v>
      </c>
      <c r="AF801" s="28">
        <f t="shared" si="8"/>
        <v>0</v>
      </c>
      <c r="AG801" s="28">
        <f t="shared" si="9"/>
        <v>0</v>
      </c>
      <c r="AH801" s="28">
        <f t="shared" si="10"/>
        <v>0</v>
      </c>
      <c r="AI801" s="10" t="s">
        <v>1045</v>
      </c>
      <c r="AJ801" s="28">
        <f t="shared" si="11"/>
        <v>0</v>
      </c>
      <c r="AK801" s="28">
        <f t="shared" si="12"/>
        <v>0</v>
      </c>
      <c r="AL801" s="28">
        <f t="shared" si="13"/>
        <v>0</v>
      </c>
      <c r="AN801" s="28">
        <v>21</v>
      </c>
      <c r="AO801" s="28">
        <f>G801*0</f>
        <v>0</v>
      </c>
      <c r="AP801" s="28">
        <f>G801*(1-0)</f>
        <v>0</v>
      </c>
      <c r="AQ801" s="30" t="s">
        <v>118</v>
      </c>
      <c r="AV801" s="28">
        <f t="shared" si="16"/>
        <v>0</v>
      </c>
      <c r="AW801" s="28">
        <f t="shared" si="17"/>
        <v>0</v>
      </c>
      <c r="AX801" s="28">
        <f t="shared" si="18"/>
        <v>0</v>
      </c>
      <c r="AY801" s="30" t="s">
        <v>1340</v>
      </c>
      <c r="AZ801" s="30" t="s">
        <v>1233</v>
      </c>
      <c r="BA801" s="10" t="s">
        <v>1050</v>
      </c>
      <c r="BC801" s="28">
        <f t="shared" si="19"/>
        <v>0</v>
      </c>
      <c r="BD801" s="28">
        <f t="shared" si="20"/>
        <v>0</v>
      </c>
      <c r="BE801" s="28">
        <v>0</v>
      </c>
      <c r="BF801" s="28">
        <f>809</f>
        <v>809</v>
      </c>
      <c r="BH801" s="28">
        <f t="shared" si="21"/>
        <v>0</v>
      </c>
      <c r="BI801" s="28">
        <f t="shared" si="22"/>
        <v>0</v>
      </c>
      <c r="BJ801" s="28">
        <f t="shared" si="23"/>
        <v>0</v>
      </c>
      <c r="BK801" s="28"/>
      <c r="BL801" s="28">
        <v>766</v>
      </c>
      <c r="BW801" s="28">
        <v>21</v>
      </c>
      <c r="BX801" s="4" t="s">
        <v>1428</v>
      </c>
    </row>
    <row r="802" spans="1:76" x14ac:dyDescent="0.25">
      <c r="A802" s="31"/>
      <c r="C802" s="32" t="s">
        <v>231</v>
      </c>
      <c r="D802" s="32" t="s">
        <v>1429</v>
      </c>
      <c r="F802" s="33">
        <v>26</v>
      </c>
      <c r="K802" s="34"/>
    </row>
    <row r="803" spans="1:76" ht="25.5" x14ac:dyDescent="0.25">
      <c r="A803" s="31"/>
      <c r="B803" s="35" t="s">
        <v>68</v>
      </c>
      <c r="C803" s="94" t="s">
        <v>1430</v>
      </c>
      <c r="D803" s="95"/>
      <c r="E803" s="95"/>
      <c r="F803" s="95"/>
      <c r="G803" s="95"/>
      <c r="H803" s="95"/>
      <c r="I803" s="95"/>
      <c r="J803" s="95"/>
      <c r="K803" s="96"/>
      <c r="BX803" s="36" t="s">
        <v>1430</v>
      </c>
    </row>
    <row r="804" spans="1:76" x14ac:dyDescent="0.25">
      <c r="A804" s="2" t="s">
        <v>1431</v>
      </c>
      <c r="B804" s="3" t="s">
        <v>1432</v>
      </c>
      <c r="C804" s="76" t="s">
        <v>1433</v>
      </c>
      <c r="D804" s="71"/>
      <c r="E804" s="3" t="s">
        <v>1376</v>
      </c>
      <c r="F804" s="28">
        <v>2</v>
      </c>
      <c r="G804" s="28">
        <v>0</v>
      </c>
      <c r="H804" s="28">
        <f t="shared" ref="H804:H815" si="24">ROUND(F804*AO804,2)</f>
        <v>0</v>
      </c>
      <c r="I804" s="28">
        <f t="shared" ref="I804:I815" si="25">ROUND(F804*AP804,2)</f>
        <v>0</v>
      </c>
      <c r="J804" s="28">
        <f t="shared" ref="J804:J815" si="26">ROUND(F804*G804,2)</f>
        <v>0</v>
      </c>
      <c r="K804" s="29" t="s">
        <v>1369</v>
      </c>
      <c r="Z804" s="28">
        <f t="shared" ref="Z804:Z815" si="27">ROUND(IF(AQ804="5",BJ804,0),2)</f>
        <v>0</v>
      </c>
      <c r="AB804" s="28">
        <f t="shared" ref="AB804:AB815" si="28">ROUND(IF(AQ804="1",BH804,0),2)</f>
        <v>0</v>
      </c>
      <c r="AC804" s="28">
        <f t="shared" ref="AC804:AC815" si="29">ROUND(IF(AQ804="1",BI804,0),2)</f>
        <v>0</v>
      </c>
      <c r="AD804" s="28">
        <f t="shared" ref="AD804:AD815" si="30">ROUND(IF(AQ804="7",BH804,0),2)</f>
        <v>0</v>
      </c>
      <c r="AE804" s="28">
        <f t="shared" ref="AE804:AE815" si="31">ROUND(IF(AQ804="7",BI804,0),2)</f>
        <v>0</v>
      </c>
      <c r="AF804" s="28">
        <f t="shared" ref="AF804:AF815" si="32">ROUND(IF(AQ804="2",BH804,0),2)</f>
        <v>0</v>
      </c>
      <c r="AG804" s="28">
        <f t="shared" ref="AG804:AG815" si="33">ROUND(IF(AQ804="2",BI804,0),2)</f>
        <v>0</v>
      </c>
      <c r="AH804" s="28">
        <f t="shared" ref="AH804:AH815" si="34">ROUND(IF(AQ804="0",BJ804,0),2)</f>
        <v>0</v>
      </c>
      <c r="AI804" s="10" t="s">
        <v>1045</v>
      </c>
      <c r="AJ804" s="28">
        <f t="shared" ref="AJ804:AJ815" si="35">IF(AN804=0,J804,0)</f>
        <v>0</v>
      </c>
      <c r="AK804" s="28">
        <f t="shared" ref="AK804:AK815" si="36">IF(AN804=12,J804,0)</f>
        <v>0</v>
      </c>
      <c r="AL804" s="28">
        <f t="shared" ref="AL804:AL815" si="37">IF(AN804=21,J804,0)</f>
        <v>0</v>
      </c>
      <c r="AN804" s="28">
        <v>21</v>
      </c>
      <c r="AO804" s="28">
        <f t="shared" ref="AO804:AO814" si="38">G804*1</f>
        <v>0</v>
      </c>
      <c r="AP804" s="28">
        <f t="shared" ref="AP804:AP814" si="39">G804*(1-1)</f>
        <v>0</v>
      </c>
      <c r="AQ804" s="30" t="s">
        <v>118</v>
      </c>
      <c r="AV804" s="28">
        <f t="shared" ref="AV804:AV815" si="40">ROUND(AW804+AX804,2)</f>
        <v>0</v>
      </c>
      <c r="AW804" s="28">
        <f t="shared" ref="AW804:AW815" si="41">ROUND(F804*AO804,2)</f>
        <v>0</v>
      </c>
      <c r="AX804" s="28">
        <f t="shared" ref="AX804:AX815" si="42">ROUND(F804*AP804,2)</f>
        <v>0</v>
      </c>
      <c r="AY804" s="30" t="s">
        <v>1340</v>
      </c>
      <c r="AZ804" s="30" t="s">
        <v>1233</v>
      </c>
      <c r="BA804" s="10" t="s">
        <v>1050</v>
      </c>
      <c r="BC804" s="28">
        <f t="shared" ref="BC804:BC815" si="43">AW804+AX804</f>
        <v>0</v>
      </c>
      <c r="BD804" s="28">
        <f t="shared" ref="BD804:BD815" si="44">G804/(100-BE804)*100</f>
        <v>0</v>
      </c>
      <c r="BE804" s="28">
        <v>0</v>
      </c>
      <c r="BF804" s="28">
        <f>812</f>
        <v>812</v>
      </c>
      <c r="BH804" s="28">
        <f t="shared" ref="BH804:BH815" si="45">F804*AO804</f>
        <v>0</v>
      </c>
      <c r="BI804" s="28">
        <f t="shared" ref="BI804:BI815" si="46">F804*AP804</f>
        <v>0</v>
      </c>
      <c r="BJ804" s="28">
        <f t="shared" ref="BJ804:BJ815" si="47">F804*G804</f>
        <v>0</v>
      </c>
      <c r="BK804" s="28"/>
      <c r="BL804" s="28">
        <v>766</v>
      </c>
      <c r="BW804" s="28">
        <v>21</v>
      </c>
      <c r="BX804" s="4" t="s">
        <v>1433</v>
      </c>
    </row>
    <row r="805" spans="1:76" x14ac:dyDescent="0.25">
      <c r="A805" s="2" t="s">
        <v>1434</v>
      </c>
      <c r="B805" s="3" t="s">
        <v>1393</v>
      </c>
      <c r="C805" s="76" t="s">
        <v>2466</v>
      </c>
      <c r="D805" s="71"/>
      <c r="E805" s="3" t="s">
        <v>1376</v>
      </c>
      <c r="F805" s="28">
        <v>5</v>
      </c>
      <c r="G805" s="28">
        <v>0</v>
      </c>
      <c r="H805" s="28">
        <f t="shared" si="24"/>
        <v>0</v>
      </c>
      <c r="I805" s="28">
        <f t="shared" si="25"/>
        <v>0</v>
      </c>
      <c r="J805" s="28">
        <f t="shared" si="26"/>
        <v>0</v>
      </c>
      <c r="K805" s="29" t="s">
        <v>1369</v>
      </c>
      <c r="Z805" s="28">
        <f t="shared" si="27"/>
        <v>0</v>
      </c>
      <c r="AB805" s="28">
        <f t="shared" si="28"/>
        <v>0</v>
      </c>
      <c r="AC805" s="28">
        <f t="shared" si="29"/>
        <v>0</v>
      </c>
      <c r="AD805" s="28">
        <f t="shared" si="30"/>
        <v>0</v>
      </c>
      <c r="AE805" s="28">
        <f t="shared" si="31"/>
        <v>0</v>
      </c>
      <c r="AF805" s="28">
        <f t="shared" si="32"/>
        <v>0</v>
      </c>
      <c r="AG805" s="28">
        <f t="shared" si="33"/>
        <v>0</v>
      </c>
      <c r="AH805" s="28">
        <f t="shared" si="34"/>
        <v>0</v>
      </c>
      <c r="AI805" s="10" t="s">
        <v>1045</v>
      </c>
      <c r="AJ805" s="28">
        <f t="shared" si="35"/>
        <v>0</v>
      </c>
      <c r="AK805" s="28">
        <f t="shared" si="36"/>
        <v>0</v>
      </c>
      <c r="AL805" s="28">
        <f t="shared" si="37"/>
        <v>0</v>
      </c>
      <c r="AN805" s="28">
        <v>21</v>
      </c>
      <c r="AO805" s="28">
        <f t="shared" si="38"/>
        <v>0</v>
      </c>
      <c r="AP805" s="28">
        <f t="shared" si="39"/>
        <v>0</v>
      </c>
      <c r="AQ805" s="30" t="s">
        <v>118</v>
      </c>
      <c r="AV805" s="28">
        <f t="shared" si="40"/>
        <v>0</v>
      </c>
      <c r="AW805" s="28">
        <f t="shared" si="41"/>
        <v>0</v>
      </c>
      <c r="AX805" s="28">
        <f t="shared" si="42"/>
        <v>0</v>
      </c>
      <c r="AY805" s="30" t="s">
        <v>1340</v>
      </c>
      <c r="AZ805" s="30" t="s">
        <v>1233</v>
      </c>
      <c r="BA805" s="10" t="s">
        <v>1050</v>
      </c>
      <c r="BC805" s="28">
        <f t="shared" si="43"/>
        <v>0</v>
      </c>
      <c r="BD805" s="28">
        <f t="shared" si="44"/>
        <v>0</v>
      </c>
      <c r="BE805" s="28">
        <v>0</v>
      </c>
      <c r="BF805" s="28">
        <f>813</f>
        <v>813</v>
      </c>
      <c r="BH805" s="28">
        <f t="shared" si="45"/>
        <v>0</v>
      </c>
      <c r="BI805" s="28">
        <f t="shared" si="46"/>
        <v>0</v>
      </c>
      <c r="BJ805" s="28">
        <f t="shared" si="47"/>
        <v>0</v>
      </c>
      <c r="BK805" s="28"/>
      <c r="BL805" s="28">
        <v>766</v>
      </c>
      <c r="BW805" s="28">
        <v>21</v>
      </c>
      <c r="BX805" s="4" t="s">
        <v>1394</v>
      </c>
    </row>
    <row r="806" spans="1:76" x14ac:dyDescent="0.25">
      <c r="A806" s="2" t="s">
        <v>1435</v>
      </c>
      <c r="B806" s="3" t="s">
        <v>1436</v>
      </c>
      <c r="C806" s="76" t="s">
        <v>1437</v>
      </c>
      <c r="D806" s="71"/>
      <c r="E806" s="3" t="s">
        <v>457</v>
      </c>
      <c r="F806" s="28">
        <v>1</v>
      </c>
      <c r="G806" s="28">
        <v>0</v>
      </c>
      <c r="H806" s="28">
        <f t="shared" si="24"/>
        <v>0</v>
      </c>
      <c r="I806" s="28">
        <f t="shared" si="25"/>
        <v>0</v>
      </c>
      <c r="J806" s="28">
        <f t="shared" si="26"/>
        <v>0</v>
      </c>
      <c r="K806" s="29" t="s">
        <v>1369</v>
      </c>
      <c r="Z806" s="28">
        <f t="shared" si="27"/>
        <v>0</v>
      </c>
      <c r="AB806" s="28">
        <f t="shared" si="28"/>
        <v>0</v>
      </c>
      <c r="AC806" s="28">
        <f t="shared" si="29"/>
        <v>0</v>
      </c>
      <c r="AD806" s="28">
        <f t="shared" si="30"/>
        <v>0</v>
      </c>
      <c r="AE806" s="28">
        <f t="shared" si="31"/>
        <v>0</v>
      </c>
      <c r="AF806" s="28">
        <f t="shared" si="32"/>
        <v>0</v>
      </c>
      <c r="AG806" s="28">
        <f t="shared" si="33"/>
        <v>0</v>
      </c>
      <c r="AH806" s="28">
        <f t="shared" si="34"/>
        <v>0</v>
      </c>
      <c r="AI806" s="10" t="s">
        <v>1045</v>
      </c>
      <c r="AJ806" s="28">
        <f t="shared" si="35"/>
        <v>0</v>
      </c>
      <c r="AK806" s="28">
        <f t="shared" si="36"/>
        <v>0</v>
      </c>
      <c r="AL806" s="28">
        <f t="shared" si="37"/>
        <v>0</v>
      </c>
      <c r="AN806" s="28">
        <v>21</v>
      </c>
      <c r="AO806" s="28">
        <f t="shared" si="38"/>
        <v>0</v>
      </c>
      <c r="AP806" s="28">
        <f t="shared" si="39"/>
        <v>0</v>
      </c>
      <c r="AQ806" s="30" t="s">
        <v>118</v>
      </c>
      <c r="AV806" s="28">
        <f t="shared" si="40"/>
        <v>0</v>
      </c>
      <c r="AW806" s="28">
        <f t="shared" si="41"/>
        <v>0</v>
      </c>
      <c r="AX806" s="28">
        <f t="shared" si="42"/>
        <v>0</v>
      </c>
      <c r="AY806" s="30" t="s">
        <v>1340</v>
      </c>
      <c r="AZ806" s="30" t="s">
        <v>1233</v>
      </c>
      <c r="BA806" s="10" t="s">
        <v>1050</v>
      </c>
      <c r="BC806" s="28">
        <f t="shared" si="43"/>
        <v>0</v>
      </c>
      <c r="BD806" s="28">
        <f t="shared" si="44"/>
        <v>0</v>
      </c>
      <c r="BE806" s="28">
        <v>0</v>
      </c>
      <c r="BF806" s="28">
        <f>814</f>
        <v>814</v>
      </c>
      <c r="BH806" s="28">
        <f t="shared" si="45"/>
        <v>0</v>
      </c>
      <c r="BI806" s="28">
        <f t="shared" si="46"/>
        <v>0</v>
      </c>
      <c r="BJ806" s="28">
        <f t="shared" si="47"/>
        <v>0</v>
      </c>
      <c r="BK806" s="28"/>
      <c r="BL806" s="28">
        <v>766</v>
      </c>
      <c r="BW806" s="28">
        <v>21</v>
      </c>
      <c r="BX806" s="4" t="s">
        <v>1437</v>
      </c>
    </row>
    <row r="807" spans="1:76" x14ac:dyDescent="0.25">
      <c r="A807" s="2" t="s">
        <v>1438</v>
      </c>
      <c r="B807" s="3" t="s">
        <v>1439</v>
      </c>
      <c r="C807" s="76" t="s">
        <v>1440</v>
      </c>
      <c r="D807" s="71"/>
      <c r="E807" s="3" t="s">
        <v>926</v>
      </c>
      <c r="F807" s="28">
        <v>11.6</v>
      </c>
      <c r="G807" s="28">
        <v>0</v>
      </c>
      <c r="H807" s="28">
        <f t="shared" si="24"/>
        <v>0</v>
      </c>
      <c r="I807" s="28">
        <f t="shared" si="25"/>
        <v>0</v>
      </c>
      <c r="J807" s="28">
        <f t="shared" si="26"/>
        <v>0</v>
      </c>
      <c r="K807" s="29" t="s">
        <v>1369</v>
      </c>
      <c r="Z807" s="28">
        <f t="shared" si="27"/>
        <v>0</v>
      </c>
      <c r="AB807" s="28">
        <f t="shared" si="28"/>
        <v>0</v>
      </c>
      <c r="AC807" s="28">
        <f t="shared" si="29"/>
        <v>0</v>
      </c>
      <c r="AD807" s="28">
        <f t="shared" si="30"/>
        <v>0</v>
      </c>
      <c r="AE807" s="28">
        <f t="shared" si="31"/>
        <v>0</v>
      </c>
      <c r="AF807" s="28">
        <f t="shared" si="32"/>
        <v>0</v>
      </c>
      <c r="AG807" s="28">
        <f t="shared" si="33"/>
        <v>0</v>
      </c>
      <c r="AH807" s="28">
        <f t="shared" si="34"/>
        <v>0</v>
      </c>
      <c r="AI807" s="10" t="s">
        <v>1045</v>
      </c>
      <c r="AJ807" s="28">
        <f t="shared" si="35"/>
        <v>0</v>
      </c>
      <c r="AK807" s="28">
        <f t="shared" si="36"/>
        <v>0</v>
      </c>
      <c r="AL807" s="28">
        <f t="shared" si="37"/>
        <v>0</v>
      </c>
      <c r="AN807" s="28">
        <v>21</v>
      </c>
      <c r="AO807" s="28">
        <f t="shared" si="38"/>
        <v>0</v>
      </c>
      <c r="AP807" s="28">
        <f t="shared" si="39"/>
        <v>0</v>
      </c>
      <c r="AQ807" s="30" t="s">
        <v>118</v>
      </c>
      <c r="AV807" s="28">
        <f t="shared" si="40"/>
        <v>0</v>
      </c>
      <c r="AW807" s="28">
        <f t="shared" si="41"/>
        <v>0</v>
      </c>
      <c r="AX807" s="28">
        <f t="shared" si="42"/>
        <v>0</v>
      </c>
      <c r="AY807" s="30" t="s">
        <v>1340</v>
      </c>
      <c r="AZ807" s="30" t="s">
        <v>1233</v>
      </c>
      <c r="BA807" s="10" t="s">
        <v>1050</v>
      </c>
      <c r="BC807" s="28">
        <f t="shared" si="43"/>
        <v>0</v>
      </c>
      <c r="BD807" s="28">
        <f t="shared" si="44"/>
        <v>0</v>
      </c>
      <c r="BE807" s="28">
        <v>0</v>
      </c>
      <c r="BF807" s="28">
        <f>815</f>
        <v>815</v>
      </c>
      <c r="BH807" s="28">
        <f t="shared" si="45"/>
        <v>0</v>
      </c>
      <c r="BI807" s="28">
        <f t="shared" si="46"/>
        <v>0</v>
      </c>
      <c r="BJ807" s="28">
        <f t="shared" si="47"/>
        <v>0</v>
      </c>
      <c r="BK807" s="28"/>
      <c r="BL807" s="28">
        <v>766</v>
      </c>
      <c r="BW807" s="28">
        <v>21</v>
      </c>
      <c r="BX807" s="4" t="s">
        <v>1440</v>
      </c>
    </row>
    <row r="808" spans="1:76" x14ac:dyDescent="0.25">
      <c r="A808" s="2" t="s">
        <v>1441</v>
      </c>
      <c r="B808" s="3" t="s">
        <v>1442</v>
      </c>
      <c r="C808" s="76" t="s">
        <v>1443</v>
      </c>
      <c r="D808" s="71"/>
      <c r="E808" s="3" t="s">
        <v>1376</v>
      </c>
      <c r="F808" s="28">
        <v>300</v>
      </c>
      <c r="G808" s="28">
        <v>0</v>
      </c>
      <c r="H808" s="28">
        <f t="shared" si="24"/>
        <v>0</v>
      </c>
      <c r="I808" s="28">
        <f t="shared" si="25"/>
        <v>0</v>
      </c>
      <c r="J808" s="28">
        <f t="shared" si="26"/>
        <v>0</v>
      </c>
      <c r="K808" s="29" t="s">
        <v>1369</v>
      </c>
      <c r="Z808" s="28">
        <f t="shared" si="27"/>
        <v>0</v>
      </c>
      <c r="AB808" s="28">
        <f t="shared" si="28"/>
        <v>0</v>
      </c>
      <c r="AC808" s="28">
        <f t="shared" si="29"/>
        <v>0</v>
      </c>
      <c r="AD808" s="28">
        <f t="shared" si="30"/>
        <v>0</v>
      </c>
      <c r="AE808" s="28">
        <f t="shared" si="31"/>
        <v>0</v>
      </c>
      <c r="AF808" s="28">
        <f t="shared" si="32"/>
        <v>0</v>
      </c>
      <c r="AG808" s="28">
        <f t="shared" si="33"/>
        <v>0</v>
      </c>
      <c r="AH808" s="28">
        <f t="shared" si="34"/>
        <v>0</v>
      </c>
      <c r="AI808" s="10" t="s">
        <v>1045</v>
      </c>
      <c r="AJ808" s="28">
        <f t="shared" si="35"/>
        <v>0</v>
      </c>
      <c r="AK808" s="28">
        <f t="shared" si="36"/>
        <v>0</v>
      </c>
      <c r="AL808" s="28">
        <f t="shared" si="37"/>
        <v>0</v>
      </c>
      <c r="AN808" s="28">
        <v>21</v>
      </c>
      <c r="AO808" s="28">
        <f t="shared" si="38"/>
        <v>0</v>
      </c>
      <c r="AP808" s="28">
        <f t="shared" si="39"/>
        <v>0</v>
      </c>
      <c r="AQ808" s="30" t="s">
        <v>118</v>
      </c>
      <c r="AV808" s="28">
        <f t="shared" si="40"/>
        <v>0</v>
      </c>
      <c r="AW808" s="28">
        <f t="shared" si="41"/>
        <v>0</v>
      </c>
      <c r="AX808" s="28">
        <f t="shared" si="42"/>
        <v>0</v>
      </c>
      <c r="AY808" s="30" t="s">
        <v>1340</v>
      </c>
      <c r="AZ808" s="30" t="s">
        <v>1233</v>
      </c>
      <c r="BA808" s="10" t="s">
        <v>1050</v>
      </c>
      <c r="BC808" s="28">
        <f t="shared" si="43"/>
        <v>0</v>
      </c>
      <c r="BD808" s="28">
        <f t="shared" si="44"/>
        <v>0</v>
      </c>
      <c r="BE808" s="28">
        <v>0</v>
      </c>
      <c r="BF808" s="28">
        <f>816</f>
        <v>816</v>
      </c>
      <c r="BH808" s="28">
        <f t="shared" si="45"/>
        <v>0</v>
      </c>
      <c r="BI808" s="28">
        <f t="shared" si="46"/>
        <v>0</v>
      </c>
      <c r="BJ808" s="28">
        <f t="shared" si="47"/>
        <v>0</v>
      </c>
      <c r="BK808" s="28"/>
      <c r="BL808" s="28">
        <v>766</v>
      </c>
      <c r="BW808" s="28">
        <v>21</v>
      </c>
      <c r="BX808" s="4" t="s">
        <v>1443</v>
      </c>
    </row>
    <row r="809" spans="1:76" x14ac:dyDescent="0.25">
      <c r="A809" s="2" t="s">
        <v>1444</v>
      </c>
      <c r="B809" s="3" t="s">
        <v>1445</v>
      </c>
      <c r="C809" s="76" t="s">
        <v>2469</v>
      </c>
      <c r="D809" s="71"/>
      <c r="E809" s="3" t="s">
        <v>1376</v>
      </c>
      <c r="F809" s="28">
        <v>17</v>
      </c>
      <c r="G809" s="28">
        <v>0</v>
      </c>
      <c r="H809" s="28">
        <f t="shared" si="24"/>
        <v>0</v>
      </c>
      <c r="I809" s="28">
        <f t="shared" si="25"/>
        <v>0</v>
      </c>
      <c r="J809" s="28">
        <f t="shared" si="26"/>
        <v>0</v>
      </c>
      <c r="K809" s="29" t="s">
        <v>1369</v>
      </c>
      <c r="Z809" s="28">
        <f t="shared" si="27"/>
        <v>0</v>
      </c>
      <c r="AB809" s="28">
        <f t="shared" si="28"/>
        <v>0</v>
      </c>
      <c r="AC809" s="28">
        <f t="shared" si="29"/>
        <v>0</v>
      </c>
      <c r="AD809" s="28">
        <f t="shared" si="30"/>
        <v>0</v>
      </c>
      <c r="AE809" s="28">
        <f t="shared" si="31"/>
        <v>0</v>
      </c>
      <c r="AF809" s="28">
        <f t="shared" si="32"/>
        <v>0</v>
      </c>
      <c r="AG809" s="28">
        <f t="shared" si="33"/>
        <v>0</v>
      </c>
      <c r="AH809" s="28">
        <f t="shared" si="34"/>
        <v>0</v>
      </c>
      <c r="AI809" s="10" t="s">
        <v>1045</v>
      </c>
      <c r="AJ809" s="28">
        <f t="shared" si="35"/>
        <v>0</v>
      </c>
      <c r="AK809" s="28">
        <f t="shared" si="36"/>
        <v>0</v>
      </c>
      <c r="AL809" s="28">
        <f t="shared" si="37"/>
        <v>0</v>
      </c>
      <c r="AN809" s="28">
        <v>21</v>
      </c>
      <c r="AO809" s="28">
        <f t="shared" si="38"/>
        <v>0</v>
      </c>
      <c r="AP809" s="28">
        <f t="shared" si="39"/>
        <v>0</v>
      </c>
      <c r="AQ809" s="30" t="s">
        <v>118</v>
      </c>
      <c r="AV809" s="28">
        <f t="shared" si="40"/>
        <v>0</v>
      </c>
      <c r="AW809" s="28">
        <f t="shared" si="41"/>
        <v>0</v>
      </c>
      <c r="AX809" s="28">
        <f t="shared" si="42"/>
        <v>0</v>
      </c>
      <c r="AY809" s="30" t="s">
        <v>1340</v>
      </c>
      <c r="AZ809" s="30" t="s">
        <v>1233</v>
      </c>
      <c r="BA809" s="10" t="s">
        <v>1050</v>
      </c>
      <c r="BC809" s="28">
        <f t="shared" si="43"/>
        <v>0</v>
      </c>
      <c r="BD809" s="28">
        <f t="shared" si="44"/>
        <v>0</v>
      </c>
      <c r="BE809" s="28">
        <v>0</v>
      </c>
      <c r="BF809" s="28">
        <f>817</f>
        <v>817</v>
      </c>
      <c r="BH809" s="28">
        <f t="shared" si="45"/>
        <v>0</v>
      </c>
      <c r="BI809" s="28">
        <f t="shared" si="46"/>
        <v>0</v>
      </c>
      <c r="BJ809" s="28">
        <f t="shared" si="47"/>
        <v>0</v>
      </c>
      <c r="BK809" s="28"/>
      <c r="BL809" s="28">
        <v>766</v>
      </c>
      <c r="BW809" s="28">
        <v>21</v>
      </c>
      <c r="BX809" s="4" t="s">
        <v>1446</v>
      </c>
    </row>
    <row r="810" spans="1:76" x14ac:dyDescent="0.25">
      <c r="A810" s="2" t="s">
        <v>1447</v>
      </c>
      <c r="B810" s="3" t="s">
        <v>1448</v>
      </c>
      <c r="C810" s="76" t="s">
        <v>1449</v>
      </c>
      <c r="D810" s="71"/>
      <c r="E810" s="3" t="s">
        <v>1376</v>
      </c>
      <c r="F810" s="28">
        <v>22</v>
      </c>
      <c r="G810" s="28">
        <v>0</v>
      </c>
      <c r="H810" s="28">
        <f t="shared" si="24"/>
        <v>0</v>
      </c>
      <c r="I810" s="28">
        <f t="shared" si="25"/>
        <v>0</v>
      </c>
      <c r="J810" s="28">
        <f t="shared" si="26"/>
        <v>0</v>
      </c>
      <c r="K810" s="29" t="s">
        <v>1369</v>
      </c>
      <c r="Z810" s="28">
        <f t="shared" si="27"/>
        <v>0</v>
      </c>
      <c r="AB810" s="28">
        <f t="shared" si="28"/>
        <v>0</v>
      </c>
      <c r="AC810" s="28">
        <f t="shared" si="29"/>
        <v>0</v>
      </c>
      <c r="AD810" s="28">
        <f t="shared" si="30"/>
        <v>0</v>
      </c>
      <c r="AE810" s="28">
        <f t="shared" si="31"/>
        <v>0</v>
      </c>
      <c r="AF810" s="28">
        <f t="shared" si="32"/>
        <v>0</v>
      </c>
      <c r="AG810" s="28">
        <f t="shared" si="33"/>
        <v>0</v>
      </c>
      <c r="AH810" s="28">
        <f t="shared" si="34"/>
        <v>0</v>
      </c>
      <c r="AI810" s="10" t="s">
        <v>1045</v>
      </c>
      <c r="AJ810" s="28">
        <f t="shared" si="35"/>
        <v>0</v>
      </c>
      <c r="AK810" s="28">
        <f t="shared" si="36"/>
        <v>0</v>
      </c>
      <c r="AL810" s="28">
        <f t="shared" si="37"/>
        <v>0</v>
      </c>
      <c r="AN810" s="28">
        <v>21</v>
      </c>
      <c r="AO810" s="28">
        <f t="shared" si="38"/>
        <v>0</v>
      </c>
      <c r="AP810" s="28">
        <f t="shared" si="39"/>
        <v>0</v>
      </c>
      <c r="AQ810" s="30" t="s">
        <v>118</v>
      </c>
      <c r="AV810" s="28">
        <f t="shared" si="40"/>
        <v>0</v>
      </c>
      <c r="AW810" s="28">
        <f t="shared" si="41"/>
        <v>0</v>
      </c>
      <c r="AX810" s="28">
        <f t="shared" si="42"/>
        <v>0</v>
      </c>
      <c r="AY810" s="30" t="s">
        <v>1340</v>
      </c>
      <c r="AZ810" s="30" t="s">
        <v>1233</v>
      </c>
      <c r="BA810" s="10" t="s">
        <v>1050</v>
      </c>
      <c r="BC810" s="28">
        <f t="shared" si="43"/>
        <v>0</v>
      </c>
      <c r="BD810" s="28">
        <f t="shared" si="44"/>
        <v>0</v>
      </c>
      <c r="BE810" s="28">
        <v>0</v>
      </c>
      <c r="BF810" s="28">
        <f>818</f>
        <v>818</v>
      </c>
      <c r="BH810" s="28">
        <f t="shared" si="45"/>
        <v>0</v>
      </c>
      <c r="BI810" s="28">
        <f t="shared" si="46"/>
        <v>0</v>
      </c>
      <c r="BJ810" s="28">
        <f t="shared" si="47"/>
        <v>0</v>
      </c>
      <c r="BK810" s="28"/>
      <c r="BL810" s="28">
        <v>766</v>
      </c>
      <c r="BW810" s="28">
        <v>21</v>
      </c>
      <c r="BX810" s="4" t="s">
        <v>1449</v>
      </c>
    </row>
    <row r="811" spans="1:76" x14ac:dyDescent="0.25">
      <c r="A811" s="2" t="s">
        <v>747</v>
      </c>
      <c r="B811" s="3" t="s">
        <v>1450</v>
      </c>
      <c r="C811" s="76" t="s">
        <v>2470</v>
      </c>
      <c r="D811" s="71"/>
      <c r="E811" s="3" t="s">
        <v>1376</v>
      </c>
      <c r="F811" s="28">
        <v>56</v>
      </c>
      <c r="G811" s="28">
        <v>0</v>
      </c>
      <c r="H811" s="28">
        <f t="shared" si="24"/>
        <v>0</v>
      </c>
      <c r="I811" s="28">
        <f t="shared" si="25"/>
        <v>0</v>
      </c>
      <c r="J811" s="28">
        <f t="shared" si="26"/>
        <v>0</v>
      </c>
      <c r="K811" s="29" t="s">
        <v>1369</v>
      </c>
      <c r="Z811" s="28">
        <f t="shared" si="27"/>
        <v>0</v>
      </c>
      <c r="AB811" s="28">
        <f t="shared" si="28"/>
        <v>0</v>
      </c>
      <c r="AC811" s="28">
        <f t="shared" si="29"/>
        <v>0</v>
      </c>
      <c r="AD811" s="28">
        <f t="shared" si="30"/>
        <v>0</v>
      </c>
      <c r="AE811" s="28">
        <f t="shared" si="31"/>
        <v>0</v>
      </c>
      <c r="AF811" s="28">
        <f t="shared" si="32"/>
        <v>0</v>
      </c>
      <c r="AG811" s="28">
        <f t="shared" si="33"/>
        <v>0</v>
      </c>
      <c r="AH811" s="28">
        <f t="shared" si="34"/>
        <v>0</v>
      </c>
      <c r="AI811" s="10" t="s">
        <v>1045</v>
      </c>
      <c r="AJ811" s="28">
        <f t="shared" si="35"/>
        <v>0</v>
      </c>
      <c r="AK811" s="28">
        <f t="shared" si="36"/>
        <v>0</v>
      </c>
      <c r="AL811" s="28">
        <f t="shared" si="37"/>
        <v>0</v>
      </c>
      <c r="AN811" s="28">
        <v>21</v>
      </c>
      <c r="AO811" s="28">
        <f t="shared" si="38"/>
        <v>0</v>
      </c>
      <c r="AP811" s="28">
        <f t="shared" si="39"/>
        <v>0</v>
      </c>
      <c r="AQ811" s="30" t="s">
        <v>118</v>
      </c>
      <c r="AV811" s="28">
        <f t="shared" si="40"/>
        <v>0</v>
      </c>
      <c r="AW811" s="28">
        <f t="shared" si="41"/>
        <v>0</v>
      </c>
      <c r="AX811" s="28">
        <f t="shared" si="42"/>
        <v>0</v>
      </c>
      <c r="AY811" s="30" t="s">
        <v>1340</v>
      </c>
      <c r="AZ811" s="30" t="s">
        <v>1233</v>
      </c>
      <c r="BA811" s="10" t="s">
        <v>1050</v>
      </c>
      <c r="BC811" s="28">
        <f t="shared" si="43"/>
        <v>0</v>
      </c>
      <c r="BD811" s="28">
        <f t="shared" si="44"/>
        <v>0</v>
      </c>
      <c r="BE811" s="28">
        <v>0</v>
      </c>
      <c r="BF811" s="28">
        <f>819</f>
        <v>819</v>
      </c>
      <c r="BH811" s="28">
        <f t="shared" si="45"/>
        <v>0</v>
      </c>
      <c r="BI811" s="28">
        <f t="shared" si="46"/>
        <v>0</v>
      </c>
      <c r="BJ811" s="28">
        <f t="shared" si="47"/>
        <v>0</v>
      </c>
      <c r="BK811" s="28"/>
      <c r="BL811" s="28">
        <v>766</v>
      </c>
      <c r="BW811" s="28">
        <v>21</v>
      </c>
      <c r="BX811" s="4" t="s">
        <v>1451</v>
      </c>
    </row>
    <row r="812" spans="1:76" x14ac:dyDescent="0.25">
      <c r="A812" s="2" t="s">
        <v>1452</v>
      </c>
      <c r="B812" s="3" t="s">
        <v>1411</v>
      </c>
      <c r="C812" s="76" t="s">
        <v>1412</v>
      </c>
      <c r="D812" s="71"/>
      <c r="E812" s="3" t="s">
        <v>1413</v>
      </c>
      <c r="F812" s="28">
        <v>1</v>
      </c>
      <c r="G812" s="28">
        <v>0</v>
      </c>
      <c r="H812" s="28">
        <f t="shared" si="24"/>
        <v>0</v>
      </c>
      <c r="I812" s="28">
        <f t="shared" si="25"/>
        <v>0</v>
      </c>
      <c r="J812" s="28">
        <f t="shared" si="26"/>
        <v>0</v>
      </c>
      <c r="K812" s="29" t="s">
        <v>1369</v>
      </c>
      <c r="Z812" s="28">
        <f t="shared" si="27"/>
        <v>0</v>
      </c>
      <c r="AB812" s="28">
        <f t="shared" si="28"/>
        <v>0</v>
      </c>
      <c r="AC812" s="28">
        <f t="shared" si="29"/>
        <v>0</v>
      </c>
      <c r="AD812" s="28">
        <f t="shared" si="30"/>
        <v>0</v>
      </c>
      <c r="AE812" s="28">
        <f t="shared" si="31"/>
        <v>0</v>
      </c>
      <c r="AF812" s="28">
        <f t="shared" si="32"/>
        <v>0</v>
      </c>
      <c r="AG812" s="28">
        <f t="shared" si="33"/>
        <v>0</v>
      </c>
      <c r="AH812" s="28">
        <f t="shared" si="34"/>
        <v>0</v>
      </c>
      <c r="AI812" s="10" t="s">
        <v>1045</v>
      </c>
      <c r="AJ812" s="28">
        <f t="shared" si="35"/>
        <v>0</v>
      </c>
      <c r="AK812" s="28">
        <f t="shared" si="36"/>
        <v>0</v>
      </c>
      <c r="AL812" s="28">
        <f t="shared" si="37"/>
        <v>0</v>
      </c>
      <c r="AN812" s="28">
        <v>21</v>
      </c>
      <c r="AO812" s="28">
        <f t="shared" si="38"/>
        <v>0</v>
      </c>
      <c r="AP812" s="28">
        <f t="shared" si="39"/>
        <v>0</v>
      </c>
      <c r="AQ812" s="30" t="s">
        <v>118</v>
      </c>
      <c r="AV812" s="28">
        <f t="shared" si="40"/>
        <v>0</v>
      </c>
      <c r="AW812" s="28">
        <f t="shared" si="41"/>
        <v>0</v>
      </c>
      <c r="AX812" s="28">
        <f t="shared" si="42"/>
        <v>0</v>
      </c>
      <c r="AY812" s="30" t="s">
        <v>1340</v>
      </c>
      <c r="AZ812" s="30" t="s">
        <v>1233</v>
      </c>
      <c r="BA812" s="10" t="s">
        <v>1050</v>
      </c>
      <c r="BC812" s="28">
        <f t="shared" si="43"/>
        <v>0</v>
      </c>
      <c r="BD812" s="28">
        <f t="shared" si="44"/>
        <v>0</v>
      </c>
      <c r="BE812" s="28">
        <v>0</v>
      </c>
      <c r="BF812" s="28">
        <f>820</f>
        <v>820</v>
      </c>
      <c r="BH812" s="28">
        <f t="shared" si="45"/>
        <v>0</v>
      </c>
      <c r="BI812" s="28">
        <f t="shared" si="46"/>
        <v>0</v>
      </c>
      <c r="BJ812" s="28">
        <f t="shared" si="47"/>
        <v>0</v>
      </c>
      <c r="BK812" s="28"/>
      <c r="BL812" s="28">
        <v>766</v>
      </c>
      <c r="BW812" s="28">
        <v>21</v>
      </c>
      <c r="BX812" s="4" t="s">
        <v>1412</v>
      </c>
    </row>
    <row r="813" spans="1:76" x14ac:dyDescent="0.25">
      <c r="A813" s="2" t="s">
        <v>1453</v>
      </c>
      <c r="B813" s="3" t="s">
        <v>1415</v>
      </c>
      <c r="C813" s="76" t="s">
        <v>1416</v>
      </c>
      <c r="D813" s="71"/>
      <c r="E813" s="3" t="s">
        <v>1413</v>
      </c>
      <c r="F813" s="28">
        <v>8</v>
      </c>
      <c r="G813" s="28">
        <v>0</v>
      </c>
      <c r="H813" s="28">
        <f t="shared" si="24"/>
        <v>0</v>
      </c>
      <c r="I813" s="28">
        <f t="shared" si="25"/>
        <v>0</v>
      </c>
      <c r="J813" s="28">
        <f t="shared" si="26"/>
        <v>0</v>
      </c>
      <c r="K813" s="29" t="s">
        <v>1369</v>
      </c>
      <c r="Z813" s="28">
        <f t="shared" si="27"/>
        <v>0</v>
      </c>
      <c r="AB813" s="28">
        <f t="shared" si="28"/>
        <v>0</v>
      </c>
      <c r="AC813" s="28">
        <f t="shared" si="29"/>
        <v>0</v>
      </c>
      <c r="AD813" s="28">
        <f t="shared" si="30"/>
        <v>0</v>
      </c>
      <c r="AE813" s="28">
        <f t="shared" si="31"/>
        <v>0</v>
      </c>
      <c r="AF813" s="28">
        <f t="shared" si="32"/>
        <v>0</v>
      </c>
      <c r="AG813" s="28">
        <f t="shared" si="33"/>
        <v>0</v>
      </c>
      <c r="AH813" s="28">
        <f t="shared" si="34"/>
        <v>0</v>
      </c>
      <c r="AI813" s="10" t="s">
        <v>1045</v>
      </c>
      <c r="AJ813" s="28">
        <f t="shared" si="35"/>
        <v>0</v>
      </c>
      <c r="AK813" s="28">
        <f t="shared" si="36"/>
        <v>0</v>
      </c>
      <c r="AL813" s="28">
        <f t="shared" si="37"/>
        <v>0</v>
      </c>
      <c r="AN813" s="28">
        <v>21</v>
      </c>
      <c r="AO813" s="28">
        <f t="shared" si="38"/>
        <v>0</v>
      </c>
      <c r="AP813" s="28">
        <f t="shared" si="39"/>
        <v>0</v>
      </c>
      <c r="AQ813" s="30" t="s">
        <v>118</v>
      </c>
      <c r="AV813" s="28">
        <f t="shared" si="40"/>
        <v>0</v>
      </c>
      <c r="AW813" s="28">
        <f t="shared" si="41"/>
        <v>0</v>
      </c>
      <c r="AX813" s="28">
        <f t="shared" si="42"/>
        <v>0</v>
      </c>
      <c r="AY813" s="30" t="s">
        <v>1340</v>
      </c>
      <c r="AZ813" s="30" t="s">
        <v>1233</v>
      </c>
      <c r="BA813" s="10" t="s">
        <v>1050</v>
      </c>
      <c r="BC813" s="28">
        <f t="shared" si="43"/>
        <v>0</v>
      </c>
      <c r="BD813" s="28">
        <f t="shared" si="44"/>
        <v>0</v>
      </c>
      <c r="BE813" s="28">
        <v>0</v>
      </c>
      <c r="BF813" s="28">
        <f>821</f>
        <v>821</v>
      </c>
      <c r="BH813" s="28">
        <f t="shared" si="45"/>
        <v>0</v>
      </c>
      <c r="BI813" s="28">
        <f t="shared" si="46"/>
        <v>0</v>
      </c>
      <c r="BJ813" s="28">
        <f t="shared" si="47"/>
        <v>0</v>
      </c>
      <c r="BK813" s="28"/>
      <c r="BL813" s="28">
        <v>766</v>
      </c>
      <c r="BW813" s="28">
        <v>21</v>
      </c>
      <c r="BX813" s="4" t="s">
        <v>1416</v>
      </c>
    </row>
    <row r="814" spans="1:76" ht="25.5" x14ac:dyDescent="0.25">
      <c r="A814" s="2" t="s">
        <v>1454</v>
      </c>
      <c r="B814" s="3" t="s">
        <v>1424</v>
      </c>
      <c r="C814" s="76" t="s">
        <v>2467</v>
      </c>
      <c r="D814" s="71"/>
      <c r="E814" s="3" t="s">
        <v>1376</v>
      </c>
      <c r="F814" s="28">
        <v>80</v>
      </c>
      <c r="G814" s="28">
        <v>0</v>
      </c>
      <c r="H814" s="28">
        <f t="shared" si="24"/>
        <v>0</v>
      </c>
      <c r="I814" s="28">
        <f t="shared" si="25"/>
        <v>0</v>
      </c>
      <c r="J814" s="28">
        <f t="shared" si="26"/>
        <v>0</v>
      </c>
      <c r="K814" s="29" t="s">
        <v>51</v>
      </c>
      <c r="Z814" s="28">
        <f t="shared" si="27"/>
        <v>0</v>
      </c>
      <c r="AB814" s="28">
        <f t="shared" si="28"/>
        <v>0</v>
      </c>
      <c r="AC814" s="28">
        <f t="shared" si="29"/>
        <v>0</v>
      </c>
      <c r="AD814" s="28">
        <f t="shared" si="30"/>
        <v>0</v>
      </c>
      <c r="AE814" s="28">
        <f t="shared" si="31"/>
        <v>0</v>
      </c>
      <c r="AF814" s="28">
        <f t="shared" si="32"/>
        <v>0</v>
      </c>
      <c r="AG814" s="28">
        <f t="shared" si="33"/>
        <v>0</v>
      </c>
      <c r="AH814" s="28">
        <f t="shared" si="34"/>
        <v>0</v>
      </c>
      <c r="AI814" s="10" t="s">
        <v>1045</v>
      </c>
      <c r="AJ814" s="28">
        <f t="shared" si="35"/>
        <v>0</v>
      </c>
      <c r="AK814" s="28">
        <f t="shared" si="36"/>
        <v>0</v>
      </c>
      <c r="AL814" s="28">
        <f t="shared" si="37"/>
        <v>0</v>
      </c>
      <c r="AN814" s="28">
        <v>21</v>
      </c>
      <c r="AO814" s="28">
        <f t="shared" si="38"/>
        <v>0</v>
      </c>
      <c r="AP814" s="28">
        <f t="shared" si="39"/>
        <v>0</v>
      </c>
      <c r="AQ814" s="30" t="s">
        <v>118</v>
      </c>
      <c r="AV814" s="28">
        <f t="shared" si="40"/>
        <v>0</v>
      </c>
      <c r="AW814" s="28">
        <f t="shared" si="41"/>
        <v>0</v>
      </c>
      <c r="AX814" s="28">
        <f t="shared" si="42"/>
        <v>0</v>
      </c>
      <c r="AY814" s="30" t="s">
        <v>1340</v>
      </c>
      <c r="AZ814" s="30" t="s">
        <v>1233</v>
      </c>
      <c r="BA814" s="10" t="s">
        <v>1050</v>
      </c>
      <c r="BC814" s="28">
        <f t="shared" si="43"/>
        <v>0</v>
      </c>
      <c r="BD814" s="28">
        <f t="shared" si="44"/>
        <v>0</v>
      </c>
      <c r="BE814" s="28">
        <v>0</v>
      </c>
      <c r="BF814" s="28">
        <f>822</f>
        <v>822</v>
      </c>
      <c r="BH814" s="28">
        <f t="shared" si="45"/>
        <v>0</v>
      </c>
      <c r="BI814" s="28">
        <f t="shared" si="46"/>
        <v>0</v>
      </c>
      <c r="BJ814" s="28">
        <f t="shared" si="47"/>
        <v>0</v>
      </c>
      <c r="BK814" s="28"/>
      <c r="BL814" s="28">
        <v>766</v>
      </c>
      <c r="BW814" s="28">
        <v>21</v>
      </c>
      <c r="BX814" s="4" t="s">
        <v>1425</v>
      </c>
    </row>
    <row r="815" spans="1:76" x14ac:dyDescent="0.25">
      <c r="A815" s="2" t="s">
        <v>1455</v>
      </c>
      <c r="B815" s="3" t="s">
        <v>1427</v>
      </c>
      <c r="C815" s="76" t="s">
        <v>1428</v>
      </c>
      <c r="D815" s="71"/>
      <c r="E815" s="3" t="s">
        <v>103</v>
      </c>
      <c r="F815" s="28">
        <v>26</v>
      </c>
      <c r="G815" s="28">
        <v>0</v>
      </c>
      <c r="H815" s="28">
        <f t="shared" si="24"/>
        <v>0</v>
      </c>
      <c r="I815" s="28">
        <f t="shared" si="25"/>
        <v>0</v>
      </c>
      <c r="J815" s="28">
        <f t="shared" si="26"/>
        <v>0</v>
      </c>
      <c r="K815" s="29" t="s">
        <v>60</v>
      </c>
      <c r="Z815" s="28">
        <f t="shared" si="27"/>
        <v>0</v>
      </c>
      <c r="AB815" s="28">
        <f t="shared" si="28"/>
        <v>0</v>
      </c>
      <c r="AC815" s="28">
        <f t="shared" si="29"/>
        <v>0</v>
      </c>
      <c r="AD815" s="28">
        <f t="shared" si="30"/>
        <v>0</v>
      </c>
      <c r="AE815" s="28">
        <f t="shared" si="31"/>
        <v>0</v>
      </c>
      <c r="AF815" s="28">
        <f t="shared" si="32"/>
        <v>0</v>
      </c>
      <c r="AG815" s="28">
        <f t="shared" si="33"/>
        <v>0</v>
      </c>
      <c r="AH815" s="28">
        <f t="shared" si="34"/>
        <v>0</v>
      </c>
      <c r="AI815" s="10" t="s">
        <v>1045</v>
      </c>
      <c r="AJ815" s="28">
        <f t="shared" si="35"/>
        <v>0</v>
      </c>
      <c r="AK815" s="28">
        <f t="shared" si="36"/>
        <v>0</v>
      </c>
      <c r="AL815" s="28">
        <f t="shared" si="37"/>
        <v>0</v>
      </c>
      <c r="AN815" s="28">
        <v>21</v>
      </c>
      <c r="AO815" s="28">
        <f>G815*0</f>
        <v>0</v>
      </c>
      <c r="AP815" s="28">
        <f>G815*(1-0)</f>
        <v>0</v>
      </c>
      <c r="AQ815" s="30" t="s">
        <v>118</v>
      </c>
      <c r="AV815" s="28">
        <f t="shared" si="40"/>
        <v>0</v>
      </c>
      <c r="AW815" s="28">
        <f t="shared" si="41"/>
        <v>0</v>
      </c>
      <c r="AX815" s="28">
        <f t="shared" si="42"/>
        <v>0</v>
      </c>
      <c r="AY815" s="30" t="s">
        <v>1340</v>
      </c>
      <c r="AZ815" s="30" t="s">
        <v>1233</v>
      </c>
      <c r="BA815" s="10" t="s">
        <v>1050</v>
      </c>
      <c r="BC815" s="28">
        <f t="shared" si="43"/>
        <v>0</v>
      </c>
      <c r="BD815" s="28">
        <f t="shared" si="44"/>
        <v>0</v>
      </c>
      <c r="BE815" s="28">
        <v>0</v>
      </c>
      <c r="BF815" s="28">
        <f>823</f>
        <v>823</v>
      </c>
      <c r="BH815" s="28">
        <f t="shared" si="45"/>
        <v>0</v>
      </c>
      <c r="BI815" s="28">
        <f t="shared" si="46"/>
        <v>0</v>
      </c>
      <c r="BJ815" s="28">
        <f t="shared" si="47"/>
        <v>0</v>
      </c>
      <c r="BK815" s="28"/>
      <c r="BL815" s="28">
        <v>766</v>
      </c>
      <c r="BW815" s="28">
        <v>21</v>
      </c>
      <c r="BX815" s="4" t="s">
        <v>1428</v>
      </c>
    </row>
    <row r="816" spans="1:76" x14ac:dyDescent="0.25">
      <c r="A816" s="31"/>
      <c r="C816" s="32" t="s">
        <v>1456</v>
      </c>
      <c r="D816" s="32" t="s">
        <v>1457</v>
      </c>
      <c r="F816" s="33">
        <v>3</v>
      </c>
      <c r="K816" s="34"/>
    </row>
    <row r="817" spans="1:76" x14ac:dyDescent="0.25">
      <c r="A817" s="2" t="s">
        <v>1458</v>
      </c>
      <c r="B817" s="3" t="s">
        <v>1432</v>
      </c>
      <c r="C817" s="76" t="s">
        <v>1459</v>
      </c>
      <c r="D817" s="71"/>
      <c r="E817" s="3" t="s">
        <v>1376</v>
      </c>
      <c r="F817" s="28">
        <v>2</v>
      </c>
      <c r="G817" s="28">
        <v>0</v>
      </c>
      <c r="H817" s="28">
        <f t="shared" ref="H817:H822" si="48">ROUND(F817*AO817,2)</f>
        <v>0</v>
      </c>
      <c r="I817" s="28">
        <f t="shared" ref="I817:I822" si="49">ROUND(F817*AP817,2)</f>
        <v>0</v>
      </c>
      <c r="J817" s="28">
        <f t="shared" ref="J817:J822" si="50">ROUND(F817*G817,2)</f>
        <v>0</v>
      </c>
      <c r="K817" s="29" t="s">
        <v>1369</v>
      </c>
      <c r="Z817" s="28">
        <f t="shared" ref="Z817:Z822" si="51">ROUND(IF(AQ817="5",BJ817,0),2)</f>
        <v>0</v>
      </c>
      <c r="AB817" s="28">
        <f t="shared" ref="AB817:AB822" si="52">ROUND(IF(AQ817="1",BH817,0),2)</f>
        <v>0</v>
      </c>
      <c r="AC817" s="28">
        <f t="shared" ref="AC817:AC822" si="53">ROUND(IF(AQ817="1",BI817,0),2)</f>
        <v>0</v>
      </c>
      <c r="AD817" s="28">
        <f t="shared" ref="AD817:AD822" si="54">ROUND(IF(AQ817="7",BH817,0),2)</f>
        <v>0</v>
      </c>
      <c r="AE817" s="28">
        <f t="shared" ref="AE817:AE822" si="55">ROUND(IF(AQ817="7",BI817,0),2)</f>
        <v>0</v>
      </c>
      <c r="AF817" s="28">
        <f t="shared" ref="AF817:AF822" si="56">ROUND(IF(AQ817="2",BH817,0),2)</f>
        <v>0</v>
      </c>
      <c r="AG817" s="28">
        <f t="shared" ref="AG817:AG822" si="57">ROUND(IF(AQ817="2",BI817,0),2)</f>
        <v>0</v>
      </c>
      <c r="AH817" s="28">
        <f t="shared" ref="AH817:AH822" si="58">ROUND(IF(AQ817="0",BJ817,0),2)</f>
        <v>0</v>
      </c>
      <c r="AI817" s="10" t="s">
        <v>1045</v>
      </c>
      <c r="AJ817" s="28">
        <f t="shared" ref="AJ817:AJ822" si="59">IF(AN817=0,J817,0)</f>
        <v>0</v>
      </c>
      <c r="AK817" s="28">
        <f t="shared" ref="AK817:AK822" si="60">IF(AN817=12,J817,0)</f>
        <v>0</v>
      </c>
      <c r="AL817" s="28">
        <f t="shared" ref="AL817:AL822" si="61">IF(AN817=21,J817,0)</f>
        <v>0</v>
      </c>
      <c r="AN817" s="28">
        <v>21</v>
      </c>
      <c r="AO817" s="28">
        <f t="shared" ref="AO817:AO822" si="62">G817*1</f>
        <v>0</v>
      </c>
      <c r="AP817" s="28">
        <f t="shared" ref="AP817:AP822" si="63">G817*(1-1)</f>
        <v>0</v>
      </c>
      <c r="AQ817" s="30" t="s">
        <v>118</v>
      </c>
      <c r="AV817" s="28">
        <f t="shared" ref="AV817:AV822" si="64">ROUND(AW817+AX817,2)</f>
        <v>0</v>
      </c>
      <c r="AW817" s="28">
        <f t="shared" ref="AW817:AW822" si="65">ROUND(F817*AO817,2)</f>
        <v>0</v>
      </c>
      <c r="AX817" s="28">
        <f t="shared" ref="AX817:AX822" si="66">ROUND(F817*AP817,2)</f>
        <v>0</v>
      </c>
      <c r="AY817" s="30" t="s">
        <v>1340</v>
      </c>
      <c r="AZ817" s="30" t="s">
        <v>1233</v>
      </c>
      <c r="BA817" s="10" t="s">
        <v>1050</v>
      </c>
      <c r="BC817" s="28">
        <f t="shared" ref="BC817:BC822" si="67">AW817+AX817</f>
        <v>0</v>
      </c>
      <c r="BD817" s="28">
        <f t="shared" ref="BD817:BD822" si="68">G817/(100-BE817)*100</f>
        <v>0</v>
      </c>
      <c r="BE817" s="28">
        <v>0</v>
      </c>
      <c r="BF817" s="28">
        <f>825</f>
        <v>825</v>
      </c>
      <c r="BH817" s="28">
        <f t="shared" ref="BH817:BH822" si="69">F817*AO817</f>
        <v>0</v>
      </c>
      <c r="BI817" s="28">
        <f t="shared" ref="BI817:BI822" si="70">F817*AP817</f>
        <v>0</v>
      </c>
      <c r="BJ817" s="28">
        <f t="shared" ref="BJ817:BJ822" si="71">F817*G817</f>
        <v>0</v>
      </c>
      <c r="BK817" s="28"/>
      <c r="BL817" s="28">
        <v>766</v>
      </c>
      <c r="BW817" s="28">
        <v>21</v>
      </c>
      <c r="BX817" s="4" t="s">
        <v>1459</v>
      </c>
    </row>
    <row r="818" spans="1:76" x14ac:dyDescent="0.25">
      <c r="A818" s="2" t="s">
        <v>1460</v>
      </c>
      <c r="B818" s="3" t="s">
        <v>1393</v>
      </c>
      <c r="C818" s="76" t="s">
        <v>2466</v>
      </c>
      <c r="D818" s="71"/>
      <c r="E818" s="3" t="s">
        <v>1376</v>
      </c>
      <c r="F818" s="28">
        <v>70</v>
      </c>
      <c r="G818" s="28">
        <v>0</v>
      </c>
      <c r="H818" s="28">
        <f t="shared" si="48"/>
        <v>0</v>
      </c>
      <c r="I818" s="28">
        <f t="shared" si="49"/>
        <v>0</v>
      </c>
      <c r="J818" s="28">
        <f t="shared" si="50"/>
        <v>0</v>
      </c>
      <c r="K818" s="29" t="s">
        <v>1369</v>
      </c>
      <c r="Z818" s="28">
        <f t="shared" si="51"/>
        <v>0</v>
      </c>
      <c r="AB818" s="28">
        <f t="shared" si="52"/>
        <v>0</v>
      </c>
      <c r="AC818" s="28">
        <f t="shared" si="53"/>
        <v>0</v>
      </c>
      <c r="AD818" s="28">
        <f t="shared" si="54"/>
        <v>0</v>
      </c>
      <c r="AE818" s="28">
        <f t="shared" si="55"/>
        <v>0</v>
      </c>
      <c r="AF818" s="28">
        <f t="shared" si="56"/>
        <v>0</v>
      </c>
      <c r="AG818" s="28">
        <f t="shared" si="57"/>
        <v>0</v>
      </c>
      <c r="AH818" s="28">
        <f t="shared" si="58"/>
        <v>0</v>
      </c>
      <c r="AI818" s="10" t="s">
        <v>1045</v>
      </c>
      <c r="AJ818" s="28">
        <f t="shared" si="59"/>
        <v>0</v>
      </c>
      <c r="AK818" s="28">
        <f t="shared" si="60"/>
        <v>0</v>
      </c>
      <c r="AL818" s="28">
        <f t="shared" si="61"/>
        <v>0</v>
      </c>
      <c r="AN818" s="28">
        <v>21</v>
      </c>
      <c r="AO818" s="28">
        <f t="shared" si="62"/>
        <v>0</v>
      </c>
      <c r="AP818" s="28">
        <f t="shared" si="63"/>
        <v>0</v>
      </c>
      <c r="AQ818" s="30" t="s">
        <v>118</v>
      </c>
      <c r="AV818" s="28">
        <f t="shared" si="64"/>
        <v>0</v>
      </c>
      <c r="AW818" s="28">
        <f t="shared" si="65"/>
        <v>0</v>
      </c>
      <c r="AX818" s="28">
        <f t="shared" si="66"/>
        <v>0</v>
      </c>
      <c r="AY818" s="30" t="s">
        <v>1340</v>
      </c>
      <c r="AZ818" s="30" t="s">
        <v>1233</v>
      </c>
      <c r="BA818" s="10" t="s">
        <v>1050</v>
      </c>
      <c r="BC818" s="28">
        <f t="shared" si="67"/>
        <v>0</v>
      </c>
      <c r="BD818" s="28">
        <f t="shared" si="68"/>
        <v>0</v>
      </c>
      <c r="BE818" s="28">
        <v>0</v>
      </c>
      <c r="BF818" s="28">
        <f>826</f>
        <v>826</v>
      </c>
      <c r="BH818" s="28">
        <f t="shared" si="69"/>
        <v>0</v>
      </c>
      <c r="BI818" s="28">
        <f t="shared" si="70"/>
        <v>0</v>
      </c>
      <c r="BJ818" s="28">
        <f t="shared" si="71"/>
        <v>0</v>
      </c>
      <c r="BK818" s="28"/>
      <c r="BL818" s="28">
        <v>766</v>
      </c>
      <c r="BW818" s="28">
        <v>21</v>
      </c>
      <c r="BX818" s="4" t="s">
        <v>1394</v>
      </c>
    </row>
    <row r="819" spans="1:76" ht="25.5" x14ac:dyDescent="0.25">
      <c r="A819" s="2" t="s">
        <v>1461</v>
      </c>
      <c r="B819" s="3" t="s">
        <v>1462</v>
      </c>
      <c r="C819" s="76" t="s">
        <v>1463</v>
      </c>
      <c r="D819" s="71"/>
      <c r="E819" s="3" t="s">
        <v>457</v>
      </c>
      <c r="F819" s="28">
        <v>1</v>
      </c>
      <c r="G819" s="28">
        <v>0</v>
      </c>
      <c r="H819" s="28">
        <f t="shared" si="48"/>
        <v>0</v>
      </c>
      <c r="I819" s="28">
        <f t="shared" si="49"/>
        <v>0</v>
      </c>
      <c r="J819" s="28">
        <f t="shared" si="50"/>
        <v>0</v>
      </c>
      <c r="K819" s="29" t="s">
        <v>1369</v>
      </c>
      <c r="Z819" s="28">
        <f t="shared" si="51"/>
        <v>0</v>
      </c>
      <c r="AB819" s="28">
        <f t="shared" si="52"/>
        <v>0</v>
      </c>
      <c r="AC819" s="28">
        <f t="shared" si="53"/>
        <v>0</v>
      </c>
      <c r="AD819" s="28">
        <f t="shared" si="54"/>
        <v>0</v>
      </c>
      <c r="AE819" s="28">
        <f t="shared" si="55"/>
        <v>0</v>
      </c>
      <c r="AF819" s="28">
        <f t="shared" si="56"/>
        <v>0</v>
      </c>
      <c r="AG819" s="28">
        <f t="shared" si="57"/>
        <v>0</v>
      </c>
      <c r="AH819" s="28">
        <f t="shared" si="58"/>
        <v>0</v>
      </c>
      <c r="AI819" s="10" t="s">
        <v>1045</v>
      </c>
      <c r="AJ819" s="28">
        <f t="shared" si="59"/>
        <v>0</v>
      </c>
      <c r="AK819" s="28">
        <f t="shared" si="60"/>
        <v>0</v>
      </c>
      <c r="AL819" s="28">
        <f t="shared" si="61"/>
        <v>0</v>
      </c>
      <c r="AN819" s="28">
        <v>21</v>
      </c>
      <c r="AO819" s="28">
        <f t="shared" si="62"/>
        <v>0</v>
      </c>
      <c r="AP819" s="28">
        <f t="shared" si="63"/>
        <v>0</v>
      </c>
      <c r="AQ819" s="30" t="s">
        <v>118</v>
      </c>
      <c r="AV819" s="28">
        <f t="shared" si="64"/>
        <v>0</v>
      </c>
      <c r="AW819" s="28">
        <f t="shared" si="65"/>
        <v>0</v>
      </c>
      <c r="AX819" s="28">
        <f t="shared" si="66"/>
        <v>0</v>
      </c>
      <c r="AY819" s="30" t="s">
        <v>1340</v>
      </c>
      <c r="AZ819" s="30" t="s">
        <v>1233</v>
      </c>
      <c r="BA819" s="10" t="s">
        <v>1050</v>
      </c>
      <c r="BC819" s="28">
        <f t="shared" si="67"/>
        <v>0</v>
      </c>
      <c r="BD819" s="28">
        <f t="shared" si="68"/>
        <v>0</v>
      </c>
      <c r="BE819" s="28">
        <v>0</v>
      </c>
      <c r="BF819" s="28">
        <f>827</f>
        <v>827</v>
      </c>
      <c r="BH819" s="28">
        <f t="shared" si="69"/>
        <v>0</v>
      </c>
      <c r="BI819" s="28">
        <f t="shared" si="70"/>
        <v>0</v>
      </c>
      <c r="BJ819" s="28">
        <f t="shared" si="71"/>
        <v>0</v>
      </c>
      <c r="BK819" s="28"/>
      <c r="BL819" s="28">
        <v>766</v>
      </c>
      <c r="BW819" s="28">
        <v>21</v>
      </c>
      <c r="BX819" s="4" t="s">
        <v>1463</v>
      </c>
    </row>
    <row r="820" spans="1:76" x14ac:dyDescent="0.25">
      <c r="A820" s="2" t="s">
        <v>1464</v>
      </c>
      <c r="B820" s="3" t="s">
        <v>1411</v>
      </c>
      <c r="C820" s="76" t="s">
        <v>1412</v>
      </c>
      <c r="D820" s="71"/>
      <c r="E820" s="3" t="s">
        <v>1413</v>
      </c>
      <c r="F820" s="28">
        <v>1</v>
      </c>
      <c r="G820" s="28">
        <v>0</v>
      </c>
      <c r="H820" s="28">
        <f t="shared" si="48"/>
        <v>0</v>
      </c>
      <c r="I820" s="28">
        <f t="shared" si="49"/>
        <v>0</v>
      </c>
      <c r="J820" s="28">
        <f t="shared" si="50"/>
        <v>0</v>
      </c>
      <c r="K820" s="29" t="s">
        <v>1369</v>
      </c>
      <c r="Z820" s="28">
        <f t="shared" si="51"/>
        <v>0</v>
      </c>
      <c r="AB820" s="28">
        <f t="shared" si="52"/>
        <v>0</v>
      </c>
      <c r="AC820" s="28">
        <f t="shared" si="53"/>
        <v>0</v>
      </c>
      <c r="AD820" s="28">
        <f t="shared" si="54"/>
        <v>0</v>
      </c>
      <c r="AE820" s="28">
        <f t="shared" si="55"/>
        <v>0</v>
      </c>
      <c r="AF820" s="28">
        <f t="shared" si="56"/>
        <v>0</v>
      </c>
      <c r="AG820" s="28">
        <f t="shared" si="57"/>
        <v>0</v>
      </c>
      <c r="AH820" s="28">
        <f t="shared" si="58"/>
        <v>0</v>
      </c>
      <c r="AI820" s="10" t="s">
        <v>1045</v>
      </c>
      <c r="AJ820" s="28">
        <f t="shared" si="59"/>
        <v>0</v>
      </c>
      <c r="AK820" s="28">
        <f t="shared" si="60"/>
        <v>0</v>
      </c>
      <c r="AL820" s="28">
        <f t="shared" si="61"/>
        <v>0</v>
      </c>
      <c r="AN820" s="28">
        <v>21</v>
      </c>
      <c r="AO820" s="28">
        <f t="shared" si="62"/>
        <v>0</v>
      </c>
      <c r="AP820" s="28">
        <f t="shared" si="63"/>
        <v>0</v>
      </c>
      <c r="AQ820" s="30" t="s">
        <v>118</v>
      </c>
      <c r="AV820" s="28">
        <f t="shared" si="64"/>
        <v>0</v>
      </c>
      <c r="AW820" s="28">
        <f t="shared" si="65"/>
        <v>0</v>
      </c>
      <c r="AX820" s="28">
        <f t="shared" si="66"/>
        <v>0</v>
      </c>
      <c r="AY820" s="30" t="s">
        <v>1340</v>
      </c>
      <c r="AZ820" s="30" t="s">
        <v>1233</v>
      </c>
      <c r="BA820" s="10" t="s">
        <v>1050</v>
      </c>
      <c r="BC820" s="28">
        <f t="shared" si="67"/>
        <v>0</v>
      </c>
      <c r="BD820" s="28">
        <f t="shared" si="68"/>
        <v>0</v>
      </c>
      <c r="BE820" s="28">
        <v>0</v>
      </c>
      <c r="BF820" s="28">
        <f>828</f>
        <v>828</v>
      </c>
      <c r="BH820" s="28">
        <f t="shared" si="69"/>
        <v>0</v>
      </c>
      <c r="BI820" s="28">
        <f t="shared" si="70"/>
        <v>0</v>
      </c>
      <c r="BJ820" s="28">
        <f t="shared" si="71"/>
        <v>0</v>
      </c>
      <c r="BK820" s="28"/>
      <c r="BL820" s="28">
        <v>766</v>
      </c>
      <c r="BW820" s="28">
        <v>21</v>
      </c>
      <c r="BX820" s="4" t="s">
        <v>1412</v>
      </c>
    </row>
    <row r="821" spans="1:76" x14ac:dyDescent="0.25">
      <c r="A821" s="2" t="s">
        <v>1465</v>
      </c>
      <c r="B821" s="3" t="s">
        <v>1415</v>
      </c>
      <c r="C821" s="76" t="s">
        <v>1416</v>
      </c>
      <c r="D821" s="71"/>
      <c r="E821" s="3" t="s">
        <v>1413</v>
      </c>
      <c r="F821" s="28">
        <v>1</v>
      </c>
      <c r="G821" s="28">
        <v>0</v>
      </c>
      <c r="H821" s="28">
        <f t="shared" si="48"/>
        <v>0</v>
      </c>
      <c r="I821" s="28">
        <f t="shared" si="49"/>
        <v>0</v>
      </c>
      <c r="J821" s="28">
        <f t="shared" si="50"/>
        <v>0</v>
      </c>
      <c r="K821" s="29" t="s">
        <v>1369</v>
      </c>
      <c r="Z821" s="28">
        <f t="shared" si="51"/>
        <v>0</v>
      </c>
      <c r="AB821" s="28">
        <f t="shared" si="52"/>
        <v>0</v>
      </c>
      <c r="AC821" s="28">
        <f t="shared" si="53"/>
        <v>0</v>
      </c>
      <c r="AD821" s="28">
        <f t="shared" si="54"/>
        <v>0</v>
      </c>
      <c r="AE821" s="28">
        <f t="shared" si="55"/>
        <v>0</v>
      </c>
      <c r="AF821" s="28">
        <f t="shared" si="56"/>
        <v>0</v>
      </c>
      <c r="AG821" s="28">
        <f t="shared" si="57"/>
        <v>0</v>
      </c>
      <c r="AH821" s="28">
        <f t="shared" si="58"/>
        <v>0</v>
      </c>
      <c r="AI821" s="10" t="s">
        <v>1045</v>
      </c>
      <c r="AJ821" s="28">
        <f t="shared" si="59"/>
        <v>0</v>
      </c>
      <c r="AK821" s="28">
        <f t="shared" si="60"/>
        <v>0</v>
      </c>
      <c r="AL821" s="28">
        <f t="shared" si="61"/>
        <v>0</v>
      </c>
      <c r="AN821" s="28">
        <v>21</v>
      </c>
      <c r="AO821" s="28">
        <f t="shared" si="62"/>
        <v>0</v>
      </c>
      <c r="AP821" s="28">
        <f t="shared" si="63"/>
        <v>0</v>
      </c>
      <c r="AQ821" s="30" t="s">
        <v>118</v>
      </c>
      <c r="AV821" s="28">
        <f t="shared" si="64"/>
        <v>0</v>
      </c>
      <c r="AW821" s="28">
        <f t="shared" si="65"/>
        <v>0</v>
      </c>
      <c r="AX821" s="28">
        <f t="shared" si="66"/>
        <v>0</v>
      </c>
      <c r="AY821" s="30" t="s">
        <v>1340</v>
      </c>
      <c r="AZ821" s="30" t="s">
        <v>1233</v>
      </c>
      <c r="BA821" s="10" t="s">
        <v>1050</v>
      </c>
      <c r="BC821" s="28">
        <f t="shared" si="67"/>
        <v>0</v>
      </c>
      <c r="BD821" s="28">
        <f t="shared" si="68"/>
        <v>0</v>
      </c>
      <c r="BE821" s="28">
        <v>0</v>
      </c>
      <c r="BF821" s="28">
        <f>829</f>
        <v>829</v>
      </c>
      <c r="BH821" s="28">
        <f t="shared" si="69"/>
        <v>0</v>
      </c>
      <c r="BI821" s="28">
        <f t="shared" si="70"/>
        <v>0</v>
      </c>
      <c r="BJ821" s="28">
        <f t="shared" si="71"/>
        <v>0</v>
      </c>
      <c r="BK821" s="28"/>
      <c r="BL821" s="28">
        <v>766</v>
      </c>
      <c r="BW821" s="28">
        <v>21</v>
      </c>
      <c r="BX821" s="4" t="s">
        <v>1416</v>
      </c>
    </row>
    <row r="822" spans="1:76" ht="25.5" x14ac:dyDescent="0.25">
      <c r="A822" s="2" t="s">
        <v>1466</v>
      </c>
      <c r="B822" s="3" t="s">
        <v>1424</v>
      </c>
      <c r="C822" s="76" t="s">
        <v>2467</v>
      </c>
      <c r="D822" s="71"/>
      <c r="E822" s="3" t="s">
        <v>1376</v>
      </c>
      <c r="F822" s="28">
        <v>6</v>
      </c>
      <c r="G822" s="28">
        <v>0</v>
      </c>
      <c r="H822" s="28">
        <f t="shared" si="48"/>
        <v>0</v>
      </c>
      <c r="I822" s="28">
        <f t="shared" si="49"/>
        <v>0</v>
      </c>
      <c r="J822" s="28">
        <f t="shared" si="50"/>
        <v>0</v>
      </c>
      <c r="K822" s="29" t="s">
        <v>51</v>
      </c>
      <c r="Z822" s="28">
        <f t="shared" si="51"/>
        <v>0</v>
      </c>
      <c r="AB822" s="28">
        <f t="shared" si="52"/>
        <v>0</v>
      </c>
      <c r="AC822" s="28">
        <f t="shared" si="53"/>
        <v>0</v>
      </c>
      <c r="AD822" s="28">
        <f t="shared" si="54"/>
        <v>0</v>
      </c>
      <c r="AE822" s="28">
        <f t="shared" si="55"/>
        <v>0</v>
      </c>
      <c r="AF822" s="28">
        <f t="shared" si="56"/>
        <v>0</v>
      </c>
      <c r="AG822" s="28">
        <f t="shared" si="57"/>
        <v>0</v>
      </c>
      <c r="AH822" s="28">
        <f t="shared" si="58"/>
        <v>0</v>
      </c>
      <c r="AI822" s="10" t="s">
        <v>1045</v>
      </c>
      <c r="AJ822" s="28">
        <f t="shared" si="59"/>
        <v>0</v>
      </c>
      <c r="AK822" s="28">
        <f t="shared" si="60"/>
        <v>0</v>
      </c>
      <c r="AL822" s="28">
        <f t="shared" si="61"/>
        <v>0</v>
      </c>
      <c r="AN822" s="28">
        <v>21</v>
      </c>
      <c r="AO822" s="28">
        <f t="shared" si="62"/>
        <v>0</v>
      </c>
      <c r="AP822" s="28">
        <f t="shared" si="63"/>
        <v>0</v>
      </c>
      <c r="AQ822" s="30" t="s">
        <v>118</v>
      </c>
      <c r="AV822" s="28">
        <f t="shared" si="64"/>
        <v>0</v>
      </c>
      <c r="AW822" s="28">
        <f t="shared" si="65"/>
        <v>0</v>
      </c>
      <c r="AX822" s="28">
        <f t="shared" si="66"/>
        <v>0</v>
      </c>
      <c r="AY822" s="30" t="s">
        <v>1340</v>
      </c>
      <c r="AZ822" s="30" t="s">
        <v>1233</v>
      </c>
      <c r="BA822" s="10" t="s">
        <v>1050</v>
      </c>
      <c r="BC822" s="28">
        <f t="shared" si="67"/>
        <v>0</v>
      </c>
      <c r="BD822" s="28">
        <f t="shared" si="68"/>
        <v>0</v>
      </c>
      <c r="BE822" s="28">
        <v>0</v>
      </c>
      <c r="BF822" s="28">
        <f>830</f>
        <v>830</v>
      </c>
      <c r="BH822" s="28">
        <f t="shared" si="69"/>
        <v>0</v>
      </c>
      <c r="BI822" s="28">
        <f t="shared" si="70"/>
        <v>0</v>
      </c>
      <c r="BJ822" s="28">
        <f t="shared" si="71"/>
        <v>0</v>
      </c>
      <c r="BK822" s="28"/>
      <c r="BL822" s="28">
        <v>766</v>
      </c>
      <c r="BW822" s="28">
        <v>21</v>
      </c>
      <c r="BX822" s="4" t="s">
        <v>1425</v>
      </c>
    </row>
    <row r="823" spans="1:76" x14ac:dyDescent="0.25">
      <c r="A823" s="24" t="s">
        <v>51</v>
      </c>
      <c r="B823" s="25" t="s">
        <v>444</v>
      </c>
      <c r="C823" s="87" t="s">
        <v>445</v>
      </c>
      <c r="D823" s="88"/>
      <c r="E823" s="26" t="s">
        <v>4</v>
      </c>
      <c r="F823" s="26" t="s">
        <v>4</v>
      </c>
      <c r="G823" s="26" t="s">
        <v>4</v>
      </c>
      <c r="H823" s="1">
        <f>SUM(H824:H838)</f>
        <v>0</v>
      </c>
      <c r="I823" s="1">
        <f>SUM(I824:I838)</f>
        <v>0</v>
      </c>
      <c r="J823" s="1">
        <f>SUM(J824:J838)</f>
        <v>0</v>
      </c>
      <c r="K823" s="27" t="s">
        <v>51</v>
      </c>
      <c r="AI823" s="10" t="s">
        <v>1045</v>
      </c>
      <c r="AS823" s="1">
        <f>SUM(AJ824:AJ838)</f>
        <v>0</v>
      </c>
      <c r="AT823" s="1">
        <f>SUM(AK824:AK838)</f>
        <v>0</v>
      </c>
      <c r="AU823" s="1">
        <f>SUM(AL824:AL838)</f>
        <v>0</v>
      </c>
    </row>
    <row r="824" spans="1:76" x14ac:dyDescent="0.25">
      <c r="A824" s="2" t="s">
        <v>1467</v>
      </c>
      <c r="B824" s="3" t="s">
        <v>1468</v>
      </c>
      <c r="C824" s="76" t="s">
        <v>1469</v>
      </c>
      <c r="D824" s="71"/>
      <c r="E824" s="3" t="s">
        <v>293</v>
      </c>
      <c r="F824" s="28">
        <v>8</v>
      </c>
      <c r="G824" s="28">
        <v>0</v>
      </c>
      <c r="H824" s="28">
        <f>ROUND(F824*AO824,2)</f>
        <v>0</v>
      </c>
      <c r="I824" s="28">
        <f>ROUND(F824*AP824,2)</f>
        <v>0</v>
      </c>
      <c r="J824" s="28">
        <f>ROUND(F824*G824,2)</f>
        <v>0</v>
      </c>
      <c r="K824" s="29" t="s">
        <v>60</v>
      </c>
      <c r="Z824" s="28">
        <f>ROUND(IF(AQ824="5",BJ824,0),2)</f>
        <v>0</v>
      </c>
      <c r="AB824" s="28">
        <f>ROUND(IF(AQ824="1",BH824,0),2)</f>
        <v>0</v>
      </c>
      <c r="AC824" s="28">
        <f>ROUND(IF(AQ824="1",BI824,0),2)</f>
        <v>0</v>
      </c>
      <c r="AD824" s="28">
        <f>ROUND(IF(AQ824="7",BH824,0),2)</f>
        <v>0</v>
      </c>
      <c r="AE824" s="28">
        <f>ROUND(IF(AQ824="7",BI824,0),2)</f>
        <v>0</v>
      </c>
      <c r="AF824" s="28">
        <f>ROUND(IF(AQ824="2",BH824,0),2)</f>
        <v>0</v>
      </c>
      <c r="AG824" s="28">
        <f>ROUND(IF(AQ824="2",BI824,0),2)</f>
        <v>0</v>
      </c>
      <c r="AH824" s="28">
        <f>ROUND(IF(AQ824="0",BJ824,0),2)</f>
        <v>0</v>
      </c>
      <c r="AI824" s="10" t="s">
        <v>1045</v>
      </c>
      <c r="AJ824" s="28">
        <f>IF(AN824=0,J824,0)</f>
        <v>0</v>
      </c>
      <c r="AK824" s="28">
        <f>IF(AN824=12,J824,0)</f>
        <v>0</v>
      </c>
      <c r="AL824" s="28">
        <f>IF(AN824=21,J824,0)</f>
        <v>0</v>
      </c>
      <c r="AN824" s="28">
        <v>21</v>
      </c>
      <c r="AO824" s="28">
        <f>G824*0.187939303</f>
        <v>0</v>
      </c>
      <c r="AP824" s="28">
        <f>G824*(1-0.187939303)</f>
        <v>0</v>
      </c>
      <c r="AQ824" s="30" t="s">
        <v>118</v>
      </c>
      <c r="AV824" s="28">
        <f>ROUND(AW824+AX824,2)</f>
        <v>0</v>
      </c>
      <c r="AW824" s="28">
        <f>ROUND(F824*AO824,2)</f>
        <v>0</v>
      </c>
      <c r="AX824" s="28">
        <f>ROUND(F824*AP824,2)</f>
        <v>0</v>
      </c>
      <c r="AY824" s="30" t="s">
        <v>449</v>
      </c>
      <c r="AZ824" s="30" t="s">
        <v>1233</v>
      </c>
      <c r="BA824" s="10" t="s">
        <v>1050</v>
      </c>
      <c r="BC824" s="28">
        <f>AW824+AX824</f>
        <v>0</v>
      </c>
      <c r="BD824" s="28">
        <f>G824/(100-BE824)*100</f>
        <v>0</v>
      </c>
      <c r="BE824" s="28">
        <v>0</v>
      </c>
      <c r="BF824" s="28">
        <f>832</f>
        <v>832</v>
      </c>
      <c r="BH824" s="28">
        <f>F824*AO824</f>
        <v>0</v>
      </c>
      <c r="BI824" s="28">
        <f>F824*AP824</f>
        <v>0</v>
      </c>
      <c r="BJ824" s="28">
        <f>F824*G824</f>
        <v>0</v>
      </c>
      <c r="BK824" s="28"/>
      <c r="BL824" s="28">
        <v>767</v>
      </c>
      <c r="BW824" s="28">
        <v>21</v>
      </c>
      <c r="BX824" s="4" t="s">
        <v>1469</v>
      </c>
    </row>
    <row r="825" spans="1:76" x14ac:dyDescent="0.25">
      <c r="A825" s="2" t="s">
        <v>1470</v>
      </c>
      <c r="B825" s="3" t="s">
        <v>1471</v>
      </c>
      <c r="C825" s="76" t="s">
        <v>1472</v>
      </c>
      <c r="D825" s="71"/>
      <c r="E825" s="3" t="s">
        <v>293</v>
      </c>
      <c r="F825" s="28">
        <v>5</v>
      </c>
      <c r="G825" s="28">
        <v>0</v>
      </c>
      <c r="H825" s="28">
        <f>ROUND(F825*AO825,2)</f>
        <v>0</v>
      </c>
      <c r="I825" s="28">
        <f>ROUND(F825*AP825,2)</f>
        <v>0</v>
      </c>
      <c r="J825" s="28">
        <f>ROUND(F825*G825,2)</f>
        <v>0</v>
      </c>
      <c r="K825" s="29" t="s">
        <v>60</v>
      </c>
      <c r="Z825" s="28">
        <f>ROUND(IF(AQ825="5",BJ825,0),2)</f>
        <v>0</v>
      </c>
      <c r="AB825" s="28">
        <f>ROUND(IF(AQ825="1",BH825,0),2)</f>
        <v>0</v>
      </c>
      <c r="AC825" s="28">
        <f>ROUND(IF(AQ825="1",BI825,0),2)</f>
        <v>0</v>
      </c>
      <c r="AD825" s="28">
        <f>ROUND(IF(AQ825="7",BH825,0),2)</f>
        <v>0</v>
      </c>
      <c r="AE825" s="28">
        <f>ROUND(IF(AQ825="7",BI825,0),2)</f>
        <v>0</v>
      </c>
      <c r="AF825" s="28">
        <f>ROUND(IF(AQ825="2",BH825,0),2)</f>
        <v>0</v>
      </c>
      <c r="AG825" s="28">
        <f>ROUND(IF(AQ825="2",BI825,0),2)</f>
        <v>0</v>
      </c>
      <c r="AH825" s="28">
        <f>ROUND(IF(AQ825="0",BJ825,0),2)</f>
        <v>0</v>
      </c>
      <c r="AI825" s="10" t="s">
        <v>1045</v>
      </c>
      <c r="AJ825" s="28">
        <f>IF(AN825=0,J825,0)</f>
        <v>0</v>
      </c>
      <c r="AK825" s="28">
        <f>IF(AN825=12,J825,0)</f>
        <v>0</v>
      </c>
      <c r="AL825" s="28">
        <f>IF(AN825=21,J825,0)</f>
        <v>0</v>
      </c>
      <c r="AN825" s="28">
        <v>21</v>
      </c>
      <c r="AO825" s="28">
        <f>G825*0</f>
        <v>0</v>
      </c>
      <c r="AP825" s="28">
        <f>G825*(1-0)</f>
        <v>0</v>
      </c>
      <c r="AQ825" s="30" t="s">
        <v>118</v>
      </c>
      <c r="AV825" s="28">
        <f>ROUND(AW825+AX825,2)</f>
        <v>0</v>
      </c>
      <c r="AW825" s="28">
        <f>ROUND(F825*AO825,2)</f>
        <v>0</v>
      </c>
      <c r="AX825" s="28">
        <f>ROUND(F825*AP825,2)</f>
        <v>0</v>
      </c>
      <c r="AY825" s="30" t="s">
        <v>449</v>
      </c>
      <c r="AZ825" s="30" t="s">
        <v>1233</v>
      </c>
      <c r="BA825" s="10" t="s">
        <v>1050</v>
      </c>
      <c r="BC825" s="28">
        <f>AW825+AX825</f>
        <v>0</v>
      </c>
      <c r="BD825" s="28">
        <f>G825/(100-BE825)*100</f>
        <v>0</v>
      </c>
      <c r="BE825" s="28">
        <v>0</v>
      </c>
      <c r="BF825" s="28">
        <f>833</f>
        <v>833</v>
      </c>
      <c r="BH825" s="28">
        <f>F825*AO825</f>
        <v>0</v>
      </c>
      <c r="BI825" s="28">
        <f>F825*AP825</f>
        <v>0</v>
      </c>
      <c r="BJ825" s="28">
        <f>F825*G825</f>
        <v>0</v>
      </c>
      <c r="BK825" s="28"/>
      <c r="BL825" s="28">
        <v>767</v>
      </c>
      <c r="BW825" s="28">
        <v>21</v>
      </c>
      <c r="BX825" s="4" t="s">
        <v>1472</v>
      </c>
    </row>
    <row r="826" spans="1:76" x14ac:dyDescent="0.25">
      <c r="A826" s="31"/>
      <c r="C826" s="32" t="s">
        <v>1473</v>
      </c>
      <c r="D826" s="32" t="s">
        <v>51</v>
      </c>
      <c r="F826" s="33">
        <v>4.29</v>
      </c>
      <c r="K826" s="34"/>
    </row>
    <row r="827" spans="1:76" x14ac:dyDescent="0.25">
      <c r="A827" s="31"/>
      <c r="C827" s="32" t="s">
        <v>100</v>
      </c>
      <c r="D827" s="32" t="s">
        <v>51</v>
      </c>
      <c r="F827" s="33">
        <v>5</v>
      </c>
      <c r="K827" s="34"/>
    </row>
    <row r="828" spans="1:76" x14ac:dyDescent="0.25">
      <c r="A828" s="2" t="s">
        <v>1474</v>
      </c>
      <c r="B828" s="3" t="s">
        <v>1475</v>
      </c>
      <c r="C828" s="76" t="s">
        <v>1476</v>
      </c>
      <c r="D828" s="71"/>
      <c r="E828" s="3" t="s">
        <v>103</v>
      </c>
      <c r="F828" s="28">
        <v>14.7</v>
      </c>
      <c r="G828" s="28">
        <v>0</v>
      </c>
      <c r="H828" s="28">
        <f>ROUND(F828*AO828,2)</f>
        <v>0</v>
      </c>
      <c r="I828" s="28">
        <f>ROUND(F828*AP828,2)</f>
        <v>0</v>
      </c>
      <c r="J828" s="28">
        <f>ROUND(F828*G828,2)</f>
        <v>0</v>
      </c>
      <c r="K828" s="29" t="s">
        <v>60</v>
      </c>
      <c r="Z828" s="28">
        <f>ROUND(IF(AQ828="5",BJ828,0),2)</f>
        <v>0</v>
      </c>
      <c r="AB828" s="28">
        <f>ROUND(IF(AQ828="1",BH828,0),2)</f>
        <v>0</v>
      </c>
      <c r="AC828" s="28">
        <f>ROUND(IF(AQ828="1",BI828,0),2)</f>
        <v>0</v>
      </c>
      <c r="AD828" s="28">
        <f>ROUND(IF(AQ828="7",BH828,0),2)</f>
        <v>0</v>
      </c>
      <c r="AE828" s="28">
        <f>ROUND(IF(AQ828="7",BI828,0),2)</f>
        <v>0</v>
      </c>
      <c r="AF828" s="28">
        <f>ROUND(IF(AQ828="2",BH828,0),2)</f>
        <v>0</v>
      </c>
      <c r="AG828" s="28">
        <f>ROUND(IF(AQ828="2",BI828,0),2)</f>
        <v>0</v>
      </c>
      <c r="AH828" s="28">
        <f>ROUND(IF(AQ828="0",BJ828,0),2)</f>
        <v>0</v>
      </c>
      <c r="AI828" s="10" t="s">
        <v>1045</v>
      </c>
      <c r="AJ828" s="28">
        <f>IF(AN828=0,J828,0)</f>
        <v>0</v>
      </c>
      <c r="AK828" s="28">
        <f>IF(AN828=12,J828,0)</f>
        <v>0</v>
      </c>
      <c r="AL828" s="28">
        <f>IF(AN828=21,J828,0)</f>
        <v>0</v>
      </c>
      <c r="AN828" s="28">
        <v>21</v>
      </c>
      <c r="AO828" s="28">
        <f>G828*1</f>
        <v>0</v>
      </c>
      <c r="AP828" s="28">
        <f>G828*(1-1)</f>
        <v>0</v>
      </c>
      <c r="AQ828" s="30" t="s">
        <v>118</v>
      </c>
      <c r="AV828" s="28">
        <f>ROUND(AW828+AX828,2)</f>
        <v>0</v>
      </c>
      <c r="AW828" s="28">
        <f>ROUND(F828*AO828,2)</f>
        <v>0</v>
      </c>
      <c r="AX828" s="28">
        <f>ROUND(F828*AP828,2)</f>
        <v>0</v>
      </c>
      <c r="AY828" s="30" t="s">
        <v>449</v>
      </c>
      <c r="AZ828" s="30" t="s">
        <v>1233</v>
      </c>
      <c r="BA828" s="10" t="s">
        <v>1050</v>
      </c>
      <c r="BC828" s="28">
        <f>AW828+AX828</f>
        <v>0</v>
      </c>
      <c r="BD828" s="28">
        <f>G828/(100-BE828)*100</f>
        <v>0</v>
      </c>
      <c r="BE828" s="28">
        <v>0</v>
      </c>
      <c r="BF828" s="28">
        <f>836</f>
        <v>836</v>
      </c>
      <c r="BH828" s="28">
        <f>F828*AO828</f>
        <v>0</v>
      </c>
      <c r="BI828" s="28">
        <f>F828*AP828</f>
        <v>0</v>
      </c>
      <c r="BJ828" s="28">
        <f>F828*G828</f>
        <v>0</v>
      </c>
      <c r="BK828" s="28"/>
      <c r="BL828" s="28">
        <v>767</v>
      </c>
      <c r="BW828" s="28">
        <v>21</v>
      </c>
      <c r="BX828" s="4" t="s">
        <v>1476</v>
      </c>
    </row>
    <row r="829" spans="1:76" x14ac:dyDescent="0.25">
      <c r="A829" s="31"/>
      <c r="C829" s="32" t="s">
        <v>1477</v>
      </c>
      <c r="D829" s="32" t="s">
        <v>51</v>
      </c>
      <c r="F829" s="33">
        <v>14</v>
      </c>
      <c r="K829" s="34"/>
    </row>
    <row r="830" spans="1:76" x14ac:dyDescent="0.25">
      <c r="A830" s="31"/>
      <c r="C830" s="32" t="s">
        <v>1478</v>
      </c>
      <c r="D830" s="32" t="s">
        <v>51</v>
      </c>
      <c r="F830" s="33">
        <v>0.7</v>
      </c>
      <c r="K830" s="34"/>
    </row>
    <row r="831" spans="1:76" x14ac:dyDescent="0.25">
      <c r="A831" s="2" t="s">
        <v>1479</v>
      </c>
      <c r="B831" s="3" t="s">
        <v>1480</v>
      </c>
      <c r="C831" s="76" t="s">
        <v>1481</v>
      </c>
      <c r="D831" s="71"/>
      <c r="E831" s="3" t="s">
        <v>293</v>
      </c>
      <c r="F831" s="28">
        <v>8</v>
      </c>
      <c r="G831" s="28">
        <v>0</v>
      </c>
      <c r="H831" s="28">
        <f>ROUND(F831*AO831,2)</f>
        <v>0</v>
      </c>
      <c r="I831" s="28">
        <f>ROUND(F831*AP831,2)</f>
        <v>0</v>
      </c>
      <c r="J831" s="28">
        <f>ROUND(F831*G831,2)</f>
        <v>0</v>
      </c>
      <c r="K831" s="29" t="s">
        <v>60</v>
      </c>
      <c r="Z831" s="28">
        <f>ROUND(IF(AQ831="5",BJ831,0),2)</f>
        <v>0</v>
      </c>
      <c r="AB831" s="28">
        <f>ROUND(IF(AQ831="1",BH831,0),2)</f>
        <v>0</v>
      </c>
      <c r="AC831" s="28">
        <f>ROUND(IF(AQ831="1",BI831,0),2)</f>
        <v>0</v>
      </c>
      <c r="AD831" s="28">
        <f>ROUND(IF(AQ831="7",BH831,0),2)</f>
        <v>0</v>
      </c>
      <c r="AE831" s="28">
        <f>ROUND(IF(AQ831="7",BI831,0),2)</f>
        <v>0</v>
      </c>
      <c r="AF831" s="28">
        <f>ROUND(IF(AQ831="2",BH831,0),2)</f>
        <v>0</v>
      </c>
      <c r="AG831" s="28">
        <f>ROUND(IF(AQ831="2",BI831,0),2)</f>
        <v>0</v>
      </c>
      <c r="AH831" s="28">
        <f>ROUND(IF(AQ831="0",BJ831,0),2)</f>
        <v>0</v>
      </c>
      <c r="AI831" s="10" t="s">
        <v>1045</v>
      </c>
      <c r="AJ831" s="28">
        <f>IF(AN831=0,J831,0)</f>
        <v>0</v>
      </c>
      <c r="AK831" s="28">
        <f>IF(AN831=12,J831,0)</f>
        <v>0</v>
      </c>
      <c r="AL831" s="28">
        <f>IF(AN831=21,J831,0)</f>
        <v>0</v>
      </c>
      <c r="AN831" s="28">
        <v>21</v>
      </c>
      <c r="AO831" s="28">
        <f>G831*1</f>
        <v>0</v>
      </c>
      <c r="AP831" s="28">
        <f>G831*(1-1)</f>
        <v>0</v>
      </c>
      <c r="AQ831" s="30" t="s">
        <v>118</v>
      </c>
      <c r="AV831" s="28">
        <f>ROUND(AW831+AX831,2)</f>
        <v>0</v>
      </c>
      <c r="AW831" s="28">
        <f>ROUND(F831*AO831,2)</f>
        <v>0</v>
      </c>
      <c r="AX831" s="28">
        <f>ROUND(F831*AP831,2)</f>
        <v>0</v>
      </c>
      <c r="AY831" s="30" t="s">
        <v>449</v>
      </c>
      <c r="AZ831" s="30" t="s">
        <v>1233</v>
      </c>
      <c r="BA831" s="10" t="s">
        <v>1050</v>
      </c>
      <c r="BC831" s="28">
        <f>AW831+AX831</f>
        <v>0</v>
      </c>
      <c r="BD831" s="28">
        <f>G831/(100-BE831)*100</f>
        <v>0</v>
      </c>
      <c r="BE831" s="28">
        <v>0</v>
      </c>
      <c r="BF831" s="28">
        <f>839</f>
        <v>839</v>
      </c>
      <c r="BH831" s="28">
        <f>F831*AO831</f>
        <v>0</v>
      </c>
      <c r="BI831" s="28">
        <f>F831*AP831</f>
        <v>0</v>
      </c>
      <c r="BJ831" s="28">
        <f>F831*G831</f>
        <v>0</v>
      </c>
      <c r="BK831" s="28"/>
      <c r="BL831" s="28">
        <v>767</v>
      </c>
      <c r="BW831" s="28">
        <v>21</v>
      </c>
      <c r="BX831" s="4" t="s">
        <v>1481</v>
      </c>
    </row>
    <row r="832" spans="1:76" ht="13.5" customHeight="1" x14ac:dyDescent="0.25">
      <c r="A832" s="31"/>
      <c r="B832" s="35" t="s">
        <v>105</v>
      </c>
      <c r="C832" s="97" t="s">
        <v>1482</v>
      </c>
      <c r="D832" s="98"/>
      <c r="E832" s="98"/>
      <c r="F832" s="98"/>
      <c r="G832" s="98"/>
      <c r="H832" s="98"/>
      <c r="I832" s="98"/>
      <c r="J832" s="98"/>
      <c r="K832" s="99"/>
    </row>
    <row r="833" spans="1:76" x14ac:dyDescent="0.25">
      <c r="A833" s="2" t="s">
        <v>1483</v>
      </c>
      <c r="B833" s="3" t="s">
        <v>1484</v>
      </c>
      <c r="C833" s="76" t="s">
        <v>1485</v>
      </c>
      <c r="D833" s="71"/>
      <c r="E833" s="3" t="s">
        <v>188</v>
      </c>
      <c r="F833" s="28">
        <v>8.57</v>
      </c>
      <c r="G833" s="28">
        <v>0</v>
      </c>
      <c r="H833" s="28">
        <f>ROUND(F833*AO833,2)</f>
        <v>0</v>
      </c>
      <c r="I833" s="28">
        <f>ROUND(F833*AP833,2)</f>
        <v>0</v>
      </c>
      <c r="J833" s="28">
        <f>ROUND(F833*G833,2)</f>
        <v>0</v>
      </c>
      <c r="K833" s="29" t="s">
        <v>60</v>
      </c>
      <c r="Z833" s="28">
        <f>ROUND(IF(AQ833="5",BJ833,0),2)</f>
        <v>0</v>
      </c>
      <c r="AB833" s="28">
        <f>ROUND(IF(AQ833="1",BH833,0),2)</f>
        <v>0</v>
      </c>
      <c r="AC833" s="28">
        <f>ROUND(IF(AQ833="1",BI833,0),2)</f>
        <v>0</v>
      </c>
      <c r="AD833" s="28">
        <f>ROUND(IF(AQ833="7",BH833,0),2)</f>
        <v>0</v>
      </c>
      <c r="AE833" s="28">
        <f>ROUND(IF(AQ833="7",BI833,0),2)</f>
        <v>0</v>
      </c>
      <c r="AF833" s="28">
        <f>ROUND(IF(AQ833="2",BH833,0),2)</f>
        <v>0</v>
      </c>
      <c r="AG833" s="28">
        <f>ROUND(IF(AQ833="2",BI833,0),2)</f>
        <v>0</v>
      </c>
      <c r="AH833" s="28">
        <f>ROUND(IF(AQ833="0",BJ833,0),2)</f>
        <v>0</v>
      </c>
      <c r="AI833" s="10" t="s">
        <v>1045</v>
      </c>
      <c r="AJ833" s="28">
        <f>IF(AN833=0,J833,0)</f>
        <v>0</v>
      </c>
      <c r="AK833" s="28">
        <f>IF(AN833=12,J833,0)</f>
        <v>0</v>
      </c>
      <c r="AL833" s="28">
        <f>IF(AN833=21,J833,0)</f>
        <v>0</v>
      </c>
      <c r="AN833" s="28">
        <v>21</v>
      </c>
      <c r="AO833" s="28">
        <f>G833*0</f>
        <v>0</v>
      </c>
      <c r="AP833" s="28">
        <f>G833*(1-0)</f>
        <v>0</v>
      </c>
      <c r="AQ833" s="30" t="s">
        <v>118</v>
      </c>
      <c r="AV833" s="28">
        <f>ROUND(AW833+AX833,2)</f>
        <v>0</v>
      </c>
      <c r="AW833" s="28">
        <f>ROUND(F833*AO833,2)</f>
        <v>0</v>
      </c>
      <c r="AX833" s="28">
        <f>ROUND(F833*AP833,2)</f>
        <v>0</v>
      </c>
      <c r="AY833" s="30" t="s">
        <v>449</v>
      </c>
      <c r="AZ833" s="30" t="s">
        <v>1233</v>
      </c>
      <c r="BA833" s="10" t="s">
        <v>1050</v>
      </c>
      <c r="BC833" s="28">
        <f>AW833+AX833</f>
        <v>0</v>
      </c>
      <c r="BD833" s="28">
        <f>G833/(100-BE833)*100</f>
        <v>0</v>
      </c>
      <c r="BE833" s="28">
        <v>0</v>
      </c>
      <c r="BF833" s="28">
        <f>841</f>
        <v>841</v>
      </c>
      <c r="BH833" s="28">
        <f>F833*AO833</f>
        <v>0</v>
      </c>
      <c r="BI833" s="28">
        <f>F833*AP833</f>
        <v>0</v>
      </c>
      <c r="BJ833" s="28">
        <f>F833*G833</f>
        <v>0</v>
      </c>
      <c r="BK833" s="28"/>
      <c r="BL833" s="28">
        <v>767</v>
      </c>
      <c r="BW833" s="28">
        <v>21</v>
      </c>
      <c r="BX833" s="4" t="s">
        <v>1485</v>
      </c>
    </row>
    <row r="834" spans="1:76" x14ac:dyDescent="0.25">
      <c r="A834" s="31"/>
      <c r="C834" s="32" t="s">
        <v>1486</v>
      </c>
      <c r="D834" s="32" t="s">
        <v>51</v>
      </c>
      <c r="F834" s="33">
        <v>8.57</v>
      </c>
      <c r="K834" s="34"/>
    </row>
    <row r="835" spans="1:76" x14ac:dyDescent="0.25">
      <c r="A835" s="2" t="s">
        <v>1487</v>
      </c>
      <c r="B835" s="3" t="s">
        <v>1488</v>
      </c>
      <c r="C835" s="76" t="s">
        <v>1489</v>
      </c>
      <c r="D835" s="71"/>
      <c r="E835" s="3" t="s">
        <v>293</v>
      </c>
      <c r="F835" s="28">
        <v>3</v>
      </c>
      <c r="G835" s="28">
        <v>0</v>
      </c>
      <c r="H835" s="28">
        <f>ROUND(F835*AO835,2)</f>
        <v>0</v>
      </c>
      <c r="I835" s="28">
        <f>ROUND(F835*AP835,2)</f>
        <v>0</v>
      </c>
      <c r="J835" s="28">
        <f>ROUND(F835*G835,2)</f>
        <v>0</v>
      </c>
      <c r="K835" s="29" t="s">
        <v>60</v>
      </c>
      <c r="Z835" s="28">
        <f>ROUND(IF(AQ835="5",BJ835,0),2)</f>
        <v>0</v>
      </c>
      <c r="AB835" s="28">
        <f>ROUND(IF(AQ835="1",BH835,0),2)</f>
        <v>0</v>
      </c>
      <c r="AC835" s="28">
        <f>ROUND(IF(AQ835="1",BI835,0),2)</f>
        <v>0</v>
      </c>
      <c r="AD835" s="28">
        <f>ROUND(IF(AQ835="7",BH835,0),2)</f>
        <v>0</v>
      </c>
      <c r="AE835" s="28">
        <f>ROUND(IF(AQ835="7",BI835,0),2)</f>
        <v>0</v>
      </c>
      <c r="AF835" s="28">
        <f>ROUND(IF(AQ835="2",BH835,0),2)</f>
        <v>0</v>
      </c>
      <c r="AG835" s="28">
        <f>ROUND(IF(AQ835="2",BI835,0),2)</f>
        <v>0</v>
      </c>
      <c r="AH835" s="28">
        <f>ROUND(IF(AQ835="0",BJ835,0),2)</f>
        <v>0</v>
      </c>
      <c r="AI835" s="10" t="s">
        <v>1045</v>
      </c>
      <c r="AJ835" s="28">
        <f>IF(AN835=0,J835,0)</f>
        <v>0</v>
      </c>
      <c r="AK835" s="28">
        <f>IF(AN835=12,J835,0)</f>
        <v>0</v>
      </c>
      <c r="AL835" s="28">
        <f>IF(AN835=21,J835,0)</f>
        <v>0</v>
      </c>
      <c r="AN835" s="28">
        <v>21</v>
      </c>
      <c r="AO835" s="28">
        <f>G835*0.894736842</f>
        <v>0</v>
      </c>
      <c r="AP835" s="28">
        <f>G835*(1-0.894736842)</f>
        <v>0</v>
      </c>
      <c r="AQ835" s="30" t="s">
        <v>118</v>
      </c>
      <c r="AV835" s="28">
        <f>ROUND(AW835+AX835,2)</f>
        <v>0</v>
      </c>
      <c r="AW835" s="28">
        <f>ROUND(F835*AO835,2)</f>
        <v>0</v>
      </c>
      <c r="AX835" s="28">
        <f>ROUND(F835*AP835,2)</f>
        <v>0</v>
      </c>
      <c r="AY835" s="30" t="s">
        <v>449</v>
      </c>
      <c r="AZ835" s="30" t="s">
        <v>1233</v>
      </c>
      <c r="BA835" s="10" t="s">
        <v>1050</v>
      </c>
      <c r="BC835" s="28">
        <f>AW835+AX835</f>
        <v>0</v>
      </c>
      <c r="BD835" s="28">
        <f>G835/(100-BE835)*100</f>
        <v>0</v>
      </c>
      <c r="BE835" s="28">
        <v>0</v>
      </c>
      <c r="BF835" s="28">
        <f>843</f>
        <v>843</v>
      </c>
      <c r="BH835" s="28">
        <f>F835*AO835</f>
        <v>0</v>
      </c>
      <c r="BI835" s="28">
        <f>F835*AP835</f>
        <v>0</v>
      </c>
      <c r="BJ835" s="28">
        <f>F835*G835</f>
        <v>0</v>
      </c>
      <c r="BK835" s="28"/>
      <c r="BL835" s="28">
        <v>767</v>
      </c>
      <c r="BW835" s="28">
        <v>21</v>
      </c>
      <c r="BX835" s="4" t="s">
        <v>1489</v>
      </c>
    </row>
    <row r="836" spans="1:76" ht="13.5" customHeight="1" x14ac:dyDescent="0.25">
      <c r="A836" s="31"/>
      <c r="B836" s="35" t="s">
        <v>105</v>
      </c>
      <c r="C836" s="97" t="s">
        <v>1490</v>
      </c>
      <c r="D836" s="98"/>
      <c r="E836" s="98"/>
      <c r="F836" s="98"/>
      <c r="G836" s="98"/>
      <c r="H836" s="98"/>
      <c r="I836" s="98"/>
      <c r="J836" s="98"/>
      <c r="K836" s="99"/>
    </row>
    <row r="837" spans="1:76" x14ac:dyDescent="0.25">
      <c r="A837" s="31"/>
      <c r="C837" s="32" t="s">
        <v>1491</v>
      </c>
      <c r="D837" s="32" t="s">
        <v>51</v>
      </c>
      <c r="F837" s="33">
        <v>3</v>
      </c>
      <c r="K837" s="34"/>
    </row>
    <row r="838" spans="1:76" x14ac:dyDescent="0.25">
      <c r="A838" s="2" t="s">
        <v>1492</v>
      </c>
      <c r="B838" s="3" t="s">
        <v>1493</v>
      </c>
      <c r="C838" s="76" t="s">
        <v>1494</v>
      </c>
      <c r="D838" s="71"/>
      <c r="E838" s="3" t="s">
        <v>1306</v>
      </c>
      <c r="F838" s="28">
        <v>746.23</v>
      </c>
      <c r="G838" s="28">
        <v>0</v>
      </c>
      <c r="H838" s="28">
        <f>ROUND(F838*AO838,2)</f>
        <v>0</v>
      </c>
      <c r="I838" s="28">
        <f>ROUND(F838*AP838,2)</f>
        <v>0</v>
      </c>
      <c r="J838" s="28">
        <f>ROUND(F838*G838,2)</f>
        <v>0</v>
      </c>
      <c r="K838" s="29" t="s">
        <v>60</v>
      </c>
      <c r="Z838" s="28">
        <f>ROUND(IF(AQ838="5",BJ838,0),2)</f>
        <v>0</v>
      </c>
      <c r="AB838" s="28">
        <f>ROUND(IF(AQ838="1",BH838,0),2)</f>
        <v>0</v>
      </c>
      <c r="AC838" s="28">
        <f>ROUND(IF(AQ838="1",BI838,0),2)</f>
        <v>0</v>
      </c>
      <c r="AD838" s="28">
        <f>ROUND(IF(AQ838="7",BH838,0),2)</f>
        <v>0</v>
      </c>
      <c r="AE838" s="28">
        <f>ROUND(IF(AQ838="7",BI838,0),2)</f>
        <v>0</v>
      </c>
      <c r="AF838" s="28">
        <f>ROUND(IF(AQ838="2",BH838,0),2)</f>
        <v>0</v>
      </c>
      <c r="AG838" s="28">
        <f>ROUND(IF(AQ838="2",BI838,0),2)</f>
        <v>0</v>
      </c>
      <c r="AH838" s="28">
        <f>ROUND(IF(AQ838="0",BJ838,0),2)</f>
        <v>0</v>
      </c>
      <c r="AI838" s="10" t="s">
        <v>1045</v>
      </c>
      <c r="AJ838" s="28">
        <f>IF(AN838=0,J838,0)</f>
        <v>0</v>
      </c>
      <c r="AK838" s="28">
        <f>IF(AN838=12,J838,0)</f>
        <v>0</v>
      </c>
      <c r="AL838" s="28">
        <f>IF(AN838=21,J838,0)</f>
        <v>0</v>
      </c>
      <c r="AN838" s="28">
        <v>21</v>
      </c>
      <c r="AO838" s="28">
        <f>G838*0</f>
        <v>0</v>
      </c>
      <c r="AP838" s="28">
        <f>G838*(1-0)</f>
        <v>0</v>
      </c>
      <c r="AQ838" s="30" t="s">
        <v>100</v>
      </c>
      <c r="AV838" s="28">
        <f>ROUND(AW838+AX838,2)</f>
        <v>0</v>
      </c>
      <c r="AW838" s="28">
        <f>ROUND(F838*AO838,2)</f>
        <v>0</v>
      </c>
      <c r="AX838" s="28">
        <f>ROUND(F838*AP838,2)</f>
        <v>0</v>
      </c>
      <c r="AY838" s="30" t="s">
        <v>449</v>
      </c>
      <c r="AZ838" s="30" t="s">
        <v>1233</v>
      </c>
      <c r="BA838" s="10" t="s">
        <v>1050</v>
      </c>
      <c r="BC838" s="28">
        <f>AW838+AX838</f>
        <v>0</v>
      </c>
      <c r="BD838" s="28">
        <f>G838/(100-BE838)*100</f>
        <v>0</v>
      </c>
      <c r="BE838" s="28">
        <v>0</v>
      </c>
      <c r="BF838" s="28">
        <f>846</f>
        <v>846</v>
      </c>
      <c r="BH838" s="28">
        <f>F838*AO838</f>
        <v>0</v>
      </c>
      <c r="BI838" s="28">
        <f>F838*AP838</f>
        <v>0</v>
      </c>
      <c r="BJ838" s="28">
        <f>F838*G838</f>
        <v>0</v>
      </c>
      <c r="BK838" s="28"/>
      <c r="BL838" s="28">
        <v>767</v>
      </c>
      <c r="BW838" s="28">
        <v>21</v>
      </c>
      <c r="BX838" s="4" t="s">
        <v>1494</v>
      </c>
    </row>
    <row r="839" spans="1:76" x14ac:dyDescent="0.25">
      <c r="A839" s="24" t="s">
        <v>51</v>
      </c>
      <c r="B839" s="25" t="s">
        <v>1495</v>
      </c>
      <c r="C839" s="87" t="s">
        <v>1496</v>
      </c>
      <c r="D839" s="88"/>
      <c r="E839" s="26" t="s">
        <v>4</v>
      </c>
      <c r="F839" s="26" t="s">
        <v>4</v>
      </c>
      <c r="G839" s="26" t="s">
        <v>4</v>
      </c>
      <c r="H839" s="1">
        <f>SUM(H840:H856)</f>
        <v>0</v>
      </c>
      <c r="I839" s="1">
        <f>SUM(I840:I856)</f>
        <v>0</v>
      </c>
      <c r="J839" s="1">
        <f>SUM(J840:J856)</f>
        <v>0</v>
      </c>
      <c r="K839" s="27" t="s">
        <v>51</v>
      </c>
      <c r="AI839" s="10" t="s">
        <v>1045</v>
      </c>
      <c r="AS839" s="1">
        <f>SUM(AJ840:AJ856)</f>
        <v>0</v>
      </c>
      <c r="AT839" s="1">
        <f>SUM(AK840:AK856)</f>
        <v>0</v>
      </c>
      <c r="AU839" s="1">
        <f>SUM(AL840:AL856)</f>
        <v>0</v>
      </c>
    </row>
    <row r="840" spans="1:76" x14ac:dyDescent="0.25">
      <c r="A840" s="2" t="s">
        <v>1497</v>
      </c>
      <c r="B840" s="3" t="s">
        <v>1498</v>
      </c>
      <c r="C840" s="76" t="s">
        <v>1499</v>
      </c>
      <c r="D840" s="71"/>
      <c r="E840" s="3" t="s">
        <v>103</v>
      </c>
      <c r="F840" s="28">
        <v>313.92</v>
      </c>
      <c r="G840" s="28">
        <v>0</v>
      </c>
      <c r="H840" s="28">
        <f>ROUND(F840*AO840,2)</f>
        <v>0</v>
      </c>
      <c r="I840" s="28">
        <f>ROUND(F840*AP840,2)</f>
        <v>0</v>
      </c>
      <c r="J840" s="28">
        <f>ROUND(F840*G840,2)</f>
        <v>0</v>
      </c>
      <c r="K840" s="29" t="s">
        <v>60</v>
      </c>
      <c r="Z840" s="28">
        <f>ROUND(IF(AQ840="5",BJ840,0),2)</f>
        <v>0</v>
      </c>
      <c r="AB840" s="28">
        <f>ROUND(IF(AQ840="1",BH840,0),2)</f>
        <v>0</v>
      </c>
      <c r="AC840" s="28">
        <f>ROUND(IF(AQ840="1",BI840,0),2)</f>
        <v>0</v>
      </c>
      <c r="AD840" s="28">
        <f>ROUND(IF(AQ840="7",BH840,0),2)</f>
        <v>0</v>
      </c>
      <c r="AE840" s="28">
        <f>ROUND(IF(AQ840="7",BI840,0),2)</f>
        <v>0</v>
      </c>
      <c r="AF840" s="28">
        <f>ROUND(IF(AQ840="2",BH840,0),2)</f>
        <v>0</v>
      </c>
      <c r="AG840" s="28">
        <f>ROUND(IF(AQ840="2",BI840,0),2)</f>
        <v>0</v>
      </c>
      <c r="AH840" s="28">
        <f>ROUND(IF(AQ840="0",BJ840,0),2)</f>
        <v>0</v>
      </c>
      <c r="AI840" s="10" t="s">
        <v>1045</v>
      </c>
      <c r="AJ840" s="28">
        <f>IF(AN840=0,J840,0)</f>
        <v>0</v>
      </c>
      <c r="AK840" s="28">
        <f>IF(AN840=12,J840,0)</f>
        <v>0</v>
      </c>
      <c r="AL840" s="28">
        <f>IF(AN840=21,J840,0)</f>
        <v>0</v>
      </c>
      <c r="AN840" s="28">
        <v>21</v>
      </c>
      <c r="AO840" s="28">
        <f>G840*0.536704639</f>
        <v>0</v>
      </c>
      <c r="AP840" s="28">
        <f>G840*(1-0.536704639)</f>
        <v>0</v>
      </c>
      <c r="AQ840" s="30" t="s">
        <v>118</v>
      </c>
      <c r="AV840" s="28">
        <f>ROUND(AW840+AX840,2)</f>
        <v>0</v>
      </c>
      <c r="AW840" s="28">
        <f>ROUND(F840*AO840,2)</f>
        <v>0</v>
      </c>
      <c r="AX840" s="28">
        <f>ROUND(F840*AP840,2)</f>
        <v>0</v>
      </c>
      <c r="AY840" s="30" t="s">
        <v>1500</v>
      </c>
      <c r="AZ840" s="30" t="s">
        <v>1501</v>
      </c>
      <c r="BA840" s="10" t="s">
        <v>1050</v>
      </c>
      <c r="BC840" s="28">
        <f>AW840+AX840</f>
        <v>0</v>
      </c>
      <c r="BD840" s="28">
        <f>G840/(100-BE840)*100</f>
        <v>0</v>
      </c>
      <c r="BE840" s="28">
        <v>0</v>
      </c>
      <c r="BF840" s="28">
        <f>848</f>
        <v>848</v>
      </c>
      <c r="BH840" s="28">
        <f>F840*AO840</f>
        <v>0</v>
      </c>
      <c r="BI840" s="28">
        <f>F840*AP840</f>
        <v>0</v>
      </c>
      <c r="BJ840" s="28">
        <f>F840*G840</f>
        <v>0</v>
      </c>
      <c r="BK840" s="28"/>
      <c r="BL840" s="28">
        <v>783</v>
      </c>
      <c r="BW840" s="28">
        <v>21</v>
      </c>
      <c r="BX840" s="4" t="s">
        <v>1499</v>
      </c>
    </row>
    <row r="841" spans="1:76" ht="13.5" customHeight="1" x14ac:dyDescent="0.25">
      <c r="A841" s="31"/>
      <c r="B841" s="35" t="s">
        <v>105</v>
      </c>
      <c r="C841" s="97" t="s">
        <v>276</v>
      </c>
      <c r="D841" s="98"/>
      <c r="E841" s="98"/>
      <c r="F841" s="98"/>
      <c r="G841" s="98"/>
      <c r="H841" s="98"/>
      <c r="I841" s="98"/>
      <c r="J841" s="98"/>
      <c r="K841" s="99"/>
    </row>
    <row r="842" spans="1:76" x14ac:dyDescent="0.25">
      <c r="A842" s="31"/>
      <c r="C842" s="32" t="s">
        <v>1502</v>
      </c>
      <c r="D842" s="32" t="s">
        <v>51</v>
      </c>
      <c r="F842" s="33">
        <v>65.88</v>
      </c>
      <c r="K842" s="34"/>
    </row>
    <row r="843" spans="1:76" x14ac:dyDescent="0.25">
      <c r="A843" s="31"/>
      <c r="C843" s="32" t="s">
        <v>1503</v>
      </c>
      <c r="D843" s="32" t="s">
        <v>51</v>
      </c>
      <c r="F843" s="33">
        <v>3.44</v>
      </c>
      <c r="K843" s="34"/>
    </row>
    <row r="844" spans="1:76" x14ac:dyDescent="0.25">
      <c r="A844" s="31"/>
      <c r="C844" s="32" t="s">
        <v>1504</v>
      </c>
      <c r="D844" s="32" t="s">
        <v>51</v>
      </c>
      <c r="F844" s="33">
        <v>2.88</v>
      </c>
      <c r="K844" s="34"/>
    </row>
    <row r="845" spans="1:76" x14ac:dyDescent="0.25">
      <c r="A845" s="31"/>
      <c r="C845" s="32" t="s">
        <v>1505</v>
      </c>
      <c r="D845" s="32" t="s">
        <v>51</v>
      </c>
      <c r="F845" s="33">
        <v>32.76</v>
      </c>
      <c r="K845" s="34"/>
    </row>
    <row r="846" spans="1:76" x14ac:dyDescent="0.25">
      <c r="A846" s="31"/>
      <c r="C846" s="32" t="s">
        <v>1506</v>
      </c>
      <c r="D846" s="32" t="s">
        <v>51</v>
      </c>
      <c r="F846" s="33">
        <v>1.96</v>
      </c>
      <c r="K846" s="34"/>
    </row>
    <row r="847" spans="1:76" x14ac:dyDescent="0.25">
      <c r="A847" s="31"/>
      <c r="C847" s="32" t="s">
        <v>1507</v>
      </c>
      <c r="D847" s="32" t="s">
        <v>51</v>
      </c>
      <c r="F847" s="33">
        <v>5.34</v>
      </c>
      <c r="K847" s="34"/>
    </row>
    <row r="848" spans="1:76" x14ac:dyDescent="0.25">
      <c r="A848" s="31"/>
      <c r="C848" s="32" t="s">
        <v>1508</v>
      </c>
      <c r="D848" s="32" t="s">
        <v>51</v>
      </c>
      <c r="F848" s="33">
        <v>2.7</v>
      </c>
      <c r="K848" s="34"/>
    </row>
    <row r="849" spans="1:76" x14ac:dyDescent="0.25">
      <c r="A849" s="31"/>
      <c r="C849" s="32" t="s">
        <v>1509</v>
      </c>
      <c r="D849" s="32" t="s">
        <v>51</v>
      </c>
      <c r="F849" s="33">
        <v>0.39600000000000002</v>
      </c>
      <c r="K849" s="34"/>
    </row>
    <row r="850" spans="1:76" x14ac:dyDescent="0.25">
      <c r="A850" s="31"/>
      <c r="C850" s="32" t="s">
        <v>1510</v>
      </c>
      <c r="D850" s="32" t="s">
        <v>51</v>
      </c>
      <c r="F850" s="33">
        <v>0.504</v>
      </c>
      <c r="K850" s="34"/>
    </row>
    <row r="851" spans="1:76" x14ac:dyDescent="0.25">
      <c r="A851" s="31"/>
      <c r="C851" s="32" t="s">
        <v>1511</v>
      </c>
      <c r="D851" s="32" t="s">
        <v>51</v>
      </c>
      <c r="F851" s="33">
        <v>6.9420000000000002</v>
      </c>
      <c r="K851" s="34"/>
    </row>
    <row r="852" spans="1:76" x14ac:dyDescent="0.25">
      <c r="A852" s="31"/>
      <c r="C852" s="32" t="s">
        <v>1512</v>
      </c>
      <c r="D852" s="32" t="s">
        <v>51</v>
      </c>
      <c r="F852" s="33">
        <v>5.6159999999999997</v>
      </c>
      <c r="K852" s="34"/>
    </row>
    <row r="853" spans="1:76" x14ac:dyDescent="0.25">
      <c r="A853" s="31"/>
      <c r="C853" s="32" t="s">
        <v>1513</v>
      </c>
      <c r="D853" s="32" t="s">
        <v>51</v>
      </c>
      <c r="F853" s="33">
        <v>138.69144</v>
      </c>
      <c r="K853" s="34"/>
    </row>
    <row r="854" spans="1:76" x14ac:dyDescent="0.25">
      <c r="A854" s="31"/>
      <c r="C854" s="32" t="s">
        <v>1238</v>
      </c>
      <c r="D854" s="32" t="s">
        <v>51</v>
      </c>
      <c r="F854" s="33">
        <v>31.268160000000002</v>
      </c>
      <c r="K854" s="34"/>
    </row>
    <row r="855" spans="1:76" x14ac:dyDescent="0.25">
      <c r="A855" s="31"/>
      <c r="C855" s="32" t="s">
        <v>1514</v>
      </c>
      <c r="D855" s="32" t="s">
        <v>1515</v>
      </c>
      <c r="F855" s="33">
        <v>15.54</v>
      </c>
      <c r="K855" s="34"/>
    </row>
    <row r="856" spans="1:76" ht="25.5" x14ac:dyDescent="0.25">
      <c r="A856" s="2" t="s">
        <v>1516</v>
      </c>
      <c r="B856" s="3" t="s">
        <v>1517</v>
      </c>
      <c r="C856" s="76" t="s">
        <v>1518</v>
      </c>
      <c r="D856" s="71"/>
      <c r="E856" s="3" t="s">
        <v>103</v>
      </c>
      <c r="F856" s="28">
        <v>169.96</v>
      </c>
      <c r="G856" s="28">
        <v>0</v>
      </c>
      <c r="H856" s="28">
        <f>ROUND(F856*AO856,2)</f>
        <v>0</v>
      </c>
      <c r="I856" s="28">
        <f>ROUND(F856*AP856,2)</f>
        <v>0</v>
      </c>
      <c r="J856" s="28">
        <f>ROUND(F856*G856,2)</f>
        <v>0</v>
      </c>
      <c r="K856" s="29" t="s">
        <v>60</v>
      </c>
      <c r="Z856" s="28">
        <f>ROUND(IF(AQ856="5",BJ856,0),2)</f>
        <v>0</v>
      </c>
      <c r="AB856" s="28">
        <f>ROUND(IF(AQ856="1",BH856,0),2)</f>
        <v>0</v>
      </c>
      <c r="AC856" s="28">
        <f>ROUND(IF(AQ856="1",BI856,0),2)</f>
        <v>0</v>
      </c>
      <c r="AD856" s="28">
        <f>ROUND(IF(AQ856="7",BH856,0),2)</f>
        <v>0</v>
      </c>
      <c r="AE856" s="28">
        <f>ROUND(IF(AQ856="7",BI856,0),2)</f>
        <v>0</v>
      </c>
      <c r="AF856" s="28">
        <f>ROUND(IF(AQ856="2",BH856,0),2)</f>
        <v>0</v>
      </c>
      <c r="AG856" s="28">
        <f>ROUND(IF(AQ856="2",BI856,0),2)</f>
        <v>0</v>
      </c>
      <c r="AH856" s="28">
        <f>ROUND(IF(AQ856="0",BJ856,0),2)</f>
        <v>0</v>
      </c>
      <c r="AI856" s="10" t="s">
        <v>1045</v>
      </c>
      <c r="AJ856" s="28">
        <f>IF(AN856=0,J856,0)</f>
        <v>0</v>
      </c>
      <c r="AK856" s="28">
        <f>IF(AN856=12,J856,0)</f>
        <v>0</v>
      </c>
      <c r="AL856" s="28">
        <f>IF(AN856=21,J856,0)</f>
        <v>0</v>
      </c>
      <c r="AN856" s="28">
        <v>21</v>
      </c>
      <c r="AO856" s="28">
        <f>G856*0</f>
        <v>0</v>
      </c>
      <c r="AP856" s="28">
        <f>G856*(1-0)</f>
        <v>0</v>
      </c>
      <c r="AQ856" s="30" t="s">
        <v>118</v>
      </c>
      <c r="AV856" s="28">
        <f>ROUND(AW856+AX856,2)</f>
        <v>0</v>
      </c>
      <c r="AW856" s="28">
        <f>ROUND(F856*AO856,2)</f>
        <v>0</v>
      </c>
      <c r="AX856" s="28">
        <f>ROUND(F856*AP856,2)</f>
        <v>0</v>
      </c>
      <c r="AY856" s="30" t="s">
        <v>1500</v>
      </c>
      <c r="AZ856" s="30" t="s">
        <v>1501</v>
      </c>
      <c r="BA856" s="10" t="s">
        <v>1050</v>
      </c>
      <c r="BC856" s="28">
        <f>AW856+AX856</f>
        <v>0</v>
      </c>
      <c r="BD856" s="28">
        <f>G856/(100-BE856)*100</f>
        <v>0</v>
      </c>
      <c r="BE856" s="28">
        <v>0</v>
      </c>
      <c r="BF856" s="28">
        <f>864</f>
        <v>864</v>
      </c>
      <c r="BH856" s="28">
        <f>F856*AO856</f>
        <v>0</v>
      </c>
      <c r="BI856" s="28">
        <f>F856*AP856</f>
        <v>0</v>
      </c>
      <c r="BJ856" s="28">
        <f>F856*G856</f>
        <v>0</v>
      </c>
      <c r="BK856" s="28"/>
      <c r="BL856" s="28">
        <v>783</v>
      </c>
      <c r="BW856" s="28">
        <v>21</v>
      </c>
      <c r="BX856" s="4" t="s">
        <v>1518</v>
      </c>
    </row>
    <row r="857" spans="1:76" ht="13.5" customHeight="1" x14ac:dyDescent="0.25">
      <c r="A857" s="31"/>
      <c r="B857" s="35" t="s">
        <v>105</v>
      </c>
      <c r="C857" s="97" t="s">
        <v>276</v>
      </c>
      <c r="D857" s="98"/>
      <c r="E857" s="98"/>
      <c r="F857" s="98"/>
      <c r="G857" s="98"/>
      <c r="H857" s="98"/>
      <c r="I857" s="98"/>
      <c r="J857" s="98"/>
      <c r="K857" s="99"/>
    </row>
    <row r="858" spans="1:76" x14ac:dyDescent="0.25">
      <c r="A858" s="24" t="s">
        <v>51</v>
      </c>
      <c r="B858" s="25" t="s">
        <v>592</v>
      </c>
      <c r="C858" s="87" t="s">
        <v>1519</v>
      </c>
      <c r="D858" s="88"/>
      <c r="E858" s="26" t="s">
        <v>4</v>
      </c>
      <c r="F858" s="26" t="s">
        <v>4</v>
      </c>
      <c r="G858" s="26" t="s">
        <v>4</v>
      </c>
      <c r="H858" s="1">
        <f>SUM(H859:H859)</f>
        <v>0</v>
      </c>
      <c r="I858" s="1">
        <f>SUM(I859:I859)</f>
        <v>0</v>
      </c>
      <c r="J858" s="1">
        <f>SUM(J859:J859)</f>
        <v>0</v>
      </c>
      <c r="K858" s="27" t="s">
        <v>51</v>
      </c>
      <c r="AI858" s="10" t="s">
        <v>1045</v>
      </c>
      <c r="AS858" s="1">
        <f>SUM(AJ859:AJ859)</f>
        <v>0</v>
      </c>
      <c r="AT858" s="1">
        <f>SUM(AK859:AK859)</f>
        <v>0</v>
      </c>
      <c r="AU858" s="1">
        <f>SUM(AL859:AL859)</f>
        <v>0</v>
      </c>
    </row>
    <row r="859" spans="1:76" x14ac:dyDescent="0.25">
      <c r="A859" s="2" t="s">
        <v>1520</v>
      </c>
      <c r="B859" s="3" t="s">
        <v>1521</v>
      </c>
      <c r="C859" s="76" t="s">
        <v>1522</v>
      </c>
      <c r="D859" s="71"/>
      <c r="E859" s="3" t="s">
        <v>103</v>
      </c>
      <c r="F859" s="28">
        <v>35.549999999999997</v>
      </c>
      <c r="G859" s="28">
        <v>0</v>
      </c>
      <c r="H859" s="28">
        <f>ROUND(F859*AO859,2)</f>
        <v>0</v>
      </c>
      <c r="I859" s="28">
        <f>ROUND(F859*AP859,2)</f>
        <v>0</v>
      </c>
      <c r="J859" s="28">
        <f>ROUND(F859*G859,2)</f>
        <v>0</v>
      </c>
      <c r="K859" s="29" t="s">
        <v>60</v>
      </c>
      <c r="Z859" s="28">
        <f>ROUND(IF(AQ859="5",BJ859,0),2)</f>
        <v>0</v>
      </c>
      <c r="AB859" s="28">
        <f>ROUND(IF(AQ859="1",BH859,0),2)</f>
        <v>0</v>
      </c>
      <c r="AC859" s="28">
        <f>ROUND(IF(AQ859="1",BI859,0),2)</f>
        <v>0</v>
      </c>
      <c r="AD859" s="28">
        <f>ROUND(IF(AQ859="7",BH859,0),2)</f>
        <v>0</v>
      </c>
      <c r="AE859" s="28">
        <f>ROUND(IF(AQ859="7",BI859,0),2)</f>
        <v>0</v>
      </c>
      <c r="AF859" s="28">
        <f>ROUND(IF(AQ859="2",BH859,0),2)</f>
        <v>0</v>
      </c>
      <c r="AG859" s="28">
        <f>ROUND(IF(AQ859="2",BI859,0),2)</f>
        <v>0</v>
      </c>
      <c r="AH859" s="28">
        <f>ROUND(IF(AQ859="0",BJ859,0),2)</f>
        <v>0</v>
      </c>
      <c r="AI859" s="10" t="s">
        <v>1045</v>
      </c>
      <c r="AJ859" s="28">
        <f>IF(AN859=0,J859,0)</f>
        <v>0</v>
      </c>
      <c r="AK859" s="28">
        <f>IF(AN859=12,J859,0)</f>
        <v>0</v>
      </c>
      <c r="AL859" s="28">
        <f>IF(AN859=21,J859,0)</f>
        <v>0</v>
      </c>
      <c r="AN859" s="28">
        <v>21</v>
      </c>
      <c r="AO859" s="28">
        <f>G859*0.00174002</f>
        <v>0</v>
      </c>
      <c r="AP859" s="28">
        <f>G859*(1-0.00174002)</f>
        <v>0</v>
      </c>
      <c r="AQ859" s="30" t="s">
        <v>56</v>
      </c>
      <c r="AV859" s="28">
        <f>ROUND(AW859+AX859,2)</f>
        <v>0</v>
      </c>
      <c r="AW859" s="28">
        <f>ROUND(F859*AO859,2)</f>
        <v>0</v>
      </c>
      <c r="AX859" s="28">
        <f>ROUND(F859*AP859,2)</f>
        <v>0</v>
      </c>
      <c r="AY859" s="30" t="s">
        <v>1523</v>
      </c>
      <c r="AZ859" s="30" t="s">
        <v>1524</v>
      </c>
      <c r="BA859" s="10" t="s">
        <v>1050</v>
      </c>
      <c r="BC859" s="28">
        <f>AW859+AX859</f>
        <v>0</v>
      </c>
      <c r="BD859" s="28">
        <f>G859/(100-BE859)*100</f>
        <v>0</v>
      </c>
      <c r="BE859" s="28">
        <v>0</v>
      </c>
      <c r="BF859" s="28">
        <f>867</f>
        <v>867</v>
      </c>
      <c r="BH859" s="28">
        <f>F859*AO859</f>
        <v>0</v>
      </c>
      <c r="BI859" s="28">
        <f>F859*AP859</f>
        <v>0</v>
      </c>
      <c r="BJ859" s="28">
        <f>F859*G859</f>
        <v>0</v>
      </c>
      <c r="BK859" s="28"/>
      <c r="BL859" s="28">
        <v>95</v>
      </c>
      <c r="BW859" s="28">
        <v>21</v>
      </c>
      <c r="BX859" s="4" t="s">
        <v>1522</v>
      </c>
    </row>
    <row r="860" spans="1:76" ht="27" customHeight="1" x14ac:dyDescent="0.25">
      <c r="A860" s="31"/>
      <c r="B860" s="35" t="s">
        <v>105</v>
      </c>
      <c r="C860" s="97" t="s">
        <v>1525</v>
      </c>
      <c r="D860" s="98"/>
      <c r="E860" s="98"/>
      <c r="F860" s="98"/>
      <c r="G860" s="98"/>
      <c r="H860" s="98"/>
      <c r="I860" s="98"/>
      <c r="J860" s="98"/>
      <c r="K860" s="99"/>
    </row>
    <row r="861" spans="1:76" x14ac:dyDescent="0.25">
      <c r="A861" s="31"/>
      <c r="C861" s="32" t="s">
        <v>1526</v>
      </c>
      <c r="D861" s="32" t="s">
        <v>51</v>
      </c>
      <c r="F861" s="33">
        <v>35.549999999999997</v>
      </c>
      <c r="K861" s="34"/>
    </row>
    <row r="862" spans="1:76" x14ac:dyDescent="0.25">
      <c r="A862" s="24" t="s">
        <v>51</v>
      </c>
      <c r="B862" s="25" t="s">
        <v>1527</v>
      </c>
      <c r="C862" s="87" t="s">
        <v>1528</v>
      </c>
      <c r="D862" s="88"/>
      <c r="E862" s="26" t="s">
        <v>4</v>
      </c>
      <c r="F862" s="26" t="s">
        <v>4</v>
      </c>
      <c r="G862" s="26" t="s">
        <v>4</v>
      </c>
      <c r="H862" s="1">
        <f>SUM(H863:H866)</f>
        <v>0</v>
      </c>
      <c r="I862" s="1">
        <f>SUM(I863:I866)</f>
        <v>0</v>
      </c>
      <c r="J862" s="1">
        <f>SUM(J863:J866)</f>
        <v>0</v>
      </c>
      <c r="K862" s="27" t="s">
        <v>51</v>
      </c>
      <c r="AI862" s="10" t="s">
        <v>1045</v>
      </c>
      <c r="AS862" s="1">
        <f>SUM(AJ863:AJ866)</f>
        <v>0</v>
      </c>
      <c r="AT862" s="1">
        <f>SUM(AK863:AK866)</f>
        <v>0</v>
      </c>
      <c r="AU862" s="1">
        <f>SUM(AL863:AL866)</f>
        <v>0</v>
      </c>
    </row>
    <row r="863" spans="1:76" x14ac:dyDescent="0.25">
      <c r="A863" s="2" t="s">
        <v>1529</v>
      </c>
      <c r="B863" s="3" t="s">
        <v>1530</v>
      </c>
      <c r="C863" s="76" t="s">
        <v>1531</v>
      </c>
      <c r="D863" s="71"/>
      <c r="E863" s="3" t="s">
        <v>103</v>
      </c>
      <c r="F863" s="28">
        <v>35.130000000000003</v>
      </c>
      <c r="G863" s="28">
        <v>0</v>
      </c>
      <c r="H863" s="28">
        <f>ROUND(F863*AO863,2)</f>
        <v>0</v>
      </c>
      <c r="I863" s="28">
        <f>ROUND(F863*AP863,2)</f>
        <v>0</v>
      </c>
      <c r="J863" s="28">
        <f>ROUND(F863*G863,2)</f>
        <v>0</v>
      </c>
      <c r="K863" s="29" t="s">
        <v>60</v>
      </c>
      <c r="Z863" s="28">
        <f>ROUND(IF(AQ863="5",BJ863,0),2)</f>
        <v>0</v>
      </c>
      <c r="AB863" s="28">
        <f>ROUND(IF(AQ863="1",BH863,0),2)</f>
        <v>0</v>
      </c>
      <c r="AC863" s="28">
        <f>ROUND(IF(AQ863="1",BI863,0),2)</f>
        <v>0</v>
      </c>
      <c r="AD863" s="28">
        <f>ROUND(IF(AQ863="7",BH863,0),2)</f>
        <v>0</v>
      </c>
      <c r="AE863" s="28">
        <f>ROUND(IF(AQ863="7",BI863,0),2)</f>
        <v>0</v>
      </c>
      <c r="AF863" s="28">
        <f>ROUND(IF(AQ863="2",BH863,0),2)</f>
        <v>0</v>
      </c>
      <c r="AG863" s="28">
        <f>ROUND(IF(AQ863="2",BI863,0),2)</f>
        <v>0</v>
      </c>
      <c r="AH863" s="28">
        <f>ROUND(IF(AQ863="0",BJ863,0),2)</f>
        <v>0</v>
      </c>
      <c r="AI863" s="10" t="s">
        <v>1045</v>
      </c>
      <c r="AJ863" s="28">
        <f>IF(AN863=0,J863,0)</f>
        <v>0</v>
      </c>
      <c r="AK863" s="28">
        <f>IF(AN863=12,J863,0)</f>
        <v>0</v>
      </c>
      <c r="AL863" s="28">
        <f>IF(AN863=21,J863,0)</f>
        <v>0</v>
      </c>
      <c r="AN863" s="28">
        <v>21</v>
      </c>
      <c r="AO863" s="28">
        <f>G863*1</f>
        <v>0</v>
      </c>
      <c r="AP863" s="28">
        <f>G863*(1-1)</f>
        <v>0</v>
      </c>
      <c r="AQ863" s="30" t="s">
        <v>1532</v>
      </c>
      <c r="AV863" s="28">
        <f>ROUND(AW863+AX863,2)</f>
        <v>0</v>
      </c>
      <c r="AW863" s="28">
        <f>ROUND(F863*AO863,2)</f>
        <v>0</v>
      </c>
      <c r="AX863" s="28">
        <f>ROUND(F863*AP863,2)</f>
        <v>0</v>
      </c>
      <c r="AY863" s="30" t="s">
        <v>1533</v>
      </c>
      <c r="AZ863" s="30" t="s">
        <v>1534</v>
      </c>
      <c r="BA863" s="10" t="s">
        <v>1050</v>
      </c>
      <c r="BC863" s="28">
        <f>AW863+AX863</f>
        <v>0</v>
      </c>
      <c r="BD863" s="28">
        <f>G863/(100-BE863)*100</f>
        <v>0</v>
      </c>
      <c r="BE863" s="28">
        <v>0</v>
      </c>
      <c r="BF863" s="28">
        <f>871</f>
        <v>871</v>
      </c>
      <c r="BH863" s="28">
        <f>F863*AO863</f>
        <v>0</v>
      </c>
      <c r="BI863" s="28">
        <f>F863*AP863</f>
        <v>0</v>
      </c>
      <c r="BJ863" s="28">
        <f>F863*G863</f>
        <v>0</v>
      </c>
      <c r="BK863" s="28"/>
      <c r="BL863" s="28"/>
      <c r="BW863" s="28">
        <v>21</v>
      </c>
      <c r="BX863" s="4" t="s">
        <v>1531</v>
      </c>
    </row>
    <row r="864" spans="1:76" x14ac:dyDescent="0.25">
      <c r="A864" s="31"/>
      <c r="C864" s="32" t="s">
        <v>1535</v>
      </c>
      <c r="D864" s="32" t="s">
        <v>1536</v>
      </c>
      <c r="F864" s="33">
        <v>31.72</v>
      </c>
      <c r="K864" s="34"/>
    </row>
    <row r="865" spans="1:76" x14ac:dyDescent="0.25">
      <c r="A865" s="31"/>
      <c r="C865" s="32" t="s">
        <v>1537</v>
      </c>
      <c r="D865" s="32" t="s">
        <v>1538</v>
      </c>
      <c r="F865" s="33">
        <v>3.41</v>
      </c>
      <c r="K865" s="34"/>
    </row>
    <row r="866" spans="1:76" x14ac:dyDescent="0.25">
      <c r="A866" s="2" t="s">
        <v>1539</v>
      </c>
      <c r="B866" s="3" t="s">
        <v>1540</v>
      </c>
      <c r="C866" s="76" t="s">
        <v>1541</v>
      </c>
      <c r="D866" s="71"/>
      <c r="E866" s="3" t="s">
        <v>103</v>
      </c>
      <c r="F866" s="28">
        <v>39.93</v>
      </c>
      <c r="G866" s="28">
        <v>0</v>
      </c>
      <c r="H866" s="28">
        <f>ROUND(F866*AO866,2)</f>
        <v>0</v>
      </c>
      <c r="I866" s="28">
        <f>ROUND(F866*AP866,2)</f>
        <v>0</v>
      </c>
      <c r="J866" s="28">
        <f>ROUND(F866*G866,2)</f>
        <v>0</v>
      </c>
      <c r="K866" s="29" t="s">
        <v>60</v>
      </c>
      <c r="Z866" s="28">
        <f>ROUND(IF(AQ866="5",BJ866,0),2)</f>
        <v>0</v>
      </c>
      <c r="AB866" s="28">
        <f>ROUND(IF(AQ866="1",BH866,0),2)</f>
        <v>0</v>
      </c>
      <c r="AC866" s="28">
        <f>ROUND(IF(AQ866="1",BI866,0),2)</f>
        <v>0</v>
      </c>
      <c r="AD866" s="28">
        <f>ROUND(IF(AQ866="7",BH866,0),2)</f>
        <v>0</v>
      </c>
      <c r="AE866" s="28">
        <f>ROUND(IF(AQ866="7",BI866,0),2)</f>
        <v>0</v>
      </c>
      <c r="AF866" s="28">
        <f>ROUND(IF(AQ866="2",BH866,0),2)</f>
        <v>0</v>
      </c>
      <c r="AG866" s="28">
        <f>ROUND(IF(AQ866="2",BI866,0),2)</f>
        <v>0</v>
      </c>
      <c r="AH866" s="28">
        <f>ROUND(IF(AQ866="0",BJ866,0),2)</f>
        <v>0</v>
      </c>
      <c r="AI866" s="10" t="s">
        <v>1045</v>
      </c>
      <c r="AJ866" s="28">
        <f>IF(AN866=0,J866,0)</f>
        <v>0</v>
      </c>
      <c r="AK866" s="28">
        <f>IF(AN866=12,J866,0)</f>
        <v>0</v>
      </c>
      <c r="AL866" s="28">
        <f>IF(AN866=21,J866,0)</f>
        <v>0</v>
      </c>
      <c r="AN866" s="28">
        <v>21</v>
      </c>
      <c r="AO866" s="28">
        <f>G866*1</f>
        <v>0</v>
      </c>
      <c r="AP866" s="28">
        <f>G866*(1-1)</f>
        <v>0</v>
      </c>
      <c r="AQ866" s="30" t="s">
        <v>1532</v>
      </c>
      <c r="AV866" s="28">
        <f>ROUND(AW866+AX866,2)</f>
        <v>0</v>
      </c>
      <c r="AW866" s="28">
        <f>ROUND(F866*AO866,2)</f>
        <v>0</v>
      </c>
      <c r="AX866" s="28">
        <f>ROUND(F866*AP866,2)</f>
        <v>0</v>
      </c>
      <c r="AY866" s="30" t="s">
        <v>1533</v>
      </c>
      <c r="AZ866" s="30" t="s">
        <v>1534</v>
      </c>
      <c r="BA866" s="10" t="s">
        <v>1050</v>
      </c>
      <c r="BC866" s="28">
        <f>AW866+AX866</f>
        <v>0</v>
      </c>
      <c r="BD866" s="28">
        <f>G866/(100-BE866)*100</f>
        <v>0</v>
      </c>
      <c r="BE866" s="28">
        <v>0</v>
      </c>
      <c r="BF866" s="28">
        <f>874</f>
        <v>874</v>
      </c>
      <c r="BH866" s="28">
        <f>F866*AO866</f>
        <v>0</v>
      </c>
      <c r="BI866" s="28">
        <f>F866*AP866</f>
        <v>0</v>
      </c>
      <c r="BJ866" s="28">
        <f>F866*G866</f>
        <v>0</v>
      </c>
      <c r="BK866" s="28"/>
      <c r="BL866" s="28"/>
      <c r="BW866" s="28">
        <v>21</v>
      </c>
      <c r="BX866" s="4" t="s">
        <v>1541</v>
      </c>
    </row>
    <row r="867" spans="1:76" x14ac:dyDescent="0.25">
      <c r="A867" s="31"/>
      <c r="C867" s="32" t="s">
        <v>1542</v>
      </c>
      <c r="D867" s="32" t="s">
        <v>1543</v>
      </c>
      <c r="F867" s="33">
        <v>36.46</v>
      </c>
      <c r="K867" s="34"/>
    </row>
    <row r="868" spans="1:76" x14ac:dyDescent="0.25">
      <c r="A868" s="31"/>
      <c r="C868" s="32" t="s">
        <v>1544</v>
      </c>
      <c r="D868" s="32" t="s">
        <v>1545</v>
      </c>
      <c r="F868" s="33">
        <v>3.47</v>
      </c>
      <c r="K868" s="34"/>
    </row>
    <row r="869" spans="1:76" x14ac:dyDescent="0.25">
      <c r="A869" s="24" t="s">
        <v>51</v>
      </c>
      <c r="B869" s="25" t="s">
        <v>51</v>
      </c>
      <c r="C869" s="87" t="s">
        <v>1546</v>
      </c>
      <c r="D869" s="88"/>
      <c r="E869" s="26" t="s">
        <v>4</v>
      </c>
      <c r="F869" s="26" t="s">
        <v>4</v>
      </c>
      <c r="G869" s="26" t="s">
        <v>4</v>
      </c>
      <c r="H869" s="1">
        <f>H870+H879+H885+H1031+H1037</f>
        <v>0</v>
      </c>
      <c r="I869" s="1">
        <f>I870+I879+I885+I1031+I1037</f>
        <v>0</v>
      </c>
      <c r="J869" s="1">
        <f>J870+J879+J885+J1031+J1037</f>
        <v>0</v>
      </c>
      <c r="K869" s="27" t="s">
        <v>51</v>
      </c>
    </row>
    <row r="870" spans="1:76" x14ac:dyDescent="0.25">
      <c r="A870" s="24" t="s">
        <v>51</v>
      </c>
      <c r="B870" s="25" t="s">
        <v>1547</v>
      </c>
      <c r="C870" s="87" t="s">
        <v>1548</v>
      </c>
      <c r="D870" s="88"/>
      <c r="E870" s="26" t="s">
        <v>4</v>
      </c>
      <c r="F870" s="26" t="s">
        <v>4</v>
      </c>
      <c r="G870" s="26" t="s">
        <v>4</v>
      </c>
      <c r="H870" s="1">
        <f>SUM(H871:H877)</f>
        <v>0</v>
      </c>
      <c r="I870" s="1">
        <f>SUM(I871:I877)</f>
        <v>0</v>
      </c>
      <c r="J870" s="1">
        <f>SUM(J871:J877)</f>
        <v>0</v>
      </c>
      <c r="K870" s="27" t="s">
        <v>51</v>
      </c>
      <c r="AI870" s="10" t="s">
        <v>1549</v>
      </c>
      <c r="AS870" s="1">
        <f>SUM(AJ871:AJ877)</f>
        <v>0</v>
      </c>
      <c r="AT870" s="1">
        <f>SUM(AK871:AK877)</f>
        <v>0</v>
      </c>
      <c r="AU870" s="1">
        <f>SUM(AL871:AL877)</f>
        <v>0</v>
      </c>
    </row>
    <row r="871" spans="1:76" x14ac:dyDescent="0.25">
      <c r="A871" s="2" t="s">
        <v>1550</v>
      </c>
      <c r="B871" s="3" t="s">
        <v>1551</v>
      </c>
      <c r="C871" s="76" t="s">
        <v>1552</v>
      </c>
      <c r="D871" s="71"/>
      <c r="E871" s="3" t="s">
        <v>51</v>
      </c>
      <c r="F871" s="28">
        <v>1</v>
      </c>
      <c r="G871" s="28">
        <v>0</v>
      </c>
      <c r="H871" s="28">
        <f>ROUND(F871*AO871,2)</f>
        <v>0</v>
      </c>
      <c r="I871" s="28">
        <f>ROUND(F871*AP871,2)</f>
        <v>0</v>
      </c>
      <c r="J871" s="28">
        <f>ROUND(F871*G871,2)</f>
        <v>0</v>
      </c>
      <c r="K871" s="29" t="s">
        <v>1553</v>
      </c>
      <c r="Z871" s="28">
        <f>ROUND(IF(AQ871="5",BJ871,0),2)</f>
        <v>0</v>
      </c>
      <c r="AB871" s="28">
        <f>ROUND(IF(AQ871="1",BH871,0),2)</f>
        <v>0</v>
      </c>
      <c r="AC871" s="28">
        <f>ROUND(IF(AQ871="1",BI871,0),2)</f>
        <v>0</v>
      </c>
      <c r="AD871" s="28">
        <f>ROUND(IF(AQ871="7",BH871,0),2)</f>
        <v>0</v>
      </c>
      <c r="AE871" s="28">
        <f>ROUND(IF(AQ871="7",BI871,0),2)</f>
        <v>0</v>
      </c>
      <c r="AF871" s="28">
        <f>ROUND(IF(AQ871="2",BH871,0),2)</f>
        <v>0</v>
      </c>
      <c r="AG871" s="28">
        <f>ROUND(IF(AQ871="2",BI871,0),2)</f>
        <v>0</v>
      </c>
      <c r="AH871" s="28">
        <f>ROUND(IF(AQ871="0",BJ871,0),2)</f>
        <v>0</v>
      </c>
      <c r="AI871" s="10" t="s">
        <v>1549</v>
      </c>
      <c r="AJ871" s="28">
        <f>IF(AN871=0,J871,0)</f>
        <v>0</v>
      </c>
      <c r="AK871" s="28">
        <f>IF(AN871=12,J871,0)</f>
        <v>0</v>
      </c>
      <c r="AL871" s="28">
        <f>IF(AN871=21,J871,0)</f>
        <v>0</v>
      </c>
      <c r="AN871" s="28">
        <v>21</v>
      </c>
      <c r="AO871" s="28">
        <f>G871*0</f>
        <v>0</v>
      </c>
      <c r="AP871" s="28">
        <f>G871*(1-0)</f>
        <v>0</v>
      </c>
      <c r="AQ871" s="30" t="s">
        <v>56</v>
      </c>
      <c r="AV871" s="28">
        <f>ROUND(AW871+AX871,2)</f>
        <v>0</v>
      </c>
      <c r="AW871" s="28">
        <f>ROUND(F871*AO871,2)</f>
        <v>0</v>
      </c>
      <c r="AX871" s="28">
        <f>ROUND(F871*AP871,2)</f>
        <v>0</v>
      </c>
      <c r="AY871" s="30" t="s">
        <v>1554</v>
      </c>
      <c r="AZ871" s="30" t="s">
        <v>1555</v>
      </c>
      <c r="BA871" s="10" t="s">
        <v>1556</v>
      </c>
      <c r="BC871" s="28">
        <f>AW871+AX871</f>
        <v>0</v>
      </c>
      <c r="BD871" s="28">
        <f>G871/(100-BE871)*100</f>
        <v>0</v>
      </c>
      <c r="BE871" s="28">
        <v>0</v>
      </c>
      <c r="BF871" s="28">
        <f>879</f>
        <v>879</v>
      </c>
      <c r="BH871" s="28">
        <f>F871*AO871</f>
        <v>0</v>
      </c>
      <c r="BI871" s="28">
        <f>F871*AP871</f>
        <v>0</v>
      </c>
      <c r="BJ871" s="28">
        <f>F871*G871</f>
        <v>0</v>
      </c>
      <c r="BK871" s="28"/>
      <c r="BL871" s="28"/>
      <c r="BW871" s="28">
        <v>21</v>
      </c>
      <c r="BX871" s="4" t="s">
        <v>1552</v>
      </c>
    </row>
    <row r="872" spans="1:76" ht="13.5" customHeight="1" x14ac:dyDescent="0.25">
      <c r="A872" s="31"/>
      <c r="B872" s="35" t="s">
        <v>105</v>
      </c>
      <c r="C872" s="97" t="s">
        <v>1557</v>
      </c>
      <c r="D872" s="98"/>
      <c r="E872" s="98"/>
      <c r="F872" s="98"/>
      <c r="G872" s="98"/>
      <c r="H872" s="98"/>
      <c r="I872" s="98"/>
      <c r="J872" s="98"/>
      <c r="K872" s="99"/>
    </row>
    <row r="873" spans="1:76" x14ac:dyDescent="0.25">
      <c r="A873" s="31"/>
      <c r="C873" s="32" t="s">
        <v>56</v>
      </c>
      <c r="D873" s="32" t="s">
        <v>1558</v>
      </c>
      <c r="F873" s="33">
        <v>1</v>
      </c>
      <c r="K873" s="34"/>
    </row>
    <row r="874" spans="1:76" x14ac:dyDescent="0.25">
      <c r="A874" s="2" t="s">
        <v>1559</v>
      </c>
      <c r="B874" s="3" t="s">
        <v>1560</v>
      </c>
      <c r="C874" s="76" t="s">
        <v>1561</v>
      </c>
      <c r="D874" s="71"/>
      <c r="E874" s="3" t="s">
        <v>1376</v>
      </c>
      <c r="F874" s="28">
        <v>52</v>
      </c>
      <c r="G874" s="28">
        <v>0</v>
      </c>
      <c r="H874" s="28">
        <f>ROUND(F874*AO874,2)</f>
        <v>0</v>
      </c>
      <c r="I874" s="28">
        <f>ROUND(F874*AP874,2)</f>
        <v>0</v>
      </c>
      <c r="J874" s="28">
        <f>ROUND(F874*G874,2)</f>
        <v>0</v>
      </c>
      <c r="K874" s="29" t="s">
        <v>51</v>
      </c>
      <c r="Z874" s="28">
        <f>ROUND(IF(AQ874="5",BJ874,0),2)</f>
        <v>0</v>
      </c>
      <c r="AB874" s="28">
        <f>ROUND(IF(AQ874="1",BH874,0),2)</f>
        <v>0</v>
      </c>
      <c r="AC874" s="28">
        <f>ROUND(IF(AQ874="1",BI874,0),2)</f>
        <v>0</v>
      </c>
      <c r="AD874" s="28">
        <f>ROUND(IF(AQ874="7",BH874,0),2)</f>
        <v>0</v>
      </c>
      <c r="AE874" s="28">
        <f>ROUND(IF(AQ874="7",BI874,0),2)</f>
        <v>0</v>
      </c>
      <c r="AF874" s="28">
        <f>ROUND(IF(AQ874="2",BH874,0),2)</f>
        <v>0</v>
      </c>
      <c r="AG874" s="28">
        <f>ROUND(IF(AQ874="2",BI874,0),2)</f>
        <v>0</v>
      </c>
      <c r="AH874" s="28">
        <f>ROUND(IF(AQ874="0",BJ874,0),2)</f>
        <v>0</v>
      </c>
      <c r="AI874" s="10" t="s">
        <v>1549</v>
      </c>
      <c r="AJ874" s="28">
        <f>IF(AN874=0,J874,0)</f>
        <v>0</v>
      </c>
      <c r="AK874" s="28">
        <f>IF(AN874=12,J874,0)</f>
        <v>0</v>
      </c>
      <c r="AL874" s="28">
        <f>IF(AN874=21,J874,0)</f>
        <v>0</v>
      </c>
      <c r="AN874" s="28">
        <v>21</v>
      </c>
      <c r="AO874" s="28">
        <f>G874*0</f>
        <v>0</v>
      </c>
      <c r="AP874" s="28">
        <f>G874*(1-0)</f>
        <v>0</v>
      </c>
      <c r="AQ874" s="30" t="s">
        <v>56</v>
      </c>
      <c r="AV874" s="28">
        <f>ROUND(AW874+AX874,2)</f>
        <v>0</v>
      </c>
      <c r="AW874" s="28">
        <f>ROUND(F874*AO874,2)</f>
        <v>0</v>
      </c>
      <c r="AX874" s="28">
        <f>ROUND(F874*AP874,2)</f>
        <v>0</v>
      </c>
      <c r="AY874" s="30" t="s">
        <v>1554</v>
      </c>
      <c r="AZ874" s="30" t="s">
        <v>1555</v>
      </c>
      <c r="BA874" s="10" t="s">
        <v>1556</v>
      </c>
      <c r="BC874" s="28">
        <f>AW874+AX874</f>
        <v>0</v>
      </c>
      <c r="BD874" s="28">
        <f>G874/(100-BE874)*100</f>
        <v>0</v>
      </c>
      <c r="BE874" s="28">
        <v>0</v>
      </c>
      <c r="BF874" s="28">
        <f>882</f>
        <v>882</v>
      </c>
      <c r="BH874" s="28">
        <f>F874*AO874</f>
        <v>0</v>
      </c>
      <c r="BI874" s="28">
        <f>F874*AP874</f>
        <v>0</v>
      </c>
      <c r="BJ874" s="28">
        <f>F874*G874</f>
        <v>0</v>
      </c>
      <c r="BK874" s="28"/>
      <c r="BL874" s="28"/>
      <c r="BW874" s="28">
        <v>21</v>
      </c>
      <c r="BX874" s="4" t="s">
        <v>1561</v>
      </c>
    </row>
    <row r="875" spans="1:76" x14ac:dyDescent="0.25">
      <c r="A875" s="31"/>
      <c r="C875" s="32" t="s">
        <v>1562</v>
      </c>
      <c r="D875" s="32" t="s">
        <v>1563</v>
      </c>
      <c r="F875" s="33">
        <v>26</v>
      </c>
      <c r="K875" s="34"/>
    </row>
    <row r="876" spans="1:76" x14ac:dyDescent="0.25">
      <c r="A876" s="31"/>
      <c r="C876" s="32" t="s">
        <v>1562</v>
      </c>
      <c r="D876" s="32" t="s">
        <v>1564</v>
      </c>
      <c r="F876" s="33">
        <v>26</v>
      </c>
      <c r="K876" s="34"/>
    </row>
    <row r="877" spans="1:76" x14ac:dyDescent="0.25">
      <c r="A877" s="2" t="s">
        <v>1565</v>
      </c>
      <c r="B877" s="3" t="s">
        <v>1566</v>
      </c>
      <c r="C877" s="76" t="s">
        <v>1567</v>
      </c>
      <c r="D877" s="71"/>
      <c r="E877" s="3" t="s">
        <v>51</v>
      </c>
      <c r="F877" s="28">
        <v>7</v>
      </c>
      <c r="G877" s="28">
        <v>0</v>
      </c>
      <c r="H877" s="28">
        <f>ROUND(F877*AO877,2)</f>
        <v>0</v>
      </c>
      <c r="I877" s="28">
        <f>ROUND(F877*AP877,2)</f>
        <v>0</v>
      </c>
      <c r="J877" s="28">
        <f>ROUND(F877*G877,2)</f>
        <v>0</v>
      </c>
      <c r="K877" s="29" t="s">
        <v>1553</v>
      </c>
      <c r="Z877" s="28">
        <f>ROUND(IF(AQ877="5",BJ877,0),2)</f>
        <v>0</v>
      </c>
      <c r="AB877" s="28">
        <f>ROUND(IF(AQ877="1",BH877,0),2)</f>
        <v>0</v>
      </c>
      <c r="AC877" s="28">
        <f>ROUND(IF(AQ877="1",BI877,0),2)</f>
        <v>0</v>
      </c>
      <c r="AD877" s="28">
        <f>ROUND(IF(AQ877="7",BH877,0),2)</f>
        <v>0</v>
      </c>
      <c r="AE877" s="28">
        <f>ROUND(IF(AQ877="7",BI877,0),2)</f>
        <v>0</v>
      </c>
      <c r="AF877" s="28">
        <f>ROUND(IF(AQ877="2",BH877,0),2)</f>
        <v>0</v>
      </c>
      <c r="AG877" s="28">
        <f>ROUND(IF(AQ877="2",BI877,0),2)</f>
        <v>0</v>
      </c>
      <c r="AH877" s="28">
        <f>ROUND(IF(AQ877="0",BJ877,0),2)</f>
        <v>0</v>
      </c>
      <c r="AI877" s="10" t="s">
        <v>1549</v>
      </c>
      <c r="AJ877" s="28">
        <f>IF(AN877=0,J877,0)</f>
        <v>0</v>
      </c>
      <c r="AK877" s="28">
        <f>IF(AN877=12,J877,0)</f>
        <v>0</v>
      </c>
      <c r="AL877" s="28">
        <f>IF(AN877=21,J877,0)</f>
        <v>0</v>
      </c>
      <c r="AN877" s="28">
        <v>21</v>
      </c>
      <c r="AO877" s="28">
        <f>G877*0</f>
        <v>0</v>
      </c>
      <c r="AP877" s="28">
        <f>G877*(1-0)</f>
        <v>0</v>
      </c>
      <c r="AQ877" s="30" t="s">
        <v>56</v>
      </c>
      <c r="AV877" s="28">
        <f>ROUND(AW877+AX877,2)</f>
        <v>0</v>
      </c>
      <c r="AW877" s="28">
        <f>ROUND(F877*AO877,2)</f>
        <v>0</v>
      </c>
      <c r="AX877" s="28">
        <f>ROUND(F877*AP877,2)</f>
        <v>0</v>
      </c>
      <c r="AY877" s="30" t="s">
        <v>1554</v>
      </c>
      <c r="AZ877" s="30" t="s">
        <v>1555</v>
      </c>
      <c r="BA877" s="10" t="s">
        <v>1556</v>
      </c>
      <c r="BC877" s="28">
        <f>AW877+AX877</f>
        <v>0</v>
      </c>
      <c r="BD877" s="28">
        <f>G877/(100-BE877)*100</f>
        <v>0</v>
      </c>
      <c r="BE877" s="28">
        <v>0</v>
      </c>
      <c r="BF877" s="28">
        <f>885</f>
        <v>885</v>
      </c>
      <c r="BH877" s="28">
        <f>F877*AO877</f>
        <v>0</v>
      </c>
      <c r="BI877" s="28">
        <f>F877*AP877</f>
        <v>0</v>
      </c>
      <c r="BJ877" s="28">
        <f>F877*G877</f>
        <v>0</v>
      </c>
      <c r="BK877" s="28"/>
      <c r="BL877" s="28"/>
      <c r="BW877" s="28">
        <v>21</v>
      </c>
      <c r="BX877" s="4" t="s">
        <v>1567</v>
      </c>
    </row>
    <row r="878" spans="1:76" ht="13.5" customHeight="1" x14ac:dyDescent="0.25">
      <c r="A878" s="31"/>
      <c r="B878" s="35" t="s">
        <v>105</v>
      </c>
      <c r="C878" s="97" t="s">
        <v>1557</v>
      </c>
      <c r="D878" s="98"/>
      <c r="E878" s="98"/>
      <c r="F878" s="98"/>
      <c r="G878" s="98"/>
      <c r="H878" s="98"/>
      <c r="I878" s="98"/>
      <c r="J878" s="98"/>
      <c r="K878" s="99"/>
    </row>
    <row r="879" spans="1:76" x14ac:dyDescent="0.25">
      <c r="A879" s="24" t="s">
        <v>51</v>
      </c>
      <c r="B879" s="25" t="s">
        <v>1568</v>
      </c>
      <c r="C879" s="87" t="s">
        <v>1569</v>
      </c>
      <c r="D879" s="88"/>
      <c r="E879" s="26" t="s">
        <v>4</v>
      </c>
      <c r="F879" s="26" t="s">
        <v>4</v>
      </c>
      <c r="G879" s="26" t="s">
        <v>4</v>
      </c>
      <c r="H879" s="1">
        <f>SUM(H880:H884)</f>
        <v>0</v>
      </c>
      <c r="I879" s="1">
        <f>SUM(I880:I884)</f>
        <v>0</v>
      </c>
      <c r="J879" s="1">
        <f>SUM(J880:J884)</f>
        <v>0</v>
      </c>
      <c r="K879" s="27" t="s">
        <v>51</v>
      </c>
      <c r="AI879" s="10" t="s">
        <v>1549</v>
      </c>
      <c r="AS879" s="1">
        <f>SUM(AJ880:AJ884)</f>
        <v>0</v>
      </c>
      <c r="AT879" s="1">
        <f>SUM(AK880:AK884)</f>
        <v>0</v>
      </c>
      <c r="AU879" s="1">
        <f>SUM(AL880:AL884)</f>
        <v>0</v>
      </c>
    </row>
    <row r="880" spans="1:76" x14ac:dyDescent="0.25">
      <c r="A880" s="2" t="s">
        <v>1570</v>
      </c>
      <c r="B880" s="3" t="s">
        <v>1571</v>
      </c>
      <c r="C880" s="76" t="s">
        <v>1572</v>
      </c>
      <c r="D880" s="71"/>
      <c r="E880" s="3" t="s">
        <v>457</v>
      </c>
      <c r="F880" s="28">
        <v>1</v>
      </c>
      <c r="G880" s="28">
        <v>0</v>
      </c>
      <c r="H880" s="28">
        <f>ROUND(F880*AO880,2)</f>
        <v>0</v>
      </c>
      <c r="I880" s="28">
        <f>ROUND(F880*AP880,2)</f>
        <v>0</v>
      </c>
      <c r="J880" s="28">
        <f>ROUND(F880*G880,2)</f>
        <v>0</v>
      </c>
      <c r="K880" s="29" t="s">
        <v>424</v>
      </c>
      <c r="Z880" s="28">
        <f>ROUND(IF(AQ880="5",BJ880,0),2)</f>
        <v>0</v>
      </c>
      <c r="AB880" s="28">
        <f>ROUND(IF(AQ880="1",BH880,0),2)</f>
        <v>0</v>
      </c>
      <c r="AC880" s="28">
        <f>ROUND(IF(AQ880="1",BI880,0),2)</f>
        <v>0</v>
      </c>
      <c r="AD880" s="28">
        <f>ROUND(IF(AQ880="7",BH880,0),2)</f>
        <v>0</v>
      </c>
      <c r="AE880" s="28">
        <f>ROUND(IF(AQ880="7",BI880,0),2)</f>
        <v>0</v>
      </c>
      <c r="AF880" s="28">
        <f>ROUND(IF(AQ880="2",BH880,0),2)</f>
        <v>0</v>
      </c>
      <c r="AG880" s="28">
        <f>ROUND(IF(AQ880="2",BI880,0),2)</f>
        <v>0</v>
      </c>
      <c r="AH880" s="28">
        <f>ROUND(IF(AQ880="0",BJ880,0),2)</f>
        <v>0</v>
      </c>
      <c r="AI880" s="10" t="s">
        <v>1549</v>
      </c>
      <c r="AJ880" s="28">
        <f>IF(AN880=0,J880,0)</f>
        <v>0</v>
      </c>
      <c r="AK880" s="28">
        <f>IF(AN880=12,J880,0)</f>
        <v>0</v>
      </c>
      <c r="AL880" s="28">
        <f>IF(AN880=21,J880,0)</f>
        <v>0</v>
      </c>
      <c r="AN880" s="28">
        <v>21</v>
      </c>
      <c r="AO880" s="28">
        <f>G880*0.625</f>
        <v>0</v>
      </c>
      <c r="AP880" s="28">
        <f>G880*(1-0.625)</f>
        <v>0</v>
      </c>
      <c r="AQ880" s="30" t="s">
        <v>56</v>
      </c>
      <c r="AV880" s="28">
        <f>ROUND(AW880+AX880,2)</f>
        <v>0</v>
      </c>
      <c r="AW880" s="28">
        <f>ROUND(F880*AO880,2)</f>
        <v>0</v>
      </c>
      <c r="AX880" s="28">
        <f>ROUND(F880*AP880,2)</f>
        <v>0</v>
      </c>
      <c r="AY880" s="30" t="s">
        <v>1573</v>
      </c>
      <c r="AZ880" s="30" t="s">
        <v>1555</v>
      </c>
      <c r="BA880" s="10" t="s">
        <v>1556</v>
      </c>
      <c r="BC880" s="28">
        <f>AW880+AX880</f>
        <v>0</v>
      </c>
      <c r="BD880" s="28">
        <f>G880/(100-BE880)*100</f>
        <v>0</v>
      </c>
      <c r="BE880" s="28">
        <v>0</v>
      </c>
      <c r="BF880" s="28">
        <f>888</f>
        <v>888</v>
      </c>
      <c r="BH880" s="28">
        <f>F880*AO880</f>
        <v>0</v>
      </c>
      <c r="BI880" s="28">
        <f>F880*AP880</f>
        <v>0</v>
      </c>
      <c r="BJ880" s="28">
        <f>F880*G880</f>
        <v>0</v>
      </c>
      <c r="BK880" s="28"/>
      <c r="BL880" s="28"/>
      <c r="BW880" s="28">
        <v>21</v>
      </c>
      <c r="BX880" s="4" t="s">
        <v>1572</v>
      </c>
    </row>
    <row r="881" spans="1:76" ht="13.5" customHeight="1" x14ac:dyDescent="0.25">
      <c r="A881" s="31"/>
      <c r="B881" s="35" t="s">
        <v>105</v>
      </c>
      <c r="C881" s="97" t="s">
        <v>1574</v>
      </c>
      <c r="D881" s="98"/>
      <c r="E881" s="98"/>
      <c r="F881" s="98"/>
      <c r="G881" s="98"/>
      <c r="H881" s="98"/>
      <c r="I881" s="98"/>
      <c r="J881" s="98"/>
      <c r="K881" s="99"/>
    </row>
    <row r="882" spans="1:76" ht="13.5" customHeight="1" x14ac:dyDescent="0.25">
      <c r="A882" s="31"/>
      <c r="B882" s="37" t="s">
        <v>72</v>
      </c>
      <c r="C882" s="97" t="s">
        <v>1575</v>
      </c>
      <c r="D882" s="98"/>
      <c r="E882" s="98"/>
      <c r="F882" s="98"/>
      <c r="G882" s="98"/>
      <c r="H882" s="98"/>
      <c r="I882" s="98"/>
      <c r="J882" s="98"/>
      <c r="K882" s="99"/>
    </row>
    <row r="883" spans="1:76" ht="25.5" x14ac:dyDescent="0.25">
      <c r="A883" s="2" t="s">
        <v>1576</v>
      </c>
      <c r="B883" s="3" t="s">
        <v>1577</v>
      </c>
      <c r="C883" s="76" t="s">
        <v>1578</v>
      </c>
      <c r="D883" s="71"/>
      <c r="E883" s="3" t="s">
        <v>1376</v>
      </c>
      <c r="F883" s="28">
        <v>1</v>
      </c>
      <c r="G883" s="28">
        <v>0</v>
      </c>
      <c r="H883" s="28">
        <f>ROUND(F883*AO883,2)</f>
        <v>0</v>
      </c>
      <c r="I883" s="28">
        <f>ROUND(F883*AP883,2)</f>
        <v>0</v>
      </c>
      <c r="J883" s="28">
        <f>ROUND(F883*G883,2)</f>
        <v>0</v>
      </c>
      <c r="K883" s="29" t="s">
        <v>1579</v>
      </c>
      <c r="Z883" s="28">
        <f>ROUND(IF(AQ883="5",BJ883,0),2)</f>
        <v>0</v>
      </c>
      <c r="AB883" s="28">
        <f>ROUND(IF(AQ883="1",BH883,0),2)</f>
        <v>0</v>
      </c>
      <c r="AC883" s="28">
        <f>ROUND(IF(AQ883="1",BI883,0),2)</f>
        <v>0</v>
      </c>
      <c r="AD883" s="28">
        <f>ROUND(IF(AQ883="7",BH883,0),2)</f>
        <v>0</v>
      </c>
      <c r="AE883" s="28">
        <f>ROUND(IF(AQ883="7",BI883,0),2)</f>
        <v>0</v>
      </c>
      <c r="AF883" s="28">
        <f>ROUND(IF(AQ883="2",BH883,0),2)</f>
        <v>0</v>
      </c>
      <c r="AG883" s="28">
        <f>ROUND(IF(AQ883="2",BI883,0),2)</f>
        <v>0</v>
      </c>
      <c r="AH883" s="28">
        <f>ROUND(IF(AQ883="0",BJ883,0),2)</f>
        <v>0</v>
      </c>
      <c r="AI883" s="10" t="s">
        <v>1549</v>
      </c>
      <c r="AJ883" s="28">
        <f>IF(AN883=0,J883,0)</f>
        <v>0</v>
      </c>
      <c r="AK883" s="28">
        <f>IF(AN883=12,J883,0)</f>
        <v>0</v>
      </c>
      <c r="AL883" s="28">
        <f>IF(AN883=21,J883,0)</f>
        <v>0</v>
      </c>
      <c r="AN883" s="28">
        <v>21</v>
      </c>
      <c r="AO883" s="28">
        <f>G883*0.333333333</f>
        <v>0</v>
      </c>
      <c r="AP883" s="28">
        <f>G883*(1-0.333333333)</f>
        <v>0</v>
      </c>
      <c r="AQ883" s="30" t="s">
        <v>56</v>
      </c>
      <c r="AV883" s="28">
        <f>ROUND(AW883+AX883,2)</f>
        <v>0</v>
      </c>
      <c r="AW883" s="28">
        <f>ROUND(F883*AO883,2)</f>
        <v>0</v>
      </c>
      <c r="AX883" s="28">
        <f>ROUND(F883*AP883,2)</f>
        <v>0</v>
      </c>
      <c r="AY883" s="30" t="s">
        <v>1573</v>
      </c>
      <c r="AZ883" s="30" t="s">
        <v>1555</v>
      </c>
      <c r="BA883" s="10" t="s">
        <v>1556</v>
      </c>
      <c r="BC883" s="28">
        <f>AW883+AX883</f>
        <v>0</v>
      </c>
      <c r="BD883" s="28">
        <f>G883/(100-BE883)*100</f>
        <v>0</v>
      </c>
      <c r="BE883" s="28">
        <v>0</v>
      </c>
      <c r="BF883" s="28">
        <f>891</f>
        <v>891</v>
      </c>
      <c r="BH883" s="28">
        <f>F883*AO883</f>
        <v>0</v>
      </c>
      <c r="BI883" s="28">
        <f>F883*AP883</f>
        <v>0</v>
      </c>
      <c r="BJ883" s="28">
        <f>F883*G883</f>
        <v>0</v>
      </c>
      <c r="BK883" s="28"/>
      <c r="BL883" s="28"/>
      <c r="BW883" s="28">
        <v>21</v>
      </c>
      <c r="BX883" s="4" t="s">
        <v>1578</v>
      </c>
    </row>
    <row r="884" spans="1:76" x14ac:dyDescent="0.25">
      <c r="A884" s="2" t="s">
        <v>1580</v>
      </c>
      <c r="B884" s="3" t="s">
        <v>1581</v>
      </c>
      <c r="C884" s="76" t="s">
        <v>1582</v>
      </c>
      <c r="D884" s="71"/>
      <c r="E884" s="3" t="s">
        <v>201</v>
      </c>
      <c r="F884" s="28">
        <v>50</v>
      </c>
      <c r="G884" s="28">
        <v>0</v>
      </c>
      <c r="H884" s="28">
        <f>ROUND(F884*AO884,2)</f>
        <v>0</v>
      </c>
      <c r="I884" s="28">
        <f>ROUND(F884*AP884,2)</f>
        <v>0</v>
      </c>
      <c r="J884" s="28">
        <f>ROUND(F884*G884,2)</f>
        <v>0</v>
      </c>
      <c r="K884" s="29" t="s">
        <v>60</v>
      </c>
      <c r="Z884" s="28">
        <f>ROUND(IF(AQ884="5",BJ884,0),2)</f>
        <v>0</v>
      </c>
      <c r="AB884" s="28">
        <f>ROUND(IF(AQ884="1",BH884,0),2)</f>
        <v>0</v>
      </c>
      <c r="AC884" s="28">
        <f>ROUND(IF(AQ884="1",BI884,0),2)</f>
        <v>0</v>
      </c>
      <c r="AD884" s="28">
        <f>ROUND(IF(AQ884="7",BH884,0),2)</f>
        <v>0</v>
      </c>
      <c r="AE884" s="28">
        <f>ROUND(IF(AQ884="7",BI884,0),2)</f>
        <v>0</v>
      </c>
      <c r="AF884" s="28">
        <f>ROUND(IF(AQ884="2",BH884,0),2)</f>
        <v>0</v>
      </c>
      <c r="AG884" s="28">
        <f>ROUND(IF(AQ884="2",BI884,0),2)</f>
        <v>0</v>
      </c>
      <c r="AH884" s="28">
        <f>ROUND(IF(AQ884="0",BJ884,0),2)</f>
        <v>0</v>
      </c>
      <c r="AI884" s="10" t="s">
        <v>1549</v>
      </c>
      <c r="AJ884" s="28">
        <f>IF(AN884=0,J884,0)</f>
        <v>0</v>
      </c>
      <c r="AK884" s="28">
        <f>IF(AN884=12,J884,0)</f>
        <v>0</v>
      </c>
      <c r="AL884" s="28">
        <f>IF(AN884=21,J884,0)</f>
        <v>0</v>
      </c>
      <c r="AN884" s="28">
        <v>21</v>
      </c>
      <c r="AO884" s="28">
        <f>G884*0</f>
        <v>0</v>
      </c>
      <c r="AP884" s="28">
        <f>G884*(1-0)</f>
        <v>0</v>
      </c>
      <c r="AQ884" s="30" t="s">
        <v>56</v>
      </c>
      <c r="AV884" s="28">
        <f>ROUND(AW884+AX884,2)</f>
        <v>0</v>
      </c>
      <c r="AW884" s="28">
        <f>ROUND(F884*AO884,2)</f>
        <v>0</v>
      </c>
      <c r="AX884" s="28">
        <f>ROUND(F884*AP884,2)</f>
        <v>0</v>
      </c>
      <c r="AY884" s="30" t="s">
        <v>1573</v>
      </c>
      <c r="AZ884" s="30" t="s">
        <v>1555</v>
      </c>
      <c r="BA884" s="10" t="s">
        <v>1556</v>
      </c>
      <c r="BC884" s="28">
        <f>AW884+AX884</f>
        <v>0</v>
      </c>
      <c r="BD884" s="28">
        <f>G884/(100-BE884)*100</f>
        <v>0</v>
      </c>
      <c r="BE884" s="28">
        <v>0</v>
      </c>
      <c r="BF884" s="28">
        <f>892</f>
        <v>892</v>
      </c>
      <c r="BH884" s="28">
        <f>F884*AO884</f>
        <v>0</v>
      </c>
      <c r="BI884" s="28">
        <f>F884*AP884</f>
        <v>0</v>
      </c>
      <c r="BJ884" s="28">
        <f>F884*G884</f>
        <v>0</v>
      </c>
      <c r="BK884" s="28"/>
      <c r="BL884" s="28"/>
      <c r="BW884" s="28">
        <v>21</v>
      </c>
      <c r="BX884" s="4" t="s">
        <v>1582</v>
      </c>
    </row>
    <row r="885" spans="1:76" x14ac:dyDescent="0.25">
      <c r="A885" s="24" t="s">
        <v>51</v>
      </c>
      <c r="B885" s="25" t="s">
        <v>185</v>
      </c>
      <c r="C885" s="87" t="s">
        <v>191</v>
      </c>
      <c r="D885" s="88"/>
      <c r="E885" s="26" t="s">
        <v>4</v>
      </c>
      <c r="F885" s="26" t="s">
        <v>4</v>
      </c>
      <c r="G885" s="26" t="s">
        <v>4</v>
      </c>
      <c r="H885" s="1">
        <f>SUM(H886:H1029)</f>
        <v>0</v>
      </c>
      <c r="I885" s="1">
        <f>SUM(I886:I1029)</f>
        <v>0</v>
      </c>
      <c r="J885" s="1">
        <f>SUM(J886:J1029)</f>
        <v>0</v>
      </c>
      <c r="K885" s="27" t="s">
        <v>51</v>
      </c>
      <c r="AI885" s="10" t="s">
        <v>1549</v>
      </c>
      <c r="AS885" s="1">
        <f>SUM(AJ886:AJ1029)</f>
        <v>0</v>
      </c>
      <c r="AT885" s="1">
        <f>SUM(AK886:AK1029)</f>
        <v>0</v>
      </c>
      <c r="AU885" s="1">
        <f>SUM(AL886:AL1029)</f>
        <v>0</v>
      </c>
    </row>
    <row r="886" spans="1:76" x14ac:dyDescent="0.25">
      <c r="A886" s="2" t="s">
        <v>1583</v>
      </c>
      <c r="B886" s="3" t="s">
        <v>1584</v>
      </c>
      <c r="C886" s="76" t="s">
        <v>1585</v>
      </c>
      <c r="D886" s="71"/>
      <c r="E886" s="3" t="s">
        <v>293</v>
      </c>
      <c r="F886" s="28">
        <v>21</v>
      </c>
      <c r="G886" s="28">
        <v>0</v>
      </c>
      <c r="H886" s="28">
        <f>ROUND(F886*AO886,2)</f>
        <v>0</v>
      </c>
      <c r="I886" s="28">
        <f>ROUND(F886*AP886,2)</f>
        <v>0</v>
      </c>
      <c r="J886" s="28">
        <f>ROUND(F886*G886,2)</f>
        <v>0</v>
      </c>
      <c r="K886" s="29" t="s">
        <v>60</v>
      </c>
      <c r="Z886" s="28">
        <f>ROUND(IF(AQ886="5",BJ886,0),2)</f>
        <v>0</v>
      </c>
      <c r="AB886" s="28">
        <f>ROUND(IF(AQ886="1",BH886,0),2)</f>
        <v>0</v>
      </c>
      <c r="AC886" s="28">
        <f>ROUND(IF(AQ886="1",BI886,0),2)</f>
        <v>0</v>
      </c>
      <c r="AD886" s="28">
        <f>ROUND(IF(AQ886="7",BH886,0),2)</f>
        <v>0</v>
      </c>
      <c r="AE886" s="28">
        <f>ROUND(IF(AQ886="7",BI886,0),2)</f>
        <v>0</v>
      </c>
      <c r="AF886" s="28">
        <f>ROUND(IF(AQ886="2",BH886,0),2)</f>
        <v>0</v>
      </c>
      <c r="AG886" s="28">
        <f>ROUND(IF(AQ886="2",BI886,0),2)</f>
        <v>0</v>
      </c>
      <c r="AH886" s="28">
        <f>ROUND(IF(AQ886="0",BJ886,0),2)</f>
        <v>0</v>
      </c>
      <c r="AI886" s="10" t="s">
        <v>1549</v>
      </c>
      <c r="AJ886" s="28">
        <f>IF(AN886=0,J886,0)</f>
        <v>0</v>
      </c>
      <c r="AK886" s="28">
        <f>IF(AN886=12,J886,0)</f>
        <v>0</v>
      </c>
      <c r="AL886" s="28">
        <f>IF(AN886=21,J886,0)</f>
        <v>0</v>
      </c>
      <c r="AN886" s="28">
        <v>21</v>
      </c>
      <c r="AO886" s="28">
        <f>G886*0</f>
        <v>0</v>
      </c>
      <c r="AP886" s="28">
        <f>G886*(1-0)</f>
        <v>0</v>
      </c>
      <c r="AQ886" s="30" t="s">
        <v>56</v>
      </c>
      <c r="AV886" s="28">
        <f>ROUND(AW886+AX886,2)</f>
        <v>0</v>
      </c>
      <c r="AW886" s="28">
        <f>ROUND(F886*AO886,2)</f>
        <v>0</v>
      </c>
      <c r="AX886" s="28">
        <f>ROUND(F886*AP886,2)</f>
        <v>0</v>
      </c>
      <c r="AY886" s="30" t="s">
        <v>195</v>
      </c>
      <c r="AZ886" s="30" t="s">
        <v>1586</v>
      </c>
      <c r="BA886" s="10" t="s">
        <v>1556</v>
      </c>
      <c r="BC886" s="28">
        <f>AW886+AX886</f>
        <v>0</v>
      </c>
      <c r="BD886" s="28">
        <f>G886/(100-BE886)*100</f>
        <v>0</v>
      </c>
      <c r="BE886" s="28">
        <v>0</v>
      </c>
      <c r="BF886" s="28">
        <f>894</f>
        <v>894</v>
      </c>
      <c r="BH886" s="28">
        <f>F886*AO886</f>
        <v>0</v>
      </c>
      <c r="BI886" s="28">
        <f>F886*AP886</f>
        <v>0</v>
      </c>
      <c r="BJ886" s="28">
        <f>F886*G886</f>
        <v>0</v>
      </c>
      <c r="BK886" s="28"/>
      <c r="BL886" s="28">
        <v>18</v>
      </c>
      <c r="BW886" s="28">
        <v>21</v>
      </c>
      <c r="BX886" s="4" t="s">
        <v>1585</v>
      </c>
    </row>
    <row r="887" spans="1:76" x14ac:dyDescent="0.25">
      <c r="A887" s="31"/>
      <c r="C887" s="32" t="s">
        <v>198</v>
      </c>
      <c r="D887" s="32" t="s">
        <v>1587</v>
      </c>
      <c r="F887" s="33">
        <v>20</v>
      </c>
      <c r="K887" s="34"/>
    </row>
    <row r="888" spans="1:76" x14ac:dyDescent="0.25">
      <c r="A888" s="31"/>
      <c r="C888" s="32" t="s">
        <v>56</v>
      </c>
      <c r="D888" s="32" t="s">
        <v>1588</v>
      </c>
      <c r="F888" s="33">
        <v>1</v>
      </c>
      <c r="K888" s="34"/>
    </row>
    <row r="889" spans="1:76" x14ac:dyDescent="0.25">
      <c r="A889" s="2" t="s">
        <v>1589</v>
      </c>
      <c r="B889" s="3" t="s">
        <v>1590</v>
      </c>
      <c r="C889" s="76" t="s">
        <v>1591</v>
      </c>
      <c r="D889" s="71"/>
      <c r="E889" s="3" t="s">
        <v>293</v>
      </c>
      <c r="F889" s="28">
        <v>100</v>
      </c>
      <c r="G889" s="28">
        <v>0</v>
      </c>
      <c r="H889" s="28">
        <f>ROUND(F889*AO889,2)</f>
        <v>0</v>
      </c>
      <c r="I889" s="28">
        <f>ROUND(F889*AP889,2)</f>
        <v>0</v>
      </c>
      <c r="J889" s="28">
        <f>ROUND(F889*G889,2)</f>
        <v>0</v>
      </c>
      <c r="K889" s="29" t="s">
        <v>60</v>
      </c>
      <c r="Z889" s="28">
        <f>ROUND(IF(AQ889="5",BJ889,0),2)</f>
        <v>0</v>
      </c>
      <c r="AB889" s="28">
        <f>ROUND(IF(AQ889="1",BH889,0),2)</f>
        <v>0</v>
      </c>
      <c r="AC889" s="28">
        <f>ROUND(IF(AQ889="1",BI889,0),2)</f>
        <v>0</v>
      </c>
      <c r="AD889" s="28">
        <f>ROUND(IF(AQ889="7",BH889,0),2)</f>
        <v>0</v>
      </c>
      <c r="AE889" s="28">
        <f>ROUND(IF(AQ889="7",BI889,0),2)</f>
        <v>0</v>
      </c>
      <c r="AF889" s="28">
        <f>ROUND(IF(AQ889="2",BH889,0),2)</f>
        <v>0</v>
      </c>
      <c r="AG889" s="28">
        <f>ROUND(IF(AQ889="2",BI889,0),2)</f>
        <v>0</v>
      </c>
      <c r="AH889" s="28">
        <f>ROUND(IF(AQ889="0",BJ889,0),2)</f>
        <v>0</v>
      </c>
      <c r="AI889" s="10" t="s">
        <v>1549</v>
      </c>
      <c r="AJ889" s="28">
        <f>IF(AN889=0,J889,0)</f>
        <v>0</v>
      </c>
      <c r="AK889" s="28">
        <f>IF(AN889=12,J889,0)</f>
        <v>0</v>
      </c>
      <c r="AL889" s="28">
        <f>IF(AN889=21,J889,0)</f>
        <v>0</v>
      </c>
      <c r="AN889" s="28">
        <v>21</v>
      </c>
      <c r="AO889" s="28">
        <f>G889*0</f>
        <v>0</v>
      </c>
      <c r="AP889" s="28">
        <f>G889*(1-0)</f>
        <v>0</v>
      </c>
      <c r="AQ889" s="30" t="s">
        <v>56</v>
      </c>
      <c r="AV889" s="28">
        <f>ROUND(AW889+AX889,2)</f>
        <v>0</v>
      </c>
      <c r="AW889" s="28">
        <f>ROUND(F889*AO889,2)</f>
        <v>0</v>
      </c>
      <c r="AX889" s="28">
        <f>ROUND(F889*AP889,2)</f>
        <v>0</v>
      </c>
      <c r="AY889" s="30" t="s">
        <v>195</v>
      </c>
      <c r="AZ889" s="30" t="s">
        <v>1586</v>
      </c>
      <c r="BA889" s="10" t="s">
        <v>1556</v>
      </c>
      <c r="BC889" s="28">
        <f>AW889+AX889</f>
        <v>0</v>
      </c>
      <c r="BD889" s="28">
        <f>G889/(100-BE889)*100</f>
        <v>0</v>
      </c>
      <c r="BE889" s="28">
        <v>0</v>
      </c>
      <c r="BF889" s="28">
        <f>897</f>
        <v>897</v>
      </c>
      <c r="BH889" s="28">
        <f>F889*AO889</f>
        <v>0</v>
      </c>
      <c r="BI889" s="28">
        <f>F889*AP889</f>
        <v>0</v>
      </c>
      <c r="BJ889" s="28">
        <f>F889*G889</f>
        <v>0</v>
      </c>
      <c r="BK889" s="28"/>
      <c r="BL889" s="28">
        <v>18</v>
      </c>
      <c r="BW889" s="28">
        <v>21</v>
      </c>
      <c r="BX889" s="4" t="s">
        <v>1591</v>
      </c>
    </row>
    <row r="890" spans="1:76" x14ac:dyDescent="0.25">
      <c r="A890" s="31"/>
      <c r="C890" s="32" t="s">
        <v>616</v>
      </c>
      <c r="D890" s="32" t="s">
        <v>1592</v>
      </c>
      <c r="F890" s="33">
        <v>100</v>
      </c>
      <c r="K890" s="34"/>
    </row>
    <row r="891" spans="1:76" x14ac:dyDescent="0.25">
      <c r="A891" s="2" t="s">
        <v>1593</v>
      </c>
      <c r="B891" s="3" t="s">
        <v>1594</v>
      </c>
      <c r="C891" s="76" t="s">
        <v>1595</v>
      </c>
      <c r="D891" s="71"/>
      <c r="E891" s="3" t="s">
        <v>293</v>
      </c>
      <c r="F891" s="28">
        <v>5350</v>
      </c>
      <c r="G891" s="28">
        <v>0</v>
      </c>
      <c r="H891" s="28">
        <f>ROUND(F891*AO891,2)</f>
        <v>0</v>
      </c>
      <c r="I891" s="28">
        <f>ROUND(F891*AP891,2)</f>
        <v>0</v>
      </c>
      <c r="J891" s="28">
        <f>ROUND(F891*G891,2)</f>
        <v>0</v>
      </c>
      <c r="K891" s="29" t="s">
        <v>60</v>
      </c>
      <c r="Z891" s="28">
        <f>ROUND(IF(AQ891="5",BJ891,0),2)</f>
        <v>0</v>
      </c>
      <c r="AB891" s="28">
        <f>ROUND(IF(AQ891="1",BH891,0),2)</f>
        <v>0</v>
      </c>
      <c r="AC891" s="28">
        <f>ROUND(IF(AQ891="1",BI891,0),2)</f>
        <v>0</v>
      </c>
      <c r="AD891" s="28">
        <f>ROUND(IF(AQ891="7",BH891,0),2)</f>
        <v>0</v>
      </c>
      <c r="AE891" s="28">
        <f>ROUND(IF(AQ891="7",BI891,0),2)</f>
        <v>0</v>
      </c>
      <c r="AF891" s="28">
        <f>ROUND(IF(AQ891="2",BH891,0),2)</f>
        <v>0</v>
      </c>
      <c r="AG891" s="28">
        <f>ROUND(IF(AQ891="2",BI891,0),2)</f>
        <v>0</v>
      </c>
      <c r="AH891" s="28">
        <f>ROUND(IF(AQ891="0",BJ891,0),2)</f>
        <v>0</v>
      </c>
      <c r="AI891" s="10" t="s">
        <v>1549</v>
      </c>
      <c r="AJ891" s="28">
        <f>IF(AN891=0,J891,0)</f>
        <v>0</v>
      </c>
      <c r="AK891" s="28">
        <f>IF(AN891=12,J891,0)</f>
        <v>0</v>
      </c>
      <c r="AL891" s="28">
        <f>IF(AN891=21,J891,0)</f>
        <v>0</v>
      </c>
      <c r="AN891" s="28">
        <v>21</v>
      </c>
      <c r="AO891" s="28">
        <f>G891*0</f>
        <v>0</v>
      </c>
      <c r="AP891" s="28">
        <f>G891*(1-0)</f>
        <v>0</v>
      </c>
      <c r="AQ891" s="30" t="s">
        <v>56</v>
      </c>
      <c r="AV891" s="28">
        <f>ROUND(AW891+AX891,2)</f>
        <v>0</v>
      </c>
      <c r="AW891" s="28">
        <f>ROUND(F891*AO891,2)</f>
        <v>0</v>
      </c>
      <c r="AX891" s="28">
        <f>ROUND(F891*AP891,2)</f>
        <v>0</v>
      </c>
      <c r="AY891" s="30" t="s">
        <v>195</v>
      </c>
      <c r="AZ891" s="30" t="s">
        <v>1586</v>
      </c>
      <c r="BA891" s="10" t="s">
        <v>1556</v>
      </c>
      <c r="BC891" s="28">
        <f>AW891+AX891</f>
        <v>0</v>
      </c>
      <c r="BD891" s="28">
        <f>G891/(100-BE891)*100</f>
        <v>0</v>
      </c>
      <c r="BE891" s="28">
        <v>0</v>
      </c>
      <c r="BF891" s="28">
        <f>899</f>
        <v>899</v>
      </c>
      <c r="BH891" s="28">
        <f>F891*AO891</f>
        <v>0</v>
      </c>
      <c r="BI891" s="28">
        <f>F891*AP891</f>
        <v>0</v>
      </c>
      <c r="BJ891" s="28">
        <f>F891*G891</f>
        <v>0</v>
      </c>
      <c r="BK891" s="28"/>
      <c r="BL891" s="28">
        <v>18</v>
      </c>
      <c r="BW891" s="28">
        <v>21</v>
      </c>
      <c r="BX891" s="4" t="s">
        <v>1595</v>
      </c>
    </row>
    <row r="892" spans="1:76" x14ac:dyDescent="0.25">
      <c r="A892" s="31"/>
      <c r="C892" s="32" t="s">
        <v>1529</v>
      </c>
      <c r="D892" s="32" t="s">
        <v>1596</v>
      </c>
      <c r="F892" s="33">
        <v>300</v>
      </c>
      <c r="K892" s="34"/>
    </row>
    <row r="893" spans="1:76" x14ac:dyDescent="0.25">
      <c r="A893" s="31"/>
      <c r="C893" s="32" t="s">
        <v>1597</v>
      </c>
      <c r="D893" s="32" t="s">
        <v>1598</v>
      </c>
      <c r="F893" s="33">
        <v>650</v>
      </c>
      <c r="K893" s="34"/>
    </row>
    <row r="894" spans="1:76" x14ac:dyDescent="0.25">
      <c r="A894" s="31"/>
      <c r="C894" s="32" t="s">
        <v>1599</v>
      </c>
      <c r="D894" s="32" t="s">
        <v>1600</v>
      </c>
      <c r="F894" s="33">
        <v>900</v>
      </c>
      <c r="K894" s="34"/>
    </row>
    <row r="895" spans="1:76" x14ac:dyDescent="0.25">
      <c r="A895" s="31"/>
      <c r="C895" s="32" t="s">
        <v>1601</v>
      </c>
      <c r="D895" s="32" t="s">
        <v>1602</v>
      </c>
      <c r="F895" s="33">
        <v>3500</v>
      </c>
      <c r="K895" s="34"/>
    </row>
    <row r="896" spans="1:76" x14ac:dyDescent="0.25">
      <c r="A896" s="2" t="s">
        <v>1603</v>
      </c>
      <c r="B896" s="3" t="s">
        <v>1604</v>
      </c>
      <c r="C896" s="76" t="s">
        <v>1605</v>
      </c>
      <c r="D896" s="71"/>
      <c r="E896" s="3" t="s">
        <v>293</v>
      </c>
      <c r="F896" s="28">
        <v>200</v>
      </c>
      <c r="G896" s="28">
        <v>0</v>
      </c>
      <c r="H896" s="28">
        <f>ROUND(F896*AO896,2)</f>
        <v>0</v>
      </c>
      <c r="I896" s="28">
        <f>ROUND(F896*AP896,2)</f>
        <v>0</v>
      </c>
      <c r="J896" s="28">
        <f>ROUND(F896*G896,2)</f>
        <v>0</v>
      </c>
      <c r="K896" s="29" t="s">
        <v>60</v>
      </c>
      <c r="Z896" s="28">
        <f>ROUND(IF(AQ896="5",BJ896,0),2)</f>
        <v>0</v>
      </c>
      <c r="AB896" s="28">
        <f>ROUND(IF(AQ896="1",BH896,0),2)</f>
        <v>0</v>
      </c>
      <c r="AC896" s="28">
        <f>ROUND(IF(AQ896="1",BI896,0),2)</f>
        <v>0</v>
      </c>
      <c r="AD896" s="28">
        <f>ROUND(IF(AQ896="7",BH896,0),2)</f>
        <v>0</v>
      </c>
      <c r="AE896" s="28">
        <f>ROUND(IF(AQ896="7",BI896,0),2)</f>
        <v>0</v>
      </c>
      <c r="AF896" s="28">
        <f>ROUND(IF(AQ896="2",BH896,0),2)</f>
        <v>0</v>
      </c>
      <c r="AG896" s="28">
        <f>ROUND(IF(AQ896="2",BI896,0),2)</f>
        <v>0</v>
      </c>
      <c r="AH896" s="28">
        <f>ROUND(IF(AQ896="0",BJ896,0),2)</f>
        <v>0</v>
      </c>
      <c r="AI896" s="10" t="s">
        <v>1549</v>
      </c>
      <c r="AJ896" s="28">
        <f>IF(AN896=0,J896,0)</f>
        <v>0</v>
      </c>
      <c r="AK896" s="28">
        <f>IF(AN896=12,J896,0)</f>
        <v>0</v>
      </c>
      <c r="AL896" s="28">
        <f>IF(AN896=21,J896,0)</f>
        <v>0</v>
      </c>
      <c r="AN896" s="28">
        <v>21</v>
      </c>
      <c r="AO896" s="28">
        <f>G896*0</f>
        <v>0</v>
      </c>
      <c r="AP896" s="28">
        <f>G896*(1-0)</f>
        <v>0</v>
      </c>
      <c r="AQ896" s="30" t="s">
        <v>56</v>
      </c>
      <c r="AV896" s="28">
        <f>ROUND(AW896+AX896,2)</f>
        <v>0</v>
      </c>
      <c r="AW896" s="28">
        <f>ROUND(F896*AO896,2)</f>
        <v>0</v>
      </c>
      <c r="AX896" s="28">
        <f>ROUND(F896*AP896,2)</f>
        <v>0</v>
      </c>
      <c r="AY896" s="30" t="s">
        <v>195</v>
      </c>
      <c r="AZ896" s="30" t="s">
        <v>1586</v>
      </c>
      <c r="BA896" s="10" t="s">
        <v>1556</v>
      </c>
      <c r="BC896" s="28">
        <f>AW896+AX896</f>
        <v>0</v>
      </c>
      <c r="BD896" s="28">
        <f>G896/(100-BE896)*100</f>
        <v>0</v>
      </c>
      <c r="BE896" s="28">
        <v>0</v>
      </c>
      <c r="BF896" s="28">
        <f>904</f>
        <v>904</v>
      </c>
      <c r="BH896" s="28">
        <f>F896*AO896</f>
        <v>0</v>
      </c>
      <c r="BI896" s="28">
        <f>F896*AP896</f>
        <v>0</v>
      </c>
      <c r="BJ896" s="28">
        <f>F896*G896</f>
        <v>0</v>
      </c>
      <c r="BK896" s="28"/>
      <c r="BL896" s="28">
        <v>18</v>
      </c>
      <c r="BW896" s="28">
        <v>21</v>
      </c>
      <c r="BX896" s="4" t="s">
        <v>1605</v>
      </c>
    </row>
    <row r="897" spans="1:76" x14ac:dyDescent="0.25">
      <c r="A897" s="31"/>
      <c r="C897" s="32" t="s">
        <v>1076</v>
      </c>
      <c r="D897" s="32" t="s">
        <v>1592</v>
      </c>
      <c r="F897" s="33">
        <v>200</v>
      </c>
      <c r="K897" s="34"/>
    </row>
    <row r="898" spans="1:76" x14ac:dyDescent="0.25">
      <c r="A898" s="2" t="s">
        <v>1606</v>
      </c>
      <c r="B898" s="3" t="s">
        <v>1607</v>
      </c>
      <c r="C898" s="76" t="s">
        <v>1608</v>
      </c>
      <c r="D898" s="71"/>
      <c r="E898" s="3" t="s">
        <v>293</v>
      </c>
      <c r="F898" s="28">
        <v>21</v>
      </c>
      <c r="G898" s="28">
        <v>0</v>
      </c>
      <c r="H898" s="28">
        <f>ROUND(F898*AO898,2)</f>
        <v>0</v>
      </c>
      <c r="I898" s="28">
        <f>ROUND(F898*AP898,2)</f>
        <v>0</v>
      </c>
      <c r="J898" s="28">
        <f>ROUND(F898*G898,2)</f>
        <v>0</v>
      </c>
      <c r="K898" s="29" t="s">
        <v>60</v>
      </c>
      <c r="Z898" s="28">
        <f>ROUND(IF(AQ898="5",BJ898,0),2)</f>
        <v>0</v>
      </c>
      <c r="AB898" s="28">
        <f>ROUND(IF(AQ898="1",BH898,0),2)</f>
        <v>0</v>
      </c>
      <c r="AC898" s="28">
        <f>ROUND(IF(AQ898="1",BI898,0),2)</f>
        <v>0</v>
      </c>
      <c r="AD898" s="28">
        <f>ROUND(IF(AQ898="7",BH898,0),2)</f>
        <v>0</v>
      </c>
      <c r="AE898" s="28">
        <f>ROUND(IF(AQ898="7",BI898,0),2)</f>
        <v>0</v>
      </c>
      <c r="AF898" s="28">
        <f>ROUND(IF(AQ898="2",BH898,0),2)</f>
        <v>0</v>
      </c>
      <c r="AG898" s="28">
        <f>ROUND(IF(AQ898="2",BI898,0),2)</f>
        <v>0</v>
      </c>
      <c r="AH898" s="28">
        <f>ROUND(IF(AQ898="0",BJ898,0),2)</f>
        <v>0</v>
      </c>
      <c r="AI898" s="10" t="s">
        <v>1549</v>
      </c>
      <c r="AJ898" s="28">
        <f>IF(AN898=0,J898,0)</f>
        <v>0</v>
      </c>
      <c r="AK898" s="28">
        <f>IF(AN898=12,J898,0)</f>
        <v>0</v>
      </c>
      <c r="AL898" s="28">
        <f>IF(AN898=21,J898,0)</f>
        <v>0</v>
      </c>
      <c r="AN898" s="28">
        <v>21</v>
      </c>
      <c r="AO898" s="28">
        <f>G898*0.002526814</f>
        <v>0</v>
      </c>
      <c r="AP898" s="28">
        <f>G898*(1-0.002526814)</f>
        <v>0</v>
      </c>
      <c r="AQ898" s="30" t="s">
        <v>56</v>
      </c>
      <c r="AV898" s="28">
        <f>ROUND(AW898+AX898,2)</f>
        <v>0</v>
      </c>
      <c r="AW898" s="28">
        <f>ROUND(F898*AO898,2)</f>
        <v>0</v>
      </c>
      <c r="AX898" s="28">
        <f>ROUND(F898*AP898,2)</f>
        <v>0</v>
      </c>
      <c r="AY898" s="30" t="s">
        <v>195</v>
      </c>
      <c r="AZ898" s="30" t="s">
        <v>1586</v>
      </c>
      <c r="BA898" s="10" t="s">
        <v>1556</v>
      </c>
      <c r="BC898" s="28">
        <f>AW898+AX898</f>
        <v>0</v>
      </c>
      <c r="BD898" s="28">
        <f>G898/(100-BE898)*100</f>
        <v>0</v>
      </c>
      <c r="BE898" s="28">
        <v>0</v>
      </c>
      <c r="BF898" s="28">
        <f>906</f>
        <v>906</v>
      </c>
      <c r="BH898" s="28">
        <f>F898*AO898</f>
        <v>0</v>
      </c>
      <c r="BI898" s="28">
        <f>F898*AP898</f>
        <v>0</v>
      </c>
      <c r="BJ898" s="28">
        <f>F898*G898</f>
        <v>0</v>
      </c>
      <c r="BK898" s="28"/>
      <c r="BL898" s="28">
        <v>18</v>
      </c>
      <c r="BW898" s="28">
        <v>21</v>
      </c>
      <c r="BX898" s="4" t="s">
        <v>1608</v>
      </c>
    </row>
    <row r="899" spans="1:76" x14ac:dyDescent="0.25">
      <c r="A899" s="31"/>
      <c r="C899" s="32" t="s">
        <v>198</v>
      </c>
      <c r="D899" s="32" t="s">
        <v>1587</v>
      </c>
      <c r="F899" s="33">
        <v>20</v>
      </c>
      <c r="K899" s="34"/>
    </row>
    <row r="900" spans="1:76" x14ac:dyDescent="0.25">
      <c r="A900" s="31"/>
      <c r="C900" s="32" t="s">
        <v>56</v>
      </c>
      <c r="D900" s="32" t="s">
        <v>1588</v>
      </c>
      <c r="F900" s="33">
        <v>1</v>
      </c>
      <c r="K900" s="34"/>
    </row>
    <row r="901" spans="1:76" x14ac:dyDescent="0.25">
      <c r="A901" s="2" t="s">
        <v>1609</v>
      </c>
      <c r="B901" s="3" t="s">
        <v>1610</v>
      </c>
      <c r="C901" s="76" t="s">
        <v>1611</v>
      </c>
      <c r="D901" s="71"/>
      <c r="E901" s="3" t="s">
        <v>293</v>
      </c>
      <c r="F901" s="28">
        <v>1</v>
      </c>
      <c r="G901" s="28">
        <v>0</v>
      </c>
      <c r="H901" s="28">
        <f>ROUND(F901*AO901,2)</f>
        <v>0</v>
      </c>
      <c r="I901" s="28">
        <f>ROUND(F901*AP901,2)</f>
        <v>0</v>
      </c>
      <c r="J901" s="28">
        <f>ROUND(F901*G901,2)</f>
        <v>0</v>
      </c>
      <c r="K901" s="29" t="s">
        <v>60</v>
      </c>
      <c r="Z901" s="28">
        <f>ROUND(IF(AQ901="5",BJ901,0),2)</f>
        <v>0</v>
      </c>
      <c r="AB901" s="28">
        <f>ROUND(IF(AQ901="1",BH901,0),2)</f>
        <v>0</v>
      </c>
      <c r="AC901" s="28">
        <f>ROUND(IF(AQ901="1",BI901,0),2)</f>
        <v>0</v>
      </c>
      <c r="AD901" s="28">
        <f>ROUND(IF(AQ901="7",BH901,0),2)</f>
        <v>0</v>
      </c>
      <c r="AE901" s="28">
        <f>ROUND(IF(AQ901="7",BI901,0),2)</f>
        <v>0</v>
      </c>
      <c r="AF901" s="28">
        <f>ROUND(IF(AQ901="2",BH901,0),2)</f>
        <v>0</v>
      </c>
      <c r="AG901" s="28">
        <f>ROUND(IF(AQ901="2",BI901,0),2)</f>
        <v>0</v>
      </c>
      <c r="AH901" s="28">
        <f>ROUND(IF(AQ901="0",BJ901,0),2)</f>
        <v>0</v>
      </c>
      <c r="AI901" s="10" t="s">
        <v>1549</v>
      </c>
      <c r="AJ901" s="28">
        <f>IF(AN901=0,J901,0)</f>
        <v>0</v>
      </c>
      <c r="AK901" s="28">
        <f>IF(AN901=12,J901,0)</f>
        <v>0</v>
      </c>
      <c r="AL901" s="28">
        <f>IF(AN901=21,J901,0)</f>
        <v>0</v>
      </c>
      <c r="AN901" s="28">
        <v>21</v>
      </c>
      <c r="AO901" s="28">
        <f>G901*1</f>
        <v>0</v>
      </c>
      <c r="AP901" s="28">
        <f>G901*(1-1)</f>
        <v>0</v>
      </c>
      <c r="AQ901" s="30" t="s">
        <v>56</v>
      </c>
      <c r="AV901" s="28">
        <f>ROUND(AW901+AX901,2)</f>
        <v>0</v>
      </c>
      <c r="AW901" s="28">
        <f>ROUND(F901*AO901,2)</f>
        <v>0</v>
      </c>
      <c r="AX901" s="28">
        <f>ROUND(F901*AP901,2)</f>
        <v>0</v>
      </c>
      <c r="AY901" s="30" t="s">
        <v>195</v>
      </c>
      <c r="AZ901" s="30" t="s">
        <v>1586</v>
      </c>
      <c r="BA901" s="10" t="s">
        <v>1556</v>
      </c>
      <c r="BC901" s="28">
        <f>AW901+AX901</f>
        <v>0</v>
      </c>
      <c r="BD901" s="28">
        <f>G901/(100-BE901)*100</f>
        <v>0</v>
      </c>
      <c r="BE901" s="28">
        <v>0</v>
      </c>
      <c r="BF901" s="28">
        <f>909</f>
        <v>909</v>
      </c>
      <c r="BH901" s="28">
        <f>F901*AO901</f>
        <v>0</v>
      </c>
      <c r="BI901" s="28">
        <f>F901*AP901</f>
        <v>0</v>
      </c>
      <c r="BJ901" s="28">
        <f>F901*G901</f>
        <v>0</v>
      </c>
      <c r="BK901" s="28"/>
      <c r="BL901" s="28">
        <v>18</v>
      </c>
      <c r="BW901" s="28">
        <v>21</v>
      </c>
      <c r="BX901" s="4" t="s">
        <v>1611</v>
      </c>
    </row>
    <row r="902" spans="1:76" x14ac:dyDescent="0.25">
      <c r="A902" s="2" t="s">
        <v>1612</v>
      </c>
      <c r="B902" s="3" t="s">
        <v>1613</v>
      </c>
      <c r="C902" s="76" t="s">
        <v>1614</v>
      </c>
      <c r="D902" s="71"/>
      <c r="E902" s="3" t="s">
        <v>293</v>
      </c>
      <c r="F902" s="28">
        <v>19</v>
      </c>
      <c r="G902" s="28">
        <v>0</v>
      </c>
      <c r="H902" s="28">
        <f>ROUND(F902*AO902,2)</f>
        <v>0</v>
      </c>
      <c r="I902" s="28">
        <f>ROUND(F902*AP902,2)</f>
        <v>0</v>
      </c>
      <c r="J902" s="28">
        <f>ROUND(F902*G902,2)</f>
        <v>0</v>
      </c>
      <c r="K902" s="29" t="s">
        <v>60</v>
      </c>
      <c r="Z902" s="28">
        <f>ROUND(IF(AQ902="5",BJ902,0),2)</f>
        <v>0</v>
      </c>
      <c r="AB902" s="28">
        <f>ROUND(IF(AQ902="1",BH902,0),2)</f>
        <v>0</v>
      </c>
      <c r="AC902" s="28">
        <f>ROUND(IF(AQ902="1",BI902,0),2)</f>
        <v>0</v>
      </c>
      <c r="AD902" s="28">
        <f>ROUND(IF(AQ902="7",BH902,0),2)</f>
        <v>0</v>
      </c>
      <c r="AE902" s="28">
        <f>ROUND(IF(AQ902="7",BI902,0),2)</f>
        <v>0</v>
      </c>
      <c r="AF902" s="28">
        <f>ROUND(IF(AQ902="2",BH902,0),2)</f>
        <v>0</v>
      </c>
      <c r="AG902" s="28">
        <f>ROUND(IF(AQ902="2",BI902,0),2)</f>
        <v>0</v>
      </c>
      <c r="AH902" s="28">
        <f>ROUND(IF(AQ902="0",BJ902,0),2)</f>
        <v>0</v>
      </c>
      <c r="AI902" s="10" t="s">
        <v>1549</v>
      </c>
      <c r="AJ902" s="28">
        <f>IF(AN902=0,J902,0)</f>
        <v>0</v>
      </c>
      <c r="AK902" s="28">
        <f>IF(AN902=12,J902,0)</f>
        <v>0</v>
      </c>
      <c r="AL902" s="28">
        <f>IF(AN902=21,J902,0)</f>
        <v>0</v>
      </c>
      <c r="AN902" s="28">
        <v>21</v>
      </c>
      <c r="AO902" s="28">
        <f>G902*0</f>
        <v>0</v>
      </c>
      <c r="AP902" s="28">
        <f>G902*(1-0)</f>
        <v>0</v>
      </c>
      <c r="AQ902" s="30" t="s">
        <v>56</v>
      </c>
      <c r="AV902" s="28">
        <f>ROUND(AW902+AX902,2)</f>
        <v>0</v>
      </c>
      <c r="AW902" s="28">
        <f>ROUND(F902*AO902,2)</f>
        <v>0</v>
      </c>
      <c r="AX902" s="28">
        <f>ROUND(F902*AP902,2)</f>
        <v>0</v>
      </c>
      <c r="AY902" s="30" t="s">
        <v>195</v>
      </c>
      <c r="AZ902" s="30" t="s">
        <v>1586</v>
      </c>
      <c r="BA902" s="10" t="s">
        <v>1556</v>
      </c>
      <c r="BC902" s="28">
        <f>AW902+AX902</f>
        <v>0</v>
      </c>
      <c r="BD902" s="28">
        <f>G902/(100-BE902)*100</f>
        <v>0</v>
      </c>
      <c r="BE902" s="28">
        <v>0</v>
      </c>
      <c r="BF902" s="28">
        <f>910</f>
        <v>910</v>
      </c>
      <c r="BH902" s="28">
        <f>F902*AO902</f>
        <v>0</v>
      </c>
      <c r="BI902" s="28">
        <f>F902*AP902</f>
        <v>0</v>
      </c>
      <c r="BJ902" s="28">
        <f>F902*G902</f>
        <v>0</v>
      </c>
      <c r="BK902" s="28"/>
      <c r="BL902" s="28">
        <v>18</v>
      </c>
      <c r="BW902" s="28">
        <v>21</v>
      </c>
      <c r="BX902" s="4" t="s">
        <v>1614</v>
      </c>
    </row>
    <row r="903" spans="1:76" ht="13.5" customHeight="1" x14ac:dyDescent="0.25">
      <c r="A903" s="31"/>
      <c r="B903" s="35" t="s">
        <v>105</v>
      </c>
      <c r="C903" s="97" t="s">
        <v>1615</v>
      </c>
      <c r="D903" s="98"/>
      <c r="E903" s="98"/>
      <c r="F903" s="98"/>
      <c r="G903" s="98"/>
      <c r="H903" s="98"/>
      <c r="I903" s="98"/>
      <c r="J903" s="98"/>
      <c r="K903" s="99"/>
    </row>
    <row r="904" spans="1:76" x14ac:dyDescent="0.25">
      <c r="A904" s="2" t="s">
        <v>1616</v>
      </c>
      <c r="B904" s="3" t="s">
        <v>1617</v>
      </c>
      <c r="C904" s="76" t="s">
        <v>1618</v>
      </c>
      <c r="D904" s="71"/>
      <c r="E904" s="3" t="s">
        <v>293</v>
      </c>
      <c r="F904" s="28">
        <v>195</v>
      </c>
      <c r="G904" s="28">
        <v>0</v>
      </c>
      <c r="H904" s="28">
        <f>ROUND(F904*AO904,2)</f>
        <v>0</v>
      </c>
      <c r="I904" s="28">
        <f>ROUND(F904*AP904,2)</f>
        <v>0</v>
      </c>
      <c r="J904" s="28">
        <f>ROUND(F904*G904,2)</f>
        <v>0</v>
      </c>
      <c r="K904" s="29" t="s">
        <v>60</v>
      </c>
      <c r="Z904" s="28">
        <f>ROUND(IF(AQ904="5",BJ904,0),2)</f>
        <v>0</v>
      </c>
      <c r="AB904" s="28">
        <f>ROUND(IF(AQ904="1",BH904,0),2)</f>
        <v>0</v>
      </c>
      <c r="AC904" s="28">
        <f>ROUND(IF(AQ904="1",BI904,0),2)</f>
        <v>0</v>
      </c>
      <c r="AD904" s="28">
        <f>ROUND(IF(AQ904="7",BH904,0),2)</f>
        <v>0</v>
      </c>
      <c r="AE904" s="28">
        <f>ROUND(IF(AQ904="7",BI904,0),2)</f>
        <v>0</v>
      </c>
      <c r="AF904" s="28">
        <f>ROUND(IF(AQ904="2",BH904,0),2)</f>
        <v>0</v>
      </c>
      <c r="AG904" s="28">
        <f>ROUND(IF(AQ904="2",BI904,0),2)</f>
        <v>0</v>
      </c>
      <c r="AH904" s="28">
        <f>ROUND(IF(AQ904="0",BJ904,0),2)</f>
        <v>0</v>
      </c>
      <c r="AI904" s="10" t="s">
        <v>1549</v>
      </c>
      <c r="AJ904" s="28">
        <f>IF(AN904=0,J904,0)</f>
        <v>0</v>
      </c>
      <c r="AK904" s="28">
        <f>IF(AN904=12,J904,0)</f>
        <v>0</v>
      </c>
      <c r="AL904" s="28">
        <f>IF(AN904=21,J904,0)</f>
        <v>0</v>
      </c>
      <c r="AN904" s="28">
        <v>21</v>
      </c>
      <c r="AO904" s="28">
        <f>G904*0.006349206</f>
        <v>0</v>
      </c>
      <c r="AP904" s="28">
        <f>G904*(1-0.006349206)</f>
        <v>0</v>
      </c>
      <c r="AQ904" s="30" t="s">
        <v>56</v>
      </c>
      <c r="AV904" s="28">
        <f>ROUND(AW904+AX904,2)</f>
        <v>0</v>
      </c>
      <c r="AW904" s="28">
        <f>ROUND(F904*AO904,2)</f>
        <v>0</v>
      </c>
      <c r="AX904" s="28">
        <f>ROUND(F904*AP904,2)</f>
        <v>0</v>
      </c>
      <c r="AY904" s="30" t="s">
        <v>195</v>
      </c>
      <c r="AZ904" s="30" t="s">
        <v>1586</v>
      </c>
      <c r="BA904" s="10" t="s">
        <v>1556</v>
      </c>
      <c r="BC904" s="28">
        <f>AW904+AX904</f>
        <v>0</v>
      </c>
      <c r="BD904" s="28">
        <f>G904/(100-BE904)*100</f>
        <v>0</v>
      </c>
      <c r="BE904" s="28">
        <v>0</v>
      </c>
      <c r="BF904" s="28">
        <f>912</f>
        <v>912</v>
      </c>
      <c r="BH904" s="28">
        <f>F904*AO904</f>
        <v>0</v>
      </c>
      <c r="BI904" s="28">
        <f>F904*AP904</f>
        <v>0</v>
      </c>
      <c r="BJ904" s="28">
        <f>F904*G904</f>
        <v>0</v>
      </c>
      <c r="BK904" s="28"/>
      <c r="BL904" s="28">
        <v>18</v>
      </c>
      <c r="BW904" s="28">
        <v>21</v>
      </c>
      <c r="BX904" s="4" t="s">
        <v>1618</v>
      </c>
    </row>
    <row r="905" spans="1:76" x14ac:dyDescent="0.25">
      <c r="A905" s="31"/>
      <c r="C905" s="32" t="s">
        <v>1619</v>
      </c>
      <c r="D905" s="32" t="s">
        <v>51</v>
      </c>
      <c r="F905" s="33">
        <v>195</v>
      </c>
      <c r="K905" s="34"/>
    </row>
    <row r="906" spans="1:76" x14ac:dyDescent="0.25">
      <c r="A906" s="2" t="s">
        <v>1620</v>
      </c>
      <c r="B906" s="3" t="s">
        <v>1621</v>
      </c>
      <c r="C906" s="76" t="s">
        <v>1622</v>
      </c>
      <c r="D906" s="71"/>
      <c r="E906" s="3" t="s">
        <v>293</v>
      </c>
      <c r="F906" s="28">
        <v>117</v>
      </c>
      <c r="G906" s="28">
        <v>0</v>
      </c>
      <c r="H906" s="28">
        <f>ROUND(F906*AO906,2)</f>
        <v>0</v>
      </c>
      <c r="I906" s="28">
        <f>ROUND(F906*AP906,2)</f>
        <v>0</v>
      </c>
      <c r="J906" s="28">
        <f>ROUND(F906*G906,2)</f>
        <v>0</v>
      </c>
      <c r="K906" s="29" t="s">
        <v>60</v>
      </c>
      <c r="Z906" s="28">
        <f>ROUND(IF(AQ906="5",BJ906,0),2)</f>
        <v>0</v>
      </c>
      <c r="AB906" s="28">
        <f>ROUND(IF(AQ906="1",BH906,0),2)</f>
        <v>0</v>
      </c>
      <c r="AC906" s="28">
        <f>ROUND(IF(AQ906="1",BI906,0),2)</f>
        <v>0</v>
      </c>
      <c r="AD906" s="28">
        <f>ROUND(IF(AQ906="7",BH906,0),2)</f>
        <v>0</v>
      </c>
      <c r="AE906" s="28">
        <f>ROUND(IF(AQ906="7",BI906,0),2)</f>
        <v>0</v>
      </c>
      <c r="AF906" s="28">
        <f>ROUND(IF(AQ906="2",BH906,0),2)</f>
        <v>0</v>
      </c>
      <c r="AG906" s="28">
        <f>ROUND(IF(AQ906="2",BI906,0),2)</f>
        <v>0</v>
      </c>
      <c r="AH906" s="28">
        <f>ROUND(IF(AQ906="0",BJ906,0),2)</f>
        <v>0</v>
      </c>
      <c r="AI906" s="10" t="s">
        <v>1549</v>
      </c>
      <c r="AJ906" s="28">
        <f>IF(AN906=0,J906,0)</f>
        <v>0</v>
      </c>
      <c r="AK906" s="28">
        <f>IF(AN906=12,J906,0)</f>
        <v>0</v>
      </c>
      <c r="AL906" s="28">
        <f>IF(AN906=21,J906,0)</f>
        <v>0</v>
      </c>
      <c r="AN906" s="28">
        <v>21</v>
      </c>
      <c r="AO906" s="28">
        <f>G906*0.011427734</f>
        <v>0</v>
      </c>
      <c r="AP906" s="28">
        <f>G906*(1-0.011427734)</f>
        <v>0</v>
      </c>
      <c r="AQ906" s="30" t="s">
        <v>56</v>
      </c>
      <c r="AV906" s="28">
        <f>ROUND(AW906+AX906,2)</f>
        <v>0</v>
      </c>
      <c r="AW906" s="28">
        <f>ROUND(F906*AO906,2)</f>
        <v>0</v>
      </c>
      <c r="AX906" s="28">
        <f>ROUND(F906*AP906,2)</f>
        <v>0</v>
      </c>
      <c r="AY906" s="30" t="s">
        <v>195</v>
      </c>
      <c r="AZ906" s="30" t="s">
        <v>1586</v>
      </c>
      <c r="BA906" s="10" t="s">
        <v>1556</v>
      </c>
      <c r="BC906" s="28">
        <f>AW906+AX906</f>
        <v>0</v>
      </c>
      <c r="BD906" s="28">
        <f>G906/(100-BE906)*100</f>
        <v>0</v>
      </c>
      <c r="BE906" s="28">
        <v>0</v>
      </c>
      <c r="BF906" s="28">
        <f>914</f>
        <v>914</v>
      </c>
      <c r="BH906" s="28">
        <f>F906*AO906</f>
        <v>0</v>
      </c>
      <c r="BI906" s="28">
        <f>F906*AP906</f>
        <v>0</v>
      </c>
      <c r="BJ906" s="28">
        <f>F906*G906</f>
        <v>0</v>
      </c>
      <c r="BK906" s="28"/>
      <c r="BL906" s="28">
        <v>18</v>
      </c>
      <c r="BW906" s="28">
        <v>21</v>
      </c>
      <c r="BX906" s="4" t="s">
        <v>1622</v>
      </c>
    </row>
    <row r="907" spans="1:76" x14ac:dyDescent="0.25">
      <c r="A907" s="31"/>
      <c r="C907" s="32" t="s">
        <v>1623</v>
      </c>
      <c r="D907" s="32" t="s">
        <v>51</v>
      </c>
      <c r="F907" s="33">
        <v>117</v>
      </c>
      <c r="K907" s="34"/>
    </row>
    <row r="908" spans="1:76" x14ac:dyDescent="0.25">
      <c r="A908" s="2" t="s">
        <v>1624</v>
      </c>
      <c r="B908" s="3" t="s">
        <v>1625</v>
      </c>
      <c r="C908" s="76" t="s">
        <v>1626</v>
      </c>
      <c r="D908" s="71"/>
      <c r="E908" s="3" t="s">
        <v>293</v>
      </c>
      <c r="F908" s="28">
        <v>312</v>
      </c>
      <c r="G908" s="28">
        <v>0</v>
      </c>
      <c r="H908" s="28">
        <f>ROUND(F908*AO908,2)</f>
        <v>0</v>
      </c>
      <c r="I908" s="28">
        <f>ROUND(F908*AP908,2)</f>
        <v>0</v>
      </c>
      <c r="J908" s="28">
        <f>ROUND(F908*G908,2)</f>
        <v>0</v>
      </c>
      <c r="K908" s="29" t="s">
        <v>60</v>
      </c>
      <c r="Z908" s="28">
        <f>ROUND(IF(AQ908="5",BJ908,0),2)</f>
        <v>0</v>
      </c>
      <c r="AB908" s="28">
        <f>ROUND(IF(AQ908="1",BH908,0),2)</f>
        <v>0</v>
      </c>
      <c r="AC908" s="28">
        <f>ROUND(IF(AQ908="1",BI908,0),2)</f>
        <v>0</v>
      </c>
      <c r="AD908" s="28">
        <f>ROUND(IF(AQ908="7",BH908,0),2)</f>
        <v>0</v>
      </c>
      <c r="AE908" s="28">
        <f>ROUND(IF(AQ908="7",BI908,0),2)</f>
        <v>0</v>
      </c>
      <c r="AF908" s="28">
        <f>ROUND(IF(AQ908="2",BH908,0),2)</f>
        <v>0</v>
      </c>
      <c r="AG908" s="28">
        <f>ROUND(IF(AQ908="2",BI908,0),2)</f>
        <v>0</v>
      </c>
      <c r="AH908" s="28">
        <f>ROUND(IF(AQ908="0",BJ908,0),2)</f>
        <v>0</v>
      </c>
      <c r="AI908" s="10" t="s">
        <v>1549</v>
      </c>
      <c r="AJ908" s="28">
        <f>IF(AN908=0,J908,0)</f>
        <v>0</v>
      </c>
      <c r="AK908" s="28">
        <f>IF(AN908=12,J908,0)</f>
        <v>0</v>
      </c>
      <c r="AL908" s="28">
        <f>IF(AN908=21,J908,0)</f>
        <v>0</v>
      </c>
      <c r="AN908" s="28">
        <v>21</v>
      </c>
      <c r="AO908" s="28">
        <f>G908*0.8</f>
        <v>0</v>
      </c>
      <c r="AP908" s="28">
        <f>G908*(1-0.8)</f>
        <v>0</v>
      </c>
      <c r="AQ908" s="30" t="s">
        <v>56</v>
      </c>
      <c r="AV908" s="28">
        <f>ROUND(AW908+AX908,2)</f>
        <v>0</v>
      </c>
      <c r="AW908" s="28">
        <f>ROUND(F908*AO908,2)</f>
        <v>0</v>
      </c>
      <c r="AX908" s="28">
        <f>ROUND(F908*AP908,2)</f>
        <v>0</v>
      </c>
      <c r="AY908" s="30" t="s">
        <v>195</v>
      </c>
      <c r="AZ908" s="30" t="s">
        <v>1586</v>
      </c>
      <c r="BA908" s="10" t="s">
        <v>1556</v>
      </c>
      <c r="BC908" s="28">
        <f>AW908+AX908</f>
        <v>0</v>
      </c>
      <c r="BD908" s="28">
        <f>G908/(100-BE908)*100</f>
        <v>0</v>
      </c>
      <c r="BE908" s="28">
        <v>0</v>
      </c>
      <c r="BF908" s="28">
        <f>916</f>
        <v>916</v>
      </c>
      <c r="BH908" s="28">
        <f>F908*AO908</f>
        <v>0</v>
      </c>
      <c r="BI908" s="28">
        <f>F908*AP908</f>
        <v>0</v>
      </c>
      <c r="BJ908" s="28">
        <f>F908*G908</f>
        <v>0</v>
      </c>
      <c r="BK908" s="28"/>
      <c r="BL908" s="28">
        <v>18</v>
      </c>
      <c r="BW908" s="28">
        <v>21</v>
      </c>
      <c r="BX908" s="4" t="s">
        <v>1626</v>
      </c>
    </row>
    <row r="909" spans="1:76" x14ac:dyDescent="0.25">
      <c r="A909" s="31"/>
      <c r="C909" s="32" t="s">
        <v>1046</v>
      </c>
      <c r="D909" s="32" t="s">
        <v>1627</v>
      </c>
      <c r="F909" s="33">
        <v>195</v>
      </c>
      <c r="K909" s="34"/>
    </row>
    <row r="910" spans="1:76" x14ac:dyDescent="0.25">
      <c r="A910" s="31"/>
      <c r="C910" s="32" t="s">
        <v>678</v>
      </c>
      <c r="D910" s="32" t="s">
        <v>1628</v>
      </c>
      <c r="F910" s="33">
        <v>117</v>
      </c>
      <c r="K910" s="34"/>
    </row>
    <row r="911" spans="1:76" x14ac:dyDescent="0.25">
      <c r="A911" s="31"/>
      <c r="B911" s="35" t="s">
        <v>68</v>
      </c>
      <c r="C911" s="94" t="s">
        <v>1629</v>
      </c>
      <c r="D911" s="95"/>
      <c r="E911" s="95"/>
      <c r="F911" s="95"/>
      <c r="G911" s="95"/>
      <c r="H911" s="95"/>
      <c r="I911" s="95"/>
      <c r="J911" s="95"/>
      <c r="K911" s="96"/>
      <c r="BX911" s="36" t="s">
        <v>1629</v>
      </c>
    </row>
    <row r="912" spans="1:76" x14ac:dyDescent="0.25">
      <c r="A912" s="2" t="s">
        <v>1630</v>
      </c>
      <c r="B912" s="3" t="s">
        <v>1631</v>
      </c>
      <c r="C912" s="76" t="s">
        <v>1632</v>
      </c>
      <c r="D912" s="71"/>
      <c r="E912" s="3" t="s">
        <v>293</v>
      </c>
      <c r="F912" s="28">
        <v>345</v>
      </c>
      <c r="G912" s="28">
        <v>0</v>
      </c>
      <c r="H912" s="28">
        <f>ROUND(F912*AO912,2)</f>
        <v>0</v>
      </c>
      <c r="I912" s="28">
        <f>ROUND(F912*AP912,2)</f>
        <v>0</v>
      </c>
      <c r="J912" s="28">
        <f>ROUND(F912*G912,2)</f>
        <v>0</v>
      </c>
      <c r="K912" s="29" t="s">
        <v>60</v>
      </c>
      <c r="Z912" s="28">
        <f>ROUND(IF(AQ912="5",BJ912,0),2)</f>
        <v>0</v>
      </c>
      <c r="AB912" s="28">
        <f>ROUND(IF(AQ912="1",BH912,0),2)</f>
        <v>0</v>
      </c>
      <c r="AC912" s="28">
        <f>ROUND(IF(AQ912="1",BI912,0),2)</f>
        <v>0</v>
      </c>
      <c r="AD912" s="28">
        <f>ROUND(IF(AQ912="7",BH912,0),2)</f>
        <v>0</v>
      </c>
      <c r="AE912" s="28">
        <f>ROUND(IF(AQ912="7",BI912,0),2)</f>
        <v>0</v>
      </c>
      <c r="AF912" s="28">
        <f>ROUND(IF(AQ912="2",BH912,0),2)</f>
        <v>0</v>
      </c>
      <c r="AG912" s="28">
        <f>ROUND(IF(AQ912="2",BI912,0),2)</f>
        <v>0</v>
      </c>
      <c r="AH912" s="28">
        <f>ROUND(IF(AQ912="0",BJ912,0),2)</f>
        <v>0</v>
      </c>
      <c r="AI912" s="10" t="s">
        <v>1549</v>
      </c>
      <c r="AJ912" s="28">
        <f>IF(AN912=0,J912,0)</f>
        <v>0</v>
      </c>
      <c r="AK912" s="28">
        <f>IF(AN912=12,J912,0)</f>
        <v>0</v>
      </c>
      <c r="AL912" s="28">
        <f>IF(AN912=21,J912,0)</f>
        <v>0</v>
      </c>
      <c r="AN912" s="28">
        <v>21</v>
      </c>
      <c r="AO912" s="28">
        <f>G912*0.015006525</f>
        <v>0</v>
      </c>
      <c r="AP912" s="28">
        <f>G912*(1-0.015006525)</f>
        <v>0</v>
      </c>
      <c r="AQ912" s="30" t="s">
        <v>56</v>
      </c>
      <c r="AV912" s="28">
        <f>ROUND(AW912+AX912,2)</f>
        <v>0</v>
      </c>
      <c r="AW912" s="28">
        <f>ROUND(F912*AO912,2)</f>
        <v>0</v>
      </c>
      <c r="AX912" s="28">
        <f>ROUND(F912*AP912,2)</f>
        <v>0</v>
      </c>
      <c r="AY912" s="30" t="s">
        <v>195</v>
      </c>
      <c r="AZ912" s="30" t="s">
        <v>1586</v>
      </c>
      <c r="BA912" s="10" t="s">
        <v>1556</v>
      </c>
      <c r="BC912" s="28">
        <f>AW912+AX912</f>
        <v>0</v>
      </c>
      <c r="BD912" s="28">
        <f>G912/(100-BE912)*100</f>
        <v>0</v>
      </c>
      <c r="BE912" s="28">
        <v>0</v>
      </c>
      <c r="BF912" s="28">
        <f>920</f>
        <v>920</v>
      </c>
      <c r="BH912" s="28">
        <f>F912*AO912</f>
        <v>0</v>
      </c>
      <c r="BI912" s="28">
        <f>F912*AP912</f>
        <v>0</v>
      </c>
      <c r="BJ912" s="28">
        <f>F912*G912</f>
        <v>0</v>
      </c>
      <c r="BK912" s="28"/>
      <c r="BL912" s="28">
        <v>18</v>
      </c>
      <c r="BW912" s="28">
        <v>21</v>
      </c>
      <c r="BX912" s="4" t="s">
        <v>1632</v>
      </c>
    </row>
    <row r="913" spans="1:76" x14ac:dyDescent="0.25">
      <c r="A913" s="2" t="s">
        <v>1633</v>
      </c>
      <c r="B913" s="3" t="s">
        <v>1634</v>
      </c>
      <c r="C913" s="76" t="s">
        <v>1635</v>
      </c>
      <c r="D913" s="71"/>
      <c r="E913" s="3" t="s">
        <v>293</v>
      </c>
      <c r="F913" s="28">
        <v>345</v>
      </c>
      <c r="G913" s="28">
        <v>0</v>
      </c>
      <c r="H913" s="28">
        <f>ROUND(F913*AO913,2)</f>
        <v>0</v>
      </c>
      <c r="I913" s="28">
        <f>ROUND(F913*AP913,2)</f>
        <v>0</v>
      </c>
      <c r="J913" s="28">
        <f>ROUND(F913*G913,2)</f>
        <v>0</v>
      </c>
      <c r="K913" s="29" t="s">
        <v>60</v>
      </c>
      <c r="Z913" s="28">
        <f>ROUND(IF(AQ913="5",BJ913,0),2)</f>
        <v>0</v>
      </c>
      <c r="AB913" s="28">
        <f>ROUND(IF(AQ913="1",BH913,0),2)</f>
        <v>0</v>
      </c>
      <c r="AC913" s="28">
        <f>ROUND(IF(AQ913="1",BI913,0),2)</f>
        <v>0</v>
      </c>
      <c r="AD913" s="28">
        <f>ROUND(IF(AQ913="7",BH913,0),2)</f>
        <v>0</v>
      </c>
      <c r="AE913" s="28">
        <f>ROUND(IF(AQ913="7",BI913,0),2)</f>
        <v>0</v>
      </c>
      <c r="AF913" s="28">
        <f>ROUND(IF(AQ913="2",BH913,0),2)</f>
        <v>0</v>
      </c>
      <c r="AG913" s="28">
        <f>ROUND(IF(AQ913="2",BI913,0),2)</f>
        <v>0</v>
      </c>
      <c r="AH913" s="28">
        <f>ROUND(IF(AQ913="0",BJ913,0),2)</f>
        <v>0</v>
      </c>
      <c r="AI913" s="10" t="s">
        <v>1549</v>
      </c>
      <c r="AJ913" s="28">
        <f>IF(AN913=0,J913,0)</f>
        <v>0</v>
      </c>
      <c r="AK913" s="28">
        <f>IF(AN913=12,J913,0)</f>
        <v>0</v>
      </c>
      <c r="AL913" s="28">
        <f>IF(AN913=21,J913,0)</f>
        <v>0</v>
      </c>
      <c r="AN913" s="28">
        <v>21</v>
      </c>
      <c r="AO913" s="28">
        <f>G913*0</f>
        <v>0</v>
      </c>
      <c r="AP913" s="28">
        <f>G913*(1-0)</f>
        <v>0</v>
      </c>
      <c r="AQ913" s="30" t="s">
        <v>56</v>
      </c>
      <c r="AV913" s="28">
        <f>ROUND(AW913+AX913,2)</f>
        <v>0</v>
      </c>
      <c r="AW913" s="28">
        <f>ROUND(F913*AO913,2)</f>
        <v>0</v>
      </c>
      <c r="AX913" s="28">
        <f>ROUND(F913*AP913,2)</f>
        <v>0</v>
      </c>
      <c r="AY913" s="30" t="s">
        <v>195</v>
      </c>
      <c r="AZ913" s="30" t="s">
        <v>1586</v>
      </c>
      <c r="BA913" s="10" t="s">
        <v>1556</v>
      </c>
      <c r="BC913" s="28">
        <f>AW913+AX913</f>
        <v>0</v>
      </c>
      <c r="BD913" s="28">
        <f>G913/(100-BE913)*100</f>
        <v>0</v>
      </c>
      <c r="BE913" s="28">
        <v>0</v>
      </c>
      <c r="BF913" s="28">
        <f>921</f>
        <v>921</v>
      </c>
      <c r="BH913" s="28">
        <f>F913*AO913</f>
        <v>0</v>
      </c>
      <c r="BI913" s="28">
        <f>F913*AP913</f>
        <v>0</v>
      </c>
      <c r="BJ913" s="28">
        <f>F913*G913</f>
        <v>0</v>
      </c>
      <c r="BK913" s="28"/>
      <c r="BL913" s="28">
        <v>18</v>
      </c>
      <c r="BW913" s="28">
        <v>21</v>
      </c>
      <c r="BX913" s="4" t="s">
        <v>1635</v>
      </c>
    </row>
    <row r="914" spans="1:76" ht="25.5" x14ac:dyDescent="0.25">
      <c r="A914" s="31"/>
      <c r="B914" s="35" t="s">
        <v>68</v>
      </c>
      <c r="C914" s="94" t="s">
        <v>1636</v>
      </c>
      <c r="D914" s="95"/>
      <c r="E914" s="95"/>
      <c r="F914" s="95"/>
      <c r="G914" s="95"/>
      <c r="H914" s="95"/>
      <c r="I914" s="95"/>
      <c r="J914" s="95"/>
      <c r="K914" s="96"/>
      <c r="BX914" s="36" t="s">
        <v>1636</v>
      </c>
    </row>
    <row r="915" spans="1:76" x14ac:dyDescent="0.25">
      <c r="A915" s="2" t="s">
        <v>1637</v>
      </c>
      <c r="B915" s="3" t="s">
        <v>1638</v>
      </c>
      <c r="C915" s="76" t="s">
        <v>1639</v>
      </c>
      <c r="D915" s="71"/>
      <c r="E915" s="3" t="s">
        <v>293</v>
      </c>
      <c r="F915" s="28">
        <v>1550</v>
      </c>
      <c r="G915" s="28">
        <v>0</v>
      </c>
      <c r="H915" s="28">
        <f>ROUND(F915*AO915,2)</f>
        <v>0</v>
      </c>
      <c r="I915" s="28">
        <f>ROUND(F915*AP915,2)</f>
        <v>0</v>
      </c>
      <c r="J915" s="28">
        <f>ROUND(F915*G915,2)</f>
        <v>0</v>
      </c>
      <c r="K915" s="29" t="s">
        <v>60</v>
      </c>
      <c r="Z915" s="28">
        <f>ROUND(IF(AQ915="5",BJ915,0),2)</f>
        <v>0</v>
      </c>
      <c r="AB915" s="28">
        <f>ROUND(IF(AQ915="1",BH915,0),2)</f>
        <v>0</v>
      </c>
      <c r="AC915" s="28">
        <f>ROUND(IF(AQ915="1",BI915,0),2)</f>
        <v>0</v>
      </c>
      <c r="AD915" s="28">
        <f>ROUND(IF(AQ915="7",BH915,0),2)</f>
        <v>0</v>
      </c>
      <c r="AE915" s="28">
        <f>ROUND(IF(AQ915="7",BI915,0),2)</f>
        <v>0</v>
      </c>
      <c r="AF915" s="28">
        <f>ROUND(IF(AQ915="2",BH915,0),2)</f>
        <v>0</v>
      </c>
      <c r="AG915" s="28">
        <f>ROUND(IF(AQ915="2",BI915,0),2)</f>
        <v>0</v>
      </c>
      <c r="AH915" s="28">
        <f>ROUND(IF(AQ915="0",BJ915,0),2)</f>
        <v>0</v>
      </c>
      <c r="AI915" s="10" t="s">
        <v>1549</v>
      </c>
      <c r="AJ915" s="28">
        <f>IF(AN915=0,J915,0)</f>
        <v>0</v>
      </c>
      <c r="AK915" s="28">
        <f>IF(AN915=12,J915,0)</f>
        <v>0</v>
      </c>
      <c r="AL915" s="28">
        <f>IF(AN915=21,J915,0)</f>
        <v>0</v>
      </c>
      <c r="AN915" s="28">
        <v>21</v>
      </c>
      <c r="AO915" s="28">
        <f>G915*0.009016393</f>
        <v>0</v>
      </c>
      <c r="AP915" s="28">
        <f>G915*(1-0.009016393)</f>
        <v>0</v>
      </c>
      <c r="AQ915" s="30" t="s">
        <v>56</v>
      </c>
      <c r="AV915" s="28">
        <f>ROUND(AW915+AX915,2)</f>
        <v>0</v>
      </c>
      <c r="AW915" s="28">
        <f>ROUND(F915*AO915,2)</f>
        <v>0</v>
      </c>
      <c r="AX915" s="28">
        <f>ROUND(F915*AP915,2)</f>
        <v>0</v>
      </c>
      <c r="AY915" s="30" t="s">
        <v>195</v>
      </c>
      <c r="AZ915" s="30" t="s">
        <v>1586</v>
      </c>
      <c r="BA915" s="10" t="s">
        <v>1556</v>
      </c>
      <c r="BC915" s="28">
        <f>AW915+AX915</f>
        <v>0</v>
      </c>
      <c r="BD915" s="28">
        <f>G915/(100-BE915)*100</f>
        <v>0</v>
      </c>
      <c r="BE915" s="28">
        <v>0</v>
      </c>
      <c r="BF915" s="28">
        <f>923</f>
        <v>923</v>
      </c>
      <c r="BH915" s="28">
        <f>F915*AO915</f>
        <v>0</v>
      </c>
      <c r="BI915" s="28">
        <f>F915*AP915</f>
        <v>0</v>
      </c>
      <c r="BJ915" s="28">
        <f>F915*G915</f>
        <v>0</v>
      </c>
      <c r="BK915" s="28"/>
      <c r="BL915" s="28">
        <v>18</v>
      </c>
      <c r="BW915" s="28">
        <v>21</v>
      </c>
      <c r="BX915" s="4" t="s">
        <v>1639</v>
      </c>
    </row>
    <row r="916" spans="1:76" x14ac:dyDescent="0.25">
      <c r="A916" s="31"/>
      <c r="C916" s="32" t="s">
        <v>1597</v>
      </c>
      <c r="D916" s="32" t="s">
        <v>1598</v>
      </c>
      <c r="F916" s="33">
        <v>650</v>
      </c>
      <c r="K916" s="34"/>
    </row>
    <row r="917" spans="1:76" x14ac:dyDescent="0.25">
      <c r="A917" s="31"/>
      <c r="C917" s="32" t="s">
        <v>1599</v>
      </c>
      <c r="D917" s="32" t="s">
        <v>1600</v>
      </c>
      <c r="F917" s="33">
        <v>900</v>
      </c>
      <c r="K917" s="34"/>
    </row>
    <row r="918" spans="1:76" x14ac:dyDescent="0.25">
      <c r="A918" s="2" t="s">
        <v>1640</v>
      </c>
      <c r="B918" s="3" t="s">
        <v>1641</v>
      </c>
      <c r="C918" s="76" t="s">
        <v>1642</v>
      </c>
      <c r="D918" s="71"/>
      <c r="E918" s="3" t="s">
        <v>293</v>
      </c>
      <c r="F918" s="28">
        <v>1550</v>
      </c>
      <c r="G918" s="28">
        <v>0</v>
      </c>
      <c r="H918" s="28">
        <f>ROUND(F918*AO918,2)</f>
        <v>0</v>
      </c>
      <c r="I918" s="28">
        <f>ROUND(F918*AP918,2)</f>
        <v>0</v>
      </c>
      <c r="J918" s="28">
        <f>ROUND(F918*G918,2)</f>
        <v>0</v>
      </c>
      <c r="K918" s="29" t="s">
        <v>60</v>
      </c>
      <c r="Z918" s="28">
        <f>ROUND(IF(AQ918="5",BJ918,0),2)</f>
        <v>0</v>
      </c>
      <c r="AB918" s="28">
        <f>ROUND(IF(AQ918="1",BH918,0),2)</f>
        <v>0</v>
      </c>
      <c r="AC918" s="28">
        <f>ROUND(IF(AQ918="1",BI918,0),2)</f>
        <v>0</v>
      </c>
      <c r="AD918" s="28">
        <f>ROUND(IF(AQ918="7",BH918,0),2)</f>
        <v>0</v>
      </c>
      <c r="AE918" s="28">
        <f>ROUND(IF(AQ918="7",BI918,0),2)</f>
        <v>0</v>
      </c>
      <c r="AF918" s="28">
        <f>ROUND(IF(AQ918="2",BH918,0),2)</f>
        <v>0</v>
      </c>
      <c r="AG918" s="28">
        <f>ROUND(IF(AQ918="2",BI918,0),2)</f>
        <v>0</v>
      </c>
      <c r="AH918" s="28">
        <f>ROUND(IF(AQ918="0",BJ918,0),2)</f>
        <v>0</v>
      </c>
      <c r="AI918" s="10" t="s">
        <v>1549</v>
      </c>
      <c r="AJ918" s="28">
        <f>IF(AN918=0,J918,0)</f>
        <v>0</v>
      </c>
      <c r="AK918" s="28">
        <f>IF(AN918=12,J918,0)</f>
        <v>0</v>
      </c>
      <c r="AL918" s="28">
        <f>IF(AN918=21,J918,0)</f>
        <v>0</v>
      </c>
      <c r="AN918" s="28">
        <v>21</v>
      </c>
      <c r="AO918" s="28">
        <f>G918*0</f>
        <v>0</v>
      </c>
      <c r="AP918" s="28">
        <f>G918*(1-0)</f>
        <v>0</v>
      </c>
      <c r="AQ918" s="30" t="s">
        <v>56</v>
      </c>
      <c r="AV918" s="28">
        <f>ROUND(AW918+AX918,2)</f>
        <v>0</v>
      </c>
      <c r="AW918" s="28">
        <f>ROUND(F918*AO918,2)</f>
        <v>0</v>
      </c>
      <c r="AX918" s="28">
        <f>ROUND(F918*AP918,2)</f>
        <v>0</v>
      </c>
      <c r="AY918" s="30" t="s">
        <v>195</v>
      </c>
      <c r="AZ918" s="30" t="s">
        <v>1586</v>
      </c>
      <c r="BA918" s="10" t="s">
        <v>1556</v>
      </c>
      <c r="BC918" s="28">
        <f>AW918+AX918</f>
        <v>0</v>
      </c>
      <c r="BD918" s="28">
        <f>G918/(100-BE918)*100</f>
        <v>0</v>
      </c>
      <c r="BE918" s="28">
        <v>0</v>
      </c>
      <c r="BF918" s="28">
        <f>926</f>
        <v>926</v>
      </c>
      <c r="BH918" s="28">
        <f>F918*AO918</f>
        <v>0</v>
      </c>
      <c r="BI918" s="28">
        <f>F918*AP918</f>
        <v>0</v>
      </c>
      <c r="BJ918" s="28">
        <f>F918*G918</f>
        <v>0</v>
      </c>
      <c r="BK918" s="28"/>
      <c r="BL918" s="28">
        <v>18</v>
      </c>
      <c r="BW918" s="28">
        <v>21</v>
      </c>
      <c r="BX918" s="4" t="s">
        <v>1642</v>
      </c>
    </row>
    <row r="919" spans="1:76" x14ac:dyDescent="0.25">
      <c r="A919" s="31"/>
      <c r="C919" s="32" t="s">
        <v>1597</v>
      </c>
      <c r="D919" s="32" t="s">
        <v>1598</v>
      </c>
      <c r="F919" s="33">
        <v>650</v>
      </c>
      <c r="K919" s="34"/>
    </row>
    <row r="920" spans="1:76" x14ac:dyDescent="0.25">
      <c r="A920" s="31"/>
      <c r="C920" s="32" t="s">
        <v>1599</v>
      </c>
      <c r="D920" s="32" t="s">
        <v>1600</v>
      </c>
      <c r="F920" s="33">
        <v>900</v>
      </c>
      <c r="K920" s="34"/>
    </row>
    <row r="921" spans="1:76" x14ac:dyDescent="0.25">
      <c r="A921" s="2" t="s">
        <v>1643</v>
      </c>
      <c r="B921" s="3" t="s">
        <v>1644</v>
      </c>
      <c r="C921" s="76" t="s">
        <v>1645</v>
      </c>
      <c r="D921" s="71"/>
      <c r="E921" s="3" t="s">
        <v>293</v>
      </c>
      <c r="F921" s="28">
        <v>3500</v>
      </c>
      <c r="G921" s="28">
        <v>0</v>
      </c>
      <c r="H921" s="28">
        <f>ROUND(F921*AO921,2)</f>
        <v>0</v>
      </c>
      <c r="I921" s="28">
        <f>ROUND(F921*AP921,2)</f>
        <v>0</v>
      </c>
      <c r="J921" s="28">
        <f>ROUND(F921*G921,2)</f>
        <v>0</v>
      </c>
      <c r="K921" s="29" t="s">
        <v>60</v>
      </c>
      <c r="Z921" s="28">
        <f>ROUND(IF(AQ921="5",BJ921,0),2)</f>
        <v>0</v>
      </c>
      <c r="AB921" s="28">
        <f>ROUND(IF(AQ921="1",BH921,0),2)</f>
        <v>0</v>
      </c>
      <c r="AC921" s="28">
        <f>ROUND(IF(AQ921="1",BI921,0),2)</f>
        <v>0</v>
      </c>
      <c r="AD921" s="28">
        <f>ROUND(IF(AQ921="7",BH921,0),2)</f>
        <v>0</v>
      </c>
      <c r="AE921" s="28">
        <f>ROUND(IF(AQ921="7",BI921,0),2)</f>
        <v>0</v>
      </c>
      <c r="AF921" s="28">
        <f>ROUND(IF(AQ921="2",BH921,0),2)</f>
        <v>0</v>
      </c>
      <c r="AG921" s="28">
        <f>ROUND(IF(AQ921="2",BI921,0),2)</f>
        <v>0</v>
      </c>
      <c r="AH921" s="28">
        <f>ROUND(IF(AQ921="0",BJ921,0),2)</f>
        <v>0</v>
      </c>
      <c r="AI921" s="10" t="s">
        <v>1549</v>
      </c>
      <c r="AJ921" s="28">
        <f>IF(AN921=0,J921,0)</f>
        <v>0</v>
      </c>
      <c r="AK921" s="28">
        <f>IF(AN921=12,J921,0)</f>
        <v>0</v>
      </c>
      <c r="AL921" s="28">
        <f>IF(AN921=21,J921,0)</f>
        <v>0</v>
      </c>
      <c r="AN921" s="28">
        <v>21</v>
      </c>
      <c r="AO921" s="28">
        <f>G921*0.018062397</f>
        <v>0</v>
      </c>
      <c r="AP921" s="28">
        <f>G921*(1-0.018062397)</f>
        <v>0</v>
      </c>
      <c r="AQ921" s="30" t="s">
        <v>56</v>
      </c>
      <c r="AV921" s="28">
        <f>ROUND(AW921+AX921,2)</f>
        <v>0</v>
      </c>
      <c r="AW921" s="28">
        <f>ROUND(F921*AO921,2)</f>
        <v>0</v>
      </c>
      <c r="AX921" s="28">
        <f>ROUND(F921*AP921,2)</f>
        <v>0</v>
      </c>
      <c r="AY921" s="30" t="s">
        <v>195</v>
      </c>
      <c r="AZ921" s="30" t="s">
        <v>1586</v>
      </c>
      <c r="BA921" s="10" t="s">
        <v>1556</v>
      </c>
      <c r="BC921" s="28">
        <f>AW921+AX921</f>
        <v>0</v>
      </c>
      <c r="BD921" s="28">
        <f>G921/(100-BE921)*100</f>
        <v>0</v>
      </c>
      <c r="BE921" s="28">
        <v>0</v>
      </c>
      <c r="BF921" s="28">
        <f>929</f>
        <v>929</v>
      </c>
      <c r="BH921" s="28">
        <f>F921*AO921</f>
        <v>0</v>
      </c>
      <c r="BI921" s="28">
        <f>F921*AP921</f>
        <v>0</v>
      </c>
      <c r="BJ921" s="28">
        <f>F921*G921</f>
        <v>0</v>
      </c>
      <c r="BK921" s="28"/>
      <c r="BL921" s="28">
        <v>18</v>
      </c>
      <c r="BW921" s="28">
        <v>21</v>
      </c>
      <c r="BX921" s="4" t="s">
        <v>1645</v>
      </c>
    </row>
    <row r="922" spans="1:76" x14ac:dyDescent="0.25">
      <c r="A922" s="31"/>
      <c r="C922" s="32" t="s">
        <v>1601</v>
      </c>
      <c r="D922" s="32" t="s">
        <v>1602</v>
      </c>
      <c r="F922" s="33">
        <v>3500</v>
      </c>
      <c r="K922" s="34"/>
    </row>
    <row r="923" spans="1:76" x14ac:dyDescent="0.25">
      <c r="A923" s="2" t="s">
        <v>1646</v>
      </c>
      <c r="B923" s="3" t="s">
        <v>1647</v>
      </c>
      <c r="C923" s="76" t="s">
        <v>1648</v>
      </c>
      <c r="D923" s="71"/>
      <c r="E923" s="3" t="s">
        <v>1376</v>
      </c>
      <c r="F923" s="28">
        <v>3500</v>
      </c>
      <c r="G923" s="28">
        <v>0</v>
      </c>
      <c r="H923" s="28">
        <f>ROUND(F923*AO923,2)</f>
        <v>0</v>
      </c>
      <c r="I923" s="28">
        <f>ROUND(F923*AP923,2)</f>
        <v>0</v>
      </c>
      <c r="J923" s="28">
        <f>ROUND(F923*G923,2)</f>
        <v>0</v>
      </c>
      <c r="K923" s="29" t="s">
        <v>60</v>
      </c>
      <c r="Z923" s="28">
        <f>ROUND(IF(AQ923="5",BJ923,0),2)</f>
        <v>0</v>
      </c>
      <c r="AB923" s="28">
        <f>ROUND(IF(AQ923="1",BH923,0),2)</f>
        <v>0</v>
      </c>
      <c r="AC923" s="28">
        <f>ROUND(IF(AQ923="1",BI923,0),2)</f>
        <v>0</v>
      </c>
      <c r="AD923" s="28">
        <f>ROUND(IF(AQ923="7",BH923,0),2)</f>
        <v>0</v>
      </c>
      <c r="AE923" s="28">
        <f>ROUND(IF(AQ923="7",BI923,0),2)</f>
        <v>0</v>
      </c>
      <c r="AF923" s="28">
        <f>ROUND(IF(AQ923="2",BH923,0),2)</f>
        <v>0</v>
      </c>
      <c r="AG923" s="28">
        <f>ROUND(IF(AQ923="2",BI923,0),2)</f>
        <v>0</v>
      </c>
      <c r="AH923" s="28">
        <f>ROUND(IF(AQ923="0",BJ923,0),2)</f>
        <v>0</v>
      </c>
      <c r="AI923" s="10" t="s">
        <v>1549</v>
      </c>
      <c r="AJ923" s="28">
        <f>IF(AN923=0,J923,0)</f>
        <v>0</v>
      </c>
      <c r="AK923" s="28">
        <f>IF(AN923=12,J923,0)</f>
        <v>0</v>
      </c>
      <c r="AL923" s="28">
        <f>IF(AN923=21,J923,0)</f>
        <v>0</v>
      </c>
      <c r="AN923" s="28">
        <v>21</v>
      </c>
      <c r="AO923" s="28">
        <f>G923*1</f>
        <v>0</v>
      </c>
      <c r="AP923" s="28">
        <f>G923*(1-1)</f>
        <v>0</v>
      </c>
      <c r="AQ923" s="30" t="s">
        <v>56</v>
      </c>
      <c r="AV923" s="28">
        <f>ROUND(AW923+AX923,2)</f>
        <v>0</v>
      </c>
      <c r="AW923" s="28">
        <f>ROUND(F923*AO923,2)</f>
        <v>0</v>
      </c>
      <c r="AX923" s="28">
        <f>ROUND(F923*AP923,2)</f>
        <v>0</v>
      </c>
      <c r="AY923" s="30" t="s">
        <v>195</v>
      </c>
      <c r="AZ923" s="30" t="s">
        <v>1586</v>
      </c>
      <c r="BA923" s="10" t="s">
        <v>1556</v>
      </c>
      <c r="BC923" s="28">
        <f>AW923+AX923</f>
        <v>0</v>
      </c>
      <c r="BD923" s="28">
        <f>G923/(100-BE923)*100</f>
        <v>0</v>
      </c>
      <c r="BE923" s="28">
        <v>0</v>
      </c>
      <c r="BF923" s="28">
        <f>931</f>
        <v>931</v>
      </c>
      <c r="BH923" s="28">
        <f>F923*AO923</f>
        <v>0</v>
      </c>
      <c r="BI923" s="28">
        <f>F923*AP923</f>
        <v>0</v>
      </c>
      <c r="BJ923" s="28">
        <f>F923*G923</f>
        <v>0</v>
      </c>
      <c r="BK923" s="28"/>
      <c r="BL923" s="28">
        <v>18</v>
      </c>
      <c r="BW923" s="28">
        <v>21</v>
      </c>
      <c r="BX923" s="4" t="s">
        <v>1648</v>
      </c>
    </row>
    <row r="924" spans="1:76" x14ac:dyDescent="0.25">
      <c r="A924" s="2" t="s">
        <v>1649</v>
      </c>
      <c r="B924" s="3" t="s">
        <v>1650</v>
      </c>
      <c r="C924" s="76" t="s">
        <v>1651</v>
      </c>
      <c r="D924" s="71"/>
      <c r="E924" s="3" t="s">
        <v>103</v>
      </c>
      <c r="F924" s="28">
        <v>1391</v>
      </c>
      <c r="G924" s="28">
        <v>0</v>
      </c>
      <c r="H924" s="28">
        <f>ROUND(F924*AO924,2)</f>
        <v>0</v>
      </c>
      <c r="I924" s="28">
        <f>ROUND(F924*AP924,2)</f>
        <v>0</v>
      </c>
      <c r="J924" s="28">
        <f>ROUND(F924*G924,2)</f>
        <v>0</v>
      </c>
      <c r="K924" s="29" t="s">
        <v>1652</v>
      </c>
      <c r="Z924" s="28">
        <f>ROUND(IF(AQ924="5",BJ924,0),2)</f>
        <v>0</v>
      </c>
      <c r="AB924" s="28">
        <f>ROUND(IF(AQ924="1",BH924,0),2)</f>
        <v>0</v>
      </c>
      <c r="AC924" s="28">
        <f>ROUND(IF(AQ924="1",BI924,0),2)</f>
        <v>0</v>
      </c>
      <c r="AD924" s="28">
        <f>ROUND(IF(AQ924="7",BH924,0),2)</f>
        <v>0</v>
      </c>
      <c r="AE924" s="28">
        <f>ROUND(IF(AQ924="7",BI924,0),2)</f>
        <v>0</v>
      </c>
      <c r="AF924" s="28">
        <f>ROUND(IF(AQ924="2",BH924,0),2)</f>
        <v>0</v>
      </c>
      <c r="AG924" s="28">
        <f>ROUND(IF(AQ924="2",BI924,0),2)</f>
        <v>0</v>
      </c>
      <c r="AH924" s="28">
        <f>ROUND(IF(AQ924="0",BJ924,0),2)</f>
        <v>0</v>
      </c>
      <c r="AI924" s="10" t="s">
        <v>1549</v>
      </c>
      <c r="AJ924" s="28">
        <f>IF(AN924=0,J924,0)</f>
        <v>0</v>
      </c>
      <c r="AK924" s="28">
        <f>IF(AN924=12,J924,0)</f>
        <v>0</v>
      </c>
      <c r="AL924" s="28">
        <f>IF(AN924=21,J924,0)</f>
        <v>0</v>
      </c>
      <c r="AN924" s="28">
        <v>21</v>
      </c>
      <c r="AO924" s="28">
        <f>G924*0</f>
        <v>0</v>
      </c>
      <c r="AP924" s="28">
        <f>G924*(1-0)</f>
        <v>0</v>
      </c>
      <c r="AQ924" s="30" t="s">
        <v>56</v>
      </c>
      <c r="AV924" s="28">
        <f>ROUND(AW924+AX924,2)</f>
        <v>0</v>
      </c>
      <c r="AW924" s="28">
        <f>ROUND(F924*AO924,2)</f>
        <v>0</v>
      </c>
      <c r="AX924" s="28">
        <f>ROUND(F924*AP924,2)</f>
        <v>0</v>
      </c>
      <c r="AY924" s="30" t="s">
        <v>195</v>
      </c>
      <c r="AZ924" s="30" t="s">
        <v>1586</v>
      </c>
      <c r="BA924" s="10" t="s">
        <v>1556</v>
      </c>
      <c r="BC924" s="28">
        <f>AW924+AX924</f>
        <v>0</v>
      </c>
      <c r="BD924" s="28">
        <f>G924/(100-BE924)*100</f>
        <v>0</v>
      </c>
      <c r="BE924" s="28">
        <v>0</v>
      </c>
      <c r="BF924" s="28">
        <f>932</f>
        <v>932</v>
      </c>
      <c r="BH924" s="28">
        <f>F924*AO924</f>
        <v>0</v>
      </c>
      <c r="BI924" s="28">
        <f>F924*AP924</f>
        <v>0</v>
      </c>
      <c r="BJ924" s="28">
        <f>F924*G924</f>
        <v>0</v>
      </c>
      <c r="BK924" s="28"/>
      <c r="BL924" s="28">
        <v>18</v>
      </c>
      <c r="BW924" s="28">
        <v>21</v>
      </c>
      <c r="BX924" s="4" t="s">
        <v>1651</v>
      </c>
    </row>
    <row r="925" spans="1:76" x14ac:dyDescent="0.25">
      <c r="A925" s="31"/>
      <c r="C925" s="32" t="s">
        <v>493</v>
      </c>
      <c r="D925" s="32" t="s">
        <v>1598</v>
      </c>
      <c r="F925" s="33">
        <v>70</v>
      </c>
      <c r="K925" s="34"/>
    </row>
    <row r="926" spans="1:76" x14ac:dyDescent="0.25">
      <c r="A926" s="31"/>
      <c r="C926" s="32" t="s">
        <v>497</v>
      </c>
      <c r="D926" s="32" t="s">
        <v>1653</v>
      </c>
      <c r="F926" s="33">
        <v>71</v>
      </c>
      <c r="K926" s="34"/>
    </row>
    <row r="927" spans="1:76" x14ac:dyDescent="0.25">
      <c r="A927" s="31"/>
      <c r="C927" s="32" t="s">
        <v>1597</v>
      </c>
      <c r="D927" s="32" t="s">
        <v>1654</v>
      </c>
      <c r="F927" s="33">
        <v>650</v>
      </c>
      <c r="K927" s="34"/>
    </row>
    <row r="928" spans="1:76" x14ac:dyDescent="0.25">
      <c r="A928" s="31"/>
      <c r="C928" s="32" t="s">
        <v>1655</v>
      </c>
      <c r="D928" s="32" t="s">
        <v>1656</v>
      </c>
      <c r="F928" s="33">
        <v>600</v>
      </c>
      <c r="K928" s="34"/>
    </row>
    <row r="929" spans="1:76" x14ac:dyDescent="0.25">
      <c r="A929" s="2" t="s">
        <v>1657</v>
      </c>
      <c r="B929" s="3" t="s">
        <v>1658</v>
      </c>
      <c r="C929" s="76" t="s">
        <v>1659</v>
      </c>
      <c r="D929" s="71"/>
      <c r="E929" s="3" t="s">
        <v>103</v>
      </c>
      <c r="F929" s="28">
        <v>310</v>
      </c>
      <c r="G929" s="28">
        <v>0</v>
      </c>
      <c r="H929" s="28">
        <f>ROUND(F929*AO929,2)</f>
        <v>0</v>
      </c>
      <c r="I929" s="28">
        <f>ROUND(F929*AP929,2)</f>
        <v>0</v>
      </c>
      <c r="J929" s="28">
        <f>ROUND(F929*G929,2)</f>
        <v>0</v>
      </c>
      <c r="K929" s="29" t="s">
        <v>1652</v>
      </c>
      <c r="Z929" s="28">
        <f>ROUND(IF(AQ929="5",BJ929,0),2)</f>
        <v>0</v>
      </c>
      <c r="AB929" s="28">
        <f>ROUND(IF(AQ929="1",BH929,0),2)</f>
        <v>0</v>
      </c>
      <c r="AC929" s="28">
        <f>ROUND(IF(AQ929="1",BI929,0),2)</f>
        <v>0</v>
      </c>
      <c r="AD929" s="28">
        <f>ROUND(IF(AQ929="7",BH929,0),2)</f>
        <v>0</v>
      </c>
      <c r="AE929" s="28">
        <f>ROUND(IF(AQ929="7",BI929,0),2)</f>
        <v>0</v>
      </c>
      <c r="AF929" s="28">
        <f>ROUND(IF(AQ929="2",BH929,0),2)</f>
        <v>0</v>
      </c>
      <c r="AG929" s="28">
        <f>ROUND(IF(AQ929="2",BI929,0),2)</f>
        <v>0</v>
      </c>
      <c r="AH929" s="28">
        <f>ROUND(IF(AQ929="0",BJ929,0),2)</f>
        <v>0</v>
      </c>
      <c r="AI929" s="10" t="s">
        <v>1549</v>
      </c>
      <c r="AJ929" s="28">
        <f>IF(AN929=0,J929,0)</f>
        <v>0</v>
      </c>
      <c r="AK929" s="28">
        <f>IF(AN929=12,J929,0)</f>
        <v>0</v>
      </c>
      <c r="AL929" s="28">
        <f>IF(AN929=21,J929,0)</f>
        <v>0</v>
      </c>
      <c r="AN929" s="28">
        <v>21</v>
      </c>
      <c r="AO929" s="28">
        <f>G929*0</f>
        <v>0</v>
      </c>
      <c r="AP929" s="28">
        <f>G929*(1-0)</f>
        <v>0</v>
      </c>
      <c r="AQ929" s="30" t="s">
        <v>56</v>
      </c>
      <c r="AV929" s="28">
        <f>ROUND(AW929+AX929,2)</f>
        <v>0</v>
      </c>
      <c r="AW929" s="28">
        <f>ROUND(F929*AO929,2)</f>
        <v>0</v>
      </c>
      <c r="AX929" s="28">
        <f>ROUND(F929*AP929,2)</f>
        <v>0</v>
      </c>
      <c r="AY929" s="30" t="s">
        <v>195</v>
      </c>
      <c r="AZ929" s="30" t="s">
        <v>1586</v>
      </c>
      <c r="BA929" s="10" t="s">
        <v>1556</v>
      </c>
      <c r="BC929" s="28">
        <f>AW929+AX929</f>
        <v>0</v>
      </c>
      <c r="BD929" s="28">
        <f>G929/(100-BE929)*100</f>
        <v>0</v>
      </c>
      <c r="BE929" s="28">
        <v>0</v>
      </c>
      <c r="BF929" s="28">
        <f>937</f>
        <v>937</v>
      </c>
      <c r="BH929" s="28">
        <f>F929*AO929</f>
        <v>0</v>
      </c>
      <c r="BI929" s="28">
        <f>F929*AP929</f>
        <v>0</v>
      </c>
      <c r="BJ929" s="28">
        <f>F929*G929</f>
        <v>0</v>
      </c>
      <c r="BK929" s="28"/>
      <c r="BL929" s="28">
        <v>18</v>
      </c>
      <c r="BW929" s="28">
        <v>21</v>
      </c>
      <c r="BX929" s="4" t="s">
        <v>1659</v>
      </c>
    </row>
    <row r="930" spans="1:76" x14ac:dyDescent="0.25">
      <c r="A930" s="31"/>
      <c r="C930" s="32" t="s">
        <v>381</v>
      </c>
      <c r="D930" s="32" t="s">
        <v>1660</v>
      </c>
      <c r="F930" s="33">
        <v>50</v>
      </c>
      <c r="K930" s="34"/>
    </row>
    <row r="931" spans="1:76" x14ac:dyDescent="0.25">
      <c r="A931" s="31"/>
      <c r="C931" s="32" t="s">
        <v>1392</v>
      </c>
      <c r="D931" s="32" t="s">
        <v>1661</v>
      </c>
      <c r="F931" s="33">
        <v>260</v>
      </c>
      <c r="K931" s="34"/>
    </row>
    <row r="932" spans="1:76" x14ac:dyDescent="0.25">
      <c r="A932" s="2" t="s">
        <v>1662</v>
      </c>
      <c r="B932" s="3" t="s">
        <v>1663</v>
      </c>
      <c r="C932" s="76" t="s">
        <v>1664</v>
      </c>
      <c r="D932" s="71"/>
      <c r="E932" s="3" t="s">
        <v>103</v>
      </c>
      <c r="F932" s="28">
        <v>235</v>
      </c>
      <c r="G932" s="28">
        <v>0</v>
      </c>
      <c r="H932" s="28">
        <f>ROUND(F932*AO932,2)</f>
        <v>0</v>
      </c>
      <c r="I932" s="28">
        <f>ROUND(F932*AP932,2)</f>
        <v>0</v>
      </c>
      <c r="J932" s="28">
        <f>ROUND(F932*G932,2)</f>
        <v>0</v>
      </c>
      <c r="K932" s="29" t="s">
        <v>60</v>
      </c>
      <c r="Z932" s="28">
        <f>ROUND(IF(AQ932="5",BJ932,0),2)</f>
        <v>0</v>
      </c>
      <c r="AB932" s="28">
        <f>ROUND(IF(AQ932="1",BH932,0),2)</f>
        <v>0</v>
      </c>
      <c r="AC932" s="28">
        <f>ROUND(IF(AQ932="1",BI932,0),2)</f>
        <v>0</v>
      </c>
      <c r="AD932" s="28">
        <f>ROUND(IF(AQ932="7",BH932,0),2)</f>
        <v>0</v>
      </c>
      <c r="AE932" s="28">
        <f>ROUND(IF(AQ932="7",BI932,0),2)</f>
        <v>0</v>
      </c>
      <c r="AF932" s="28">
        <f>ROUND(IF(AQ932="2",BH932,0),2)</f>
        <v>0</v>
      </c>
      <c r="AG932" s="28">
        <f>ROUND(IF(AQ932="2",BI932,0),2)</f>
        <v>0</v>
      </c>
      <c r="AH932" s="28">
        <f>ROUND(IF(AQ932="0",BJ932,0),2)</f>
        <v>0</v>
      </c>
      <c r="AI932" s="10" t="s">
        <v>1549</v>
      </c>
      <c r="AJ932" s="28">
        <f>IF(AN932=0,J932,0)</f>
        <v>0</v>
      </c>
      <c r="AK932" s="28">
        <f>IF(AN932=12,J932,0)</f>
        <v>0</v>
      </c>
      <c r="AL932" s="28">
        <f>IF(AN932=21,J932,0)</f>
        <v>0</v>
      </c>
      <c r="AN932" s="28">
        <v>21</v>
      </c>
      <c r="AO932" s="28">
        <f>G932*0</f>
        <v>0</v>
      </c>
      <c r="AP932" s="28">
        <f>G932*(1-0)</f>
        <v>0</v>
      </c>
      <c r="AQ932" s="30" t="s">
        <v>56</v>
      </c>
      <c r="AV932" s="28">
        <f>ROUND(AW932+AX932,2)</f>
        <v>0</v>
      </c>
      <c r="AW932" s="28">
        <f>ROUND(F932*AO932,2)</f>
        <v>0</v>
      </c>
      <c r="AX932" s="28">
        <f>ROUND(F932*AP932,2)</f>
        <v>0</v>
      </c>
      <c r="AY932" s="30" t="s">
        <v>195</v>
      </c>
      <c r="AZ932" s="30" t="s">
        <v>1586</v>
      </c>
      <c r="BA932" s="10" t="s">
        <v>1556</v>
      </c>
      <c r="BC932" s="28">
        <f>AW932+AX932</f>
        <v>0</v>
      </c>
      <c r="BD932" s="28">
        <f>G932/(100-BE932)*100</f>
        <v>0</v>
      </c>
      <c r="BE932" s="28">
        <v>0</v>
      </c>
      <c r="BF932" s="28">
        <f>940</f>
        <v>940</v>
      </c>
      <c r="BH932" s="28">
        <f>F932*AO932</f>
        <v>0</v>
      </c>
      <c r="BI932" s="28">
        <f>F932*AP932</f>
        <v>0</v>
      </c>
      <c r="BJ932" s="28">
        <f>F932*G932</f>
        <v>0</v>
      </c>
      <c r="BK932" s="28"/>
      <c r="BL932" s="28">
        <v>18</v>
      </c>
      <c r="BW932" s="28">
        <v>21</v>
      </c>
      <c r="BX932" s="4" t="s">
        <v>1664</v>
      </c>
    </row>
    <row r="933" spans="1:76" x14ac:dyDescent="0.25">
      <c r="A933" s="31"/>
      <c r="C933" s="32" t="s">
        <v>493</v>
      </c>
      <c r="D933" s="32" t="s">
        <v>1598</v>
      </c>
      <c r="F933" s="33">
        <v>70</v>
      </c>
      <c r="K933" s="34"/>
    </row>
    <row r="934" spans="1:76" x14ac:dyDescent="0.25">
      <c r="A934" s="31"/>
      <c r="C934" s="32" t="s">
        <v>827</v>
      </c>
      <c r="D934" s="32" t="s">
        <v>1653</v>
      </c>
      <c r="F934" s="33">
        <v>145</v>
      </c>
      <c r="K934" s="34"/>
    </row>
    <row r="935" spans="1:76" x14ac:dyDescent="0.25">
      <c r="A935" s="31"/>
      <c r="C935" s="32" t="s">
        <v>198</v>
      </c>
      <c r="D935" s="32" t="s">
        <v>1665</v>
      </c>
      <c r="F935" s="33">
        <v>20</v>
      </c>
      <c r="K935" s="34"/>
    </row>
    <row r="936" spans="1:76" x14ac:dyDescent="0.25">
      <c r="A936" s="2" t="s">
        <v>1666</v>
      </c>
      <c r="B936" s="3" t="s">
        <v>1667</v>
      </c>
      <c r="C936" s="76" t="s">
        <v>1668</v>
      </c>
      <c r="D936" s="71"/>
      <c r="E936" s="3" t="s">
        <v>103</v>
      </c>
      <c r="F936" s="28">
        <v>25</v>
      </c>
      <c r="G936" s="28">
        <v>0</v>
      </c>
      <c r="H936" s="28">
        <f>ROUND(F936*AO936,2)</f>
        <v>0</v>
      </c>
      <c r="I936" s="28">
        <f>ROUND(F936*AP936,2)</f>
        <v>0</v>
      </c>
      <c r="J936" s="28">
        <f>ROUND(F936*G936,2)</f>
        <v>0</v>
      </c>
      <c r="K936" s="29" t="s">
        <v>60</v>
      </c>
      <c r="Z936" s="28">
        <f>ROUND(IF(AQ936="5",BJ936,0),2)</f>
        <v>0</v>
      </c>
      <c r="AB936" s="28">
        <f>ROUND(IF(AQ936="1",BH936,0),2)</f>
        <v>0</v>
      </c>
      <c r="AC936" s="28">
        <f>ROUND(IF(AQ936="1",BI936,0),2)</f>
        <v>0</v>
      </c>
      <c r="AD936" s="28">
        <f>ROUND(IF(AQ936="7",BH936,0),2)</f>
        <v>0</v>
      </c>
      <c r="AE936" s="28">
        <f>ROUND(IF(AQ936="7",BI936,0),2)</f>
        <v>0</v>
      </c>
      <c r="AF936" s="28">
        <f>ROUND(IF(AQ936="2",BH936,0),2)</f>
        <v>0</v>
      </c>
      <c r="AG936" s="28">
        <f>ROUND(IF(AQ936="2",BI936,0),2)</f>
        <v>0</v>
      </c>
      <c r="AH936" s="28">
        <f>ROUND(IF(AQ936="0",BJ936,0),2)</f>
        <v>0</v>
      </c>
      <c r="AI936" s="10" t="s">
        <v>1549</v>
      </c>
      <c r="AJ936" s="28">
        <f>IF(AN936=0,J936,0)</f>
        <v>0</v>
      </c>
      <c r="AK936" s="28">
        <f>IF(AN936=12,J936,0)</f>
        <v>0</v>
      </c>
      <c r="AL936" s="28">
        <f>IF(AN936=21,J936,0)</f>
        <v>0</v>
      </c>
      <c r="AN936" s="28">
        <v>21</v>
      </c>
      <c r="AO936" s="28">
        <f>G936*0</f>
        <v>0</v>
      </c>
      <c r="AP936" s="28">
        <f>G936*(1-0)</f>
        <v>0</v>
      </c>
      <c r="AQ936" s="30" t="s">
        <v>56</v>
      </c>
      <c r="AV936" s="28">
        <f>ROUND(AW936+AX936,2)</f>
        <v>0</v>
      </c>
      <c r="AW936" s="28">
        <f>ROUND(F936*AO936,2)</f>
        <v>0</v>
      </c>
      <c r="AX936" s="28">
        <f>ROUND(F936*AP936,2)</f>
        <v>0</v>
      </c>
      <c r="AY936" s="30" t="s">
        <v>195</v>
      </c>
      <c r="AZ936" s="30" t="s">
        <v>1586</v>
      </c>
      <c r="BA936" s="10" t="s">
        <v>1556</v>
      </c>
      <c r="BC936" s="28">
        <f>AW936+AX936</f>
        <v>0</v>
      </c>
      <c r="BD936" s="28">
        <f>G936/(100-BE936)*100</f>
        <v>0</v>
      </c>
      <c r="BE936" s="28">
        <v>0</v>
      </c>
      <c r="BF936" s="28">
        <f>944</f>
        <v>944</v>
      </c>
      <c r="BH936" s="28">
        <f>F936*AO936</f>
        <v>0</v>
      </c>
      <c r="BI936" s="28">
        <f>F936*AP936</f>
        <v>0</v>
      </c>
      <c r="BJ936" s="28">
        <f>F936*G936</f>
        <v>0</v>
      </c>
      <c r="BK936" s="28"/>
      <c r="BL936" s="28">
        <v>18</v>
      </c>
      <c r="BW936" s="28">
        <v>21</v>
      </c>
      <c r="BX936" s="4" t="s">
        <v>1668</v>
      </c>
    </row>
    <row r="937" spans="1:76" x14ac:dyDescent="0.25">
      <c r="A937" s="31"/>
      <c r="C937" s="32" t="s">
        <v>224</v>
      </c>
      <c r="D937" s="32" t="s">
        <v>1660</v>
      </c>
      <c r="F937" s="33">
        <v>25</v>
      </c>
      <c r="K937" s="34"/>
    </row>
    <row r="938" spans="1:76" x14ac:dyDescent="0.25">
      <c r="A938" s="2" t="s">
        <v>1669</v>
      </c>
      <c r="B938" s="3" t="s">
        <v>1670</v>
      </c>
      <c r="C938" s="76" t="s">
        <v>1671</v>
      </c>
      <c r="D938" s="71"/>
      <c r="E938" s="3" t="s">
        <v>59</v>
      </c>
      <c r="F938" s="28">
        <v>25</v>
      </c>
      <c r="G938" s="28">
        <v>0</v>
      </c>
      <c r="H938" s="28">
        <f>ROUND(F938*AO938,2)</f>
        <v>0</v>
      </c>
      <c r="I938" s="28">
        <f>ROUND(F938*AP938,2)</f>
        <v>0</v>
      </c>
      <c r="J938" s="28">
        <f>ROUND(F938*G938,2)</f>
        <v>0</v>
      </c>
      <c r="K938" s="29" t="s">
        <v>60</v>
      </c>
      <c r="Z938" s="28">
        <f>ROUND(IF(AQ938="5",BJ938,0),2)</f>
        <v>0</v>
      </c>
      <c r="AB938" s="28">
        <f>ROUND(IF(AQ938="1",BH938,0),2)</f>
        <v>0</v>
      </c>
      <c r="AC938" s="28">
        <f>ROUND(IF(AQ938="1",BI938,0),2)</f>
        <v>0</v>
      </c>
      <c r="AD938" s="28">
        <f>ROUND(IF(AQ938="7",BH938,0),2)</f>
        <v>0</v>
      </c>
      <c r="AE938" s="28">
        <f>ROUND(IF(AQ938="7",BI938,0),2)</f>
        <v>0</v>
      </c>
      <c r="AF938" s="28">
        <f>ROUND(IF(AQ938="2",BH938,0),2)</f>
        <v>0</v>
      </c>
      <c r="AG938" s="28">
        <f>ROUND(IF(AQ938="2",BI938,0),2)</f>
        <v>0</v>
      </c>
      <c r="AH938" s="28">
        <f>ROUND(IF(AQ938="0",BJ938,0),2)</f>
        <v>0</v>
      </c>
      <c r="AI938" s="10" t="s">
        <v>1549</v>
      </c>
      <c r="AJ938" s="28">
        <f>IF(AN938=0,J938,0)</f>
        <v>0</v>
      </c>
      <c r="AK938" s="28">
        <f>IF(AN938=12,J938,0)</f>
        <v>0</v>
      </c>
      <c r="AL938" s="28">
        <f>IF(AN938=21,J938,0)</f>
        <v>0</v>
      </c>
      <c r="AN938" s="28">
        <v>21</v>
      </c>
      <c r="AO938" s="28">
        <f>G938*1</f>
        <v>0</v>
      </c>
      <c r="AP938" s="28">
        <f>G938*(1-1)</f>
        <v>0</v>
      </c>
      <c r="AQ938" s="30" t="s">
        <v>56</v>
      </c>
      <c r="AV938" s="28">
        <f>ROUND(AW938+AX938,2)</f>
        <v>0</v>
      </c>
      <c r="AW938" s="28">
        <f>ROUND(F938*AO938,2)</f>
        <v>0</v>
      </c>
      <c r="AX938" s="28">
        <f>ROUND(F938*AP938,2)</f>
        <v>0</v>
      </c>
      <c r="AY938" s="30" t="s">
        <v>195</v>
      </c>
      <c r="AZ938" s="30" t="s">
        <v>1586</v>
      </c>
      <c r="BA938" s="10" t="s">
        <v>1556</v>
      </c>
      <c r="BC938" s="28">
        <f>AW938+AX938</f>
        <v>0</v>
      </c>
      <c r="BD938" s="28">
        <f>G938/(100-BE938)*100</f>
        <v>0</v>
      </c>
      <c r="BE938" s="28">
        <v>0</v>
      </c>
      <c r="BF938" s="28">
        <f>946</f>
        <v>946</v>
      </c>
      <c r="BH938" s="28">
        <f>F938*AO938</f>
        <v>0</v>
      </c>
      <c r="BI938" s="28">
        <f>F938*AP938</f>
        <v>0</v>
      </c>
      <c r="BJ938" s="28">
        <f>F938*G938</f>
        <v>0</v>
      </c>
      <c r="BK938" s="28"/>
      <c r="BL938" s="28">
        <v>18</v>
      </c>
      <c r="BW938" s="28">
        <v>21</v>
      </c>
      <c r="BX938" s="4" t="s">
        <v>1671</v>
      </c>
    </row>
    <row r="939" spans="1:76" x14ac:dyDescent="0.25">
      <c r="A939" s="2" t="s">
        <v>1672</v>
      </c>
      <c r="B939" s="3" t="s">
        <v>1673</v>
      </c>
      <c r="C939" s="76" t="s">
        <v>1674</v>
      </c>
      <c r="D939" s="71"/>
      <c r="E939" s="3" t="s">
        <v>103</v>
      </c>
      <c r="F939" s="28">
        <v>1035</v>
      </c>
      <c r="G939" s="28">
        <v>0</v>
      </c>
      <c r="H939" s="28">
        <f>ROUND(F939*AO939,2)</f>
        <v>0</v>
      </c>
      <c r="I939" s="28">
        <f>ROUND(F939*AP939,2)</f>
        <v>0</v>
      </c>
      <c r="J939" s="28">
        <f>ROUND(F939*G939,2)</f>
        <v>0</v>
      </c>
      <c r="K939" s="29" t="s">
        <v>1652</v>
      </c>
      <c r="Z939" s="28">
        <f>ROUND(IF(AQ939="5",BJ939,0),2)</f>
        <v>0</v>
      </c>
      <c r="AB939" s="28">
        <f>ROUND(IF(AQ939="1",BH939,0),2)</f>
        <v>0</v>
      </c>
      <c r="AC939" s="28">
        <f>ROUND(IF(AQ939="1",BI939,0),2)</f>
        <v>0</v>
      </c>
      <c r="AD939" s="28">
        <f>ROUND(IF(AQ939="7",BH939,0),2)</f>
        <v>0</v>
      </c>
      <c r="AE939" s="28">
        <f>ROUND(IF(AQ939="7",BI939,0),2)</f>
        <v>0</v>
      </c>
      <c r="AF939" s="28">
        <f>ROUND(IF(AQ939="2",BH939,0),2)</f>
        <v>0</v>
      </c>
      <c r="AG939" s="28">
        <f>ROUND(IF(AQ939="2",BI939,0),2)</f>
        <v>0</v>
      </c>
      <c r="AH939" s="28">
        <f>ROUND(IF(AQ939="0",BJ939,0),2)</f>
        <v>0</v>
      </c>
      <c r="AI939" s="10" t="s">
        <v>1549</v>
      </c>
      <c r="AJ939" s="28">
        <f>IF(AN939=0,J939,0)</f>
        <v>0</v>
      </c>
      <c r="AK939" s="28">
        <f>IF(AN939=12,J939,0)</f>
        <v>0</v>
      </c>
      <c r="AL939" s="28">
        <f>IF(AN939=21,J939,0)</f>
        <v>0</v>
      </c>
      <c r="AN939" s="28">
        <v>21</v>
      </c>
      <c r="AO939" s="28">
        <f>G939*0.189727803</f>
        <v>0</v>
      </c>
      <c r="AP939" s="28">
        <f>G939*(1-0.189727803)</f>
        <v>0</v>
      </c>
      <c r="AQ939" s="30" t="s">
        <v>56</v>
      </c>
      <c r="AV939" s="28">
        <f>ROUND(AW939+AX939,2)</f>
        <v>0</v>
      </c>
      <c r="AW939" s="28">
        <f>ROUND(F939*AO939,2)</f>
        <v>0</v>
      </c>
      <c r="AX939" s="28">
        <f>ROUND(F939*AP939,2)</f>
        <v>0</v>
      </c>
      <c r="AY939" s="30" t="s">
        <v>195</v>
      </c>
      <c r="AZ939" s="30" t="s">
        <v>1586</v>
      </c>
      <c r="BA939" s="10" t="s">
        <v>1556</v>
      </c>
      <c r="BC939" s="28">
        <f>AW939+AX939</f>
        <v>0</v>
      </c>
      <c r="BD939" s="28">
        <f>G939/(100-BE939)*100</f>
        <v>0</v>
      </c>
      <c r="BE939" s="28">
        <v>0</v>
      </c>
      <c r="BF939" s="28">
        <f>947</f>
        <v>947</v>
      </c>
      <c r="BH939" s="28">
        <f>F939*AO939</f>
        <v>0</v>
      </c>
      <c r="BI939" s="28">
        <f>F939*AP939</f>
        <v>0</v>
      </c>
      <c r="BJ939" s="28">
        <f>F939*G939</f>
        <v>0</v>
      </c>
      <c r="BK939" s="28"/>
      <c r="BL939" s="28">
        <v>18</v>
      </c>
      <c r="BW939" s="28">
        <v>21</v>
      </c>
      <c r="BX939" s="4" t="s">
        <v>1674</v>
      </c>
    </row>
    <row r="940" spans="1:76" x14ac:dyDescent="0.25">
      <c r="A940" s="31"/>
      <c r="C940" s="32" t="s">
        <v>1675</v>
      </c>
      <c r="D940" s="32" t="s">
        <v>1654</v>
      </c>
      <c r="F940" s="33">
        <v>620</v>
      </c>
      <c r="K940" s="34"/>
    </row>
    <row r="941" spans="1:76" x14ac:dyDescent="0.25">
      <c r="A941" s="31"/>
      <c r="C941" s="32" t="s">
        <v>746</v>
      </c>
      <c r="D941" s="32" t="s">
        <v>1676</v>
      </c>
      <c r="F941" s="33">
        <v>415</v>
      </c>
      <c r="K941" s="34"/>
    </row>
    <row r="942" spans="1:76" ht="38.25" x14ac:dyDescent="0.25">
      <c r="A942" s="31"/>
      <c r="B942" s="35" t="s">
        <v>68</v>
      </c>
      <c r="C942" s="94" t="s">
        <v>1677</v>
      </c>
      <c r="D942" s="95"/>
      <c r="E942" s="95"/>
      <c r="F942" s="95"/>
      <c r="G942" s="95"/>
      <c r="H942" s="95"/>
      <c r="I942" s="95"/>
      <c r="J942" s="95"/>
      <c r="K942" s="96"/>
      <c r="BX942" s="36" t="s">
        <v>1677</v>
      </c>
    </row>
    <row r="943" spans="1:76" x14ac:dyDescent="0.25">
      <c r="A943" s="2" t="s">
        <v>1678</v>
      </c>
      <c r="B943" s="3" t="s">
        <v>1679</v>
      </c>
      <c r="C943" s="76" t="s">
        <v>1680</v>
      </c>
      <c r="D943" s="71"/>
      <c r="E943" s="3" t="s">
        <v>103</v>
      </c>
      <c r="F943" s="28">
        <v>550</v>
      </c>
      <c r="G943" s="28">
        <v>0</v>
      </c>
      <c r="H943" s="28">
        <f>ROUND(F943*AO943,2)</f>
        <v>0</v>
      </c>
      <c r="I943" s="28">
        <f>ROUND(F943*AP943,2)</f>
        <v>0</v>
      </c>
      <c r="J943" s="28">
        <f>ROUND(F943*G943,2)</f>
        <v>0</v>
      </c>
      <c r="K943" s="29" t="s">
        <v>60</v>
      </c>
      <c r="Z943" s="28">
        <f>ROUND(IF(AQ943="5",BJ943,0),2)</f>
        <v>0</v>
      </c>
      <c r="AB943" s="28">
        <f>ROUND(IF(AQ943="1",BH943,0),2)</f>
        <v>0</v>
      </c>
      <c r="AC943" s="28">
        <f>ROUND(IF(AQ943="1",BI943,0),2)</f>
        <v>0</v>
      </c>
      <c r="AD943" s="28">
        <f>ROUND(IF(AQ943="7",BH943,0),2)</f>
        <v>0</v>
      </c>
      <c r="AE943" s="28">
        <f>ROUND(IF(AQ943="7",BI943,0),2)</f>
        <v>0</v>
      </c>
      <c r="AF943" s="28">
        <f>ROUND(IF(AQ943="2",BH943,0),2)</f>
        <v>0</v>
      </c>
      <c r="AG943" s="28">
        <f>ROUND(IF(AQ943="2",BI943,0),2)</f>
        <v>0</v>
      </c>
      <c r="AH943" s="28">
        <f>ROUND(IF(AQ943="0",BJ943,0),2)</f>
        <v>0</v>
      </c>
      <c r="AI943" s="10" t="s">
        <v>1549</v>
      </c>
      <c r="AJ943" s="28">
        <f>IF(AN943=0,J943,0)</f>
        <v>0</v>
      </c>
      <c r="AK943" s="28">
        <f>IF(AN943=12,J943,0)</f>
        <v>0</v>
      </c>
      <c r="AL943" s="28">
        <f>IF(AN943=21,J943,0)</f>
        <v>0</v>
      </c>
      <c r="AN943" s="28">
        <v>21</v>
      </c>
      <c r="AO943" s="28">
        <f>G943*0.069565217</f>
        <v>0</v>
      </c>
      <c r="AP943" s="28">
        <f>G943*(1-0.069565217)</f>
        <v>0</v>
      </c>
      <c r="AQ943" s="30" t="s">
        <v>56</v>
      </c>
      <c r="AV943" s="28">
        <f>ROUND(AW943+AX943,2)</f>
        <v>0</v>
      </c>
      <c r="AW943" s="28">
        <f>ROUND(F943*AO943,2)</f>
        <v>0</v>
      </c>
      <c r="AX943" s="28">
        <f>ROUND(F943*AP943,2)</f>
        <v>0</v>
      </c>
      <c r="AY943" s="30" t="s">
        <v>195</v>
      </c>
      <c r="AZ943" s="30" t="s">
        <v>1586</v>
      </c>
      <c r="BA943" s="10" t="s">
        <v>1556</v>
      </c>
      <c r="BC943" s="28">
        <f>AW943+AX943</f>
        <v>0</v>
      </c>
      <c r="BD943" s="28">
        <f>G943/(100-BE943)*100</f>
        <v>0</v>
      </c>
      <c r="BE943" s="28">
        <v>0</v>
      </c>
      <c r="BF943" s="28">
        <f>951</f>
        <v>951</v>
      </c>
      <c r="BH943" s="28">
        <f>F943*AO943</f>
        <v>0</v>
      </c>
      <c r="BI943" s="28">
        <f>F943*AP943</f>
        <v>0</v>
      </c>
      <c r="BJ943" s="28">
        <f>F943*G943</f>
        <v>0</v>
      </c>
      <c r="BK943" s="28"/>
      <c r="BL943" s="28">
        <v>18</v>
      </c>
      <c r="BW943" s="28">
        <v>21</v>
      </c>
      <c r="BX943" s="4" t="s">
        <v>1680</v>
      </c>
    </row>
    <row r="944" spans="1:76" x14ac:dyDescent="0.25">
      <c r="A944" s="31"/>
      <c r="C944" s="32" t="s">
        <v>1681</v>
      </c>
      <c r="D944" s="32" t="s">
        <v>1656</v>
      </c>
      <c r="F944" s="33">
        <v>550</v>
      </c>
      <c r="K944" s="34"/>
    </row>
    <row r="945" spans="1:76" x14ac:dyDescent="0.25">
      <c r="A945" s="31"/>
      <c r="B945" s="35" t="s">
        <v>68</v>
      </c>
      <c r="C945" s="94" t="s">
        <v>1682</v>
      </c>
      <c r="D945" s="95"/>
      <c r="E945" s="95"/>
      <c r="F945" s="95"/>
      <c r="G945" s="95"/>
      <c r="H945" s="95"/>
      <c r="I945" s="95"/>
      <c r="J945" s="95"/>
      <c r="K945" s="96"/>
      <c r="BX945" s="36" t="s">
        <v>1682</v>
      </c>
    </row>
    <row r="946" spans="1:76" x14ac:dyDescent="0.25">
      <c r="A946" s="2" t="s">
        <v>1683</v>
      </c>
      <c r="B946" s="3" t="s">
        <v>1684</v>
      </c>
      <c r="C946" s="76" t="s">
        <v>1685</v>
      </c>
      <c r="D946" s="71"/>
      <c r="E946" s="3" t="s">
        <v>103</v>
      </c>
      <c r="F946" s="28">
        <v>260</v>
      </c>
      <c r="G946" s="28">
        <v>0</v>
      </c>
      <c r="H946" s="28">
        <f>ROUND(F946*AO946,2)</f>
        <v>0</v>
      </c>
      <c r="I946" s="28">
        <f>ROUND(F946*AP946,2)</f>
        <v>0</v>
      </c>
      <c r="J946" s="28">
        <f>ROUND(F946*G946,2)</f>
        <v>0</v>
      </c>
      <c r="K946" s="29" t="s">
        <v>60</v>
      </c>
      <c r="Z946" s="28">
        <f>ROUND(IF(AQ946="5",BJ946,0),2)</f>
        <v>0</v>
      </c>
      <c r="AB946" s="28">
        <f>ROUND(IF(AQ946="1",BH946,0),2)</f>
        <v>0</v>
      </c>
      <c r="AC946" s="28">
        <f>ROUND(IF(AQ946="1",BI946,0),2)</f>
        <v>0</v>
      </c>
      <c r="AD946" s="28">
        <f>ROUND(IF(AQ946="7",BH946,0),2)</f>
        <v>0</v>
      </c>
      <c r="AE946" s="28">
        <f>ROUND(IF(AQ946="7",BI946,0),2)</f>
        <v>0</v>
      </c>
      <c r="AF946" s="28">
        <f>ROUND(IF(AQ946="2",BH946,0),2)</f>
        <v>0</v>
      </c>
      <c r="AG946" s="28">
        <f>ROUND(IF(AQ946="2",BI946,0),2)</f>
        <v>0</v>
      </c>
      <c r="AH946" s="28">
        <f>ROUND(IF(AQ946="0",BJ946,0),2)</f>
        <v>0</v>
      </c>
      <c r="AI946" s="10" t="s">
        <v>1549</v>
      </c>
      <c r="AJ946" s="28">
        <f>IF(AN946=0,J946,0)</f>
        <v>0</v>
      </c>
      <c r="AK946" s="28">
        <f>IF(AN946=12,J946,0)</f>
        <v>0</v>
      </c>
      <c r="AL946" s="28">
        <f>IF(AN946=21,J946,0)</f>
        <v>0</v>
      </c>
      <c r="AN946" s="28">
        <v>21</v>
      </c>
      <c r="AO946" s="28">
        <f>G946*0.024615385</f>
        <v>0</v>
      </c>
      <c r="AP946" s="28">
        <f>G946*(1-0.024615385)</f>
        <v>0</v>
      </c>
      <c r="AQ946" s="30" t="s">
        <v>56</v>
      </c>
      <c r="AV946" s="28">
        <f>ROUND(AW946+AX946,2)</f>
        <v>0</v>
      </c>
      <c r="AW946" s="28">
        <f>ROUND(F946*AO946,2)</f>
        <v>0</v>
      </c>
      <c r="AX946" s="28">
        <f>ROUND(F946*AP946,2)</f>
        <v>0</v>
      </c>
      <c r="AY946" s="30" t="s">
        <v>195</v>
      </c>
      <c r="AZ946" s="30" t="s">
        <v>1586</v>
      </c>
      <c r="BA946" s="10" t="s">
        <v>1556</v>
      </c>
      <c r="BC946" s="28">
        <f>AW946+AX946</f>
        <v>0</v>
      </c>
      <c r="BD946" s="28">
        <f>G946/(100-BE946)*100</f>
        <v>0</v>
      </c>
      <c r="BE946" s="28">
        <v>0</v>
      </c>
      <c r="BF946" s="28">
        <f>954</f>
        <v>954</v>
      </c>
      <c r="BH946" s="28">
        <f>F946*AO946</f>
        <v>0</v>
      </c>
      <c r="BI946" s="28">
        <f>F946*AP946</f>
        <v>0</v>
      </c>
      <c r="BJ946" s="28">
        <f>F946*G946</f>
        <v>0</v>
      </c>
      <c r="BK946" s="28"/>
      <c r="BL946" s="28">
        <v>18</v>
      </c>
      <c r="BW946" s="28">
        <v>21</v>
      </c>
      <c r="BX946" s="4" t="s">
        <v>1685</v>
      </c>
    </row>
    <row r="947" spans="1:76" x14ac:dyDescent="0.25">
      <c r="A947" s="31"/>
      <c r="C947" s="32" t="s">
        <v>1392</v>
      </c>
      <c r="D947" s="32" t="s">
        <v>1661</v>
      </c>
      <c r="F947" s="33">
        <v>260</v>
      </c>
      <c r="K947" s="34"/>
    </row>
    <row r="948" spans="1:76" x14ac:dyDescent="0.25">
      <c r="A948" s="31"/>
      <c r="B948" s="35" t="s">
        <v>68</v>
      </c>
      <c r="C948" s="94" t="s">
        <v>1682</v>
      </c>
      <c r="D948" s="95"/>
      <c r="E948" s="95"/>
      <c r="F948" s="95"/>
      <c r="G948" s="95"/>
      <c r="H948" s="95"/>
      <c r="I948" s="95"/>
      <c r="J948" s="95"/>
      <c r="K948" s="96"/>
      <c r="BX948" s="36" t="s">
        <v>1682</v>
      </c>
    </row>
    <row r="949" spans="1:76" x14ac:dyDescent="0.25">
      <c r="A949" s="2" t="s">
        <v>1686</v>
      </c>
      <c r="B949" s="3" t="s">
        <v>1687</v>
      </c>
      <c r="C949" s="76" t="s">
        <v>1688</v>
      </c>
      <c r="D949" s="71"/>
      <c r="E949" s="3" t="s">
        <v>1301</v>
      </c>
      <c r="F949" s="28">
        <v>6</v>
      </c>
      <c r="G949" s="28">
        <v>0</v>
      </c>
      <c r="H949" s="28">
        <f>ROUND(F949*AO949,2)</f>
        <v>0</v>
      </c>
      <c r="I949" s="28">
        <f>ROUND(F949*AP949,2)</f>
        <v>0</v>
      </c>
      <c r="J949" s="28">
        <f>ROUND(F949*G949,2)</f>
        <v>0</v>
      </c>
      <c r="K949" s="29" t="s">
        <v>1689</v>
      </c>
      <c r="Z949" s="28">
        <f>ROUND(IF(AQ949="5",BJ949,0),2)</f>
        <v>0</v>
      </c>
      <c r="AB949" s="28">
        <f>ROUND(IF(AQ949="1",BH949,0),2)</f>
        <v>0</v>
      </c>
      <c r="AC949" s="28">
        <f>ROUND(IF(AQ949="1",BI949,0),2)</f>
        <v>0</v>
      </c>
      <c r="AD949" s="28">
        <f>ROUND(IF(AQ949="7",BH949,0),2)</f>
        <v>0</v>
      </c>
      <c r="AE949" s="28">
        <f>ROUND(IF(AQ949="7",BI949,0),2)</f>
        <v>0</v>
      </c>
      <c r="AF949" s="28">
        <f>ROUND(IF(AQ949="2",BH949,0),2)</f>
        <v>0</v>
      </c>
      <c r="AG949" s="28">
        <f>ROUND(IF(AQ949="2",BI949,0),2)</f>
        <v>0</v>
      </c>
      <c r="AH949" s="28">
        <f>ROUND(IF(AQ949="0",BJ949,0),2)</f>
        <v>0</v>
      </c>
      <c r="AI949" s="10" t="s">
        <v>1549</v>
      </c>
      <c r="AJ949" s="28">
        <f>IF(AN949=0,J949,0)</f>
        <v>0</v>
      </c>
      <c r="AK949" s="28">
        <f>IF(AN949=12,J949,0)</f>
        <v>0</v>
      </c>
      <c r="AL949" s="28">
        <f>IF(AN949=21,J949,0)</f>
        <v>0</v>
      </c>
      <c r="AN949" s="28">
        <v>21</v>
      </c>
      <c r="AO949" s="28">
        <f>G949*1</f>
        <v>0</v>
      </c>
      <c r="AP949" s="28">
        <f>G949*(1-1)</f>
        <v>0</v>
      </c>
      <c r="AQ949" s="30" t="s">
        <v>56</v>
      </c>
      <c r="AV949" s="28">
        <f>ROUND(AW949+AX949,2)</f>
        <v>0</v>
      </c>
      <c r="AW949" s="28">
        <f>ROUND(F949*AO949,2)</f>
        <v>0</v>
      </c>
      <c r="AX949" s="28">
        <f>ROUND(F949*AP949,2)</f>
        <v>0</v>
      </c>
      <c r="AY949" s="30" t="s">
        <v>195</v>
      </c>
      <c r="AZ949" s="30" t="s">
        <v>1586</v>
      </c>
      <c r="BA949" s="10" t="s">
        <v>1556</v>
      </c>
      <c r="BC949" s="28">
        <f>AW949+AX949</f>
        <v>0</v>
      </c>
      <c r="BD949" s="28">
        <f>G949/(100-BE949)*100</f>
        <v>0</v>
      </c>
      <c r="BE949" s="28">
        <v>0</v>
      </c>
      <c r="BF949" s="28">
        <f>957</f>
        <v>957</v>
      </c>
      <c r="BH949" s="28">
        <f>F949*AO949</f>
        <v>0</v>
      </c>
      <c r="BI949" s="28">
        <f>F949*AP949</f>
        <v>0</v>
      </c>
      <c r="BJ949" s="28">
        <f>F949*G949</f>
        <v>0</v>
      </c>
      <c r="BK949" s="28"/>
      <c r="BL949" s="28">
        <v>18</v>
      </c>
      <c r="BW949" s="28">
        <v>21</v>
      </c>
      <c r="BX949" s="4" t="s">
        <v>1688</v>
      </c>
    </row>
    <row r="950" spans="1:76" x14ac:dyDescent="0.25">
      <c r="A950" s="2" t="s">
        <v>1690</v>
      </c>
      <c r="B950" s="3" t="s">
        <v>1691</v>
      </c>
      <c r="C950" s="76" t="s">
        <v>1692</v>
      </c>
      <c r="D950" s="71"/>
      <c r="E950" s="3" t="s">
        <v>1301</v>
      </c>
      <c r="F950" s="28">
        <v>13.23</v>
      </c>
      <c r="G950" s="28">
        <v>0</v>
      </c>
      <c r="H950" s="28">
        <f>ROUND(F950*AO950,2)</f>
        <v>0</v>
      </c>
      <c r="I950" s="28">
        <f>ROUND(F950*AP950,2)</f>
        <v>0</v>
      </c>
      <c r="J950" s="28">
        <f>ROUND(F950*G950,2)</f>
        <v>0</v>
      </c>
      <c r="K950" s="29" t="s">
        <v>1689</v>
      </c>
      <c r="Z950" s="28">
        <f>ROUND(IF(AQ950="5",BJ950,0),2)</f>
        <v>0</v>
      </c>
      <c r="AB950" s="28">
        <f>ROUND(IF(AQ950="1",BH950,0),2)</f>
        <v>0</v>
      </c>
      <c r="AC950" s="28">
        <f>ROUND(IF(AQ950="1",BI950,0),2)</f>
        <v>0</v>
      </c>
      <c r="AD950" s="28">
        <f>ROUND(IF(AQ950="7",BH950,0),2)</f>
        <v>0</v>
      </c>
      <c r="AE950" s="28">
        <f>ROUND(IF(AQ950="7",BI950,0),2)</f>
        <v>0</v>
      </c>
      <c r="AF950" s="28">
        <f>ROUND(IF(AQ950="2",BH950,0),2)</f>
        <v>0</v>
      </c>
      <c r="AG950" s="28">
        <f>ROUND(IF(AQ950="2",BI950,0),2)</f>
        <v>0</v>
      </c>
      <c r="AH950" s="28">
        <f>ROUND(IF(AQ950="0",BJ950,0),2)</f>
        <v>0</v>
      </c>
      <c r="AI950" s="10" t="s">
        <v>1549</v>
      </c>
      <c r="AJ950" s="28">
        <f>IF(AN950=0,J950,0)</f>
        <v>0</v>
      </c>
      <c r="AK950" s="28">
        <f>IF(AN950=12,J950,0)</f>
        <v>0</v>
      </c>
      <c r="AL950" s="28">
        <f>IF(AN950=21,J950,0)</f>
        <v>0</v>
      </c>
      <c r="AN950" s="28">
        <v>21</v>
      </c>
      <c r="AO950" s="28">
        <f>G950*1</f>
        <v>0</v>
      </c>
      <c r="AP950" s="28">
        <f>G950*(1-1)</f>
        <v>0</v>
      </c>
      <c r="AQ950" s="30" t="s">
        <v>56</v>
      </c>
      <c r="AV950" s="28">
        <f>ROUND(AW950+AX950,2)</f>
        <v>0</v>
      </c>
      <c r="AW950" s="28">
        <f>ROUND(F950*AO950,2)</f>
        <v>0</v>
      </c>
      <c r="AX950" s="28">
        <f>ROUND(F950*AP950,2)</f>
        <v>0</v>
      </c>
      <c r="AY950" s="30" t="s">
        <v>195</v>
      </c>
      <c r="AZ950" s="30" t="s">
        <v>1586</v>
      </c>
      <c r="BA950" s="10" t="s">
        <v>1556</v>
      </c>
      <c r="BC950" s="28">
        <f>AW950+AX950</f>
        <v>0</v>
      </c>
      <c r="BD950" s="28">
        <f>G950/(100-BE950)*100</f>
        <v>0</v>
      </c>
      <c r="BE950" s="28">
        <v>0</v>
      </c>
      <c r="BF950" s="28">
        <f>958</f>
        <v>958</v>
      </c>
      <c r="BH950" s="28">
        <f>F950*AO950</f>
        <v>0</v>
      </c>
      <c r="BI950" s="28">
        <f>F950*AP950</f>
        <v>0</v>
      </c>
      <c r="BJ950" s="28">
        <f>F950*G950</f>
        <v>0</v>
      </c>
      <c r="BK950" s="28"/>
      <c r="BL950" s="28">
        <v>18</v>
      </c>
      <c r="BW950" s="28">
        <v>21</v>
      </c>
      <c r="BX950" s="4" t="s">
        <v>1692</v>
      </c>
    </row>
    <row r="951" spans="1:76" x14ac:dyDescent="0.25">
      <c r="A951" s="31"/>
      <c r="C951" s="32" t="s">
        <v>1693</v>
      </c>
      <c r="D951" s="32" t="s">
        <v>51</v>
      </c>
      <c r="F951" s="33">
        <v>12.6</v>
      </c>
      <c r="K951" s="34"/>
    </row>
    <row r="952" spans="1:76" x14ac:dyDescent="0.25">
      <c r="A952" s="31"/>
      <c r="C952" s="32" t="s">
        <v>1694</v>
      </c>
      <c r="D952" s="32" t="s">
        <v>51</v>
      </c>
      <c r="F952" s="33">
        <v>0.63</v>
      </c>
      <c r="K952" s="34"/>
    </row>
    <row r="953" spans="1:76" x14ac:dyDescent="0.25">
      <c r="A953" s="2" t="s">
        <v>1695</v>
      </c>
      <c r="B953" s="3" t="s">
        <v>1696</v>
      </c>
      <c r="C953" s="76" t="s">
        <v>1697</v>
      </c>
      <c r="D953" s="71"/>
      <c r="E953" s="3" t="s">
        <v>1301</v>
      </c>
      <c r="F953" s="28">
        <v>19.53</v>
      </c>
      <c r="G953" s="28">
        <v>0</v>
      </c>
      <c r="H953" s="28">
        <f>ROUND(F953*AO953,2)</f>
        <v>0</v>
      </c>
      <c r="I953" s="28">
        <f>ROUND(F953*AP953,2)</f>
        <v>0</v>
      </c>
      <c r="J953" s="28">
        <f>ROUND(F953*G953,2)</f>
        <v>0</v>
      </c>
      <c r="K953" s="29" t="s">
        <v>1652</v>
      </c>
      <c r="Z953" s="28">
        <f>ROUND(IF(AQ953="5",BJ953,0),2)</f>
        <v>0</v>
      </c>
      <c r="AB953" s="28">
        <f>ROUND(IF(AQ953="1",BH953,0),2)</f>
        <v>0</v>
      </c>
      <c r="AC953" s="28">
        <f>ROUND(IF(AQ953="1",BI953,0),2)</f>
        <v>0</v>
      </c>
      <c r="AD953" s="28">
        <f>ROUND(IF(AQ953="7",BH953,0),2)</f>
        <v>0</v>
      </c>
      <c r="AE953" s="28">
        <f>ROUND(IF(AQ953="7",BI953,0),2)</f>
        <v>0</v>
      </c>
      <c r="AF953" s="28">
        <f>ROUND(IF(AQ953="2",BH953,0),2)</f>
        <v>0</v>
      </c>
      <c r="AG953" s="28">
        <f>ROUND(IF(AQ953="2",BI953,0),2)</f>
        <v>0</v>
      </c>
      <c r="AH953" s="28">
        <f>ROUND(IF(AQ953="0",BJ953,0),2)</f>
        <v>0</v>
      </c>
      <c r="AI953" s="10" t="s">
        <v>1549</v>
      </c>
      <c r="AJ953" s="28">
        <f>IF(AN953=0,J953,0)</f>
        <v>0</v>
      </c>
      <c r="AK953" s="28">
        <f>IF(AN953=12,J953,0)</f>
        <v>0</v>
      </c>
      <c r="AL953" s="28">
        <f>IF(AN953=21,J953,0)</f>
        <v>0</v>
      </c>
      <c r="AN953" s="28">
        <v>21</v>
      </c>
      <c r="AO953" s="28">
        <f>G953*1</f>
        <v>0</v>
      </c>
      <c r="AP953" s="28">
        <f>G953*(1-1)</f>
        <v>0</v>
      </c>
      <c r="AQ953" s="30" t="s">
        <v>56</v>
      </c>
      <c r="AV953" s="28">
        <f>ROUND(AW953+AX953,2)</f>
        <v>0</v>
      </c>
      <c r="AW953" s="28">
        <f>ROUND(F953*AO953,2)</f>
        <v>0</v>
      </c>
      <c r="AX953" s="28">
        <f>ROUND(F953*AP953,2)</f>
        <v>0</v>
      </c>
      <c r="AY953" s="30" t="s">
        <v>195</v>
      </c>
      <c r="AZ953" s="30" t="s">
        <v>1586</v>
      </c>
      <c r="BA953" s="10" t="s">
        <v>1556</v>
      </c>
      <c r="BC953" s="28">
        <f>AW953+AX953</f>
        <v>0</v>
      </c>
      <c r="BD953" s="28">
        <f>G953/(100-BE953)*100</f>
        <v>0</v>
      </c>
      <c r="BE953" s="28">
        <v>0</v>
      </c>
      <c r="BF953" s="28">
        <f>961</f>
        <v>961</v>
      </c>
      <c r="BH953" s="28">
        <f>F953*AO953</f>
        <v>0</v>
      </c>
      <c r="BI953" s="28">
        <f>F953*AP953</f>
        <v>0</v>
      </c>
      <c r="BJ953" s="28">
        <f>F953*G953</f>
        <v>0</v>
      </c>
      <c r="BK953" s="28"/>
      <c r="BL953" s="28">
        <v>18</v>
      </c>
      <c r="BW953" s="28">
        <v>21</v>
      </c>
      <c r="BX953" s="4" t="s">
        <v>1697</v>
      </c>
    </row>
    <row r="954" spans="1:76" x14ac:dyDescent="0.25">
      <c r="A954" s="31"/>
      <c r="C954" s="32" t="s">
        <v>1698</v>
      </c>
      <c r="D954" s="32" t="s">
        <v>51</v>
      </c>
      <c r="F954" s="33">
        <v>18.600000000000001</v>
      </c>
      <c r="K954" s="34"/>
    </row>
    <row r="955" spans="1:76" x14ac:dyDescent="0.25">
      <c r="A955" s="31"/>
      <c r="C955" s="32" t="s">
        <v>1699</v>
      </c>
      <c r="D955" s="32" t="s">
        <v>51</v>
      </c>
      <c r="F955" s="33">
        <v>0.93</v>
      </c>
      <c r="K955" s="34"/>
    </row>
    <row r="956" spans="1:76" x14ac:dyDescent="0.25">
      <c r="A956" s="31"/>
      <c r="B956" s="35" t="s">
        <v>68</v>
      </c>
      <c r="C956" s="94" t="s">
        <v>1700</v>
      </c>
      <c r="D956" s="95"/>
      <c r="E956" s="95"/>
      <c r="F956" s="95"/>
      <c r="G956" s="95"/>
      <c r="H956" s="95"/>
      <c r="I956" s="95"/>
      <c r="J956" s="95"/>
      <c r="K956" s="96"/>
      <c r="BX956" s="36" t="s">
        <v>1700</v>
      </c>
    </row>
    <row r="957" spans="1:76" x14ac:dyDescent="0.25">
      <c r="A957" s="2" t="s">
        <v>1701</v>
      </c>
      <c r="B957" s="3" t="s">
        <v>1702</v>
      </c>
      <c r="C957" s="76" t="s">
        <v>1703</v>
      </c>
      <c r="D957" s="71"/>
      <c r="E957" s="3" t="s">
        <v>293</v>
      </c>
      <c r="F957" s="28">
        <v>1</v>
      </c>
      <c r="G957" s="28">
        <v>0</v>
      </c>
      <c r="H957" s="28">
        <f>ROUND(F957*AO957,2)</f>
        <v>0</v>
      </c>
      <c r="I957" s="28">
        <f>ROUND(F957*AP957,2)</f>
        <v>0</v>
      </c>
      <c r="J957" s="28">
        <f>ROUND(F957*G957,2)</f>
        <v>0</v>
      </c>
      <c r="K957" s="29" t="s">
        <v>60</v>
      </c>
      <c r="Z957" s="28">
        <f>ROUND(IF(AQ957="5",BJ957,0),2)</f>
        <v>0</v>
      </c>
      <c r="AB957" s="28">
        <f>ROUND(IF(AQ957="1",BH957,0),2)</f>
        <v>0</v>
      </c>
      <c r="AC957" s="28">
        <f>ROUND(IF(AQ957="1",BI957,0),2)</f>
        <v>0</v>
      </c>
      <c r="AD957" s="28">
        <f>ROUND(IF(AQ957="7",BH957,0),2)</f>
        <v>0</v>
      </c>
      <c r="AE957" s="28">
        <f>ROUND(IF(AQ957="7",BI957,0),2)</f>
        <v>0</v>
      </c>
      <c r="AF957" s="28">
        <f>ROUND(IF(AQ957="2",BH957,0),2)</f>
        <v>0</v>
      </c>
      <c r="AG957" s="28">
        <f>ROUND(IF(AQ957="2",BI957,0),2)</f>
        <v>0</v>
      </c>
      <c r="AH957" s="28">
        <f>ROUND(IF(AQ957="0",BJ957,0),2)</f>
        <v>0</v>
      </c>
      <c r="AI957" s="10" t="s">
        <v>1549</v>
      </c>
      <c r="AJ957" s="28">
        <f>IF(AN957=0,J957,0)</f>
        <v>0</v>
      </c>
      <c r="AK957" s="28">
        <f>IF(AN957=12,J957,0)</f>
        <v>0</v>
      </c>
      <c r="AL957" s="28">
        <f>IF(AN957=21,J957,0)</f>
        <v>0</v>
      </c>
      <c r="AN957" s="28">
        <v>21</v>
      </c>
      <c r="AO957" s="28">
        <f>G957*0.014520619</f>
        <v>0</v>
      </c>
      <c r="AP957" s="28">
        <f>G957*(1-0.014520619)</f>
        <v>0</v>
      </c>
      <c r="AQ957" s="30" t="s">
        <v>56</v>
      </c>
      <c r="AV957" s="28">
        <f>ROUND(AW957+AX957,2)</f>
        <v>0</v>
      </c>
      <c r="AW957" s="28">
        <f>ROUND(F957*AO957,2)</f>
        <v>0</v>
      </c>
      <c r="AX957" s="28">
        <f>ROUND(F957*AP957,2)</f>
        <v>0</v>
      </c>
      <c r="AY957" s="30" t="s">
        <v>195</v>
      </c>
      <c r="AZ957" s="30" t="s">
        <v>1586</v>
      </c>
      <c r="BA957" s="10" t="s">
        <v>1556</v>
      </c>
      <c r="BC957" s="28">
        <f>AW957+AX957</f>
        <v>0</v>
      </c>
      <c r="BD957" s="28">
        <f>G957/(100-BE957)*100</f>
        <v>0</v>
      </c>
      <c r="BE957" s="28">
        <v>0</v>
      </c>
      <c r="BF957" s="28">
        <f>965</f>
        <v>965</v>
      </c>
      <c r="BH957" s="28">
        <f>F957*AO957</f>
        <v>0</v>
      </c>
      <c r="BI957" s="28">
        <f>F957*AP957</f>
        <v>0</v>
      </c>
      <c r="BJ957" s="28">
        <f>F957*G957</f>
        <v>0</v>
      </c>
      <c r="BK957" s="28"/>
      <c r="BL957" s="28">
        <v>18</v>
      </c>
      <c r="BW957" s="28">
        <v>21</v>
      </c>
      <c r="BX957" s="4" t="s">
        <v>1703</v>
      </c>
    </row>
    <row r="958" spans="1:76" x14ac:dyDescent="0.25">
      <c r="A958" s="2" t="s">
        <v>1704</v>
      </c>
      <c r="B958" s="3" t="s">
        <v>1705</v>
      </c>
      <c r="C958" s="76" t="s">
        <v>1706</v>
      </c>
      <c r="D958" s="71"/>
      <c r="E958" s="3" t="s">
        <v>293</v>
      </c>
      <c r="F958" s="28">
        <v>63</v>
      </c>
      <c r="G958" s="28">
        <v>0</v>
      </c>
      <c r="H958" s="28">
        <f>ROUND(F958*AO958,2)</f>
        <v>0</v>
      </c>
      <c r="I958" s="28">
        <f>ROUND(F958*AP958,2)</f>
        <v>0</v>
      </c>
      <c r="J958" s="28">
        <f>ROUND(F958*G958,2)</f>
        <v>0</v>
      </c>
      <c r="K958" s="29" t="s">
        <v>60</v>
      </c>
      <c r="Z958" s="28">
        <f>ROUND(IF(AQ958="5",BJ958,0),2)</f>
        <v>0</v>
      </c>
      <c r="AB958" s="28">
        <f>ROUND(IF(AQ958="1",BH958,0),2)</f>
        <v>0</v>
      </c>
      <c r="AC958" s="28">
        <f>ROUND(IF(AQ958="1",BI958,0),2)</f>
        <v>0</v>
      </c>
      <c r="AD958" s="28">
        <f>ROUND(IF(AQ958="7",BH958,0),2)</f>
        <v>0</v>
      </c>
      <c r="AE958" s="28">
        <f>ROUND(IF(AQ958="7",BI958,0),2)</f>
        <v>0</v>
      </c>
      <c r="AF958" s="28">
        <f>ROUND(IF(AQ958="2",BH958,0),2)</f>
        <v>0</v>
      </c>
      <c r="AG958" s="28">
        <f>ROUND(IF(AQ958="2",BI958,0),2)</f>
        <v>0</v>
      </c>
      <c r="AH958" s="28">
        <f>ROUND(IF(AQ958="0",BJ958,0),2)</f>
        <v>0</v>
      </c>
      <c r="AI958" s="10" t="s">
        <v>1549</v>
      </c>
      <c r="AJ958" s="28">
        <f>IF(AN958=0,J958,0)</f>
        <v>0</v>
      </c>
      <c r="AK958" s="28">
        <f>IF(AN958=12,J958,0)</f>
        <v>0</v>
      </c>
      <c r="AL958" s="28">
        <f>IF(AN958=21,J958,0)</f>
        <v>0</v>
      </c>
      <c r="AN958" s="28">
        <v>21</v>
      </c>
      <c r="AO958" s="28">
        <f>G958*0.097635934</f>
        <v>0</v>
      </c>
      <c r="AP958" s="28">
        <f>G958*(1-0.097635934)</f>
        <v>0</v>
      </c>
      <c r="AQ958" s="30" t="s">
        <v>56</v>
      </c>
      <c r="AV958" s="28">
        <f>ROUND(AW958+AX958,2)</f>
        <v>0</v>
      </c>
      <c r="AW958" s="28">
        <f>ROUND(F958*AO958,2)</f>
        <v>0</v>
      </c>
      <c r="AX958" s="28">
        <f>ROUND(F958*AP958,2)</f>
        <v>0</v>
      </c>
      <c r="AY958" s="30" t="s">
        <v>195</v>
      </c>
      <c r="AZ958" s="30" t="s">
        <v>1586</v>
      </c>
      <c r="BA958" s="10" t="s">
        <v>1556</v>
      </c>
      <c r="BC958" s="28">
        <f>AW958+AX958</f>
        <v>0</v>
      </c>
      <c r="BD958" s="28">
        <f>G958/(100-BE958)*100</f>
        <v>0</v>
      </c>
      <c r="BE958" s="28">
        <v>0</v>
      </c>
      <c r="BF958" s="28">
        <f>966</f>
        <v>966</v>
      </c>
      <c r="BH958" s="28">
        <f>F958*AO958</f>
        <v>0</v>
      </c>
      <c r="BI958" s="28">
        <f>F958*AP958</f>
        <v>0</v>
      </c>
      <c r="BJ958" s="28">
        <f>F958*G958</f>
        <v>0</v>
      </c>
      <c r="BK958" s="28"/>
      <c r="BL958" s="28">
        <v>18</v>
      </c>
      <c r="BW958" s="28">
        <v>21</v>
      </c>
      <c r="BX958" s="4" t="s">
        <v>1706</v>
      </c>
    </row>
    <row r="959" spans="1:76" x14ac:dyDescent="0.25">
      <c r="A959" s="2" t="s">
        <v>1707</v>
      </c>
      <c r="B959" s="3" t="s">
        <v>1708</v>
      </c>
      <c r="C959" s="76" t="s">
        <v>1709</v>
      </c>
      <c r="D959" s="71"/>
      <c r="E959" s="3" t="s">
        <v>188</v>
      </c>
      <c r="F959" s="28">
        <v>44.1</v>
      </c>
      <c r="G959" s="28">
        <v>0</v>
      </c>
      <c r="H959" s="28">
        <f>ROUND(F959*AO959,2)</f>
        <v>0</v>
      </c>
      <c r="I959" s="28">
        <f>ROUND(F959*AP959,2)</f>
        <v>0</v>
      </c>
      <c r="J959" s="28">
        <f>ROUND(F959*G959,2)</f>
        <v>0</v>
      </c>
      <c r="K959" s="29" t="s">
        <v>60</v>
      </c>
      <c r="Z959" s="28">
        <f>ROUND(IF(AQ959="5",BJ959,0),2)</f>
        <v>0</v>
      </c>
      <c r="AB959" s="28">
        <f>ROUND(IF(AQ959="1",BH959,0),2)</f>
        <v>0</v>
      </c>
      <c r="AC959" s="28">
        <f>ROUND(IF(AQ959="1",BI959,0),2)</f>
        <v>0</v>
      </c>
      <c r="AD959" s="28">
        <f>ROUND(IF(AQ959="7",BH959,0),2)</f>
        <v>0</v>
      </c>
      <c r="AE959" s="28">
        <f>ROUND(IF(AQ959="7",BI959,0),2)</f>
        <v>0</v>
      </c>
      <c r="AF959" s="28">
        <f>ROUND(IF(AQ959="2",BH959,0),2)</f>
        <v>0</v>
      </c>
      <c r="AG959" s="28">
        <f>ROUND(IF(AQ959="2",BI959,0),2)</f>
        <v>0</v>
      </c>
      <c r="AH959" s="28">
        <f>ROUND(IF(AQ959="0",BJ959,0),2)</f>
        <v>0</v>
      </c>
      <c r="AI959" s="10" t="s">
        <v>1549</v>
      </c>
      <c r="AJ959" s="28">
        <f>IF(AN959=0,J959,0)</f>
        <v>0</v>
      </c>
      <c r="AK959" s="28">
        <f>IF(AN959=12,J959,0)</f>
        <v>0</v>
      </c>
      <c r="AL959" s="28">
        <f>IF(AN959=21,J959,0)</f>
        <v>0</v>
      </c>
      <c r="AN959" s="28">
        <v>21</v>
      </c>
      <c r="AO959" s="28">
        <f>G959*1</f>
        <v>0</v>
      </c>
      <c r="AP959" s="28">
        <f>G959*(1-1)</f>
        <v>0</v>
      </c>
      <c r="AQ959" s="30" t="s">
        <v>56</v>
      </c>
      <c r="AV959" s="28">
        <f>ROUND(AW959+AX959,2)</f>
        <v>0</v>
      </c>
      <c r="AW959" s="28">
        <f>ROUND(F959*AO959,2)</f>
        <v>0</v>
      </c>
      <c r="AX959" s="28">
        <f>ROUND(F959*AP959,2)</f>
        <v>0</v>
      </c>
      <c r="AY959" s="30" t="s">
        <v>195</v>
      </c>
      <c r="AZ959" s="30" t="s">
        <v>1586</v>
      </c>
      <c r="BA959" s="10" t="s">
        <v>1556</v>
      </c>
      <c r="BC959" s="28">
        <f>AW959+AX959</f>
        <v>0</v>
      </c>
      <c r="BD959" s="28">
        <f>G959/(100-BE959)*100</f>
        <v>0</v>
      </c>
      <c r="BE959" s="28">
        <v>0</v>
      </c>
      <c r="BF959" s="28">
        <f>967</f>
        <v>967</v>
      </c>
      <c r="BH959" s="28">
        <f>F959*AO959</f>
        <v>0</v>
      </c>
      <c r="BI959" s="28">
        <f>F959*AP959</f>
        <v>0</v>
      </c>
      <c r="BJ959" s="28">
        <f>F959*G959</f>
        <v>0</v>
      </c>
      <c r="BK959" s="28"/>
      <c r="BL959" s="28">
        <v>18</v>
      </c>
      <c r="BW959" s="28">
        <v>21</v>
      </c>
      <c r="BX959" s="4" t="s">
        <v>1709</v>
      </c>
    </row>
    <row r="960" spans="1:76" x14ac:dyDescent="0.25">
      <c r="A960" s="31"/>
      <c r="C960" s="32" t="s">
        <v>1710</v>
      </c>
      <c r="D960" s="32" t="s">
        <v>51</v>
      </c>
      <c r="F960" s="33">
        <v>44.1</v>
      </c>
      <c r="K960" s="34"/>
    </row>
    <row r="961" spans="1:76" ht="25.5" x14ac:dyDescent="0.25">
      <c r="A961" s="31"/>
      <c r="B961" s="35" t="s">
        <v>68</v>
      </c>
      <c r="C961" s="94" t="s">
        <v>1711</v>
      </c>
      <c r="D961" s="95"/>
      <c r="E961" s="95"/>
      <c r="F961" s="95"/>
      <c r="G961" s="95"/>
      <c r="H961" s="95"/>
      <c r="I961" s="95"/>
      <c r="J961" s="95"/>
      <c r="K961" s="96"/>
      <c r="BX961" s="36" t="s">
        <v>1711</v>
      </c>
    </row>
    <row r="962" spans="1:76" x14ac:dyDescent="0.25">
      <c r="A962" s="2" t="s">
        <v>1712</v>
      </c>
      <c r="B962" s="3" t="s">
        <v>1713</v>
      </c>
      <c r="C962" s="76" t="s">
        <v>1714</v>
      </c>
      <c r="D962" s="71"/>
      <c r="E962" s="3" t="s">
        <v>293</v>
      </c>
      <c r="F962" s="28">
        <v>63</v>
      </c>
      <c r="G962" s="28">
        <v>0</v>
      </c>
      <c r="H962" s="28">
        <f>ROUND(F962*AO962,2)</f>
        <v>0</v>
      </c>
      <c r="I962" s="28">
        <f>ROUND(F962*AP962,2)</f>
        <v>0</v>
      </c>
      <c r="J962" s="28">
        <f>ROUND(F962*G962,2)</f>
        <v>0</v>
      </c>
      <c r="K962" s="29" t="s">
        <v>60</v>
      </c>
      <c r="Z962" s="28">
        <f>ROUND(IF(AQ962="5",BJ962,0),2)</f>
        <v>0</v>
      </c>
      <c r="AB962" s="28">
        <f>ROUND(IF(AQ962="1",BH962,0),2)</f>
        <v>0</v>
      </c>
      <c r="AC962" s="28">
        <f>ROUND(IF(AQ962="1",BI962,0),2)</f>
        <v>0</v>
      </c>
      <c r="AD962" s="28">
        <f>ROUND(IF(AQ962="7",BH962,0),2)</f>
        <v>0</v>
      </c>
      <c r="AE962" s="28">
        <f>ROUND(IF(AQ962="7",BI962,0),2)</f>
        <v>0</v>
      </c>
      <c r="AF962" s="28">
        <f>ROUND(IF(AQ962="2",BH962,0),2)</f>
        <v>0</v>
      </c>
      <c r="AG962" s="28">
        <f>ROUND(IF(AQ962="2",BI962,0),2)</f>
        <v>0</v>
      </c>
      <c r="AH962" s="28">
        <f>ROUND(IF(AQ962="0",BJ962,0),2)</f>
        <v>0</v>
      </c>
      <c r="AI962" s="10" t="s">
        <v>1549</v>
      </c>
      <c r="AJ962" s="28">
        <f>IF(AN962=0,J962,0)</f>
        <v>0</v>
      </c>
      <c r="AK962" s="28">
        <f>IF(AN962=12,J962,0)</f>
        <v>0</v>
      </c>
      <c r="AL962" s="28">
        <f>IF(AN962=21,J962,0)</f>
        <v>0</v>
      </c>
      <c r="AN962" s="28">
        <v>21</v>
      </c>
      <c r="AO962" s="28">
        <f>G962*1</f>
        <v>0</v>
      </c>
      <c r="AP962" s="28">
        <f>G962*(1-1)</f>
        <v>0</v>
      </c>
      <c r="AQ962" s="30" t="s">
        <v>56</v>
      </c>
      <c r="AV962" s="28">
        <f>ROUND(AW962+AX962,2)</f>
        <v>0</v>
      </c>
      <c r="AW962" s="28">
        <f>ROUND(F962*AO962,2)</f>
        <v>0</v>
      </c>
      <c r="AX962" s="28">
        <f>ROUND(F962*AP962,2)</f>
        <v>0</v>
      </c>
      <c r="AY962" s="30" t="s">
        <v>195</v>
      </c>
      <c r="AZ962" s="30" t="s">
        <v>1586</v>
      </c>
      <c r="BA962" s="10" t="s">
        <v>1556</v>
      </c>
      <c r="BC962" s="28">
        <f>AW962+AX962</f>
        <v>0</v>
      </c>
      <c r="BD962" s="28">
        <f>G962/(100-BE962)*100</f>
        <v>0</v>
      </c>
      <c r="BE962" s="28">
        <v>0</v>
      </c>
      <c r="BF962" s="28">
        <f>970</f>
        <v>970</v>
      </c>
      <c r="BH962" s="28">
        <f>F962*AO962</f>
        <v>0</v>
      </c>
      <c r="BI962" s="28">
        <f>F962*AP962</f>
        <v>0</v>
      </c>
      <c r="BJ962" s="28">
        <f>F962*G962</f>
        <v>0</v>
      </c>
      <c r="BK962" s="28"/>
      <c r="BL962" s="28">
        <v>18</v>
      </c>
      <c r="BW962" s="28">
        <v>21</v>
      </c>
      <c r="BX962" s="4" t="s">
        <v>1714</v>
      </c>
    </row>
    <row r="963" spans="1:76" x14ac:dyDescent="0.25">
      <c r="A963" s="31"/>
      <c r="C963" s="32" t="s">
        <v>1715</v>
      </c>
      <c r="D963" s="32" t="s">
        <v>51</v>
      </c>
      <c r="F963" s="33">
        <v>63</v>
      </c>
      <c r="K963" s="34"/>
    </row>
    <row r="964" spans="1:76" ht="25.5" x14ac:dyDescent="0.25">
      <c r="A964" s="31"/>
      <c r="B964" s="35" t="s">
        <v>68</v>
      </c>
      <c r="C964" s="94" t="s">
        <v>1716</v>
      </c>
      <c r="D964" s="95"/>
      <c r="E964" s="95"/>
      <c r="F964" s="95"/>
      <c r="G964" s="95"/>
      <c r="H964" s="95"/>
      <c r="I964" s="95"/>
      <c r="J964" s="95"/>
      <c r="K964" s="96"/>
      <c r="BX964" s="36" t="s">
        <v>1716</v>
      </c>
    </row>
    <row r="965" spans="1:76" x14ac:dyDescent="0.25">
      <c r="A965" s="2" t="s">
        <v>1717</v>
      </c>
      <c r="B965" s="3" t="s">
        <v>1718</v>
      </c>
      <c r="C965" s="76" t="s">
        <v>1719</v>
      </c>
      <c r="D965" s="71"/>
      <c r="E965" s="3" t="s">
        <v>293</v>
      </c>
      <c r="F965" s="28">
        <v>63</v>
      </c>
      <c r="G965" s="28">
        <v>0</v>
      </c>
      <c r="H965" s="28">
        <f>ROUND(F965*AO965,2)</f>
        <v>0</v>
      </c>
      <c r="I965" s="28">
        <f>ROUND(F965*AP965,2)</f>
        <v>0</v>
      </c>
      <c r="J965" s="28">
        <f>ROUND(F965*G965,2)</f>
        <v>0</v>
      </c>
      <c r="K965" s="29" t="s">
        <v>60</v>
      </c>
      <c r="Z965" s="28">
        <f>ROUND(IF(AQ965="5",BJ965,0),2)</f>
        <v>0</v>
      </c>
      <c r="AB965" s="28">
        <f>ROUND(IF(AQ965="1",BH965,0),2)</f>
        <v>0</v>
      </c>
      <c r="AC965" s="28">
        <f>ROUND(IF(AQ965="1",BI965,0),2)</f>
        <v>0</v>
      </c>
      <c r="AD965" s="28">
        <f>ROUND(IF(AQ965="7",BH965,0),2)</f>
        <v>0</v>
      </c>
      <c r="AE965" s="28">
        <f>ROUND(IF(AQ965="7",BI965,0),2)</f>
        <v>0</v>
      </c>
      <c r="AF965" s="28">
        <f>ROUND(IF(AQ965="2",BH965,0),2)</f>
        <v>0</v>
      </c>
      <c r="AG965" s="28">
        <f>ROUND(IF(AQ965="2",BI965,0),2)</f>
        <v>0</v>
      </c>
      <c r="AH965" s="28">
        <f>ROUND(IF(AQ965="0",BJ965,0),2)</f>
        <v>0</v>
      </c>
      <c r="AI965" s="10" t="s">
        <v>1549</v>
      </c>
      <c r="AJ965" s="28">
        <f>IF(AN965=0,J965,0)</f>
        <v>0</v>
      </c>
      <c r="AK965" s="28">
        <f>IF(AN965=12,J965,0)</f>
        <v>0</v>
      </c>
      <c r="AL965" s="28">
        <f>IF(AN965=21,J965,0)</f>
        <v>0</v>
      </c>
      <c r="AN965" s="28">
        <v>21</v>
      </c>
      <c r="AO965" s="28">
        <f>G965*1</f>
        <v>0</v>
      </c>
      <c r="AP965" s="28">
        <f>G965*(1-1)</f>
        <v>0</v>
      </c>
      <c r="AQ965" s="30" t="s">
        <v>56</v>
      </c>
      <c r="AV965" s="28">
        <f>ROUND(AW965+AX965,2)</f>
        <v>0</v>
      </c>
      <c r="AW965" s="28">
        <f>ROUND(F965*AO965,2)</f>
        <v>0</v>
      </c>
      <c r="AX965" s="28">
        <f>ROUND(F965*AP965,2)</f>
        <v>0</v>
      </c>
      <c r="AY965" s="30" t="s">
        <v>195</v>
      </c>
      <c r="AZ965" s="30" t="s">
        <v>1586</v>
      </c>
      <c r="BA965" s="10" t="s">
        <v>1556</v>
      </c>
      <c r="BC965" s="28">
        <f>AW965+AX965</f>
        <v>0</v>
      </c>
      <c r="BD965" s="28">
        <f>G965/(100-BE965)*100</f>
        <v>0</v>
      </c>
      <c r="BE965" s="28">
        <v>0</v>
      </c>
      <c r="BF965" s="28">
        <f>973</f>
        <v>973</v>
      </c>
      <c r="BH965" s="28">
        <f>F965*AO965</f>
        <v>0</v>
      </c>
      <c r="BI965" s="28">
        <f>F965*AP965</f>
        <v>0</v>
      </c>
      <c r="BJ965" s="28">
        <f>F965*G965</f>
        <v>0</v>
      </c>
      <c r="BK965" s="28"/>
      <c r="BL965" s="28">
        <v>18</v>
      </c>
      <c r="BW965" s="28">
        <v>21</v>
      </c>
      <c r="BX965" s="4" t="s">
        <v>1719</v>
      </c>
    </row>
    <row r="966" spans="1:76" x14ac:dyDescent="0.25">
      <c r="A966" s="31"/>
      <c r="C966" s="32" t="s">
        <v>1720</v>
      </c>
      <c r="D966" s="32" t="s">
        <v>51</v>
      </c>
      <c r="F966" s="33">
        <v>63</v>
      </c>
      <c r="K966" s="34"/>
    </row>
    <row r="967" spans="1:76" x14ac:dyDescent="0.25">
      <c r="A967" s="31"/>
      <c r="B967" s="35" t="s">
        <v>68</v>
      </c>
      <c r="C967" s="94" t="s">
        <v>1721</v>
      </c>
      <c r="D967" s="95"/>
      <c r="E967" s="95"/>
      <c r="F967" s="95"/>
      <c r="G967" s="95"/>
      <c r="H967" s="95"/>
      <c r="I967" s="95"/>
      <c r="J967" s="95"/>
      <c r="K967" s="96"/>
      <c r="BX967" s="36" t="s">
        <v>1721</v>
      </c>
    </row>
    <row r="968" spans="1:76" x14ac:dyDescent="0.25">
      <c r="A968" s="2" t="s">
        <v>1722</v>
      </c>
      <c r="B968" s="3" t="s">
        <v>1723</v>
      </c>
      <c r="C968" s="76" t="s">
        <v>1724</v>
      </c>
      <c r="D968" s="71"/>
      <c r="E968" s="3" t="s">
        <v>103</v>
      </c>
      <c r="F968" s="28">
        <v>445</v>
      </c>
      <c r="G968" s="28">
        <v>0</v>
      </c>
      <c r="H968" s="28">
        <f>ROUND(F968*AO968,2)</f>
        <v>0</v>
      </c>
      <c r="I968" s="28">
        <f>ROUND(F968*AP968,2)</f>
        <v>0</v>
      </c>
      <c r="J968" s="28">
        <f>ROUND(F968*G968,2)</f>
        <v>0</v>
      </c>
      <c r="K968" s="29" t="s">
        <v>60</v>
      </c>
      <c r="Z968" s="28">
        <f>ROUND(IF(AQ968="5",BJ968,0),2)</f>
        <v>0</v>
      </c>
      <c r="AB968" s="28">
        <f>ROUND(IF(AQ968="1",BH968,0),2)</f>
        <v>0</v>
      </c>
      <c r="AC968" s="28">
        <f>ROUND(IF(AQ968="1",BI968,0),2)</f>
        <v>0</v>
      </c>
      <c r="AD968" s="28">
        <f>ROUND(IF(AQ968="7",BH968,0),2)</f>
        <v>0</v>
      </c>
      <c r="AE968" s="28">
        <f>ROUND(IF(AQ968="7",BI968,0),2)</f>
        <v>0</v>
      </c>
      <c r="AF968" s="28">
        <f>ROUND(IF(AQ968="2",BH968,0),2)</f>
        <v>0</v>
      </c>
      <c r="AG968" s="28">
        <f>ROUND(IF(AQ968="2",BI968,0),2)</f>
        <v>0</v>
      </c>
      <c r="AH968" s="28">
        <f>ROUND(IF(AQ968="0",BJ968,0),2)</f>
        <v>0</v>
      </c>
      <c r="AI968" s="10" t="s">
        <v>1549</v>
      </c>
      <c r="AJ968" s="28">
        <f>IF(AN968=0,J968,0)</f>
        <v>0</v>
      </c>
      <c r="AK968" s="28">
        <f>IF(AN968=12,J968,0)</f>
        <v>0</v>
      </c>
      <c r="AL968" s="28">
        <f>IF(AN968=21,J968,0)</f>
        <v>0</v>
      </c>
      <c r="AN968" s="28">
        <v>21</v>
      </c>
      <c r="AO968" s="28">
        <f>G968*0.021143832</f>
        <v>0</v>
      </c>
      <c r="AP968" s="28">
        <f>G968*(1-0.021143832)</f>
        <v>0</v>
      </c>
      <c r="AQ968" s="30" t="s">
        <v>56</v>
      </c>
      <c r="AV968" s="28">
        <f>ROUND(AW968+AX968,2)</f>
        <v>0</v>
      </c>
      <c r="AW968" s="28">
        <f>ROUND(F968*AO968,2)</f>
        <v>0</v>
      </c>
      <c r="AX968" s="28">
        <f>ROUND(F968*AP968,2)</f>
        <v>0</v>
      </c>
      <c r="AY968" s="30" t="s">
        <v>195</v>
      </c>
      <c r="AZ968" s="30" t="s">
        <v>1586</v>
      </c>
      <c r="BA968" s="10" t="s">
        <v>1556</v>
      </c>
      <c r="BC968" s="28">
        <f>AW968+AX968</f>
        <v>0</v>
      </c>
      <c r="BD968" s="28">
        <f>G968/(100-BE968)*100</f>
        <v>0</v>
      </c>
      <c r="BE968" s="28">
        <v>0</v>
      </c>
      <c r="BF968" s="28">
        <f>976</f>
        <v>976</v>
      </c>
      <c r="BH968" s="28">
        <f>F968*AO968</f>
        <v>0</v>
      </c>
      <c r="BI968" s="28">
        <f>F968*AP968</f>
        <v>0</v>
      </c>
      <c r="BJ968" s="28">
        <f>F968*G968</f>
        <v>0</v>
      </c>
      <c r="BK968" s="28"/>
      <c r="BL968" s="28">
        <v>18</v>
      </c>
      <c r="BW968" s="28">
        <v>21</v>
      </c>
      <c r="BX968" s="4" t="s">
        <v>1724</v>
      </c>
    </row>
    <row r="969" spans="1:76" ht="13.5" customHeight="1" x14ac:dyDescent="0.25">
      <c r="A969" s="31"/>
      <c r="B969" s="35" t="s">
        <v>105</v>
      </c>
      <c r="C969" s="97" t="s">
        <v>1725</v>
      </c>
      <c r="D969" s="98"/>
      <c r="E969" s="98"/>
      <c r="F969" s="98"/>
      <c r="G969" s="98"/>
      <c r="H969" s="98"/>
      <c r="I969" s="98"/>
      <c r="J969" s="98"/>
      <c r="K969" s="99"/>
    </row>
    <row r="970" spans="1:76" x14ac:dyDescent="0.25">
      <c r="A970" s="2" t="s">
        <v>1726</v>
      </c>
      <c r="B970" s="3" t="s">
        <v>1727</v>
      </c>
      <c r="C970" s="76" t="s">
        <v>1728</v>
      </c>
      <c r="D970" s="71"/>
      <c r="E970" s="3" t="s">
        <v>1376</v>
      </c>
      <c r="F970" s="28">
        <v>19</v>
      </c>
      <c r="G970" s="28">
        <v>0</v>
      </c>
      <c r="H970" s="28">
        <f>ROUND(F970*AO970,2)</f>
        <v>0</v>
      </c>
      <c r="I970" s="28">
        <f>ROUND(F970*AP970,2)</f>
        <v>0</v>
      </c>
      <c r="J970" s="28">
        <f>ROUND(F970*G970,2)</f>
        <v>0</v>
      </c>
      <c r="K970" s="29" t="s">
        <v>1729</v>
      </c>
      <c r="Z970" s="28">
        <f>ROUND(IF(AQ970="5",BJ970,0),2)</f>
        <v>0</v>
      </c>
      <c r="AB970" s="28">
        <f>ROUND(IF(AQ970="1",BH970,0),2)</f>
        <v>0</v>
      </c>
      <c r="AC970" s="28">
        <f>ROUND(IF(AQ970="1",BI970,0),2)</f>
        <v>0</v>
      </c>
      <c r="AD970" s="28">
        <f>ROUND(IF(AQ970="7",BH970,0),2)</f>
        <v>0</v>
      </c>
      <c r="AE970" s="28">
        <f>ROUND(IF(AQ970="7",BI970,0),2)</f>
        <v>0</v>
      </c>
      <c r="AF970" s="28">
        <f>ROUND(IF(AQ970="2",BH970,0),2)</f>
        <v>0</v>
      </c>
      <c r="AG970" s="28">
        <f>ROUND(IF(AQ970="2",BI970,0),2)</f>
        <v>0</v>
      </c>
      <c r="AH970" s="28">
        <f>ROUND(IF(AQ970="0",BJ970,0),2)</f>
        <v>0</v>
      </c>
      <c r="AI970" s="10" t="s">
        <v>1549</v>
      </c>
      <c r="AJ970" s="28">
        <f>IF(AN970=0,J970,0)</f>
        <v>0</v>
      </c>
      <c r="AK970" s="28">
        <f>IF(AN970=12,J970,0)</f>
        <v>0</v>
      </c>
      <c r="AL970" s="28">
        <f>IF(AN970=21,J970,0)</f>
        <v>0</v>
      </c>
      <c r="AN970" s="28">
        <v>21</v>
      </c>
      <c r="AO970" s="28">
        <f>G970*0</f>
        <v>0</v>
      </c>
      <c r="AP970" s="28">
        <f>G970*(1-0)</f>
        <v>0</v>
      </c>
      <c r="AQ970" s="30" t="s">
        <v>56</v>
      </c>
      <c r="AV970" s="28">
        <f>ROUND(AW970+AX970,2)</f>
        <v>0</v>
      </c>
      <c r="AW970" s="28">
        <f>ROUND(F970*AO970,2)</f>
        <v>0</v>
      </c>
      <c r="AX970" s="28">
        <f>ROUND(F970*AP970,2)</f>
        <v>0</v>
      </c>
      <c r="AY970" s="30" t="s">
        <v>195</v>
      </c>
      <c r="AZ970" s="30" t="s">
        <v>1586</v>
      </c>
      <c r="BA970" s="10" t="s">
        <v>1556</v>
      </c>
      <c r="BC970" s="28">
        <f>AW970+AX970</f>
        <v>0</v>
      </c>
      <c r="BD970" s="28">
        <f>G970/(100-BE970)*100</f>
        <v>0</v>
      </c>
      <c r="BE970" s="28">
        <v>0</v>
      </c>
      <c r="BF970" s="28">
        <f>978</f>
        <v>978</v>
      </c>
      <c r="BH970" s="28">
        <f>F970*AO970</f>
        <v>0</v>
      </c>
      <c r="BI970" s="28">
        <f>F970*AP970</f>
        <v>0</v>
      </c>
      <c r="BJ970" s="28">
        <f>F970*G970</f>
        <v>0</v>
      </c>
      <c r="BK970" s="28"/>
      <c r="BL970" s="28">
        <v>18</v>
      </c>
      <c r="BW970" s="28">
        <v>21</v>
      </c>
      <c r="BX970" s="4" t="s">
        <v>1728</v>
      </c>
    </row>
    <row r="971" spans="1:76" x14ac:dyDescent="0.25">
      <c r="A971" s="2" t="s">
        <v>1730</v>
      </c>
      <c r="B971" s="3" t="s">
        <v>1731</v>
      </c>
      <c r="C971" s="76" t="s">
        <v>1732</v>
      </c>
      <c r="D971" s="71"/>
      <c r="E971" s="3" t="s">
        <v>1733</v>
      </c>
      <c r="F971" s="28">
        <v>10</v>
      </c>
      <c r="G971" s="28">
        <v>0</v>
      </c>
      <c r="H971" s="28">
        <f>ROUND(F971*AO971,2)</f>
        <v>0</v>
      </c>
      <c r="I971" s="28">
        <f>ROUND(F971*AP971,2)</f>
        <v>0</v>
      </c>
      <c r="J971" s="28">
        <f>ROUND(F971*G971,2)</f>
        <v>0</v>
      </c>
      <c r="K971" s="29" t="s">
        <v>60</v>
      </c>
      <c r="Z971" s="28">
        <f>ROUND(IF(AQ971="5",BJ971,0),2)</f>
        <v>0</v>
      </c>
      <c r="AB971" s="28">
        <f>ROUND(IF(AQ971="1",BH971,0),2)</f>
        <v>0</v>
      </c>
      <c r="AC971" s="28">
        <f>ROUND(IF(AQ971="1",BI971,0),2)</f>
        <v>0</v>
      </c>
      <c r="AD971" s="28">
        <f>ROUND(IF(AQ971="7",BH971,0),2)</f>
        <v>0</v>
      </c>
      <c r="AE971" s="28">
        <f>ROUND(IF(AQ971="7",BI971,0),2)</f>
        <v>0</v>
      </c>
      <c r="AF971" s="28">
        <f>ROUND(IF(AQ971="2",BH971,0),2)</f>
        <v>0</v>
      </c>
      <c r="AG971" s="28">
        <f>ROUND(IF(AQ971="2",BI971,0),2)</f>
        <v>0</v>
      </c>
      <c r="AH971" s="28">
        <f>ROUND(IF(AQ971="0",BJ971,0),2)</f>
        <v>0</v>
      </c>
      <c r="AI971" s="10" t="s">
        <v>1549</v>
      </c>
      <c r="AJ971" s="28">
        <f>IF(AN971=0,J971,0)</f>
        <v>0</v>
      </c>
      <c r="AK971" s="28">
        <f>IF(AN971=12,J971,0)</f>
        <v>0</v>
      </c>
      <c r="AL971" s="28">
        <f>IF(AN971=21,J971,0)</f>
        <v>0</v>
      </c>
      <c r="AN971" s="28">
        <v>21</v>
      </c>
      <c r="AO971" s="28">
        <f>G971*1</f>
        <v>0</v>
      </c>
      <c r="AP971" s="28">
        <f>G971*(1-1)</f>
        <v>0</v>
      </c>
      <c r="AQ971" s="30" t="s">
        <v>56</v>
      </c>
      <c r="AV971" s="28">
        <f>ROUND(AW971+AX971,2)</f>
        <v>0</v>
      </c>
      <c r="AW971" s="28">
        <f>ROUND(F971*AO971,2)</f>
        <v>0</v>
      </c>
      <c r="AX971" s="28">
        <f>ROUND(F971*AP971,2)</f>
        <v>0</v>
      </c>
      <c r="AY971" s="30" t="s">
        <v>195</v>
      </c>
      <c r="AZ971" s="30" t="s">
        <v>1586</v>
      </c>
      <c r="BA971" s="10" t="s">
        <v>1556</v>
      </c>
      <c r="BC971" s="28">
        <f>AW971+AX971</f>
        <v>0</v>
      </c>
      <c r="BD971" s="28">
        <f>G971/(100-BE971)*100</f>
        <v>0</v>
      </c>
      <c r="BE971" s="28">
        <v>0</v>
      </c>
      <c r="BF971" s="28">
        <f>979</f>
        <v>979</v>
      </c>
      <c r="BH971" s="28">
        <f>F971*AO971</f>
        <v>0</v>
      </c>
      <c r="BI971" s="28">
        <f>F971*AP971</f>
        <v>0</v>
      </c>
      <c r="BJ971" s="28">
        <f>F971*G971</f>
        <v>0</v>
      </c>
      <c r="BK971" s="28"/>
      <c r="BL971" s="28">
        <v>18</v>
      </c>
      <c r="BW971" s="28">
        <v>21</v>
      </c>
      <c r="BX971" s="4" t="s">
        <v>1732</v>
      </c>
    </row>
    <row r="972" spans="1:76" x14ac:dyDescent="0.25">
      <c r="A972" s="2" t="s">
        <v>1734</v>
      </c>
      <c r="B972" s="3" t="s">
        <v>1735</v>
      </c>
      <c r="C972" s="76" t="s">
        <v>1736</v>
      </c>
      <c r="D972" s="71"/>
      <c r="E972" s="3" t="s">
        <v>1413</v>
      </c>
      <c r="F972" s="28">
        <v>2</v>
      </c>
      <c r="G972" s="28">
        <v>0</v>
      </c>
      <c r="H972" s="28">
        <f>ROUND(F972*AO972,2)</f>
        <v>0</v>
      </c>
      <c r="I972" s="28">
        <f>ROUND(F972*AP972,2)</f>
        <v>0</v>
      </c>
      <c r="J972" s="28">
        <f>ROUND(F972*G972,2)</f>
        <v>0</v>
      </c>
      <c r="K972" s="29" t="s">
        <v>60</v>
      </c>
      <c r="Z972" s="28">
        <f>ROUND(IF(AQ972="5",BJ972,0),2)</f>
        <v>0</v>
      </c>
      <c r="AB972" s="28">
        <f>ROUND(IF(AQ972="1",BH972,0),2)</f>
        <v>0</v>
      </c>
      <c r="AC972" s="28">
        <f>ROUND(IF(AQ972="1",BI972,0),2)</f>
        <v>0</v>
      </c>
      <c r="AD972" s="28">
        <f>ROUND(IF(AQ972="7",BH972,0),2)</f>
        <v>0</v>
      </c>
      <c r="AE972" s="28">
        <f>ROUND(IF(AQ972="7",BI972,0),2)</f>
        <v>0</v>
      </c>
      <c r="AF972" s="28">
        <f>ROUND(IF(AQ972="2",BH972,0),2)</f>
        <v>0</v>
      </c>
      <c r="AG972" s="28">
        <f>ROUND(IF(AQ972="2",BI972,0),2)</f>
        <v>0</v>
      </c>
      <c r="AH972" s="28">
        <f>ROUND(IF(AQ972="0",BJ972,0),2)</f>
        <v>0</v>
      </c>
      <c r="AI972" s="10" t="s">
        <v>1549</v>
      </c>
      <c r="AJ972" s="28">
        <f>IF(AN972=0,J972,0)</f>
        <v>0</v>
      </c>
      <c r="AK972" s="28">
        <f>IF(AN972=12,J972,0)</f>
        <v>0</v>
      </c>
      <c r="AL972" s="28">
        <f>IF(AN972=21,J972,0)</f>
        <v>0</v>
      </c>
      <c r="AN972" s="28">
        <v>21</v>
      </c>
      <c r="AO972" s="28">
        <f>G972*1</f>
        <v>0</v>
      </c>
      <c r="AP972" s="28">
        <f>G972*(1-1)</f>
        <v>0</v>
      </c>
      <c r="AQ972" s="30" t="s">
        <v>56</v>
      </c>
      <c r="AV972" s="28">
        <f>ROUND(AW972+AX972,2)</f>
        <v>0</v>
      </c>
      <c r="AW972" s="28">
        <f>ROUND(F972*AO972,2)</f>
        <v>0</v>
      </c>
      <c r="AX972" s="28">
        <f>ROUND(F972*AP972,2)</f>
        <v>0</v>
      </c>
      <c r="AY972" s="30" t="s">
        <v>195</v>
      </c>
      <c r="AZ972" s="30" t="s">
        <v>1586</v>
      </c>
      <c r="BA972" s="10" t="s">
        <v>1556</v>
      </c>
      <c r="BC972" s="28">
        <f>AW972+AX972</f>
        <v>0</v>
      </c>
      <c r="BD972" s="28">
        <f>G972/(100-BE972)*100</f>
        <v>0</v>
      </c>
      <c r="BE972" s="28">
        <v>0</v>
      </c>
      <c r="BF972" s="28">
        <f>980</f>
        <v>980</v>
      </c>
      <c r="BH972" s="28">
        <f>F972*AO972</f>
        <v>0</v>
      </c>
      <c r="BI972" s="28">
        <f>F972*AP972</f>
        <v>0</v>
      </c>
      <c r="BJ972" s="28">
        <f>F972*G972</f>
        <v>0</v>
      </c>
      <c r="BK972" s="28"/>
      <c r="BL972" s="28">
        <v>18</v>
      </c>
      <c r="BW972" s="28">
        <v>21</v>
      </c>
      <c r="BX972" s="4" t="s">
        <v>1736</v>
      </c>
    </row>
    <row r="973" spans="1:76" x14ac:dyDescent="0.25">
      <c r="A973" s="31"/>
      <c r="C973" s="32" t="s">
        <v>1737</v>
      </c>
      <c r="D973" s="32" t="s">
        <v>51</v>
      </c>
      <c r="F973" s="33">
        <v>2</v>
      </c>
      <c r="K973" s="34"/>
    </row>
    <row r="974" spans="1:76" x14ac:dyDescent="0.25">
      <c r="A974" s="2" t="s">
        <v>1738</v>
      </c>
      <c r="B974" s="3" t="s">
        <v>1739</v>
      </c>
      <c r="C974" s="76" t="s">
        <v>1740</v>
      </c>
      <c r="D974" s="71"/>
      <c r="E974" s="3" t="s">
        <v>103</v>
      </c>
      <c r="F974" s="28">
        <v>405</v>
      </c>
      <c r="G974" s="28">
        <v>0</v>
      </c>
      <c r="H974" s="28">
        <f>ROUND(F974*AO974,2)</f>
        <v>0</v>
      </c>
      <c r="I974" s="28">
        <f>ROUND(F974*AP974,2)</f>
        <v>0</v>
      </c>
      <c r="J974" s="28">
        <f>ROUND(F974*G974,2)</f>
        <v>0</v>
      </c>
      <c r="K974" s="29" t="s">
        <v>60</v>
      </c>
      <c r="Z974" s="28">
        <f>ROUND(IF(AQ974="5",BJ974,0),2)</f>
        <v>0</v>
      </c>
      <c r="AB974" s="28">
        <f>ROUND(IF(AQ974="1",BH974,0),2)</f>
        <v>0</v>
      </c>
      <c r="AC974" s="28">
        <f>ROUND(IF(AQ974="1",BI974,0),2)</f>
        <v>0</v>
      </c>
      <c r="AD974" s="28">
        <f>ROUND(IF(AQ974="7",BH974,0),2)</f>
        <v>0</v>
      </c>
      <c r="AE974" s="28">
        <f>ROUND(IF(AQ974="7",BI974,0),2)</f>
        <v>0</v>
      </c>
      <c r="AF974" s="28">
        <f>ROUND(IF(AQ974="2",BH974,0),2)</f>
        <v>0</v>
      </c>
      <c r="AG974" s="28">
        <f>ROUND(IF(AQ974="2",BI974,0),2)</f>
        <v>0</v>
      </c>
      <c r="AH974" s="28">
        <f>ROUND(IF(AQ974="0",BJ974,0),2)</f>
        <v>0</v>
      </c>
      <c r="AI974" s="10" t="s">
        <v>1549</v>
      </c>
      <c r="AJ974" s="28">
        <f>IF(AN974=0,J974,0)</f>
        <v>0</v>
      </c>
      <c r="AK974" s="28">
        <f>IF(AN974=12,J974,0)</f>
        <v>0</v>
      </c>
      <c r="AL974" s="28">
        <f>IF(AN974=21,J974,0)</f>
        <v>0</v>
      </c>
      <c r="AN974" s="28">
        <v>21</v>
      </c>
      <c r="AO974" s="28">
        <f>G974*0</f>
        <v>0</v>
      </c>
      <c r="AP974" s="28">
        <f>G974*(1-0)</f>
        <v>0</v>
      </c>
      <c r="AQ974" s="30" t="s">
        <v>56</v>
      </c>
      <c r="AV974" s="28">
        <f>ROUND(AW974+AX974,2)</f>
        <v>0</v>
      </c>
      <c r="AW974" s="28">
        <f>ROUND(F974*AO974,2)</f>
        <v>0</v>
      </c>
      <c r="AX974" s="28">
        <f>ROUND(F974*AP974,2)</f>
        <v>0</v>
      </c>
      <c r="AY974" s="30" t="s">
        <v>195</v>
      </c>
      <c r="AZ974" s="30" t="s">
        <v>1586</v>
      </c>
      <c r="BA974" s="10" t="s">
        <v>1556</v>
      </c>
      <c r="BC974" s="28">
        <f>AW974+AX974</f>
        <v>0</v>
      </c>
      <c r="BD974" s="28">
        <f>G974/(100-BE974)*100</f>
        <v>0</v>
      </c>
      <c r="BE974" s="28">
        <v>0</v>
      </c>
      <c r="BF974" s="28">
        <f>982</f>
        <v>982</v>
      </c>
      <c r="BH974" s="28">
        <f>F974*AO974</f>
        <v>0</v>
      </c>
      <c r="BI974" s="28">
        <f>F974*AP974</f>
        <v>0</v>
      </c>
      <c r="BJ974" s="28">
        <f>F974*G974</f>
        <v>0</v>
      </c>
      <c r="BK974" s="28"/>
      <c r="BL974" s="28">
        <v>18</v>
      </c>
      <c r="BW974" s="28">
        <v>21</v>
      </c>
      <c r="BX974" s="4" t="s">
        <v>1740</v>
      </c>
    </row>
    <row r="975" spans="1:76" x14ac:dyDescent="0.25">
      <c r="A975" s="31"/>
      <c r="B975" s="35" t="s">
        <v>68</v>
      </c>
      <c r="C975" s="94" t="s">
        <v>1741</v>
      </c>
      <c r="D975" s="95"/>
      <c r="E975" s="95"/>
      <c r="F975" s="95"/>
      <c r="G975" s="95"/>
      <c r="H975" s="95"/>
      <c r="I975" s="95"/>
      <c r="J975" s="95"/>
      <c r="K975" s="96"/>
      <c r="BX975" s="36" t="s">
        <v>1741</v>
      </c>
    </row>
    <row r="976" spans="1:76" x14ac:dyDescent="0.25">
      <c r="A976" s="2" t="s">
        <v>1742</v>
      </c>
      <c r="B976" s="3" t="s">
        <v>1743</v>
      </c>
      <c r="C976" s="76" t="s">
        <v>1744</v>
      </c>
      <c r="D976" s="71"/>
      <c r="E976" s="3" t="s">
        <v>103</v>
      </c>
      <c r="F976" s="28">
        <v>618</v>
      </c>
      <c r="G976" s="28">
        <v>0</v>
      </c>
      <c r="H976" s="28">
        <f>ROUND(F976*AO976,2)</f>
        <v>0</v>
      </c>
      <c r="I976" s="28">
        <f>ROUND(F976*AP976,2)</f>
        <v>0</v>
      </c>
      <c r="J976" s="28">
        <f>ROUND(F976*G976,2)</f>
        <v>0</v>
      </c>
      <c r="K976" s="29" t="s">
        <v>60</v>
      </c>
      <c r="Z976" s="28">
        <f>ROUND(IF(AQ976="5",BJ976,0),2)</f>
        <v>0</v>
      </c>
      <c r="AB976" s="28">
        <f>ROUND(IF(AQ976="1",BH976,0),2)</f>
        <v>0</v>
      </c>
      <c r="AC976" s="28">
        <f>ROUND(IF(AQ976="1",BI976,0),2)</f>
        <v>0</v>
      </c>
      <c r="AD976" s="28">
        <f>ROUND(IF(AQ976="7",BH976,0),2)</f>
        <v>0</v>
      </c>
      <c r="AE976" s="28">
        <f>ROUND(IF(AQ976="7",BI976,0),2)</f>
        <v>0</v>
      </c>
      <c r="AF976" s="28">
        <f>ROUND(IF(AQ976="2",BH976,0),2)</f>
        <v>0</v>
      </c>
      <c r="AG976" s="28">
        <f>ROUND(IF(AQ976="2",BI976,0),2)</f>
        <v>0</v>
      </c>
      <c r="AH976" s="28">
        <f>ROUND(IF(AQ976="0",BJ976,0),2)</f>
        <v>0</v>
      </c>
      <c r="AI976" s="10" t="s">
        <v>1549</v>
      </c>
      <c r="AJ976" s="28">
        <f>IF(AN976=0,J976,0)</f>
        <v>0</v>
      </c>
      <c r="AK976" s="28">
        <f>IF(AN976=12,J976,0)</f>
        <v>0</v>
      </c>
      <c r="AL976" s="28">
        <f>IF(AN976=21,J976,0)</f>
        <v>0</v>
      </c>
      <c r="AN976" s="28">
        <v>21</v>
      </c>
      <c r="AO976" s="28">
        <f>G976*0</f>
        <v>0</v>
      </c>
      <c r="AP976" s="28">
        <f>G976*(1-0)</f>
        <v>0</v>
      </c>
      <c r="AQ976" s="30" t="s">
        <v>56</v>
      </c>
      <c r="AV976" s="28">
        <f>ROUND(AW976+AX976,2)</f>
        <v>0</v>
      </c>
      <c r="AW976" s="28">
        <f>ROUND(F976*AO976,2)</f>
        <v>0</v>
      </c>
      <c r="AX976" s="28">
        <f>ROUND(F976*AP976,2)</f>
        <v>0</v>
      </c>
      <c r="AY976" s="30" t="s">
        <v>195</v>
      </c>
      <c r="AZ976" s="30" t="s">
        <v>1586</v>
      </c>
      <c r="BA976" s="10" t="s">
        <v>1556</v>
      </c>
      <c r="BC976" s="28">
        <f>AW976+AX976</f>
        <v>0</v>
      </c>
      <c r="BD976" s="28">
        <f>G976/(100-BE976)*100</f>
        <v>0</v>
      </c>
      <c r="BE976" s="28">
        <v>0</v>
      </c>
      <c r="BF976" s="28">
        <f>984</f>
        <v>984</v>
      </c>
      <c r="BH976" s="28">
        <f>F976*AO976</f>
        <v>0</v>
      </c>
      <c r="BI976" s="28">
        <f>F976*AP976</f>
        <v>0</v>
      </c>
      <c r="BJ976" s="28">
        <f>F976*G976</f>
        <v>0</v>
      </c>
      <c r="BK976" s="28"/>
      <c r="BL976" s="28">
        <v>18</v>
      </c>
      <c r="BW976" s="28">
        <v>21</v>
      </c>
      <c r="BX976" s="4" t="s">
        <v>1744</v>
      </c>
    </row>
    <row r="977" spans="1:76" x14ac:dyDescent="0.25">
      <c r="A977" s="31"/>
      <c r="C977" s="32" t="s">
        <v>135</v>
      </c>
      <c r="D977" s="32" t="s">
        <v>1745</v>
      </c>
      <c r="F977" s="33">
        <v>10</v>
      </c>
      <c r="K977" s="34"/>
    </row>
    <row r="978" spans="1:76" x14ac:dyDescent="0.25">
      <c r="A978" s="31"/>
      <c r="C978" s="32" t="s">
        <v>1746</v>
      </c>
      <c r="D978" s="32" t="s">
        <v>1747</v>
      </c>
      <c r="F978" s="33">
        <v>440</v>
      </c>
      <c r="K978" s="34"/>
    </row>
    <row r="979" spans="1:76" x14ac:dyDescent="0.25">
      <c r="A979" s="31"/>
      <c r="C979" s="32" t="s">
        <v>934</v>
      </c>
      <c r="D979" s="32" t="s">
        <v>1748</v>
      </c>
      <c r="F979" s="33">
        <v>168</v>
      </c>
      <c r="K979" s="34"/>
    </row>
    <row r="980" spans="1:76" x14ac:dyDescent="0.25">
      <c r="A980" s="31"/>
      <c r="B980" s="35" t="s">
        <v>68</v>
      </c>
      <c r="C980" s="94" t="s">
        <v>1741</v>
      </c>
      <c r="D980" s="95"/>
      <c r="E980" s="95"/>
      <c r="F980" s="95"/>
      <c r="G980" s="95"/>
      <c r="H980" s="95"/>
      <c r="I980" s="95"/>
      <c r="J980" s="95"/>
      <c r="K980" s="96"/>
      <c r="BX980" s="36" t="s">
        <v>1741</v>
      </c>
    </row>
    <row r="981" spans="1:76" x14ac:dyDescent="0.25">
      <c r="A981" s="2" t="s">
        <v>1749</v>
      </c>
      <c r="B981" s="3" t="s">
        <v>956</v>
      </c>
      <c r="C981" s="76" t="s">
        <v>957</v>
      </c>
      <c r="D981" s="71"/>
      <c r="E981" s="3" t="s">
        <v>59</v>
      </c>
      <c r="F981" s="28">
        <v>206.39</v>
      </c>
      <c r="G981" s="28">
        <v>0</v>
      </c>
      <c r="H981" s="28">
        <f>ROUND(F981*AO981,2)</f>
        <v>0</v>
      </c>
      <c r="I981" s="28">
        <f>ROUND(F981*AP981,2)</f>
        <v>0</v>
      </c>
      <c r="J981" s="28">
        <f>ROUND(F981*G981,2)</f>
        <v>0</v>
      </c>
      <c r="K981" s="29" t="s">
        <v>60</v>
      </c>
      <c r="Z981" s="28">
        <f>ROUND(IF(AQ981="5",BJ981,0),2)</f>
        <v>0</v>
      </c>
      <c r="AB981" s="28">
        <f>ROUND(IF(AQ981="1",BH981,0),2)</f>
        <v>0</v>
      </c>
      <c r="AC981" s="28">
        <f>ROUND(IF(AQ981="1",BI981,0),2)</f>
        <v>0</v>
      </c>
      <c r="AD981" s="28">
        <f>ROUND(IF(AQ981="7",BH981,0),2)</f>
        <v>0</v>
      </c>
      <c r="AE981" s="28">
        <f>ROUND(IF(AQ981="7",BI981,0),2)</f>
        <v>0</v>
      </c>
      <c r="AF981" s="28">
        <f>ROUND(IF(AQ981="2",BH981,0),2)</f>
        <v>0</v>
      </c>
      <c r="AG981" s="28">
        <f>ROUND(IF(AQ981="2",BI981,0),2)</f>
        <v>0</v>
      </c>
      <c r="AH981" s="28">
        <f>ROUND(IF(AQ981="0",BJ981,0),2)</f>
        <v>0</v>
      </c>
      <c r="AI981" s="10" t="s">
        <v>1549</v>
      </c>
      <c r="AJ981" s="28">
        <f>IF(AN981=0,J981,0)</f>
        <v>0</v>
      </c>
      <c r="AK981" s="28">
        <f>IF(AN981=12,J981,0)</f>
        <v>0</v>
      </c>
      <c r="AL981" s="28">
        <f>IF(AN981=21,J981,0)</f>
        <v>0</v>
      </c>
      <c r="AN981" s="28">
        <v>21</v>
      </c>
      <c r="AO981" s="28">
        <f>G981*1</f>
        <v>0</v>
      </c>
      <c r="AP981" s="28">
        <f>G981*(1-1)</f>
        <v>0</v>
      </c>
      <c r="AQ981" s="30" t="s">
        <v>56</v>
      </c>
      <c r="AV981" s="28">
        <f>ROUND(AW981+AX981,2)</f>
        <v>0</v>
      </c>
      <c r="AW981" s="28">
        <f>ROUND(F981*AO981,2)</f>
        <v>0</v>
      </c>
      <c r="AX981" s="28">
        <f>ROUND(F981*AP981,2)</f>
        <v>0</v>
      </c>
      <c r="AY981" s="30" t="s">
        <v>195</v>
      </c>
      <c r="AZ981" s="30" t="s">
        <v>1586</v>
      </c>
      <c r="BA981" s="10" t="s">
        <v>1556</v>
      </c>
      <c r="BC981" s="28">
        <f>AW981+AX981</f>
        <v>0</v>
      </c>
      <c r="BD981" s="28">
        <f>G981/(100-BE981)*100</f>
        <v>0</v>
      </c>
      <c r="BE981" s="28">
        <v>0</v>
      </c>
      <c r="BF981" s="28">
        <f>989</f>
        <v>989</v>
      </c>
      <c r="BH981" s="28">
        <f>F981*AO981</f>
        <v>0</v>
      </c>
      <c r="BI981" s="28">
        <f>F981*AP981</f>
        <v>0</v>
      </c>
      <c r="BJ981" s="28">
        <f>F981*G981</f>
        <v>0</v>
      </c>
      <c r="BK981" s="28"/>
      <c r="BL981" s="28">
        <v>18</v>
      </c>
      <c r="BW981" s="28">
        <v>21</v>
      </c>
      <c r="BX981" s="4" t="s">
        <v>957</v>
      </c>
    </row>
    <row r="982" spans="1:76" x14ac:dyDescent="0.25">
      <c r="A982" s="31"/>
      <c r="C982" s="32" t="s">
        <v>1750</v>
      </c>
      <c r="D982" s="32" t="s">
        <v>1751</v>
      </c>
      <c r="F982" s="33">
        <v>111.24</v>
      </c>
      <c r="K982" s="34"/>
    </row>
    <row r="983" spans="1:76" x14ac:dyDescent="0.25">
      <c r="A983" s="31"/>
      <c r="C983" s="32" t="s">
        <v>1752</v>
      </c>
      <c r="D983" s="32" t="s">
        <v>1753</v>
      </c>
      <c r="F983" s="33">
        <v>60.75</v>
      </c>
      <c r="K983" s="34"/>
    </row>
    <row r="984" spans="1:76" x14ac:dyDescent="0.25">
      <c r="A984" s="31"/>
      <c r="C984" s="32" t="s">
        <v>1754</v>
      </c>
      <c r="D984" s="32" t="s">
        <v>51</v>
      </c>
      <c r="F984" s="33">
        <v>34.4</v>
      </c>
      <c r="K984" s="34"/>
    </row>
    <row r="985" spans="1:76" ht="63.75" x14ac:dyDescent="0.25">
      <c r="A985" s="31"/>
      <c r="B985" s="35" t="s">
        <v>68</v>
      </c>
      <c r="C985" s="94" t="s">
        <v>958</v>
      </c>
      <c r="D985" s="95"/>
      <c r="E985" s="95"/>
      <c r="F985" s="95"/>
      <c r="G985" s="95"/>
      <c r="H985" s="95"/>
      <c r="I985" s="95"/>
      <c r="J985" s="95"/>
      <c r="K985" s="96"/>
      <c r="BX985" s="36" t="s">
        <v>958</v>
      </c>
    </row>
    <row r="986" spans="1:76" x14ac:dyDescent="0.25">
      <c r="A986" s="2" t="s">
        <v>1755</v>
      </c>
      <c r="B986" s="3" t="s">
        <v>1756</v>
      </c>
      <c r="C986" s="76" t="s">
        <v>1757</v>
      </c>
      <c r="D986" s="71"/>
      <c r="E986" s="3" t="s">
        <v>201</v>
      </c>
      <c r="F986" s="28">
        <v>0.71</v>
      </c>
      <c r="G986" s="28">
        <v>0</v>
      </c>
      <c r="H986" s="28">
        <f>ROUND(F986*AO986,2)</f>
        <v>0</v>
      </c>
      <c r="I986" s="28">
        <f>ROUND(F986*AP986,2)</f>
        <v>0</v>
      </c>
      <c r="J986" s="28">
        <f>ROUND(F986*G986,2)</f>
        <v>0</v>
      </c>
      <c r="K986" s="29" t="s">
        <v>60</v>
      </c>
      <c r="Z986" s="28">
        <f>ROUND(IF(AQ986="5",BJ986,0),2)</f>
        <v>0</v>
      </c>
      <c r="AB986" s="28">
        <f>ROUND(IF(AQ986="1",BH986,0),2)</f>
        <v>0</v>
      </c>
      <c r="AC986" s="28">
        <f>ROUND(IF(AQ986="1",BI986,0),2)</f>
        <v>0</v>
      </c>
      <c r="AD986" s="28">
        <f>ROUND(IF(AQ986="7",BH986,0),2)</f>
        <v>0</v>
      </c>
      <c r="AE986" s="28">
        <f>ROUND(IF(AQ986="7",BI986,0),2)</f>
        <v>0</v>
      </c>
      <c r="AF986" s="28">
        <f>ROUND(IF(AQ986="2",BH986,0),2)</f>
        <v>0</v>
      </c>
      <c r="AG986" s="28">
        <f>ROUND(IF(AQ986="2",BI986,0),2)</f>
        <v>0</v>
      </c>
      <c r="AH986" s="28">
        <f>ROUND(IF(AQ986="0",BJ986,0),2)</f>
        <v>0</v>
      </c>
      <c r="AI986" s="10" t="s">
        <v>1549</v>
      </c>
      <c r="AJ986" s="28">
        <f>IF(AN986=0,J986,0)</f>
        <v>0</v>
      </c>
      <c r="AK986" s="28">
        <f>IF(AN986=12,J986,0)</f>
        <v>0</v>
      </c>
      <c r="AL986" s="28">
        <f>IF(AN986=21,J986,0)</f>
        <v>0</v>
      </c>
      <c r="AN986" s="28">
        <v>21</v>
      </c>
      <c r="AO986" s="28">
        <f>G986*0</f>
        <v>0</v>
      </c>
      <c r="AP986" s="28">
        <f>G986*(1-0)</f>
        <v>0</v>
      </c>
      <c r="AQ986" s="30" t="s">
        <v>56</v>
      </c>
      <c r="AV986" s="28">
        <f>ROUND(AW986+AX986,2)</f>
        <v>0</v>
      </c>
      <c r="AW986" s="28">
        <f>ROUND(F986*AO986,2)</f>
        <v>0</v>
      </c>
      <c r="AX986" s="28">
        <f>ROUND(F986*AP986,2)</f>
        <v>0</v>
      </c>
      <c r="AY986" s="30" t="s">
        <v>195</v>
      </c>
      <c r="AZ986" s="30" t="s">
        <v>1586</v>
      </c>
      <c r="BA986" s="10" t="s">
        <v>1556</v>
      </c>
      <c r="BC986" s="28">
        <f>AW986+AX986</f>
        <v>0</v>
      </c>
      <c r="BD986" s="28">
        <f>G986/(100-BE986)*100</f>
        <v>0</v>
      </c>
      <c r="BE986" s="28">
        <v>0</v>
      </c>
      <c r="BF986" s="28">
        <f>994</f>
        <v>994</v>
      </c>
      <c r="BH986" s="28">
        <f>F986*AO986</f>
        <v>0</v>
      </c>
      <c r="BI986" s="28">
        <f>F986*AP986</f>
        <v>0</v>
      </c>
      <c r="BJ986" s="28">
        <f>F986*G986</f>
        <v>0</v>
      </c>
      <c r="BK986" s="28"/>
      <c r="BL986" s="28">
        <v>18</v>
      </c>
      <c r="BW986" s="28">
        <v>21</v>
      </c>
      <c r="BX986" s="4" t="s">
        <v>1757</v>
      </c>
    </row>
    <row r="987" spans="1:76" x14ac:dyDescent="0.25">
      <c r="A987" s="31"/>
      <c r="C987" s="32" t="s">
        <v>1758</v>
      </c>
      <c r="D987" s="32" t="s">
        <v>1759</v>
      </c>
      <c r="F987" s="33">
        <v>0.02</v>
      </c>
      <c r="K987" s="34"/>
    </row>
    <row r="988" spans="1:76" x14ac:dyDescent="0.25">
      <c r="A988" s="31"/>
      <c r="C988" s="32" t="s">
        <v>1760</v>
      </c>
      <c r="D988" s="32" t="s">
        <v>1761</v>
      </c>
      <c r="F988" s="33">
        <v>0.62</v>
      </c>
      <c r="K988" s="34"/>
    </row>
    <row r="989" spans="1:76" x14ac:dyDescent="0.25">
      <c r="A989" s="31"/>
      <c r="C989" s="32" t="s">
        <v>1762</v>
      </c>
      <c r="D989" s="32" t="s">
        <v>1763</v>
      </c>
      <c r="F989" s="33">
        <v>7.0000000000000007E-2</v>
      </c>
      <c r="K989" s="34"/>
    </row>
    <row r="990" spans="1:76" x14ac:dyDescent="0.25">
      <c r="A990" s="2" t="s">
        <v>1764</v>
      </c>
      <c r="B990" s="3" t="s">
        <v>1765</v>
      </c>
      <c r="C990" s="76" t="s">
        <v>1766</v>
      </c>
      <c r="D990" s="71"/>
      <c r="E990" s="3" t="s">
        <v>1301</v>
      </c>
      <c r="F990" s="28">
        <v>90.3</v>
      </c>
      <c r="G990" s="28">
        <v>0</v>
      </c>
      <c r="H990" s="28">
        <f>ROUND(F990*AO990,2)</f>
        <v>0</v>
      </c>
      <c r="I990" s="28">
        <f>ROUND(F990*AP990,2)</f>
        <v>0</v>
      </c>
      <c r="J990" s="28">
        <f>ROUND(F990*G990,2)</f>
        <v>0</v>
      </c>
      <c r="K990" s="29" t="s">
        <v>60</v>
      </c>
      <c r="Z990" s="28">
        <f>ROUND(IF(AQ990="5",BJ990,0),2)</f>
        <v>0</v>
      </c>
      <c r="AB990" s="28">
        <f>ROUND(IF(AQ990="1",BH990,0),2)</f>
        <v>0</v>
      </c>
      <c r="AC990" s="28">
        <f>ROUND(IF(AQ990="1",BI990,0),2)</f>
        <v>0</v>
      </c>
      <c r="AD990" s="28">
        <f>ROUND(IF(AQ990="7",BH990,0),2)</f>
        <v>0</v>
      </c>
      <c r="AE990" s="28">
        <f>ROUND(IF(AQ990="7",BI990,0),2)</f>
        <v>0</v>
      </c>
      <c r="AF990" s="28">
        <f>ROUND(IF(AQ990="2",BH990,0),2)</f>
        <v>0</v>
      </c>
      <c r="AG990" s="28">
        <f>ROUND(IF(AQ990="2",BI990,0),2)</f>
        <v>0</v>
      </c>
      <c r="AH990" s="28">
        <f>ROUND(IF(AQ990="0",BJ990,0),2)</f>
        <v>0</v>
      </c>
      <c r="AI990" s="10" t="s">
        <v>1549</v>
      </c>
      <c r="AJ990" s="28">
        <f>IF(AN990=0,J990,0)</f>
        <v>0</v>
      </c>
      <c r="AK990" s="28">
        <f>IF(AN990=12,J990,0)</f>
        <v>0</v>
      </c>
      <c r="AL990" s="28">
        <f>IF(AN990=21,J990,0)</f>
        <v>0</v>
      </c>
      <c r="AN990" s="28">
        <v>21</v>
      </c>
      <c r="AO990" s="28">
        <f>G990*1</f>
        <v>0</v>
      </c>
      <c r="AP990" s="28">
        <f>G990*(1-1)</f>
        <v>0</v>
      </c>
      <c r="AQ990" s="30" t="s">
        <v>56</v>
      </c>
      <c r="AV990" s="28">
        <f>ROUND(AW990+AX990,2)</f>
        <v>0</v>
      </c>
      <c r="AW990" s="28">
        <f>ROUND(F990*AO990,2)</f>
        <v>0</v>
      </c>
      <c r="AX990" s="28">
        <f>ROUND(F990*AP990,2)</f>
        <v>0</v>
      </c>
      <c r="AY990" s="30" t="s">
        <v>195</v>
      </c>
      <c r="AZ990" s="30" t="s">
        <v>1586</v>
      </c>
      <c r="BA990" s="10" t="s">
        <v>1556</v>
      </c>
      <c r="BC990" s="28">
        <f>AW990+AX990</f>
        <v>0</v>
      </c>
      <c r="BD990" s="28">
        <f>G990/(100-BE990)*100</f>
        <v>0</v>
      </c>
      <c r="BE990" s="28">
        <v>0</v>
      </c>
      <c r="BF990" s="28">
        <f>998</f>
        <v>998</v>
      </c>
      <c r="BH990" s="28">
        <f>F990*AO990</f>
        <v>0</v>
      </c>
      <c r="BI990" s="28">
        <f>F990*AP990</f>
        <v>0</v>
      </c>
      <c r="BJ990" s="28">
        <f>F990*G990</f>
        <v>0</v>
      </c>
      <c r="BK990" s="28"/>
      <c r="BL990" s="28">
        <v>18</v>
      </c>
      <c r="BW990" s="28">
        <v>21</v>
      </c>
      <c r="BX990" s="4" t="s">
        <v>1766</v>
      </c>
    </row>
    <row r="991" spans="1:76" x14ac:dyDescent="0.25">
      <c r="A991" s="31"/>
      <c r="C991" s="32" t="s">
        <v>1767</v>
      </c>
      <c r="D991" s="32" t="s">
        <v>1759</v>
      </c>
      <c r="F991" s="33">
        <v>21</v>
      </c>
      <c r="K991" s="34"/>
    </row>
    <row r="992" spans="1:76" x14ac:dyDescent="0.25">
      <c r="A992" s="31"/>
      <c r="C992" s="32" t="s">
        <v>1768</v>
      </c>
      <c r="D992" s="32" t="s">
        <v>1769</v>
      </c>
      <c r="F992" s="33">
        <v>62.4</v>
      </c>
      <c r="K992" s="34"/>
    </row>
    <row r="993" spans="1:76" x14ac:dyDescent="0.25">
      <c r="A993" s="31"/>
      <c r="C993" s="32" t="s">
        <v>1770</v>
      </c>
      <c r="D993" s="32" t="s">
        <v>1771</v>
      </c>
      <c r="F993" s="33">
        <v>6.9</v>
      </c>
      <c r="K993" s="34"/>
    </row>
    <row r="994" spans="1:76" ht="51" x14ac:dyDescent="0.25">
      <c r="A994" s="31"/>
      <c r="B994" s="35" t="s">
        <v>68</v>
      </c>
      <c r="C994" s="94" t="s">
        <v>2471</v>
      </c>
      <c r="D994" s="95"/>
      <c r="E994" s="95"/>
      <c r="F994" s="95"/>
      <c r="G994" s="95"/>
      <c r="H994" s="95"/>
      <c r="I994" s="95"/>
      <c r="J994" s="95"/>
      <c r="K994" s="96"/>
      <c r="BX994" s="36" t="s">
        <v>1772</v>
      </c>
    </row>
    <row r="995" spans="1:76" x14ac:dyDescent="0.25">
      <c r="A995" s="2" t="s">
        <v>1773</v>
      </c>
      <c r="B995" s="3" t="s">
        <v>1774</v>
      </c>
      <c r="C995" s="76" t="s">
        <v>1775</v>
      </c>
      <c r="D995" s="71"/>
      <c r="E995" s="3" t="s">
        <v>59</v>
      </c>
      <c r="F995" s="28">
        <v>63.55</v>
      </c>
      <c r="G995" s="28">
        <v>0</v>
      </c>
      <c r="H995" s="28">
        <f>ROUND(F995*AO995,2)</f>
        <v>0</v>
      </c>
      <c r="I995" s="28">
        <f>ROUND(F995*AP995,2)</f>
        <v>0</v>
      </c>
      <c r="J995" s="28">
        <f>ROUND(F995*G995,2)</f>
        <v>0</v>
      </c>
      <c r="K995" s="29" t="s">
        <v>60</v>
      </c>
      <c r="Z995" s="28">
        <f>ROUND(IF(AQ995="5",BJ995,0),2)</f>
        <v>0</v>
      </c>
      <c r="AB995" s="28">
        <f>ROUND(IF(AQ995="1",BH995,0),2)</f>
        <v>0</v>
      </c>
      <c r="AC995" s="28">
        <f>ROUND(IF(AQ995="1",BI995,0),2)</f>
        <v>0</v>
      </c>
      <c r="AD995" s="28">
        <f>ROUND(IF(AQ995="7",BH995,0),2)</f>
        <v>0</v>
      </c>
      <c r="AE995" s="28">
        <f>ROUND(IF(AQ995="7",BI995,0),2)</f>
        <v>0</v>
      </c>
      <c r="AF995" s="28">
        <f>ROUND(IF(AQ995="2",BH995,0),2)</f>
        <v>0</v>
      </c>
      <c r="AG995" s="28">
        <f>ROUND(IF(AQ995="2",BI995,0),2)</f>
        <v>0</v>
      </c>
      <c r="AH995" s="28">
        <f>ROUND(IF(AQ995="0",BJ995,0),2)</f>
        <v>0</v>
      </c>
      <c r="AI995" s="10" t="s">
        <v>1549</v>
      </c>
      <c r="AJ995" s="28">
        <f>IF(AN995=0,J995,0)</f>
        <v>0</v>
      </c>
      <c r="AK995" s="28">
        <f>IF(AN995=12,J995,0)</f>
        <v>0</v>
      </c>
      <c r="AL995" s="28">
        <f>IF(AN995=21,J995,0)</f>
        <v>0</v>
      </c>
      <c r="AN995" s="28">
        <v>21</v>
      </c>
      <c r="AO995" s="28">
        <f>G995*0.089629426</f>
        <v>0</v>
      </c>
      <c r="AP995" s="28">
        <f>G995*(1-0.089629426)</f>
        <v>0</v>
      </c>
      <c r="AQ995" s="30" t="s">
        <v>56</v>
      </c>
      <c r="AV995" s="28">
        <f>ROUND(AW995+AX995,2)</f>
        <v>0</v>
      </c>
      <c r="AW995" s="28">
        <f>ROUND(F995*AO995,2)</f>
        <v>0</v>
      </c>
      <c r="AX995" s="28">
        <f>ROUND(F995*AP995,2)</f>
        <v>0</v>
      </c>
      <c r="AY995" s="30" t="s">
        <v>195</v>
      </c>
      <c r="AZ995" s="30" t="s">
        <v>1586</v>
      </c>
      <c r="BA995" s="10" t="s">
        <v>1556</v>
      </c>
      <c r="BC995" s="28">
        <f>AW995+AX995</f>
        <v>0</v>
      </c>
      <c r="BD995" s="28">
        <f>G995/(100-BE995)*100</f>
        <v>0</v>
      </c>
      <c r="BE995" s="28">
        <v>0</v>
      </c>
      <c r="BF995" s="28">
        <f>1003</f>
        <v>1003</v>
      </c>
      <c r="BH995" s="28">
        <f>F995*AO995</f>
        <v>0</v>
      </c>
      <c r="BI995" s="28">
        <f>F995*AP995</f>
        <v>0</v>
      </c>
      <c r="BJ995" s="28">
        <f>F995*G995</f>
        <v>0</v>
      </c>
      <c r="BK995" s="28"/>
      <c r="BL995" s="28">
        <v>18</v>
      </c>
      <c r="BW995" s="28">
        <v>21</v>
      </c>
      <c r="BX995" s="4" t="s">
        <v>1775</v>
      </c>
    </row>
    <row r="996" spans="1:76" ht="13.5" customHeight="1" x14ac:dyDescent="0.25">
      <c r="A996" s="31"/>
      <c r="B996" s="35" t="s">
        <v>105</v>
      </c>
      <c r="C996" s="97" t="s">
        <v>1776</v>
      </c>
      <c r="D996" s="98"/>
      <c r="E996" s="98"/>
      <c r="F996" s="98"/>
      <c r="G996" s="98"/>
      <c r="H996" s="98"/>
      <c r="I996" s="98"/>
      <c r="J996" s="98"/>
      <c r="K996" s="99"/>
    </row>
    <row r="997" spans="1:76" x14ac:dyDescent="0.25">
      <c r="A997" s="31"/>
      <c r="C997" s="32" t="s">
        <v>1777</v>
      </c>
      <c r="D997" s="32" t="s">
        <v>1759</v>
      </c>
      <c r="F997" s="33">
        <v>2.1</v>
      </c>
      <c r="K997" s="34"/>
    </row>
    <row r="998" spans="1:76" x14ac:dyDescent="0.25">
      <c r="A998" s="31"/>
      <c r="C998" s="32" t="s">
        <v>1778</v>
      </c>
      <c r="D998" s="32" t="s">
        <v>1779</v>
      </c>
      <c r="F998" s="33">
        <v>17.25</v>
      </c>
      <c r="K998" s="34"/>
    </row>
    <row r="999" spans="1:76" x14ac:dyDescent="0.25">
      <c r="A999" s="31"/>
      <c r="C999" s="32" t="s">
        <v>1780</v>
      </c>
      <c r="D999" s="32" t="s">
        <v>1769</v>
      </c>
      <c r="F999" s="33">
        <v>31.2</v>
      </c>
      <c r="K999" s="34"/>
    </row>
    <row r="1000" spans="1:76" x14ac:dyDescent="0.25">
      <c r="A1000" s="31"/>
      <c r="C1000" s="32" t="s">
        <v>1781</v>
      </c>
      <c r="D1000" s="32" t="s">
        <v>1598</v>
      </c>
      <c r="F1000" s="33">
        <v>13</v>
      </c>
      <c r="K1000" s="34"/>
    </row>
    <row r="1001" spans="1:76" x14ac:dyDescent="0.25">
      <c r="A1001" s="2" t="s">
        <v>1782</v>
      </c>
      <c r="B1001" s="3" t="s">
        <v>1783</v>
      </c>
      <c r="C1001" s="76" t="s">
        <v>1784</v>
      </c>
      <c r="D1001" s="71"/>
      <c r="E1001" s="3" t="s">
        <v>59</v>
      </c>
      <c r="F1001" s="28">
        <v>64</v>
      </c>
      <c r="G1001" s="28">
        <v>0</v>
      </c>
      <c r="H1001" s="28">
        <f>ROUND(F1001*AO1001,2)</f>
        <v>0</v>
      </c>
      <c r="I1001" s="28">
        <f>ROUND(F1001*AP1001,2)</f>
        <v>0</v>
      </c>
      <c r="J1001" s="28">
        <f>ROUND(F1001*G1001,2)</f>
        <v>0</v>
      </c>
      <c r="K1001" s="29" t="s">
        <v>60</v>
      </c>
      <c r="Z1001" s="28">
        <f>ROUND(IF(AQ1001="5",BJ1001,0),2)</f>
        <v>0</v>
      </c>
      <c r="AB1001" s="28">
        <f>ROUND(IF(AQ1001="1",BH1001,0),2)</f>
        <v>0</v>
      </c>
      <c r="AC1001" s="28">
        <f>ROUND(IF(AQ1001="1",BI1001,0),2)</f>
        <v>0</v>
      </c>
      <c r="AD1001" s="28">
        <f>ROUND(IF(AQ1001="7",BH1001,0),2)</f>
        <v>0</v>
      </c>
      <c r="AE1001" s="28">
        <f>ROUND(IF(AQ1001="7",BI1001,0),2)</f>
        <v>0</v>
      </c>
      <c r="AF1001" s="28">
        <f>ROUND(IF(AQ1001="2",BH1001,0),2)</f>
        <v>0</v>
      </c>
      <c r="AG1001" s="28">
        <f>ROUND(IF(AQ1001="2",BI1001,0),2)</f>
        <v>0</v>
      </c>
      <c r="AH1001" s="28">
        <f>ROUND(IF(AQ1001="0",BJ1001,0),2)</f>
        <v>0</v>
      </c>
      <c r="AI1001" s="10" t="s">
        <v>1549</v>
      </c>
      <c r="AJ1001" s="28">
        <f>IF(AN1001=0,J1001,0)</f>
        <v>0</v>
      </c>
      <c r="AK1001" s="28">
        <f>IF(AN1001=12,J1001,0)</f>
        <v>0</v>
      </c>
      <c r="AL1001" s="28">
        <f>IF(AN1001=21,J1001,0)</f>
        <v>0</v>
      </c>
      <c r="AN1001" s="28">
        <v>21</v>
      </c>
      <c r="AO1001" s="28">
        <f>G1001*0</f>
        <v>0</v>
      </c>
      <c r="AP1001" s="28">
        <f>G1001*(1-0)</f>
        <v>0</v>
      </c>
      <c r="AQ1001" s="30" t="s">
        <v>56</v>
      </c>
      <c r="AV1001" s="28">
        <f>ROUND(AW1001+AX1001,2)</f>
        <v>0</v>
      </c>
      <c r="AW1001" s="28">
        <f>ROUND(F1001*AO1001,2)</f>
        <v>0</v>
      </c>
      <c r="AX1001" s="28">
        <f>ROUND(F1001*AP1001,2)</f>
        <v>0</v>
      </c>
      <c r="AY1001" s="30" t="s">
        <v>195</v>
      </c>
      <c r="AZ1001" s="30" t="s">
        <v>1586</v>
      </c>
      <c r="BA1001" s="10" t="s">
        <v>1556</v>
      </c>
      <c r="BC1001" s="28">
        <f>AW1001+AX1001</f>
        <v>0</v>
      </c>
      <c r="BD1001" s="28">
        <f>G1001/(100-BE1001)*100</f>
        <v>0</v>
      </c>
      <c r="BE1001" s="28">
        <v>0</v>
      </c>
      <c r="BF1001" s="28">
        <f>1009</f>
        <v>1009</v>
      </c>
      <c r="BH1001" s="28">
        <f>F1001*AO1001</f>
        <v>0</v>
      </c>
      <c r="BI1001" s="28">
        <f>F1001*AP1001</f>
        <v>0</v>
      </c>
      <c r="BJ1001" s="28">
        <f>F1001*G1001</f>
        <v>0</v>
      </c>
      <c r="BK1001" s="28"/>
      <c r="BL1001" s="28">
        <v>18</v>
      </c>
      <c r="BW1001" s="28">
        <v>21</v>
      </c>
      <c r="BX1001" s="4" t="s">
        <v>1784</v>
      </c>
    </row>
    <row r="1002" spans="1:76" x14ac:dyDescent="0.25">
      <c r="A1002" s="2" t="s">
        <v>1785</v>
      </c>
      <c r="B1002" s="3" t="s">
        <v>1774</v>
      </c>
      <c r="C1002" s="76" t="s">
        <v>1775</v>
      </c>
      <c r="D1002" s="71"/>
      <c r="E1002" s="3" t="s">
        <v>59</v>
      </c>
      <c r="F1002" s="28">
        <v>701.4</v>
      </c>
      <c r="G1002" s="28">
        <v>0</v>
      </c>
      <c r="H1002" s="28">
        <f>ROUND(F1002*AO1002,2)</f>
        <v>0</v>
      </c>
      <c r="I1002" s="28">
        <f>ROUND(F1002*AP1002,2)</f>
        <v>0</v>
      </c>
      <c r="J1002" s="28">
        <f>ROUND(F1002*G1002,2)</f>
        <v>0</v>
      </c>
      <c r="K1002" s="29" t="s">
        <v>60</v>
      </c>
      <c r="Z1002" s="28">
        <f>ROUND(IF(AQ1002="5",BJ1002,0),2)</f>
        <v>0</v>
      </c>
      <c r="AB1002" s="28">
        <f>ROUND(IF(AQ1002="1",BH1002,0),2)</f>
        <v>0</v>
      </c>
      <c r="AC1002" s="28">
        <f>ROUND(IF(AQ1002="1",BI1002,0),2)</f>
        <v>0</v>
      </c>
      <c r="AD1002" s="28">
        <f>ROUND(IF(AQ1002="7",BH1002,0),2)</f>
        <v>0</v>
      </c>
      <c r="AE1002" s="28">
        <f>ROUND(IF(AQ1002="7",BI1002,0),2)</f>
        <v>0</v>
      </c>
      <c r="AF1002" s="28">
        <f>ROUND(IF(AQ1002="2",BH1002,0),2)</f>
        <v>0</v>
      </c>
      <c r="AG1002" s="28">
        <f>ROUND(IF(AQ1002="2",BI1002,0),2)</f>
        <v>0</v>
      </c>
      <c r="AH1002" s="28">
        <f>ROUND(IF(AQ1002="0",BJ1002,0),2)</f>
        <v>0</v>
      </c>
      <c r="AI1002" s="10" t="s">
        <v>1549</v>
      </c>
      <c r="AJ1002" s="28">
        <f>IF(AN1002=0,J1002,0)</f>
        <v>0</v>
      </c>
      <c r="AK1002" s="28">
        <f>IF(AN1002=12,J1002,0)</f>
        <v>0</v>
      </c>
      <c r="AL1002" s="28">
        <f>IF(AN1002=21,J1002,0)</f>
        <v>0</v>
      </c>
      <c r="AN1002" s="28">
        <v>21</v>
      </c>
      <c r="AO1002" s="28">
        <f>G1002*0.089629376</f>
        <v>0</v>
      </c>
      <c r="AP1002" s="28">
        <f>G1002*(1-0.089629376)</f>
        <v>0</v>
      </c>
      <c r="AQ1002" s="30" t="s">
        <v>56</v>
      </c>
      <c r="AV1002" s="28">
        <f>ROUND(AW1002+AX1002,2)</f>
        <v>0</v>
      </c>
      <c r="AW1002" s="28">
        <f>ROUND(F1002*AO1002,2)</f>
        <v>0</v>
      </c>
      <c r="AX1002" s="28">
        <f>ROUND(F1002*AP1002,2)</f>
        <v>0</v>
      </c>
      <c r="AY1002" s="30" t="s">
        <v>195</v>
      </c>
      <c r="AZ1002" s="30" t="s">
        <v>1586</v>
      </c>
      <c r="BA1002" s="10" t="s">
        <v>1556</v>
      </c>
      <c r="BC1002" s="28">
        <f>AW1002+AX1002</f>
        <v>0</v>
      </c>
      <c r="BD1002" s="28">
        <f>G1002/(100-BE1002)*100</f>
        <v>0</v>
      </c>
      <c r="BE1002" s="28">
        <v>0</v>
      </c>
      <c r="BF1002" s="28">
        <f>1010</f>
        <v>1010</v>
      </c>
      <c r="BH1002" s="28">
        <f>F1002*AO1002</f>
        <v>0</v>
      </c>
      <c r="BI1002" s="28">
        <f>F1002*AP1002</f>
        <v>0</v>
      </c>
      <c r="BJ1002" s="28">
        <f>F1002*G1002</f>
        <v>0</v>
      </c>
      <c r="BK1002" s="28"/>
      <c r="BL1002" s="28">
        <v>18</v>
      </c>
      <c r="BW1002" s="28">
        <v>21</v>
      </c>
      <c r="BX1002" s="4" t="s">
        <v>1775</v>
      </c>
    </row>
    <row r="1003" spans="1:76" x14ac:dyDescent="0.25">
      <c r="A1003" s="31"/>
      <c r="C1003" s="32" t="s">
        <v>1786</v>
      </c>
      <c r="D1003" s="32" t="s">
        <v>1787</v>
      </c>
      <c r="F1003" s="33">
        <v>25.2</v>
      </c>
      <c r="K1003" s="34"/>
    </row>
    <row r="1004" spans="1:76" x14ac:dyDescent="0.25">
      <c r="A1004" s="31"/>
      <c r="C1004" s="32" t="s">
        <v>1788</v>
      </c>
      <c r="D1004" s="32" t="s">
        <v>1789</v>
      </c>
      <c r="F1004" s="33">
        <v>16.8</v>
      </c>
      <c r="K1004" s="34"/>
    </row>
    <row r="1005" spans="1:76" x14ac:dyDescent="0.25">
      <c r="A1005" s="31"/>
      <c r="C1005" s="32" t="s">
        <v>1790</v>
      </c>
      <c r="D1005" s="32" t="s">
        <v>1791</v>
      </c>
      <c r="F1005" s="33">
        <v>138</v>
      </c>
      <c r="K1005" s="34"/>
    </row>
    <row r="1006" spans="1:76" x14ac:dyDescent="0.25">
      <c r="A1006" s="31"/>
      <c r="C1006" s="32" t="s">
        <v>1792</v>
      </c>
      <c r="D1006" s="32" t="s">
        <v>1793</v>
      </c>
      <c r="F1006" s="33">
        <v>69</v>
      </c>
      <c r="K1006" s="34"/>
    </row>
    <row r="1007" spans="1:76" x14ac:dyDescent="0.25">
      <c r="A1007" s="31"/>
      <c r="C1007" s="32" t="s">
        <v>1794</v>
      </c>
      <c r="D1007" s="32" t="s">
        <v>1795</v>
      </c>
      <c r="F1007" s="33">
        <v>249.6</v>
      </c>
      <c r="K1007" s="34"/>
    </row>
    <row r="1008" spans="1:76" x14ac:dyDescent="0.25">
      <c r="A1008" s="31"/>
      <c r="C1008" s="32" t="s">
        <v>1796</v>
      </c>
      <c r="D1008" s="32" t="s">
        <v>1797</v>
      </c>
      <c r="F1008" s="33">
        <v>124.8</v>
      </c>
      <c r="K1008" s="34"/>
    </row>
    <row r="1009" spans="1:76" x14ac:dyDescent="0.25">
      <c r="A1009" s="31"/>
      <c r="C1009" s="32" t="s">
        <v>1798</v>
      </c>
      <c r="D1009" s="32" t="s">
        <v>1799</v>
      </c>
      <c r="F1009" s="33">
        <v>52</v>
      </c>
      <c r="K1009" s="34"/>
    </row>
    <row r="1010" spans="1:76" x14ac:dyDescent="0.25">
      <c r="A1010" s="31"/>
      <c r="C1010" s="32" t="s">
        <v>1800</v>
      </c>
      <c r="D1010" s="32" t="s">
        <v>1801</v>
      </c>
      <c r="F1010" s="33">
        <v>26</v>
      </c>
      <c r="K1010" s="34"/>
    </row>
    <row r="1011" spans="1:76" x14ac:dyDescent="0.25">
      <c r="A1011" s="2" t="s">
        <v>1802</v>
      </c>
      <c r="B1011" s="3" t="s">
        <v>1783</v>
      </c>
      <c r="C1011" s="76" t="s">
        <v>1784</v>
      </c>
      <c r="D1011" s="71"/>
      <c r="E1011" s="3" t="s">
        <v>59</v>
      </c>
      <c r="F1011" s="28">
        <v>702</v>
      </c>
      <c r="G1011" s="28">
        <v>0</v>
      </c>
      <c r="H1011" s="28">
        <f>ROUND(F1011*AO1011,2)</f>
        <v>0</v>
      </c>
      <c r="I1011" s="28">
        <f>ROUND(F1011*AP1011,2)</f>
        <v>0</v>
      </c>
      <c r="J1011" s="28">
        <f>ROUND(F1011*G1011,2)</f>
        <v>0</v>
      </c>
      <c r="K1011" s="29" t="s">
        <v>60</v>
      </c>
      <c r="Z1011" s="28">
        <f>ROUND(IF(AQ1011="5",BJ1011,0),2)</f>
        <v>0</v>
      </c>
      <c r="AB1011" s="28">
        <f>ROUND(IF(AQ1011="1",BH1011,0),2)</f>
        <v>0</v>
      </c>
      <c r="AC1011" s="28">
        <f>ROUND(IF(AQ1011="1",BI1011,0),2)</f>
        <v>0</v>
      </c>
      <c r="AD1011" s="28">
        <f>ROUND(IF(AQ1011="7",BH1011,0),2)</f>
        <v>0</v>
      </c>
      <c r="AE1011" s="28">
        <f>ROUND(IF(AQ1011="7",BI1011,0),2)</f>
        <v>0</v>
      </c>
      <c r="AF1011" s="28">
        <f>ROUND(IF(AQ1011="2",BH1011,0),2)</f>
        <v>0</v>
      </c>
      <c r="AG1011" s="28">
        <f>ROUND(IF(AQ1011="2",BI1011,0),2)</f>
        <v>0</v>
      </c>
      <c r="AH1011" s="28">
        <f>ROUND(IF(AQ1011="0",BJ1011,0),2)</f>
        <v>0</v>
      </c>
      <c r="AI1011" s="10" t="s">
        <v>1549</v>
      </c>
      <c r="AJ1011" s="28">
        <f>IF(AN1011=0,J1011,0)</f>
        <v>0</v>
      </c>
      <c r="AK1011" s="28">
        <f>IF(AN1011=12,J1011,0)</f>
        <v>0</v>
      </c>
      <c r="AL1011" s="28">
        <f>IF(AN1011=21,J1011,0)</f>
        <v>0</v>
      </c>
      <c r="AN1011" s="28">
        <v>21</v>
      </c>
      <c r="AO1011" s="28">
        <f>G1011*0</f>
        <v>0</v>
      </c>
      <c r="AP1011" s="28">
        <f>G1011*(1-0)</f>
        <v>0</v>
      </c>
      <c r="AQ1011" s="30" t="s">
        <v>56</v>
      </c>
      <c r="AV1011" s="28">
        <f>ROUND(AW1011+AX1011,2)</f>
        <v>0</v>
      </c>
      <c r="AW1011" s="28">
        <f>ROUND(F1011*AO1011,2)</f>
        <v>0</v>
      </c>
      <c r="AX1011" s="28">
        <f>ROUND(F1011*AP1011,2)</f>
        <v>0</v>
      </c>
      <c r="AY1011" s="30" t="s">
        <v>195</v>
      </c>
      <c r="AZ1011" s="30" t="s">
        <v>1586</v>
      </c>
      <c r="BA1011" s="10" t="s">
        <v>1556</v>
      </c>
      <c r="BC1011" s="28">
        <f>AW1011+AX1011</f>
        <v>0</v>
      </c>
      <c r="BD1011" s="28">
        <f>G1011/(100-BE1011)*100</f>
        <v>0</v>
      </c>
      <c r="BE1011" s="28">
        <v>0</v>
      </c>
      <c r="BF1011" s="28">
        <f>1019</f>
        <v>1019</v>
      </c>
      <c r="BH1011" s="28">
        <f>F1011*AO1011</f>
        <v>0</v>
      </c>
      <c r="BI1011" s="28">
        <f>F1011*AP1011</f>
        <v>0</v>
      </c>
      <c r="BJ1011" s="28">
        <f>F1011*G1011</f>
        <v>0</v>
      </c>
      <c r="BK1011" s="28"/>
      <c r="BL1011" s="28">
        <v>18</v>
      </c>
      <c r="BW1011" s="28">
        <v>21</v>
      </c>
      <c r="BX1011" s="4" t="s">
        <v>1784</v>
      </c>
    </row>
    <row r="1012" spans="1:76" x14ac:dyDescent="0.25">
      <c r="A1012" s="2" t="s">
        <v>1803</v>
      </c>
      <c r="B1012" s="3" t="s">
        <v>1804</v>
      </c>
      <c r="C1012" s="76" t="s">
        <v>1805</v>
      </c>
      <c r="D1012" s="71"/>
      <c r="E1012" s="3" t="s">
        <v>103</v>
      </c>
      <c r="F1012" s="28">
        <v>1015</v>
      </c>
      <c r="G1012" s="28">
        <v>0</v>
      </c>
      <c r="H1012" s="28">
        <f>ROUND(F1012*AO1012,2)</f>
        <v>0</v>
      </c>
      <c r="I1012" s="28">
        <f>ROUND(F1012*AP1012,2)</f>
        <v>0</v>
      </c>
      <c r="J1012" s="28">
        <f>ROUND(F1012*G1012,2)</f>
        <v>0</v>
      </c>
      <c r="K1012" s="29" t="s">
        <v>60</v>
      </c>
      <c r="Z1012" s="28">
        <f>ROUND(IF(AQ1012="5",BJ1012,0),2)</f>
        <v>0</v>
      </c>
      <c r="AB1012" s="28">
        <f>ROUND(IF(AQ1012="1",BH1012,0),2)</f>
        <v>0</v>
      </c>
      <c r="AC1012" s="28">
        <f>ROUND(IF(AQ1012="1",BI1012,0),2)</f>
        <v>0</v>
      </c>
      <c r="AD1012" s="28">
        <f>ROUND(IF(AQ1012="7",BH1012,0),2)</f>
        <v>0</v>
      </c>
      <c r="AE1012" s="28">
        <f>ROUND(IF(AQ1012="7",BI1012,0),2)</f>
        <v>0</v>
      </c>
      <c r="AF1012" s="28">
        <f>ROUND(IF(AQ1012="2",BH1012,0),2)</f>
        <v>0</v>
      </c>
      <c r="AG1012" s="28">
        <f>ROUND(IF(AQ1012="2",BI1012,0),2)</f>
        <v>0</v>
      </c>
      <c r="AH1012" s="28">
        <f>ROUND(IF(AQ1012="0",BJ1012,0),2)</f>
        <v>0</v>
      </c>
      <c r="AI1012" s="10" t="s">
        <v>1549</v>
      </c>
      <c r="AJ1012" s="28">
        <f>IF(AN1012=0,J1012,0)</f>
        <v>0</v>
      </c>
      <c r="AK1012" s="28">
        <f>IF(AN1012=12,J1012,0)</f>
        <v>0</v>
      </c>
      <c r="AL1012" s="28">
        <f>IF(AN1012=21,J1012,0)</f>
        <v>0</v>
      </c>
      <c r="AN1012" s="28">
        <v>21</v>
      </c>
      <c r="AO1012" s="28">
        <f>G1012*0</f>
        <v>0</v>
      </c>
      <c r="AP1012" s="28">
        <f>G1012*(1-0)</f>
        <v>0</v>
      </c>
      <c r="AQ1012" s="30" t="s">
        <v>56</v>
      </c>
      <c r="AV1012" s="28">
        <f>ROUND(AW1012+AX1012,2)</f>
        <v>0</v>
      </c>
      <c r="AW1012" s="28">
        <f>ROUND(F1012*AO1012,2)</f>
        <v>0</v>
      </c>
      <c r="AX1012" s="28">
        <f>ROUND(F1012*AP1012,2)</f>
        <v>0</v>
      </c>
      <c r="AY1012" s="30" t="s">
        <v>195</v>
      </c>
      <c r="AZ1012" s="30" t="s">
        <v>1586</v>
      </c>
      <c r="BA1012" s="10" t="s">
        <v>1556</v>
      </c>
      <c r="BC1012" s="28">
        <f>AW1012+AX1012</f>
        <v>0</v>
      </c>
      <c r="BD1012" s="28">
        <f>G1012/(100-BE1012)*100</f>
        <v>0</v>
      </c>
      <c r="BE1012" s="28">
        <v>0</v>
      </c>
      <c r="BF1012" s="28">
        <f>1020</f>
        <v>1020</v>
      </c>
      <c r="BH1012" s="28">
        <f>F1012*AO1012</f>
        <v>0</v>
      </c>
      <c r="BI1012" s="28">
        <f>F1012*AP1012</f>
        <v>0</v>
      </c>
      <c r="BJ1012" s="28">
        <f>F1012*G1012</f>
        <v>0</v>
      </c>
      <c r="BK1012" s="28"/>
      <c r="BL1012" s="28">
        <v>18</v>
      </c>
      <c r="BW1012" s="28">
        <v>21</v>
      </c>
      <c r="BX1012" s="4" t="s">
        <v>1805</v>
      </c>
    </row>
    <row r="1013" spans="1:76" x14ac:dyDescent="0.25">
      <c r="A1013" s="31"/>
      <c r="C1013" s="32" t="s">
        <v>1806</v>
      </c>
      <c r="D1013" s="32" t="s">
        <v>1807</v>
      </c>
      <c r="F1013" s="33">
        <v>580</v>
      </c>
      <c r="K1013" s="34"/>
    </row>
    <row r="1014" spans="1:76" x14ac:dyDescent="0.25">
      <c r="A1014" s="31"/>
      <c r="C1014" s="32" t="s">
        <v>1808</v>
      </c>
      <c r="D1014" s="32" t="s">
        <v>1809</v>
      </c>
      <c r="F1014" s="33">
        <v>435</v>
      </c>
      <c r="K1014" s="34"/>
    </row>
    <row r="1015" spans="1:76" x14ac:dyDescent="0.25">
      <c r="A1015" s="2" t="s">
        <v>1810</v>
      </c>
      <c r="B1015" s="3" t="s">
        <v>1811</v>
      </c>
      <c r="C1015" s="76" t="s">
        <v>1812</v>
      </c>
      <c r="D1015" s="71"/>
      <c r="E1015" s="3" t="s">
        <v>103</v>
      </c>
      <c r="F1015" s="28">
        <v>1470</v>
      </c>
      <c r="G1015" s="28">
        <v>0</v>
      </c>
      <c r="H1015" s="28">
        <f>ROUND(F1015*AO1015,2)</f>
        <v>0</v>
      </c>
      <c r="I1015" s="28">
        <f>ROUND(F1015*AP1015,2)</f>
        <v>0</v>
      </c>
      <c r="J1015" s="28">
        <f>ROUND(F1015*G1015,2)</f>
        <v>0</v>
      </c>
      <c r="K1015" s="29" t="s">
        <v>60</v>
      </c>
      <c r="Z1015" s="28">
        <f>ROUND(IF(AQ1015="5",BJ1015,0),2)</f>
        <v>0</v>
      </c>
      <c r="AB1015" s="28">
        <f>ROUND(IF(AQ1015="1",BH1015,0),2)</f>
        <v>0</v>
      </c>
      <c r="AC1015" s="28">
        <f>ROUND(IF(AQ1015="1",BI1015,0),2)</f>
        <v>0</v>
      </c>
      <c r="AD1015" s="28">
        <f>ROUND(IF(AQ1015="7",BH1015,0),2)</f>
        <v>0</v>
      </c>
      <c r="AE1015" s="28">
        <f>ROUND(IF(AQ1015="7",BI1015,0),2)</f>
        <v>0</v>
      </c>
      <c r="AF1015" s="28">
        <f>ROUND(IF(AQ1015="2",BH1015,0),2)</f>
        <v>0</v>
      </c>
      <c r="AG1015" s="28">
        <f>ROUND(IF(AQ1015="2",BI1015,0),2)</f>
        <v>0</v>
      </c>
      <c r="AH1015" s="28">
        <f>ROUND(IF(AQ1015="0",BJ1015,0),2)</f>
        <v>0</v>
      </c>
      <c r="AI1015" s="10" t="s">
        <v>1549</v>
      </c>
      <c r="AJ1015" s="28">
        <f>IF(AN1015=0,J1015,0)</f>
        <v>0</v>
      </c>
      <c r="AK1015" s="28">
        <f>IF(AN1015=12,J1015,0)</f>
        <v>0</v>
      </c>
      <c r="AL1015" s="28">
        <f>IF(AN1015=21,J1015,0)</f>
        <v>0</v>
      </c>
      <c r="AN1015" s="28">
        <v>21</v>
      </c>
      <c r="AO1015" s="28">
        <f>G1015*0</f>
        <v>0</v>
      </c>
      <c r="AP1015" s="28">
        <f>G1015*(1-0)</f>
        <v>0</v>
      </c>
      <c r="AQ1015" s="30" t="s">
        <v>56</v>
      </c>
      <c r="AV1015" s="28">
        <f>ROUND(AW1015+AX1015,2)</f>
        <v>0</v>
      </c>
      <c r="AW1015" s="28">
        <f>ROUND(F1015*AO1015,2)</f>
        <v>0</v>
      </c>
      <c r="AX1015" s="28">
        <f>ROUND(F1015*AP1015,2)</f>
        <v>0</v>
      </c>
      <c r="AY1015" s="30" t="s">
        <v>195</v>
      </c>
      <c r="AZ1015" s="30" t="s">
        <v>1586</v>
      </c>
      <c r="BA1015" s="10" t="s">
        <v>1556</v>
      </c>
      <c r="BC1015" s="28">
        <f>AW1015+AX1015</f>
        <v>0</v>
      </c>
      <c r="BD1015" s="28">
        <f>G1015/(100-BE1015)*100</f>
        <v>0</v>
      </c>
      <c r="BE1015" s="28">
        <v>0</v>
      </c>
      <c r="BF1015" s="28">
        <f>1023</f>
        <v>1023</v>
      </c>
      <c r="BH1015" s="28">
        <f>F1015*AO1015</f>
        <v>0</v>
      </c>
      <c r="BI1015" s="28">
        <f>F1015*AP1015</f>
        <v>0</v>
      </c>
      <c r="BJ1015" s="28">
        <f>F1015*G1015</f>
        <v>0</v>
      </c>
      <c r="BK1015" s="28"/>
      <c r="BL1015" s="28">
        <v>18</v>
      </c>
      <c r="BW1015" s="28">
        <v>21</v>
      </c>
      <c r="BX1015" s="4" t="s">
        <v>1812</v>
      </c>
    </row>
    <row r="1016" spans="1:76" x14ac:dyDescent="0.25">
      <c r="A1016" s="31"/>
      <c r="C1016" s="32" t="s">
        <v>1813</v>
      </c>
      <c r="D1016" s="32" t="s">
        <v>1799</v>
      </c>
      <c r="F1016" s="33">
        <v>840</v>
      </c>
      <c r="K1016" s="34"/>
    </row>
    <row r="1017" spans="1:76" x14ac:dyDescent="0.25">
      <c r="A1017" s="31"/>
      <c r="C1017" s="32" t="s">
        <v>1814</v>
      </c>
      <c r="D1017" s="32" t="s">
        <v>1801</v>
      </c>
      <c r="F1017" s="33">
        <v>630</v>
      </c>
      <c r="K1017" s="34"/>
    </row>
    <row r="1018" spans="1:76" x14ac:dyDescent="0.25">
      <c r="A1018" s="2" t="s">
        <v>1815</v>
      </c>
      <c r="B1018" s="3" t="s">
        <v>1816</v>
      </c>
      <c r="C1018" s="76" t="s">
        <v>1817</v>
      </c>
      <c r="D1018" s="71"/>
      <c r="E1018" s="3" t="s">
        <v>103</v>
      </c>
      <c r="F1018" s="28">
        <v>420</v>
      </c>
      <c r="G1018" s="28">
        <v>0</v>
      </c>
      <c r="H1018" s="28">
        <f>ROUND(F1018*AO1018,2)</f>
        <v>0</v>
      </c>
      <c r="I1018" s="28">
        <f>ROUND(F1018*AP1018,2)</f>
        <v>0</v>
      </c>
      <c r="J1018" s="28">
        <f>ROUND(F1018*G1018,2)</f>
        <v>0</v>
      </c>
      <c r="K1018" s="29" t="s">
        <v>60</v>
      </c>
      <c r="Z1018" s="28">
        <f>ROUND(IF(AQ1018="5",BJ1018,0),2)</f>
        <v>0</v>
      </c>
      <c r="AB1018" s="28">
        <f>ROUND(IF(AQ1018="1",BH1018,0),2)</f>
        <v>0</v>
      </c>
      <c r="AC1018" s="28">
        <f>ROUND(IF(AQ1018="1",BI1018,0),2)</f>
        <v>0</v>
      </c>
      <c r="AD1018" s="28">
        <f>ROUND(IF(AQ1018="7",BH1018,0),2)</f>
        <v>0</v>
      </c>
      <c r="AE1018" s="28">
        <f>ROUND(IF(AQ1018="7",BI1018,0),2)</f>
        <v>0</v>
      </c>
      <c r="AF1018" s="28">
        <f>ROUND(IF(AQ1018="2",BH1018,0),2)</f>
        <v>0</v>
      </c>
      <c r="AG1018" s="28">
        <f>ROUND(IF(AQ1018="2",BI1018,0),2)</f>
        <v>0</v>
      </c>
      <c r="AH1018" s="28">
        <f>ROUND(IF(AQ1018="0",BJ1018,0),2)</f>
        <v>0</v>
      </c>
      <c r="AI1018" s="10" t="s">
        <v>1549</v>
      </c>
      <c r="AJ1018" s="28">
        <f>IF(AN1018=0,J1018,0)</f>
        <v>0</v>
      </c>
      <c r="AK1018" s="28">
        <f>IF(AN1018=12,J1018,0)</f>
        <v>0</v>
      </c>
      <c r="AL1018" s="28">
        <f>IF(AN1018=21,J1018,0)</f>
        <v>0</v>
      </c>
      <c r="AN1018" s="28">
        <v>21</v>
      </c>
      <c r="AO1018" s="28">
        <f>G1018*0</f>
        <v>0</v>
      </c>
      <c r="AP1018" s="28">
        <f>G1018*(1-0)</f>
        <v>0</v>
      </c>
      <c r="AQ1018" s="30" t="s">
        <v>56</v>
      </c>
      <c r="AV1018" s="28">
        <f>ROUND(AW1018+AX1018,2)</f>
        <v>0</v>
      </c>
      <c r="AW1018" s="28">
        <f>ROUND(F1018*AO1018,2)</f>
        <v>0</v>
      </c>
      <c r="AX1018" s="28">
        <f>ROUND(F1018*AP1018,2)</f>
        <v>0</v>
      </c>
      <c r="AY1018" s="30" t="s">
        <v>195</v>
      </c>
      <c r="AZ1018" s="30" t="s">
        <v>1586</v>
      </c>
      <c r="BA1018" s="10" t="s">
        <v>1556</v>
      </c>
      <c r="BC1018" s="28">
        <f>AW1018+AX1018</f>
        <v>0</v>
      </c>
      <c r="BD1018" s="28">
        <f>G1018/(100-BE1018)*100</f>
        <v>0</v>
      </c>
      <c r="BE1018" s="28">
        <v>0</v>
      </c>
      <c r="BF1018" s="28">
        <f>1026</f>
        <v>1026</v>
      </c>
      <c r="BH1018" s="28">
        <f>F1018*AO1018</f>
        <v>0</v>
      </c>
      <c r="BI1018" s="28">
        <f>F1018*AP1018</f>
        <v>0</v>
      </c>
      <c r="BJ1018" s="28">
        <f>F1018*G1018</f>
        <v>0</v>
      </c>
      <c r="BK1018" s="28"/>
      <c r="BL1018" s="28">
        <v>18</v>
      </c>
      <c r="BW1018" s="28">
        <v>21</v>
      </c>
      <c r="BX1018" s="4" t="s">
        <v>1817</v>
      </c>
    </row>
    <row r="1019" spans="1:76" x14ac:dyDescent="0.25">
      <c r="A1019" s="31"/>
      <c r="C1019" s="32" t="s">
        <v>1818</v>
      </c>
      <c r="D1019" s="32" t="s">
        <v>1563</v>
      </c>
      <c r="F1019" s="33">
        <v>210</v>
      </c>
      <c r="K1019" s="34"/>
    </row>
    <row r="1020" spans="1:76" x14ac:dyDescent="0.25">
      <c r="A1020" s="31"/>
      <c r="C1020" s="32" t="s">
        <v>1818</v>
      </c>
      <c r="D1020" s="32" t="s">
        <v>1564</v>
      </c>
      <c r="F1020" s="33">
        <v>210</v>
      </c>
      <c r="K1020" s="34"/>
    </row>
    <row r="1021" spans="1:76" x14ac:dyDescent="0.25">
      <c r="A1021" s="2" t="s">
        <v>1819</v>
      </c>
      <c r="B1021" s="3" t="s">
        <v>1820</v>
      </c>
      <c r="C1021" s="76" t="s">
        <v>1821</v>
      </c>
      <c r="D1021" s="71"/>
      <c r="E1021" s="3" t="s">
        <v>293</v>
      </c>
      <c r="F1021" s="28">
        <v>42</v>
      </c>
      <c r="G1021" s="28">
        <v>0</v>
      </c>
      <c r="H1021" s="28">
        <f>ROUND(F1021*AO1021,2)</f>
        <v>0</v>
      </c>
      <c r="I1021" s="28">
        <f>ROUND(F1021*AP1021,2)</f>
        <v>0</v>
      </c>
      <c r="J1021" s="28">
        <f>ROUND(F1021*G1021,2)</f>
        <v>0</v>
      </c>
      <c r="K1021" s="29" t="s">
        <v>60</v>
      </c>
      <c r="Z1021" s="28">
        <f>ROUND(IF(AQ1021="5",BJ1021,0),2)</f>
        <v>0</v>
      </c>
      <c r="AB1021" s="28">
        <f>ROUND(IF(AQ1021="1",BH1021,0),2)</f>
        <v>0</v>
      </c>
      <c r="AC1021" s="28">
        <f>ROUND(IF(AQ1021="1",BI1021,0),2)</f>
        <v>0</v>
      </c>
      <c r="AD1021" s="28">
        <f>ROUND(IF(AQ1021="7",BH1021,0),2)</f>
        <v>0</v>
      </c>
      <c r="AE1021" s="28">
        <f>ROUND(IF(AQ1021="7",BI1021,0),2)</f>
        <v>0</v>
      </c>
      <c r="AF1021" s="28">
        <f>ROUND(IF(AQ1021="2",BH1021,0),2)</f>
        <v>0</v>
      </c>
      <c r="AG1021" s="28">
        <f>ROUND(IF(AQ1021="2",BI1021,0),2)</f>
        <v>0</v>
      </c>
      <c r="AH1021" s="28">
        <f>ROUND(IF(AQ1021="0",BJ1021,0),2)</f>
        <v>0</v>
      </c>
      <c r="AI1021" s="10" t="s">
        <v>1549</v>
      </c>
      <c r="AJ1021" s="28">
        <f>IF(AN1021=0,J1021,0)</f>
        <v>0</v>
      </c>
      <c r="AK1021" s="28">
        <f>IF(AN1021=12,J1021,0)</f>
        <v>0</v>
      </c>
      <c r="AL1021" s="28">
        <f>IF(AN1021=21,J1021,0)</f>
        <v>0</v>
      </c>
      <c r="AN1021" s="28">
        <v>21</v>
      </c>
      <c r="AO1021" s="28">
        <f>G1021*0.295774648</f>
        <v>0</v>
      </c>
      <c r="AP1021" s="28">
        <f>G1021*(1-0.295774648)</f>
        <v>0</v>
      </c>
      <c r="AQ1021" s="30" t="s">
        <v>56</v>
      </c>
      <c r="AV1021" s="28">
        <f>ROUND(AW1021+AX1021,2)</f>
        <v>0</v>
      </c>
      <c r="AW1021" s="28">
        <f>ROUND(F1021*AO1021,2)</f>
        <v>0</v>
      </c>
      <c r="AX1021" s="28">
        <f>ROUND(F1021*AP1021,2)</f>
        <v>0</v>
      </c>
      <c r="AY1021" s="30" t="s">
        <v>195</v>
      </c>
      <c r="AZ1021" s="30" t="s">
        <v>1586</v>
      </c>
      <c r="BA1021" s="10" t="s">
        <v>1556</v>
      </c>
      <c r="BC1021" s="28">
        <f>AW1021+AX1021</f>
        <v>0</v>
      </c>
      <c r="BD1021" s="28">
        <f>G1021/(100-BE1021)*100</f>
        <v>0</v>
      </c>
      <c r="BE1021" s="28">
        <v>0</v>
      </c>
      <c r="BF1021" s="28">
        <f>1029</f>
        <v>1029</v>
      </c>
      <c r="BH1021" s="28">
        <f>F1021*AO1021</f>
        <v>0</v>
      </c>
      <c r="BI1021" s="28">
        <f>F1021*AP1021</f>
        <v>0</v>
      </c>
      <c r="BJ1021" s="28">
        <f>F1021*G1021</f>
        <v>0</v>
      </c>
      <c r="BK1021" s="28"/>
      <c r="BL1021" s="28">
        <v>18</v>
      </c>
      <c r="BW1021" s="28">
        <v>21</v>
      </c>
      <c r="BX1021" s="4" t="s">
        <v>1821</v>
      </c>
    </row>
    <row r="1022" spans="1:76" x14ac:dyDescent="0.25">
      <c r="A1022" s="31"/>
      <c r="C1022" s="32" t="s">
        <v>202</v>
      </c>
      <c r="D1022" s="32" t="s">
        <v>1563</v>
      </c>
      <c r="F1022" s="33">
        <v>21</v>
      </c>
      <c r="K1022" s="34"/>
    </row>
    <row r="1023" spans="1:76" x14ac:dyDescent="0.25">
      <c r="A1023" s="31"/>
      <c r="C1023" s="32" t="s">
        <v>202</v>
      </c>
      <c r="D1023" s="32" t="s">
        <v>1564</v>
      </c>
      <c r="F1023" s="33">
        <v>21</v>
      </c>
      <c r="K1023" s="34"/>
    </row>
    <row r="1024" spans="1:76" x14ac:dyDescent="0.25">
      <c r="A1024" s="2" t="s">
        <v>1822</v>
      </c>
      <c r="B1024" s="3" t="s">
        <v>1823</v>
      </c>
      <c r="C1024" s="76" t="s">
        <v>1824</v>
      </c>
      <c r="D1024" s="71"/>
      <c r="E1024" s="3" t="s">
        <v>103</v>
      </c>
      <c r="F1024" s="28">
        <v>175</v>
      </c>
      <c r="G1024" s="28">
        <v>0</v>
      </c>
      <c r="H1024" s="28">
        <f>ROUND(F1024*AO1024,2)</f>
        <v>0</v>
      </c>
      <c r="I1024" s="28">
        <f>ROUND(F1024*AP1024,2)</f>
        <v>0</v>
      </c>
      <c r="J1024" s="28">
        <f>ROUND(F1024*G1024,2)</f>
        <v>0</v>
      </c>
      <c r="K1024" s="29" t="s">
        <v>60</v>
      </c>
      <c r="Z1024" s="28">
        <f>ROUND(IF(AQ1024="5",BJ1024,0),2)</f>
        <v>0</v>
      </c>
      <c r="AB1024" s="28">
        <f>ROUND(IF(AQ1024="1",BH1024,0),2)</f>
        <v>0</v>
      </c>
      <c r="AC1024" s="28">
        <f>ROUND(IF(AQ1024="1",BI1024,0),2)</f>
        <v>0</v>
      </c>
      <c r="AD1024" s="28">
        <f>ROUND(IF(AQ1024="7",BH1024,0),2)</f>
        <v>0</v>
      </c>
      <c r="AE1024" s="28">
        <f>ROUND(IF(AQ1024="7",BI1024,0),2)</f>
        <v>0</v>
      </c>
      <c r="AF1024" s="28">
        <f>ROUND(IF(AQ1024="2",BH1024,0),2)</f>
        <v>0</v>
      </c>
      <c r="AG1024" s="28">
        <f>ROUND(IF(AQ1024="2",BI1024,0),2)</f>
        <v>0</v>
      </c>
      <c r="AH1024" s="28">
        <f>ROUND(IF(AQ1024="0",BJ1024,0),2)</f>
        <v>0</v>
      </c>
      <c r="AI1024" s="10" t="s">
        <v>1549</v>
      </c>
      <c r="AJ1024" s="28">
        <f>IF(AN1024=0,J1024,0)</f>
        <v>0</v>
      </c>
      <c r="AK1024" s="28">
        <f>IF(AN1024=12,J1024,0)</f>
        <v>0</v>
      </c>
      <c r="AL1024" s="28">
        <f>IF(AN1024=21,J1024,0)</f>
        <v>0</v>
      </c>
      <c r="AN1024" s="28">
        <v>21</v>
      </c>
      <c r="AO1024" s="28">
        <f>G1024*0</f>
        <v>0</v>
      </c>
      <c r="AP1024" s="28">
        <f>G1024*(1-0)</f>
        <v>0</v>
      </c>
      <c r="AQ1024" s="30" t="s">
        <v>56</v>
      </c>
      <c r="AV1024" s="28">
        <f>ROUND(AW1024+AX1024,2)</f>
        <v>0</v>
      </c>
      <c r="AW1024" s="28">
        <f>ROUND(F1024*AO1024,2)</f>
        <v>0</v>
      </c>
      <c r="AX1024" s="28">
        <f>ROUND(F1024*AP1024,2)</f>
        <v>0</v>
      </c>
      <c r="AY1024" s="30" t="s">
        <v>195</v>
      </c>
      <c r="AZ1024" s="30" t="s">
        <v>1586</v>
      </c>
      <c r="BA1024" s="10" t="s">
        <v>1556</v>
      </c>
      <c r="BC1024" s="28">
        <f>AW1024+AX1024</f>
        <v>0</v>
      </c>
      <c r="BD1024" s="28">
        <f>G1024/(100-BE1024)*100</f>
        <v>0</v>
      </c>
      <c r="BE1024" s="28">
        <v>0</v>
      </c>
      <c r="BF1024" s="28">
        <f>1032</f>
        <v>1032</v>
      </c>
      <c r="BH1024" s="28">
        <f>F1024*AO1024</f>
        <v>0</v>
      </c>
      <c r="BI1024" s="28">
        <f>F1024*AP1024</f>
        <v>0</v>
      </c>
      <c r="BJ1024" s="28">
        <f>F1024*G1024</f>
        <v>0</v>
      </c>
      <c r="BK1024" s="28"/>
      <c r="BL1024" s="28">
        <v>18</v>
      </c>
      <c r="BW1024" s="28">
        <v>21</v>
      </c>
      <c r="BX1024" s="4" t="s">
        <v>1824</v>
      </c>
    </row>
    <row r="1025" spans="1:76" x14ac:dyDescent="0.25">
      <c r="A1025" s="31"/>
      <c r="C1025" s="32" t="s">
        <v>1825</v>
      </c>
      <c r="D1025" s="32" t="s">
        <v>1807</v>
      </c>
      <c r="F1025" s="33">
        <v>100</v>
      </c>
      <c r="K1025" s="34"/>
    </row>
    <row r="1026" spans="1:76" x14ac:dyDescent="0.25">
      <c r="A1026" s="31"/>
      <c r="C1026" s="32" t="s">
        <v>1826</v>
      </c>
      <c r="D1026" s="32" t="s">
        <v>1809</v>
      </c>
      <c r="F1026" s="33">
        <v>75</v>
      </c>
      <c r="K1026" s="34"/>
    </row>
    <row r="1027" spans="1:76" x14ac:dyDescent="0.25">
      <c r="A1027" s="2" t="s">
        <v>1827</v>
      </c>
      <c r="B1027" s="3" t="s">
        <v>1828</v>
      </c>
      <c r="C1027" s="76" t="s">
        <v>1829</v>
      </c>
      <c r="D1027" s="71"/>
      <c r="E1027" s="3" t="s">
        <v>103</v>
      </c>
      <c r="F1027" s="28">
        <v>1391</v>
      </c>
      <c r="G1027" s="28">
        <v>0</v>
      </c>
      <c r="H1027" s="28">
        <f>ROUND(F1027*AO1027,2)</f>
        <v>0</v>
      </c>
      <c r="I1027" s="28">
        <f>ROUND(F1027*AP1027,2)</f>
        <v>0</v>
      </c>
      <c r="J1027" s="28">
        <f>ROUND(F1027*G1027,2)</f>
        <v>0</v>
      </c>
      <c r="K1027" s="29" t="s">
        <v>60</v>
      </c>
      <c r="Z1027" s="28">
        <f>ROUND(IF(AQ1027="5",BJ1027,0),2)</f>
        <v>0</v>
      </c>
      <c r="AB1027" s="28">
        <f>ROUND(IF(AQ1027="1",BH1027,0),2)</f>
        <v>0</v>
      </c>
      <c r="AC1027" s="28">
        <f>ROUND(IF(AQ1027="1",BI1027,0),2)</f>
        <v>0</v>
      </c>
      <c r="AD1027" s="28">
        <f>ROUND(IF(AQ1027="7",BH1027,0),2)</f>
        <v>0</v>
      </c>
      <c r="AE1027" s="28">
        <f>ROUND(IF(AQ1027="7",BI1027,0),2)</f>
        <v>0</v>
      </c>
      <c r="AF1027" s="28">
        <f>ROUND(IF(AQ1027="2",BH1027,0),2)</f>
        <v>0</v>
      </c>
      <c r="AG1027" s="28">
        <f>ROUND(IF(AQ1027="2",BI1027,0),2)</f>
        <v>0</v>
      </c>
      <c r="AH1027" s="28">
        <f>ROUND(IF(AQ1027="0",BJ1027,0),2)</f>
        <v>0</v>
      </c>
      <c r="AI1027" s="10" t="s">
        <v>1549</v>
      </c>
      <c r="AJ1027" s="28">
        <f>IF(AN1027=0,J1027,0)</f>
        <v>0</v>
      </c>
      <c r="AK1027" s="28">
        <f>IF(AN1027=12,J1027,0)</f>
        <v>0</v>
      </c>
      <c r="AL1027" s="28">
        <f>IF(AN1027=21,J1027,0)</f>
        <v>0</v>
      </c>
      <c r="AN1027" s="28">
        <v>21</v>
      </c>
      <c r="AO1027" s="28">
        <f>G1027*0.289949749</f>
        <v>0</v>
      </c>
      <c r="AP1027" s="28">
        <f>G1027*(1-0.289949749)</f>
        <v>0</v>
      </c>
      <c r="AQ1027" s="30" t="s">
        <v>56</v>
      </c>
      <c r="AV1027" s="28">
        <f>ROUND(AW1027+AX1027,2)</f>
        <v>0</v>
      </c>
      <c r="AW1027" s="28">
        <f>ROUND(F1027*AO1027,2)</f>
        <v>0</v>
      </c>
      <c r="AX1027" s="28">
        <f>ROUND(F1027*AP1027,2)</f>
        <v>0</v>
      </c>
      <c r="AY1027" s="30" t="s">
        <v>195</v>
      </c>
      <c r="AZ1027" s="30" t="s">
        <v>1586</v>
      </c>
      <c r="BA1027" s="10" t="s">
        <v>1556</v>
      </c>
      <c r="BC1027" s="28">
        <f>AW1027+AX1027</f>
        <v>0</v>
      </c>
      <c r="BD1027" s="28">
        <f>G1027/(100-BE1027)*100</f>
        <v>0</v>
      </c>
      <c r="BE1027" s="28">
        <v>0</v>
      </c>
      <c r="BF1027" s="28">
        <f>1035</f>
        <v>1035</v>
      </c>
      <c r="BH1027" s="28">
        <f>F1027*AO1027</f>
        <v>0</v>
      </c>
      <c r="BI1027" s="28">
        <f>F1027*AP1027</f>
        <v>0</v>
      </c>
      <c r="BJ1027" s="28">
        <f>F1027*G1027</f>
        <v>0</v>
      </c>
      <c r="BK1027" s="28"/>
      <c r="BL1027" s="28">
        <v>18</v>
      </c>
      <c r="BW1027" s="28">
        <v>21</v>
      </c>
      <c r="BX1027" s="4" t="s">
        <v>1829</v>
      </c>
    </row>
    <row r="1028" spans="1:76" ht="13.5" customHeight="1" x14ac:dyDescent="0.25">
      <c r="A1028" s="31"/>
      <c r="B1028" s="35" t="s">
        <v>105</v>
      </c>
      <c r="C1028" s="97" t="s">
        <v>1830</v>
      </c>
      <c r="D1028" s="98"/>
      <c r="E1028" s="98"/>
      <c r="F1028" s="98"/>
      <c r="G1028" s="98"/>
      <c r="H1028" s="98"/>
      <c r="I1028" s="98"/>
      <c r="J1028" s="98"/>
      <c r="K1028" s="99"/>
    </row>
    <row r="1029" spans="1:76" x14ac:dyDescent="0.25">
      <c r="A1029" s="2" t="s">
        <v>1831</v>
      </c>
      <c r="B1029" s="3" t="s">
        <v>1832</v>
      </c>
      <c r="C1029" s="76" t="s">
        <v>1833</v>
      </c>
      <c r="D1029" s="71"/>
      <c r="E1029" s="3" t="s">
        <v>103</v>
      </c>
      <c r="F1029" s="28">
        <v>310</v>
      </c>
      <c r="G1029" s="28">
        <v>0</v>
      </c>
      <c r="H1029" s="28">
        <f>ROUND(F1029*AO1029,2)</f>
        <v>0</v>
      </c>
      <c r="I1029" s="28">
        <f>ROUND(F1029*AP1029,2)</f>
        <v>0</v>
      </c>
      <c r="J1029" s="28">
        <f>ROUND(F1029*G1029,2)</f>
        <v>0</v>
      </c>
      <c r="K1029" s="29" t="s">
        <v>60</v>
      </c>
      <c r="Z1029" s="28">
        <f>ROUND(IF(AQ1029="5",BJ1029,0),2)</f>
        <v>0</v>
      </c>
      <c r="AB1029" s="28">
        <f>ROUND(IF(AQ1029="1",BH1029,0),2)</f>
        <v>0</v>
      </c>
      <c r="AC1029" s="28">
        <f>ROUND(IF(AQ1029="1",BI1029,0),2)</f>
        <v>0</v>
      </c>
      <c r="AD1029" s="28">
        <f>ROUND(IF(AQ1029="7",BH1029,0),2)</f>
        <v>0</v>
      </c>
      <c r="AE1029" s="28">
        <f>ROUND(IF(AQ1029="7",BI1029,0),2)</f>
        <v>0</v>
      </c>
      <c r="AF1029" s="28">
        <f>ROUND(IF(AQ1029="2",BH1029,0),2)</f>
        <v>0</v>
      </c>
      <c r="AG1029" s="28">
        <f>ROUND(IF(AQ1029="2",BI1029,0),2)</f>
        <v>0</v>
      </c>
      <c r="AH1029" s="28">
        <f>ROUND(IF(AQ1029="0",BJ1029,0),2)</f>
        <v>0</v>
      </c>
      <c r="AI1029" s="10" t="s">
        <v>1549</v>
      </c>
      <c r="AJ1029" s="28">
        <f>IF(AN1029=0,J1029,0)</f>
        <v>0</v>
      </c>
      <c r="AK1029" s="28">
        <f>IF(AN1029=12,J1029,0)</f>
        <v>0</v>
      </c>
      <c r="AL1029" s="28">
        <f>IF(AN1029=21,J1029,0)</f>
        <v>0</v>
      </c>
      <c r="AN1029" s="28">
        <v>21</v>
      </c>
      <c r="AO1029" s="28">
        <f>G1029*0.689760489</f>
        <v>0</v>
      </c>
      <c r="AP1029" s="28">
        <f>G1029*(1-0.689760489)</f>
        <v>0</v>
      </c>
      <c r="AQ1029" s="30" t="s">
        <v>56</v>
      </c>
      <c r="AV1029" s="28">
        <f>ROUND(AW1029+AX1029,2)</f>
        <v>0</v>
      </c>
      <c r="AW1029" s="28">
        <f>ROUND(F1029*AO1029,2)</f>
        <v>0</v>
      </c>
      <c r="AX1029" s="28">
        <f>ROUND(F1029*AP1029,2)</f>
        <v>0</v>
      </c>
      <c r="AY1029" s="30" t="s">
        <v>195</v>
      </c>
      <c r="AZ1029" s="30" t="s">
        <v>1586</v>
      </c>
      <c r="BA1029" s="10" t="s">
        <v>1556</v>
      </c>
      <c r="BC1029" s="28">
        <f>AW1029+AX1029</f>
        <v>0</v>
      </c>
      <c r="BD1029" s="28">
        <f>G1029/(100-BE1029)*100</f>
        <v>0</v>
      </c>
      <c r="BE1029" s="28">
        <v>0</v>
      </c>
      <c r="BF1029" s="28">
        <f>1037</f>
        <v>1037</v>
      </c>
      <c r="BH1029" s="28">
        <f>F1029*AO1029</f>
        <v>0</v>
      </c>
      <c r="BI1029" s="28">
        <f>F1029*AP1029</f>
        <v>0</v>
      </c>
      <c r="BJ1029" s="28">
        <f>F1029*G1029</f>
        <v>0</v>
      </c>
      <c r="BK1029" s="28"/>
      <c r="BL1029" s="28">
        <v>18</v>
      </c>
      <c r="BW1029" s="28">
        <v>21</v>
      </c>
      <c r="BX1029" s="4" t="s">
        <v>1833</v>
      </c>
    </row>
    <row r="1030" spans="1:76" ht="13.5" customHeight="1" x14ac:dyDescent="0.25">
      <c r="A1030" s="31"/>
      <c r="B1030" s="35" t="s">
        <v>105</v>
      </c>
      <c r="C1030" s="97" t="s">
        <v>1830</v>
      </c>
      <c r="D1030" s="98"/>
      <c r="E1030" s="98"/>
      <c r="F1030" s="98"/>
      <c r="G1030" s="98"/>
      <c r="H1030" s="98"/>
      <c r="I1030" s="98"/>
      <c r="J1030" s="98"/>
      <c r="K1030" s="99"/>
    </row>
    <row r="1031" spans="1:76" x14ac:dyDescent="0.25">
      <c r="A1031" s="24" t="s">
        <v>51</v>
      </c>
      <c r="B1031" s="25" t="s">
        <v>361</v>
      </c>
      <c r="C1031" s="87" t="s">
        <v>362</v>
      </c>
      <c r="D1031" s="88"/>
      <c r="E1031" s="26" t="s">
        <v>4</v>
      </c>
      <c r="F1031" s="26" t="s">
        <v>4</v>
      </c>
      <c r="G1031" s="26" t="s">
        <v>4</v>
      </c>
      <c r="H1031" s="1">
        <f>SUM(H1032:H1035)</f>
        <v>0</v>
      </c>
      <c r="I1031" s="1">
        <f>SUM(I1032:I1035)</f>
        <v>0</v>
      </c>
      <c r="J1031" s="1">
        <f>SUM(J1032:J1035)</f>
        <v>0</v>
      </c>
      <c r="K1031" s="27" t="s">
        <v>51</v>
      </c>
      <c r="AI1031" s="10" t="s">
        <v>1549</v>
      </c>
      <c r="AS1031" s="1">
        <f>SUM(AJ1032:AJ1035)</f>
        <v>0</v>
      </c>
      <c r="AT1031" s="1">
        <f>SUM(AK1032:AK1035)</f>
        <v>0</v>
      </c>
      <c r="AU1031" s="1">
        <f>SUM(AL1032:AL1035)</f>
        <v>0</v>
      </c>
    </row>
    <row r="1032" spans="1:76" x14ac:dyDescent="0.25">
      <c r="A1032" s="2" t="s">
        <v>1834</v>
      </c>
      <c r="B1032" s="3" t="s">
        <v>1835</v>
      </c>
      <c r="C1032" s="76" t="s">
        <v>856</v>
      </c>
      <c r="D1032" s="71"/>
      <c r="E1032" s="3" t="s">
        <v>103</v>
      </c>
      <c r="F1032" s="28">
        <v>9.4499999999999993</v>
      </c>
      <c r="G1032" s="28">
        <v>0</v>
      </c>
      <c r="H1032" s="28">
        <f>ROUND(F1032*AO1032,2)</f>
        <v>0</v>
      </c>
      <c r="I1032" s="28">
        <f>ROUND(F1032*AP1032,2)</f>
        <v>0</v>
      </c>
      <c r="J1032" s="28">
        <f>ROUND(F1032*G1032,2)</f>
        <v>0</v>
      </c>
      <c r="K1032" s="29" t="s">
        <v>60</v>
      </c>
      <c r="Z1032" s="28">
        <f>ROUND(IF(AQ1032="5",BJ1032,0),2)</f>
        <v>0</v>
      </c>
      <c r="AB1032" s="28">
        <f>ROUND(IF(AQ1032="1",BH1032,0),2)</f>
        <v>0</v>
      </c>
      <c r="AC1032" s="28">
        <f>ROUND(IF(AQ1032="1",BI1032,0),2)</f>
        <v>0</v>
      </c>
      <c r="AD1032" s="28">
        <f>ROUND(IF(AQ1032="7",BH1032,0),2)</f>
        <v>0</v>
      </c>
      <c r="AE1032" s="28">
        <f>ROUND(IF(AQ1032="7",BI1032,0),2)</f>
        <v>0</v>
      </c>
      <c r="AF1032" s="28">
        <f>ROUND(IF(AQ1032="2",BH1032,0),2)</f>
        <v>0</v>
      </c>
      <c r="AG1032" s="28">
        <f>ROUND(IF(AQ1032="2",BI1032,0),2)</f>
        <v>0</v>
      </c>
      <c r="AH1032" s="28">
        <f>ROUND(IF(AQ1032="0",BJ1032,0),2)</f>
        <v>0</v>
      </c>
      <c r="AI1032" s="10" t="s">
        <v>1549</v>
      </c>
      <c r="AJ1032" s="28">
        <f>IF(AN1032=0,J1032,0)</f>
        <v>0</v>
      </c>
      <c r="AK1032" s="28">
        <f>IF(AN1032=12,J1032,0)</f>
        <v>0</v>
      </c>
      <c r="AL1032" s="28">
        <f>IF(AN1032=21,J1032,0)</f>
        <v>0</v>
      </c>
      <c r="AN1032" s="28">
        <v>21</v>
      </c>
      <c r="AO1032" s="28">
        <f>G1032*0</f>
        <v>0</v>
      </c>
      <c r="AP1032" s="28">
        <f>G1032*(1-0)</f>
        <v>0</v>
      </c>
      <c r="AQ1032" s="30" t="s">
        <v>118</v>
      </c>
      <c r="AV1032" s="28">
        <f>ROUND(AW1032+AX1032,2)</f>
        <v>0</v>
      </c>
      <c r="AW1032" s="28">
        <f>ROUND(F1032*AO1032,2)</f>
        <v>0</v>
      </c>
      <c r="AX1032" s="28">
        <f>ROUND(F1032*AP1032,2)</f>
        <v>0</v>
      </c>
      <c r="AY1032" s="30" t="s">
        <v>366</v>
      </c>
      <c r="AZ1032" s="30" t="s">
        <v>1836</v>
      </c>
      <c r="BA1032" s="10" t="s">
        <v>1556</v>
      </c>
      <c r="BC1032" s="28">
        <f>AW1032+AX1032</f>
        <v>0</v>
      </c>
      <c r="BD1032" s="28">
        <f>G1032/(100-BE1032)*100</f>
        <v>0</v>
      </c>
      <c r="BE1032" s="28">
        <v>0</v>
      </c>
      <c r="BF1032" s="28">
        <f>1040</f>
        <v>1040</v>
      </c>
      <c r="BH1032" s="28">
        <f>F1032*AO1032</f>
        <v>0</v>
      </c>
      <c r="BI1032" s="28">
        <f>F1032*AP1032</f>
        <v>0</v>
      </c>
      <c r="BJ1032" s="28">
        <f>F1032*G1032</f>
        <v>0</v>
      </c>
      <c r="BK1032" s="28"/>
      <c r="BL1032" s="28">
        <v>711</v>
      </c>
      <c r="BW1032" s="28">
        <v>21</v>
      </c>
      <c r="BX1032" s="4" t="s">
        <v>856</v>
      </c>
    </row>
    <row r="1033" spans="1:76" ht="13.5" customHeight="1" x14ac:dyDescent="0.25">
      <c r="A1033" s="31"/>
      <c r="B1033" s="35" t="s">
        <v>105</v>
      </c>
      <c r="C1033" s="97" t="s">
        <v>1837</v>
      </c>
      <c r="D1033" s="98"/>
      <c r="E1033" s="98"/>
      <c r="F1033" s="98"/>
      <c r="G1033" s="98"/>
      <c r="H1033" s="98"/>
      <c r="I1033" s="98"/>
      <c r="J1033" s="98"/>
      <c r="K1033" s="99"/>
    </row>
    <row r="1034" spans="1:76" x14ac:dyDescent="0.25">
      <c r="A1034" s="2" t="s">
        <v>1838</v>
      </c>
      <c r="B1034" s="3" t="s">
        <v>1839</v>
      </c>
      <c r="C1034" s="76" t="s">
        <v>1840</v>
      </c>
      <c r="D1034" s="71"/>
      <c r="E1034" s="3" t="s">
        <v>1376</v>
      </c>
      <c r="F1034" s="28">
        <v>21</v>
      </c>
      <c r="G1034" s="28">
        <v>0</v>
      </c>
      <c r="H1034" s="28">
        <f>ROUND(F1034*AO1034,2)</f>
        <v>0</v>
      </c>
      <c r="I1034" s="28">
        <f>ROUND(F1034*AP1034,2)</f>
        <v>0</v>
      </c>
      <c r="J1034" s="28">
        <f>ROUND(F1034*G1034,2)</f>
        <v>0</v>
      </c>
      <c r="K1034" s="29" t="s">
        <v>60</v>
      </c>
      <c r="Z1034" s="28">
        <f>ROUND(IF(AQ1034="5",BJ1034,0),2)</f>
        <v>0</v>
      </c>
      <c r="AB1034" s="28">
        <f>ROUND(IF(AQ1034="1",BH1034,0),2)</f>
        <v>0</v>
      </c>
      <c r="AC1034" s="28">
        <f>ROUND(IF(AQ1034="1",BI1034,0),2)</f>
        <v>0</v>
      </c>
      <c r="AD1034" s="28">
        <f>ROUND(IF(AQ1034="7",BH1034,0),2)</f>
        <v>0</v>
      </c>
      <c r="AE1034" s="28">
        <f>ROUND(IF(AQ1034="7",BI1034,0),2)</f>
        <v>0</v>
      </c>
      <c r="AF1034" s="28">
        <f>ROUND(IF(AQ1034="2",BH1034,0),2)</f>
        <v>0</v>
      </c>
      <c r="AG1034" s="28">
        <f>ROUND(IF(AQ1034="2",BI1034,0),2)</f>
        <v>0</v>
      </c>
      <c r="AH1034" s="28">
        <f>ROUND(IF(AQ1034="0",BJ1034,0),2)</f>
        <v>0</v>
      </c>
      <c r="AI1034" s="10" t="s">
        <v>1549</v>
      </c>
      <c r="AJ1034" s="28">
        <f>IF(AN1034=0,J1034,0)</f>
        <v>0</v>
      </c>
      <c r="AK1034" s="28">
        <f>IF(AN1034=12,J1034,0)</f>
        <v>0</v>
      </c>
      <c r="AL1034" s="28">
        <f>IF(AN1034=21,J1034,0)</f>
        <v>0</v>
      </c>
      <c r="AN1034" s="28">
        <v>21</v>
      </c>
      <c r="AO1034" s="28">
        <f>G1034*1</f>
        <v>0</v>
      </c>
      <c r="AP1034" s="28">
        <f>G1034*(1-1)</f>
        <v>0</v>
      </c>
      <c r="AQ1034" s="30" t="s">
        <v>118</v>
      </c>
      <c r="AV1034" s="28">
        <f>ROUND(AW1034+AX1034,2)</f>
        <v>0</v>
      </c>
      <c r="AW1034" s="28">
        <f>ROUND(F1034*AO1034,2)</f>
        <v>0</v>
      </c>
      <c r="AX1034" s="28">
        <f>ROUND(F1034*AP1034,2)</f>
        <v>0</v>
      </c>
      <c r="AY1034" s="30" t="s">
        <v>366</v>
      </c>
      <c r="AZ1034" s="30" t="s">
        <v>1836</v>
      </c>
      <c r="BA1034" s="10" t="s">
        <v>1556</v>
      </c>
      <c r="BC1034" s="28">
        <f>AW1034+AX1034</f>
        <v>0</v>
      </c>
      <c r="BD1034" s="28">
        <f>G1034/(100-BE1034)*100</f>
        <v>0</v>
      </c>
      <c r="BE1034" s="28">
        <v>0</v>
      </c>
      <c r="BF1034" s="28">
        <f>1042</f>
        <v>1042</v>
      </c>
      <c r="BH1034" s="28">
        <f>F1034*AO1034</f>
        <v>0</v>
      </c>
      <c r="BI1034" s="28">
        <f>F1034*AP1034</f>
        <v>0</v>
      </c>
      <c r="BJ1034" s="28">
        <f>F1034*G1034</f>
        <v>0</v>
      </c>
      <c r="BK1034" s="28"/>
      <c r="BL1034" s="28">
        <v>711</v>
      </c>
      <c r="BW1034" s="28">
        <v>21</v>
      </c>
      <c r="BX1034" s="4" t="s">
        <v>1840</v>
      </c>
    </row>
    <row r="1035" spans="1:76" x14ac:dyDescent="0.25">
      <c r="A1035" s="2" t="s">
        <v>1841</v>
      </c>
      <c r="B1035" s="3" t="s">
        <v>1842</v>
      </c>
      <c r="C1035" s="76" t="s">
        <v>1843</v>
      </c>
      <c r="D1035" s="71"/>
      <c r="E1035" s="3" t="s">
        <v>926</v>
      </c>
      <c r="F1035" s="28">
        <v>31.5</v>
      </c>
      <c r="G1035" s="28">
        <v>0</v>
      </c>
      <c r="H1035" s="28">
        <f>ROUND(F1035*AO1035,2)</f>
        <v>0</v>
      </c>
      <c r="I1035" s="28">
        <f>ROUND(F1035*AP1035,2)</f>
        <v>0</v>
      </c>
      <c r="J1035" s="28">
        <f>ROUND(F1035*G1035,2)</f>
        <v>0</v>
      </c>
      <c r="K1035" s="29" t="s">
        <v>60</v>
      </c>
      <c r="Z1035" s="28">
        <f>ROUND(IF(AQ1035="5",BJ1035,0),2)</f>
        <v>0</v>
      </c>
      <c r="AB1035" s="28">
        <f>ROUND(IF(AQ1035="1",BH1035,0),2)</f>
        <v>0</v>
      </c>
      <c r="AC1035" s="28">
        <f>ROUND(IF(AQ1035="1",BI1035,0),2)</f>
        <v>0</v>
      </c>
      <c r="AD1035" s="28">
        <f>ROUND(IF(AQ1035="7",BH1035,0),2)</f>
        <v>0</v>
      </c>
      <c r="AE1035" s="28">
        <f>ROUND(IF(AQ1035="7",BI1035,0),2)</f>
        <v>0</v>
      </c>
      <c r="AF1035" s="28">
        <f>ROUND(IF(AQ1035="2",BH1035,0),2)</f>
        <v>0</v>
      </c>
      <c r="AG1035" s="28">
        <f>ROUND(IF(AQ1035="2",BI1035,0),2)</f>
        <v>0</v>
      </c>
      <c r="AH1035" s="28">
        <f>ROUND(IF(AQ1035="0",BJ1035,0),2)</f>
        <v>0</v>
      </c>
      <c r="AI1035" s="10" t="s">
        <v>1549</v>
      </c>
      <c r="AJ1035" s="28">
        <f>IF(AN1035=0,J1035,0)</f>
        <v>0</v>
      </c>
      <c r="AK1035" s="28">
        <f>IF(AN1035=12,J1035,0)</f>
        <v>0</v>
      </c>
      <c r="AL1035" s="28">
        <f>IF(AN1035=21,J1035,0)</f>
        <v>0</v>
      </c>
      <c r="AN1035" s="28">
        <v>21</v>
      </c>
      <c r="AO1035" s="28">
        <f>G1035*1</f>
        <v>0</v>
      </c>
      <c r="AP1035" s="28">
        <f>G1035*(1-1)</f>
        <v>0</v>
      </c>
      <c r="AQ1035" s="30" t="s">
        <v>118</v>
      </c>
      <c r="AV1035" s="28">
        <f>ROUND(AW1035+AX1035,2)</f>
        <v>0</v>
      </c>
      <c r="AW1035" s="28">
        <f>ROUND(F1035*AO1035,2)</f>
        <v>0</v>
      </c>
      <c r="AX1035" s="28">
        <f>ROUND(F1035*AP1035,2)</f>
        <v>0</v>
      </c>
      <c r="AY1035" s="30" t="s">
        <v>366</v>
      </c>
      <c r="AZ1035" s="30" t="s">
        <v>1836</v>
      </c>
      <c r="BA1035" s="10" t="s">
        <v>1556</v>
      </c>
      <c r="BC1035" s="28">
        <f>AW1035+AX1035</f>
        <v>0</v>
      </c>
      <c r="BD1035" s="28">
        <f>G1035/(100-BE1035)*100</f>
        <v>0</v>
      </c>
      <c r="BE1035" s="28">
        <v>0</v>
      </c>
      <c r="BF1035" s="28">
        <f>1043</f>
        <v>1043</v>
      </c>
      <c r="BH1035" s="28">
        <f>F1035*AO1035</f>
        <v>0</v>
      </c>
      <c r="BI1035" s="28">
        <f>F1035*AP1035</f>
        <v>0</v>
      </c>
      <c r="BJ1035" s="28">
        <f>F1035*G1035</f>
        <v>0</v>
      </c>
      <c r="BK1035" s="28"/>
      <c r="BL1035" s="28">
        <v>711</v>
      </c>
      <c r="BW1035" s="28">
        <v>21</v>
      </c>
      <c r="BX1035" s="4" t="s">
        <v>1843</v>
      </c>
    </row>
    <row r="1036" spans="1:76" x14ac:dyDescent="0.25">
      <c r="A1036" s="31"/>
      <c r="C1036" s="32" t="s">
        <v>1844</v>
      </c>
      <c r="D1036" s="32" t="s">
        <v>51</v>
      </c>
      <c r="F1036" s="33">
        <v>31.5</v>
      </c>
      <c r="K1036" s="34"/>
    </row>
    <row r="1037" spans="1:76" x14ac:dyDescent="0.25">
      <c r="A1037" s="24" t="s">
        <v>51</v>
      </c>
      <c r="B1037" s="25" t="s">
        <v>1845</v>
      </c>
      <c r="C1037" s="87" t="s">
        <v>1846</v>
      </c>
      <c r="D1037" s="88"/>
      <c r="E1037" s="26" t="s">
        <v>4</v>
      </c>
      <c r="F1037" s="26" t="s">
        <v>4</v>
      </c>
      <c r="G1037" s="26" t="s">
        <v>4</v>
      </c>
      <c r="H1037" s="1">
        <f>SUM(H1038:H1038)</f>
        <v>0</v>
      </c>
      <c r="I1037" s="1">
        <f>SUM(I1038:I1038)</f>
        <v>0</v>
      </c>
      <c r="J1037" s="1">
        <f>SUM(J1038:J1038)</f>
        <v>0</v>
      </c>
      <c r="K1037" s="27" t="s">
        <v>51</v>
      </c>
      <c r="AI1037" s="10" t="s">
        <v>1549</v>
      </c>
      <c r="AS1037" s="1">
        <f>SUM(AJ1038:AJ1038)</f>
        <v>0</v>
      </c>
      <c r="AT1037" s="1">
        <f>SUM(AK1038:AK1038)</f>
        <v>0</v>
      </c>
      <c r="AU1037" s="1">
        <f>SUM(AL1038:AL1038)</f>
        <v>0</v>
      </c>
    </row>
    <row r="1038" spans="1:76" x14ac:dyDescent="0.25">
      <c r="A1038" s="2" t="s">
        <v>1847</v>
      </c>
      <c r="B1038" s="3" t="s">
        <v>1848</v>
      </c>
      <c r="C1038" s="76" t="s">
        <v>1849</v>
      </c>
      <c r="D1038" s="71"/>
      <c r="E1038" s="3" t="s">
        <v>201</v>
      </c>
      <c r="F1038" s="28">
        <v>122.63</v>
      </c>
      <c r="G1038" s="28">
        <v>0</v>
      </c>
      <c r="H1038" s="28">
        <f>ROUND(F1038*AO1038,2)</f>
        <v>0</v>
      </c>
      <c r="I1038" s="28">
        <f>ROUND(F1038*AP1038,2)</f>
        <v>0</v>
      </c>
      <c r="J1038" s="28">
        <f>ROUND(F1038*G1038,2)</f>
        <v>0</v>
      </c>
      <c r="K1038" s="29" t="s">
        <v>60</v>
      </c>
      <c r="Z1038" s="28">
        <f>ROUND(IF(AQ1038="5",BJ1038,0),2)</f>
        <v>0</v>
      </c>
      <c r="AB1038" s="28">
        <f>ROUND(IF(AQ1038="1",BH1038,0),2)</f>
        <v>0</v>
      </c>
      <c r="AC1038" s="28">
        <f>ROUND(IF(AQ1038="1",BI1038,0),2)</f>
        <v>0</v>
      </c>
      <c r="AD1038" s="28">
        <f>ROUND(IF(AQ1038="7",BH1038,0),2)</f>
        <v>0</v>
      </c>
      <c r="AE1038" s="28">
        <f>ROUND(IF(AQ1038="7",BI1038,0),2)</f>
        <v>0</v>
      </c>
      <c r="AF1038" s="28">
        <f>ROUND(IF(AQ1038="2",BH1038,0),2)</f>
        <v>0</v>
      </c>
      <c r="AG1038" s="28">
        <f>ROUND(IF(AQ1038="2",BI1038,0),2)</f>
        <v>0</v>
      </c>
      <c r="AH1038" s="28">
        <f>ROUND(IF(AQ1038="0",BJ1038,0),2)</f>
        <v>0</v>
      </c>
      <c r="AI1038" s="10" t="s">
        <v>1549</v>
      </c>
      <c r="AJ1038" s="28">
        <f>IF(AN1038=0,J1038,0)</f>
        <v>0</v>
      </c>
      <c r="AK1038" s="28">
        <f>IF(AN1038=12,J1038,0)</f>
        <v>0</v>
      </c>
      <c r="AL1038" s="28">
        <f>IF(AN1038=21,J1038,0)</f>
        <v>0</v>
      </c>
      <c r="AN1038" s="28">
        <v>21</v>
      </c>
      <c r="AO1038" s="28">
        <f>G1038*0</f>
        <v>0</v>
      </c>
      <c r="AP1038" s="28">
        <f>G1038*(1-0)</f>
        <v>0</v>
      </c>
      <c r="AQ1038" s="30" t="s">
        <v>100</v>
      </c>
      <c r="AV1038" s="28">
        <f>ROUND(AW1038+AX1038,2)</f>
        <v>0</v>
      </c>
      <c r="AW1038" s="28">
        <f>ROUND(F1038*AO1038,2)</f>
        <v>0</v>
      </c>
      <c r="AX1038" s="28">
        <f>ROUND(F1038*AP1038,2)</f>
        <v>0</v>
      </c>
      <c r="AY1038" s="30" t="s">
        <v>1850</v>
      </c>
      <c r="AZ1038" s="30" t="s">
        <v>1851</v>
      </c>
      <c r="BA1038" s="10" t="s">
        <v>1556</v>
      </c>
      <c r="BC1038" s="28">
        <f>AW1038+AX1038</f>
        <v>0</v>
      </c>
      <c r="BD1038" s="28">
        <f>G1038/(100-BE1038)*100</f>
        <v>0</v>
      </c>
      <c r="BE1038" s="28">
        <v>0</v>
      </c>
      <c r="BF1038" s="28">
        <f>1046</f>
        <v>1046</v>
      </c>
      <c r="BH1038" s="28">
        <f>F1038*AO1038</f>
        <v>0</v>
      </c>
      <c r="BI1038" s="28">
        <f>F1038*AP1038</f>
        <v>0</v>
      </c>
      <c r="BJ1038" s="28">
        <f>F1038*G1038</f>
        <v>0</v>
      </c>
      <c r="BK1038" s="28"/>
      <c r="BL1038" s="28"/>
      <c r="BW1038" s="28">
        <v>21</v>
      </c>
      <c r="BX1038" s="4" t="s">
        <v>1849</v>
      </c>
    </row>
    <row r="1039" spans="1:76" x14ac:dyDescent="0.25">
      <c r="A1039" s="24" t="s">
        <v>51</v>
      </c>
      <c r="B1039" s="25" t="s">
        <v>51</v>
      </c>
      <c r="C1039" s="87" t="s">
        <v>1852</v>
      </c>
      <c r="D1039" s="88"/>
      <c r="E1039" s="26" t="s">
        <v>4</v>
      </c>
      <c r="F1039" s="26" t="s">
        <v>4</v>
      </c>
      <c r="G1039" s="26" t="s">
        <v>4</v>
      </c>
      <c r="H1039" s="1">
        <f>H1040+H1070+H1079+H1085+H1102</f>
        <v>0</v>
      </c>
      <c r="I1039" s="1">
        <f>I1040+I1070+I1079+I1085+I1102</f>
        <v>0</v>
      </c>
      <c r="J1039" s="1">
        <f>J1040+J1070+J1079+J1085+J1102</f>
        <v>0</v>
      </c>
      <c r="K1039" s="27" t="s">
        <v>51</v>
      </c>
    </row>
    <row r="1040" spans="1:76" x14ac:dyDescent="0.25">
      <c r="A1040" s="24" t="s">
        <v>51</v>
      </c>
      <c r="B1040" s="25" t="s">
        <v>145</v>
      </c>
      <c r="C1040" s="87" t="s">
        <v>1853</v>
      </c>
      <c r="D1040" s="88"/>
      <c r="E1040" s="26" t="s">
        <v>4</v>
      </c>
      <c r="F1040" s="26" t="s">
        <v>4</v>
      </c>
      <c r="G1040" s="26" t="s">
        <v>4</v>
      </c>
      <c r="H1040" s="1">
        <f>SUM(H1041:H1066)</f>
        <v>0</v>
      </c>
      <c r="I1040" s="1">
        <f>SUM(I1041:I1066)</f>
        <v>0</v>
      </c>
      <c r="J1040" s="1">
        <f>SUM(J1041:J1066)</f>
        <v>0</v>
      </c>
      <c r="K1040" s="27" t="s">
        <v>51</v>
      </c>
      <c r="AI1040" s="10" t="s">
        <v>1854</v>
      </c>
      <c r="AS1040" s="1">
        <f>SUM(AJ1041:AJ1066)</f>
        <v>0</v>
      </c>
      <c r="AT1040" s="1">
        <f>SUM(AK1041:AK1066)</f>
        <v>0</v>
      </c>
      <c r="AU1040" s="1">
        <f>SUM(AL1041:AL1066)</f>
        <v>0</v>
      </c>
    </row>
    <row r="1041" spans="1:76" x14ac:dyDescent="0.25">
      <c r="A1041" s="2" t="s">
        <v>1855</v>
      </c>
      <c r="B1041" s="3" t="s">
        <v>1856</v>
      </c>
      <c r="C1041" s="76" t="s">
        <v>1857</v>
      </c>
      <c r="D1041" s="71"/>
      <c r="E1041" s="3" t="s">
        <v>103</v>
      </c>
      <c r="F1041" s="28">
        <v>22</v>
      </c>
      <c r="G1041" s="28">
        <v>0</v>
      </c>
      <c r="H1041" s="28">
        <f>ROUND(F1041*AO1041,2)</f>
        <v>0</v>
      </c>
      <c r="I1041" s="28">
        <f>ROUND(F1041*AP1041,2)</f>
        <v>0</v>
      </c>
      <c r="J1041" s="28">
        <f>ROUND(F1041*G1041,2)</f>
        <v>0</v>
      </c>
      <c r="K1041" s="29" t="s">
        <v>60</v>
      </c>
      <c r="Z1041" s="28">
        <f>ROUND(IF(AQ1041="5",BJ1041,0),2)</f>
        <v>0</v>
      </c>
      <c r="AB1041" s="28">
        <f>ROUND(IF(AQ1041="1",BH1041,0),2)</f>
        <v>0</v>
      </c>
      <c r="AC1041" s="28">
        <f>ROUND(IF(AQ1041="1",BI1041,0),2)</f>
        <v>0</v>
      </c>
      <c r="AD1041" s="28">
        <f>ROUND(IF(AQ1041="7",BH1041,0),2)</f>
        <v>0</v>
      </c>
      <c r="AE1041" s="28">
        <f>ROUND(IF(AQ1041="7",BI1041,0),2)</f>
        <v>0</v>
      </c>
      <c r="AF1041" s="28">
        <f>ROUND(IF(AQ1041="2",BH1041,0),2)</f>
        <v>0</v>
      </c>
      <c r="AG1041" s="28">
        <f>ROUND(IF(AQ1041="2",BI1041,0),2)</f>
        <v>0</v>
      </c>
      <c r="AH1041" s="28">
        <f>ROUND(IF(AQ1041="0",BJ1041,0),2)</f>
        <v>0</v>
      </c>
      <c r="AI1041" s="10" t="s">
        <v>1854</v>
      </c>
      <c r="AJ1041" s="28">
        <f>IF(AN1041=0,J1041,0)</f>
        <v>0</v>
      </c>
      <c r="AK1041" s="28">
        <f>IF(AN1041=12,J1041,0)</f>
        <v>0</v>
      </c>
      <c r="AL1041" s="28">
        <f>IF(AN1041=21,J1041,0)</f>
        <v>0</v>
      </c>
      <c r="AN1041" s="28">
        <v>21</v>
      </c>
      <c r="AO1041" s="28">
        <f>G1041*0</f>
        <v>0</v>
      </c>
      <c r="AP1041" s="28">
        <f>G1041*(1-0)</f>
        <v>0</v>
      </c>
      <c r="AQ1041" s="30" t="s">
        <v>56</v>
      </c>
      <c r="AV1041" s="28">
        <f>ROUND(AW1041+AX1041,2)</f>
        <v>0</v>
      </c>
      <c r="AW1041" s="28">
        <f>ROUND(F1041*AO1041,2)</f>
        <v>0</v>
      </c>
      <c r="AX1041" s="28">
        <f>ROUND(F1041*AP1041,2)</f>
        <v>0</v>
      </c>
      <c r="AY1041" s="30" t="s">
        <v>1858</v>
      </c>
      <c r="AZ1041" s="30" t="s">
        <v>1859</v>
      </c>
      <c r="BA1041" s="10" t="s">
        <v>1860</v>
      </c>
      <c r="BC1041" s="28">
        <f>AW1041+AX1041</f>
        <v>0</v>
      </c>
      <c r="BD1041" s="28">
        <f>G1041/(100-BE1041)*100</f>
        <v>0</v>
      </c>
      <c r="BE1041" s="28">
        <v>0</v>
      </c>
      <c r="BF1041" s="28">
        <f>1049</f>
        <v>1049</v>
      </c>
      <c r="BH1041" s="28">
        <f>F1041*AO1041</f>
        <v>0</v>
      </c>
      <c r="BI1041" s="28">
        <f>F1041*AP1041</f>
        <v>0</v>
      </c>
      <c r="BJ1041" s="28">
        <f>F1041*G1041</f>
        <v>0</v>
      </c>
      <c r="BK1041" s="28"/>
      <c r="BL1041" s="28">
        <v>11</v>
      </c>
      <c r="BW1041" s="28">
        <v>21</v>
      </c>
      <c r="BX1041" s="4" t="s">
        <v>1857</v>
      </c>
    </row>
    <row r="1042" spans="1:76" x14ac:dyDescent="0.25">
      <c r="A1042" s="2" t="s">
        <v>1861</v>
      </c>
      <c r="B1042" s="3" t="s">
        <v>1862</v>
      </c>
      <c r="C1042" s="76" t="s">
        <v>1863</v>
      </c>
      <c r="D1042" s="71"/>
      <c r="E1042" s="3" t="s">
        <v>293</v>
      </c>
      <c r="F1042" s="28">
        <v>1</v>
      </c>
      <c r="G1042" s="28">
        <v>0</v>
      </c>
      <c r="H1042" s="28">
        <f>ROUND(F1042*AO1042,2)</f>
        <v>0</v>
      </c>
      <c r="I1042" s="28">
        <f>ROUND(F1042*AP1042,2)</f>
        <v>0</v>
      </c>
      <c r="J1042" s="28">
        <f>ROUND(F1042*G1042,2)</f>
        <v>0</v>
      </c>
      <c r="K1042" s="29" t="s">
        <v>60</v>
      </c>
      <c r="Z1042" s="28">
        <f>ROUND(IF(AQ1042="5",BJ1042,0),2)</f>
        <v>0</v>
      </c>
      <c r="AB1042" s="28">
        <f>ROUND(IF(AQ1042="1",BH1042,0),2)</f>
        <v>0</v>
      </c>
      <c r="AC1042" s="28">
        <f>ROUND(IF(AQ1042="1",BI1042,0),2)</f>
        <v>0</v>
      </c>
      <c r="AD1042" s="28">
        <f>ROUND(IF(AQ1042="7",BH1042,0),2)</f>
        <v>0</v>
      </c>
      <c r="AE1042" s="28">
        <f>ROUND(IF(AQ1042="7",BI1042,0),2)</f>
        <v>0</v>
      </c>
      <c r="AF1042" s="28">
        <f>ROUND(IF(AQ1042="2",BH1042,0),2)</f>
        <v>0</v>
      </c>
      <c r="AG1042" s="28">
        <f>ROUND(IF(AQ1042="2",BI1042,0),2)</f>
        <v>0</v>
      </c>
      <c r="AH1042" s="28">
        <f>ROUND(IF(AQ1042="0",BJ1042,0),2)</f>
        <v>0</v>
      </c>
      <c r="AI1042" s="10" t="s">
        <v>1854</v>
      </c>
      <c r="AJ1042" s="28">
        <f>IF(AN1042=0,J1042,0)</f>
        <v>0</v>
      </c>
      <c r="AK1042" s="28">
        <f>IF(AN1042=12,J1042,0)</f>
        <v>0</v>
      </c>
      <c r="AL1042" s="28">
        <f>IF(AN1042=21,J1042,0)</f>
        <v>0</v>
      </c>
      <c r="AN1042" s="28">
        <v>21</v>
      </c>
      <c r="AO1042" s="28">
        <f>G1042*0</f>
        <v>0</v>
      </c>
      <c r="AP1042" s="28">
        <f>G1042*(1-0)</f>
        <v>0</v>
      </c>
      <c r="AQ1042" s="30" t="s">
        <v>56</v>
      </c>
      <c r="AV1042" s="28">
        <f>ROUND(AW1042+AX1042,2)</f>
        <v>0</v>
      </c>
      <c r="AW1042" s="28">
        <f>ROUND(F1042*AO1042,2)</f>
        <v>0</v>
      </c>
      <c r="AX1042" s="28">
        <f>ROUND(F1042*AP1042,2)</f>
        <v>0</v>
      </c>
      <c r="AY1042" s="30" t="s">
        <v>1858</v>
      </c>
      <c r="AZ1042" s="30" t="s">
        <v>1859</v>
      </c>
      <c r="BA1042" s="10" t="s">
        <v>1860</v>
      </c>
      <c r="BC1042" s="28">
        <f>AW1042+AX1042</f>
        <v>0</v>
      </c>
      <c r="BD1042" s="28">
        <f>G1042/(100-BE1042)*100</f>
        <v>0</v>
      </c>
      <c r="BE1042" s="28">
        <v>0</v>
      </c>
      <c r="BF1042" s="28">
        <f>1050</f>
        <v>1050</v>
      </c>
      <c r="BH1042" s="28">
        <f>F1042*AO1042</f>
        <v>0</v>
      </c>
      <c r="BI1042" s="28">
        <f>F1042*AP1042</f>
        <v>0</v>
      </c>
      <c r="BJ1042" s="28">
        <f>F1042*G1042</f>
        <v>0</v>
      </c>
      <c r="BK1042" s="28"/>
      <c r="BL1042" s="28">
        <v>11</v>
      </c>
      <c r="BW1042" s="28">
        <v>21</v>
      </c>
      <c r="BX1042" s="4" t="s">
        <v>1863</v>
      </c>
    </row>
    <row r="1043" spans="1:76" x14ac:dyDescent="0.25">
      <c r="A1043" s="31"/>
      <c r="C1043" s="32" t="s">
        <v>56</v>
      </c>
      <c r="D1043" s="32" t="s">
        <v>1864</v>
      </c>
      <c r="F1043" s="33">
        <v>1</v>
      </c>
      <c r="K1043" s="34"/>
    </row>
    <row r="1044" spans="1:76" x14ac:dyDescent="0.25">
      <c r="A1044" s="2" t="s">
        <v>1865</v>
      </c>
      <c r="B1044" s="3" t="s">
        <v>1866</v>
      </c>
      <c r="C1044" s="76" t="s">
        <v>1867</v>
      </c>
      <c r="D1044" s="71"/>
      <c r="E1044" s="3" t="s">
        <v>293</v>
      </c>
      <c r="F1044" s="28">
        <v>1</v>
      </c>
      <c r="G1044" s="28">
        <v>0</v>
      </c>
      <c r="H1044" s="28">
        <f>ROUND(F1044*AO1044,2)</f>
        <v>0</v>
      </c>
      <c r="I1044" s="28">
        <f>ROUND(F1044*AP1044,2)</f>
        <v>0</v>
      </c>
      <c r="J1044" s="28">
        <f>ROUND(F1044*G1044,2)</f>
        <v>0</v>
      </c>
      <c r="K1044" s="29" t="s">
        <v>60</v>
      </c>
      <c r="Z1044" s="28">
        <f>ROUND(IF(AQ1044="5",BJ1044,0),2)</f>
        <v>0</v>
      </c>
      <c r="AB1044" s="28">
        <f>ROUND(IF(AQ1044="1",BH1044,0),2)</f>
        <v>0</v>
      </c>
      <c r="AC1044" s="28">
        <f>ROUND(IF(AQ1044="1",BI1044,0),2)</f>
        <v>0</v>
      </c>
      <c r="AD1044" s="28">
        <f>ROUND(IF(AQ1044="7",BH1044,0),2)</f>
        <v>0</v>
      </c>
      <c r="AE1044" s="28">
        <f>ROUND(IF(AQ1044="7",BI1044,0),2)</f>
        <v>0</v>
      </c>
      <c r="AF1044" s="28">
        <f>ROUND(IF(AQ1044="2",BH1044,0),2)</f>
        <v>0</v>
      </c>
      <c r="AG1044" s="28">
        <f>ROUND(IF(AQ1044="2",BI1044,0),2)</f>
        <v>0</v>
      </c>
      <c r="AH1044" s="28">
        <f>ROUND(IF(AQ1044="0",BJ1044,0),2)</f>
        <v>0</v>
      </c>
      <c r="AI1044" s="10" t="s">
        <v>1854</v>
      </c>
      <c r="AJ1044" s="28">
        <f>IF(AN1044=0,J1044,0)</f>
        <v>0</v>
      </c>
      <c r="AK1044" s="28">
        <f>IF(AN1044=12,J1044,0)</f>
        <v>0</v>
      </c>
      <c r="AL1044" s="28">
        <f>IF(AN1044=21,J1044,0)</f>
        <v>0</v>
      </c>
      <c r="AN1044" s="28">
        <v>21</v>
      </c>
      <c r="AO1044" s="28">
        <f>G1044*0</f>
        <v>0</v>
      </c>
      <c r="AP1044" s="28">
        <f>G1044*(1-0)</f>
        <v>0</v>
      </c>
      <c r="AQ1044" s="30" t="s">
        <v>56</v>
      </c>
      <c r="AV1044" s="28">
        <f>ROUND(AW1044+AX1044,2)</f>
        <v>0</v>
      </c>
      <c r="AW1044" s="28">
        <f>ROUND(F1044*AO1044,2)</f>
        <v>0</v>
      </c>
      <c r="AX1044" s="28">
        <f>ROUND(F1044*AP1044,2)</f>
        <v>0</v>
      </c>
      <c r="AY1044" s="30" t="s">
        <v>1858</v>
      </c>
      <c r="AZ1044" s="30" t="s">
        <v>1859</v>
      </c>
      <c r="BA1044" s="10" t="s">
        <v>1860</v>
      </c>
      <c r="BC1044" s="28">
        <f>AW1044+AX1044</f>
        <v>0</v>
      </c>
      <c r="BD1044" s="28">
        <f>G1044/(100-BE1044)*100</f>
        <v>0</v>
      </c>
      <c r="BE1044" s="28">
        <v>0</v>
      </c>
      <c r="BF1044" s="28">
        <f>1052</f>
        <v>1052</v>
      </c>
      <c r="BH1044" s="28">
        <f>F1044*AO1044</f>
        <v>0</v>
      </c>
      <c r="BI1044" s="28">
        <f>F1044*AP1044</f>
        <v>0</v>
      </c>
      <c r="BJ1044" s="28">
        <f>F1044*G1044</f>
        <v>0</v>
      </c>
      <c r="BK1044" s="28"/>
      <c r="BL1044" s="28">
        <v>11</v>
      </c>
      <c r="BW1044" s="28">
        <v>21</v>
      </c>
      <c r="BX1044" s="4" t="s">
        <v>1867</v>
      </c>
    </row>
    <row r="1045" spans="1:76" x14ac:dyDescent="0.25">
      <c r="A1045" s="31"/>
      <c r="C1045" s="32" t="s">
        <v>56</v>
      </c>
      <c r="D1045" s="32" t="s">
        <v>1868</v>
      </c>
      <c r="F1045" s="33">
        <v>1</v>
      </c>
      <c r="K1045" s="34"/>
    </row>
    <row r="1046" spans="1:76" x14ac:dyDescent="0.25">
      <c r="A1046" s="2" t="s">
        <v>1869</v>
      </c>
      <c r="B1046" s="3" t="s">
        <v>1870</v>
      </c>
      <c r="C1046" s="76" t="s">
        <v>1871</v>
      </c>
      <c r="D1046" s="71"/>
      <c r="E1046" s="3" t="s">
        <v>293</v>
      </c>
      <c r="F1046" s="28">
        <v>8</v>
      </c>
      <c r="G1046" s="28">
        <v>0</v>
      </c>
      <c r="H1046" s="28">
        <f>ROUND(F1046*AO1046,2)</f>
        <v>0</v>
      </c>
      <c r="I1046" s="28">
        <f>ROUND(F1046*AP1046,2)</f>
        <v>0</v>
      </c>
      <c r="J1046" s="28">
        <f>ROUND(F1046*G1046,2)</f>
        <v>0</v>
      </c>
      <c r="K1046" s="29" t="s">
        <v>60</v>
      </c>
      <c r="Z1046" s="28">
        <f>ROUND(IF(AQ1046="5",BJ1046,0),2)</f>
        <v>0</v>
      </c>
      <c r="AB1046" s="28">
        <f>ROUND(IF(AQ1046="1",BH1046,0),2)</f>
        <v>0</v>
      </c>
      <c r="AC1046" s="28">
        <f>ROUND(IF(AQ1046="1",BI1046,0),2)</f>
        <v>0</v>
      </c>
      <c r="AD1046" s="28">
        <f>ROUND(IF(AQ1046="7",BH1046,0),2)</f>
        <v>0</v>
      </c>
      <c r="AE1046" s="28">
        <f>ROUND(IF(AQ1046="7",BI1046,0),2)</f>
        <v>0</v>
      </c>
      <c r="AF1046" s="28">
        <f>ROUND(IF(AQ1046="2",BH1046,0),2)</f>
        <v>0</v>
      </c>
      <c r="AG1046" s="28">
        <f>ROUND(IF(AQ1046="2",BI1046,0),2)</f>
        <v>0</v>
      </c>
      <c r="AH1046" s="28">
        <f>ROUND(IF(AQ1046="0",BJ1046,0),2)</f>
        <v>0</v>
      </c>
      <c r="AI1046" s="10" t="s">
        <v>1854</v>
      </c>
      <c r="AJ1046" s="28">
        <f>IF(AN1046=0,J1046,0)</f>
        <v>0</v>
      </c>
      <c r="AK1046" s="28">
        <f>IF(AN1046=12,J1046,0)</f>
        <v>0</v>
      </c>
      <c r="AL1046" s="28">
        <f>IF(AN1046=21,J1046,0)</f>
        <v>0</v>
      </c>
      <c r="AN1046" s="28">
        <v>21</v>
      </c>
      <c r="AO1046" s="28">
        <f>G1046*0</f>
        <v>0</v>
      </c>
      <c r="AP1046" s="28">
        <f>G1046*(1-0)</f>
        <v>0</v>
      </c>
      <c r="AQ1046" s="30" t="s">
        <v>56</v>
      </c>
      <c r="AV1046" s="28">
        <f>ROUND(AW1046+AX1046,2)</f>
        <v>0</v>
      </c>
      <c r="AW1046" s="28">
        <f>ROUND(F1046*AO1046,2)</f>
        <v>0</v>
      </c>
      <c r="AX1046" s="28">
        <f>ROUND(F1046*AP1046,2)</f>
        <v>0</v>
      </c>
      <c r="AY1046" s="30" t="s">
        <v>1858</v>
      </c>
      <c r="AZ1046" s="30" t="s">
        <v>1859</v>
      </c>
      <c r="BA1046" s="10" t="s">
        <v>1860</v>
      </c>
      <c r="BC1046" s="28">
        <f>AW1046+AX1046</f>
        <v>0</v>
      </c>
      <c r="BD1046" s="28">
        <f>G1046/(100-BE1046)*100</f>
        <v>0</v>
      </c>
      <c r="BE1046" s="28">
        <v>0</v>
      </c>
      <c r="BF1046" s="28">
        <f>1054</f>
        <v>1054</v>
      </c>
      <c r="BH1046" s="28">
        <f>F1046*AO1046</f>
        <v>0</v>
      </c>
      <c r="BI1046" s="28">
        <f>F1046*AP1046</f>
        <v>0</v>
      </c>
      <c r="BJ1046" s="28">
        <f>F1046*G1046</f>
        <v>0</v>
      </c>
      <c r="BK1046" s="28"/>
      <c r="BL1046" s="28">
        <v>11</v>
      </c>
      <c r="BW1046" s="28">
        <v>21</v>
      </c>
      <c r="BX1046" s="4" t="s">
        <v>1871</v>
      </c>
    </row>
    <row r="1047" spans="1:76" x14ac:dyDescent="0.25">
      <c r="A1047" s="31"/>
      <c r="C1047" s="32" t="s">
        <v>51</v>
      </c>
      <c r="D1047" s="32" t="s">
        <v>1872</v>
      </c>
      <c r="F1047" s="33">
        <v>0</v>
      </c>
      <c r="K1047" s="34"/>
    </row>
    <row r="1048" spans="1:76" x14ac:dyDescent="0.25">
      <c r="A1048" s="2" t="s">
        <v>1873</v>
      </c>
      <c r="B1048" s="3" t="s">
        <v>1874</v>
      </c>
      <c r="C1048" s="76" t="s">
        <v>1875</v>
      </c>
      <c r="D1048" s="71"/>
      <c r="E1048" s="3" t="s">
        <v>59</v>
      </c>
      <c r="F1048" s="28">
        <v>9</v>
      </c>
      <c r="G1048" s="28">
        <v>0</v>
      </c>
      <c r="H1048" s="28">
        <f>ROUND(F1048*AO1048,2)</f>
        <v>0</v>
      </c>
      <c r="I1048" s="28">
        <f>ROUND(F1048*AP1048,2)</f>
        <v>0</v>
      </c>
      <c r="J1048" s="28">
        <f>ROUND(F1048*G1048,2)</f>
        <v>0</v>
      </c>
      <c r="K1048" s="29" t="s">
        <v>60</v>
      </c>
      <c r="Z1048" s="28">
        <f>ROUND(IF(AQ1048="5",BJ1048,0),2)</f>
        <v>0</v>
      </c>
      <c r="AB1048" s="28">
        <f>ROUND(IF(AQ1048="1",BH1048,0),2)</f>
        <v>0</v>
      </c>
      <c r="AC1048" s="28">
        <f>ROUND(IF(AQ1048="1",BI1048,0),2)</f>
        <v>0</v>
      </c>
      <c r="AD1048" s="28">
        <f>ROUND(IF(AQ1048="7",BH1048,0),2)</f>
        <v>0</v>
      </c>
      <c r="AE1048" s="28">
        <f>ROUND(IF(AQ1048="7",BI1048,0),2)</f>
        <v>0</v>
      </c>
      <c r="AF1048" s="28">
        <f>ROUND(IF(AQ1048="2",BH1048,0),2)</f>
        <v>0</v>
      </c>
      <c r="AG1048" s="28">
        <f>ROUND(IF(AQ1048="2",BI1048,0),2)</f>
        <v>0</v>
      </c>
      <c r="AH1048" s="28">
        <f>ROUND(IF(AQ1048="0",BJ1048,0),2)</f>
        <v>0</v>
      </c>
      <c r="AI1048" s="10" t="s">
        <v>1854</v>
      </c>
      <c r="AJ1048" s="28">
        <f>IF(AN1048=0,J1048,0)</f>
        <v>0</v>
      </c>
      <c r="AK1048" s="28">
        <f>IF(AN1048=12,J1048,0)</f>
        <v>0</v>
      </c>
      <c r="AL1048" s="28">
        <f>IF(AN1048=21,J1048,0)</f>
        <v>0</v>
      </c>
      <c r="AN1048" s="28">
        <v>21</v>
      </c>
      <c r="AO1048" s="28">
        <f>G1048*0</f>
        <v>0</v>
      </c>
      <c r="AP1048" s="28">
        <f>G1048*(1-0)</f>
        <v>0</v>
      </c>
      <c r="AQ1048" s="30" t="s">
        <v>56</v>
      </c>
      <c r="AV1048" s="28">
        <f>ROUND(AW1048+AX1048,2)</f>
        <v>0</v>
      </c>
      <c r="AW1048" s="28">
        <f>ROUND(F1048*AO1048,2)</f>
        <v>0</v>
      </c>
      <c r="AX1048" s="28">
        <f>ROUND(F1048*AP1048,2)</f>
        <v>0</v>
      </c>
      <c r="AY1048" s="30" t="s">
        <v>1858</v>
      </c>
      <c r="AZ1048" s="30" t="s">
        <v>1859</v>
      </c>
      <c r="BA1048" s="10" t="s">
        <v>1860</v>
      </c>
      <c r="BC1048" s="28">
        <f>AW1048+AX1048</f>
        <v>0</v>
      </c>
      <c r="BD1048" s="28">
        <f>G1048/(100-BE1048)*100</f>
        <v>0</v>
      </c>
      <c r="BE1048" s="28">
        <v>0</v>
      </c>
      <c r="BF1048" s="28">
        <f>1056</f>
        <v>1056</v>
      </c>
      <c r="BH1048" s="28">
        <f>F1048*AO1048</f>
        <v>0</v>
      </c>
      <c r="BI1048" s="28">
        <f>F1048*AP1048</f>
        <v>0</v>
      </c>
      <c r="BJ1048" s="28">
        <f>F1048*G1048</f>
        <v>0</v>
      </c>
      <c r="BK1048" s="28"/>
      <c r="BL1048" s="28">
        <v>11</v>
      </c>
      <c r="BW1048" s="28">
        <v>21</v>
      </c>
      <c r="BX1048" s="4" t="s">
        <v>1875</v>
      </c>
    </row>
    <row r="1049" spans="1:76" x14ac:dyDescent="0.25">
      <c r="A1049" s="2" t="s">
        <v>1876</v>
      </c>
      <c r="B1049" s="3" t="s">
        <v>1877</v>
      </c>
      <c r="C1049" s="76" t="s">
        <v>1878</v>
      </c>
      <c r="D1049" s="71"/>
      <c r="E1049" s="3" t="s">
        <v>103</v>
      </c>
      <c r="F1049" s="28">
        <v>251</v>
      </c>
      <c r="G1049" s="28">
        <v>0</v>
      </c>
      <c r="H1049" s="28">
        <f>ROUND(F1049*AO1049,2)</f>
        <v>0</v>
      </c>
      <c r="I1049" s="28">
        <f>ROUND(F1049*AP1049,2)</f>
        <v>0</v>
      </c>
      <c r="J1049" s="28">
        <f>ROUND(F1049*G1049,2)</f>
        <v>0</v>
      </c>
      <c r="K1049" s="29" t="s">
        <v>60</v>
      </c>
      <c r="Z1049" s="28">
        <f>ROUND(IF(AQ1049="5",BJ1049,0),2)</f>
        <v>0</v>
      </c>
      <c r="AB1049" s="28">
        <f>ROUND(IF(AQ1049="1",BH1049,0),2)</f>
        <v>0</v>
      </c>
      <c r="AC1049" s="28">
        <f>ROUND(IF(AQ1049="1",BI1049,0),2)</f>
        <v>0</v>
      </c>
      <c r="AD1049" s="28">
        <f>ROUND(IF(AQ1049="7",BH1049,0),2)</f>
        <v>0</v>
      </c>
      <c r="AE1049" s="28">
        <f>ROUND(IF(AQ1049="7",BI1049,0),2)</f>
        <v>0</v>
      </c>
      <c r="AF1049" s="28">
        <f>ROUND(IF(AQ1049="2",BH1049,0),2)</f>
        <v>0</v>
      </c>
      <c r="AG1049" s="28">
        <f>ROUND(IF(AQ1049="2",BI1049,0),2)</f>
        <v>0</v>
      </c>
      <c r="AH1049" s="28">
        <f>ROUND(IF(AQ1049="0",BJ1049,0),2)</f>
        <v>0</v>
      </c>
      <c r="AI1049" s="10" t="s">
        <v>1854</v>
      </c>
      <c r="AJ1049" s="28">
        <f>IF(AN1049=0,J1049,0)</f>
        <v>0</v>
      </c>
      <c r="AK1049" s="28">
        <f>IF(AN1049=12,J1049,0)</f>
        <v>0</v>
      </c>
      <c r="AL1049" s="28">
        <f>IF(AN1049=21,J1049,0)</f>
        <v>0</v>
      </c>
      <c r="AN1049" s="28">
        <v>21</v>
      </c>
      <c r="AO1049" s="28">
        <f>G1049*0</f>
        <v>0</v>
      </c>
      <c r="AP1049" s="28">
        <f>G1049*(1-0)</f>
        <v>0</v>
      </c>
      <c r="AQ1049" s="30" t="s">
        <v>56</v>
      </c>
      <c r="AV1049" s="28">
        <f>ROUND(AW1049+AX1049,2)</f>
        <v>0</v>
      </c>
      <c r="AW1049" s="28">
        <f>ROUND(F1049*AO1049,2)</f>
        <v>0</v>
      </c>
      <c r="AX1049" s="28">
        <f>ROUND(F1049*AP1049,2)</f>
        <v>0</v>
      </c>
      <c r="AY1049" s="30" t="s">
        <v>1858</v>
      </c>
      <c r="AZ1049" s="30" t="s">
        <v>1859</v>
      </c>
      <c r="BA1049" s="10" t="s">
        <v>1860</v>
      </c>
      <c r="BC1049" s="28">
        <f>AW1049+AX1049</f>
        <v>0</v>
      </c>
      <c r="BD1049" s="28">
        <f>G1049/(100-BE1049)*100</f>
        <v>0</v>
      </c>
      <c r="BE1049" s="28">
        <v>0</v>
      </c>
      <c r="BF1049" s="28">
        <f>1057</f>
        <v>1057</v>
      </c>
      <c r="BH1049" s="28">
        <f>F1049*AO1049</f>
        <v>0</v>
      </c>
      <c r="BI1049" s="28">
        <f>F1049*AP1049</f>
        <v>0</v>
      </c>
      <c r="BJ1049" s="28">
        <f>F1049*G1049</f>
        <v>0</v>
      </c>
      <c r="BK1049" s="28"/>
      <c r="BL1049" s="28">
        <v>11</v>
      </c>
      <c r="BW1049" s="28">
        <v>21</v>
      </c>
      <c r="BX1049" s="4" t="s">
        <v>1878</v>
      </c>
    </row>
    <row r="1050" spans="1:76" x14ac:dyDescent="0.25">
      <c r="A1050" s="31"/>
      <c r="C1050" s="32" t="s">
        <v>295</v>
      </c>
      <c r="D1050" s="32" t="s">
        <v>811</v>
      </c>
      <c r="F1050" s="33">
        <v>35</v>
      </c>
      <c r="K1050" s="34"/>
    </row>
    <row r="1051" spans="1:76" x14ac:dyDescent="0.25">
      <c r="A1051" s="31"/>
      <c r="C1051" s="32" t="s">
        <v>636</v>
      </c>
      <c r="D1051" s="32" t="s">
        <v>1879</v>
      </c>
      <c r="F1051" s="33">
        <v>104</v>
      </c>
      <c r="K1051" s="34"/>
    </row>
    <row r="1052" spans="1:76" x14ac:dyDescent="0.25">
      <c r="A1052" s="31"/>
      <c r="C1052" s="32" t="s">
        <v>1880</v>
      </c>
      <c r="D1052" s="32" t="s">
        <v>1881</v>
      </c>
      <c r="F1052" s="33">
        <v>112</v>
      </c>
      <c r="K1052" s="34"/>
    </row>
    <row r="1053" spans="1:76" x14ac:dyDescent="0.25">
      <c r="A1053" s="2" t="s">
        <v>1882</v>
      </c>
      <c r="B1053" s="3" t="s">
        <v>1883</v>
      </c>
      <c r="C1053" s="76" t="s">
        <v>1884</v>
      </c>
      <c r="D1053" s="71"/>
      <c r="E1053" s="3" t="s">
        <v>103</v>
      </c>
      <c r="F1053" s="28">
        <v>1008.6</v>
      </c>
      <c r="G1053" s="28">
        <v>0</v>
      </c>
      <c r="H1053" s="28">
        <f>ROUND(F1053*AO1053,2)</f>
        <v>0</v>
      </c>
      <c r="I1053" s="28">
        <f>ROUND(F1053*AP1053,2)</f>
        <v>0</v>
      </c>
      <c r="J1053" s="28">
        <f>ROUND(F1053*G1053,2)</f>
        <v>0</v>
      </c>
      <c r="K1053" s="29" t="s">
        <v>60</v>
      </c>
      <c r="Z1053" s="28">
        <f>ROUND(IF(AQ1053="5",BJ1053,0),2)</f>
        <v>0</v>
      </c>
      <c r="AB1053" s="28">
        <f>ROUND(IF(AQ1053="1",BH1053,0),2)</f>
        <v>0</v>
      </c>
      <c r="AC1053" s="28">
        <f>ROUND(IF(AQ1053="1",BI1053,0),2)</f>
        <v>0</v>
      </c>
      <c r="AD1053" s="28">
        <f>ROUND(IF(AQ1053="7",BH1053,0),2)</f>
        <v>0</v>
      </c>
      <c r="AE1053" s="28">
        <f>ROUND(IF(AQ1053="7",BI1053,0),2)</f>
        <v>0</v>
      </c>
      <c r="AF1053" s="28">
        <f>ROUND(IF(AQ1053="2",BH1053,0),2)</f>
        <v>0</v>
      </c>
      <c r="AG1053" s="28">
        <f>ROUND(IF(AQ1053="2",BI1053,0),2)</f>
        <v>0</v>
      </c>
      <c r="AH1053" s="28">
        <f>ROUND(IF(AQ1053="0",BJ1053,0),2)</f>
        <v>0</v>
      </c>
      <c r="AI1053" s="10" t="s">
        <v>1854</v>
      </c>
      <c r="AJ1053" s="28">
        <f>IF(AN1053=0,J1053,0)</f>
        <v>0</v>
      </c>
      <c r="AK1053" s="28">
        <f>IF(AN1053=12,J1053,0)</f>
        <v>0</v>
      </c>
      <c r="AL1053" s="28">
        <f>IF(AN1053=21,J1053,0)</f>
        <v>0</v>
      </c>
      <c r="AN1053" s="28">
        <v>21</v>
      </c>
      <c r="AO1053" s="28">
        <f>G1053*0</f>
        <v>0</v>
      </c>
      <c r="AP1053" s="28">
        <f>G1053*(1-0)</f>
        <v>0</v>
      </c>
      <c r="AQ1053" s="30" t="s">
        <v>56</v>
      </c>
      <c r="AV1053" s="28">
        <f>ROUND(AW1053+AX1053,2)</f>
        <v>0</v>
      </c>
      <c r="AW1053" s="28">
        <f>ROUND(F1053*AO1053,2)</f>
        <v>0</v>
      </c>
      <c r="AX1053" s="28">
        <f>ROUND(F1053*AP1053,2)</f>
        <v>0</v>
      </c>
      <c r="AY1053" s="30" t="s">
        <v>1858</v>
      </c>
      <c r="AZ1053" s="30" t="s">
        <v>1859</v>
      </c>
      <c r="BA1053" s="10" t="s">
        <v>1860</v>
      </c>
      <c r="BC1053" s="28">
        <f>AW1053+AX1053</f>
        <v>0</v>
      </c>
      <c r="BD1053" s="28">
        <f>G1053/(100-BE1053)*100</f>
        <v>0</v>
      </c>
      <c r="BE1053" s="28">
        <v>0</v>
      </c>
      <c r="BF1053" s="28">
        <f>1061</f>
        <v>1061</v>
      </c>
      <c r="BH1053" s="28">
        <f>F1053*AO1053</f>
        <v>0</v>
      </c>
      <c r="BI1053" s="28">
        <f>F1053*AP1053</f>
        <v>0</v>
      </c>
      <c r="BJ1053" s="28">
        <f>F1053*G1053</f>
        <v>0</v>
      </c>
      <c r="BK1053" s="28"/>
      <c r="BL1053" s="28">
        <v>11</v>
      </c>
      <c r="BW1053" s="28">
        <v>21</v>
      </c>
      <c r="BX1053" s="4" t="s">
        <v>1884</v>
      </c>
    </row>
    <row r="1054" spans="1:76" x14ac:dyDescent="0.25">
      <c r="A1054" s="31"/>
      <c r="C1054" s="32" t="s">
        <v>1885</v>
      </c>
      <c r="D1054" s="32" t="s">
        <v>1886</v>
      </c>
      <c r="F1054" s="33">
        <v>940</v>
      </c>
      <c r="K1054" s="34"/>
    </row>
    <row r="1055" spans="1:76" x14ac:dyDescent="0.25">
      <c r="A1055" s="31"/>
      <c r="C1055" s="32" t="s">
        <v>1887</v>
      </c>
      <c r="D1055" s="32" t="s">
        <v>1888</v>
      </c>
      <c r="F1055" s="33">
        <v>3.6</v>
      </c>
      <c r="K1055" s="34"/>
    </row>
    <row r="1056" spans="1:76" x14ac:dyDescent="0.25">
      <c r="A1056" s="31"/>
      <c r="C1056" s="32" t="s">
        <v>463</v>
      </c>
      <c r="D1056" s="32" t="s">
        <v>1889</v>
      </c>
      <c r="F1056" s="33">
        <v>65</v>
      </c>
      <c r="K1056" s="34"/>
    </row>
    <row r="1057" spans="1:76" ht="51" x14ac:dyDescent="0.25">
      <c r="A1057" s="31"/>
      <c r="B1057" s="35" t="s">
        <v>68</v>
      </c>
      <c r="C1057" s="94" t="s">
        <v>1890</v>
      </c>
      <c r="D1057" s="95"/>
      <c r="E1057" s="95"/>
      <c r="F1057" s="95"/>
      <c r="G1057" s="95"/>
      <c r="H1057" s="95"/>
      <c r="I1057" s="95"/>
      <c r="J1057" s="95"/>
      <c r="K1057" s="96"/>
      <c r="BX1057" s="36" t="s">
        <v>1890</v>
      </c>
    </row>
    <row r="1058" spans="1:76" x14ac:dyDescent="0.25">
      <c r="A1058" s="2" t="s">
        <v>1891</v>
      </c>
      <c r="B1058" s="3" t="s">
        <v>1892</v>
      </c>
      <c r="C1058" s="76" t="s">
        <v>1893</v>
      </c>
      <c r="D1058" s="71"/>
      <c r="E1058" s="3" t="s">
        <v>103</v>
      </c>
      <c r="F1058" s="28">
        <v>1412.6</v>
      </c>
      <c r="G1058" s="28">
        <v>0</v>
      </c>
      <c r="H1058" s="28">
        <f>ROUND(F1058*AO1058,2)</f>
        <v>0</v>
      </c>
      <c r="I1058" s="28">
        <f>ROUND(F1058*AP1058,2)</f>
        <v>0</v>
      </c>
      <c r="J1058" s="28">
        <f>ROUND(F1058*G1058,2)</f>
        <v>0</v>
      </c>
      <c r="K1058" s="29" t="s">
        <v>60</v>
      </c>
      <c r="Z1058" s="28">
        <f>ROUND(IF(AQ1058="5",BJ1058,0),2)</f>
        <v>0</v>
      </c>
      <c r="AB1058" s="28">
        <f>ROUND(IF(AQ1058="1",BH1058,0),2)</f>
        <v>0</v>
      </c>
      <c r="AC1058" s="28">
        <f>ROUND(IF(AQ1058="1",BI1058,0),2)</f>
        <v>0</v>
      </c>
      <c r="AD1058" s="28">
        <f>ROUND(IF(AQ1058="7",BH1058,0),2)</f>
        <v>0</v>
      </c>
      <c r="AE1058" s="28">
        <f>ROUND(IF(AQ1058="7",BI1058,0),2)</f>
        <v>0</v>
      </c>
      <c r="AF1058" s="28">
        <f>ROUND(IF(AQ1058="2",BH1058,0),2)</f>
        <v>0</v>
      </c>
      <c r="AG1058" s="28">
        <f>ROUND(IF(AQ1058="2",BI1058,0),2)</f>
        <v>0</v>
      </c>
      <c r="AH1058" s="28">
        <f>ROUND(IF(AQ1058="0",BJ1058,0),2)</f>
        <v>0</v>
      </c>
      <c r="AI1058" s="10" t="s">
        <v>1854</v>
      </c>
      <c r="AJ1058" s="28">
        <f>IF(AN1058=0,J1058,0)</f>
        <v>0</v>
      </c>
      <c r="AK1058" s="28">
        <f>IF(AN1058=12,J1058,0)</f>
        <v>0</v>
      </c>
      <c r="AL1058" s="28">
        <f>IF(AN1058=21,J1058,0)</f>
        <v>0</v>
      </c>
      <c r="AN1058" s="28">
        <v>21</v>
      </c>
      <c r="AO1058" s="28">
        <f>G1058*0</f>
        <v>0</v>
      </c>
      <c r="AP1058" s="28">
        <f>G1058*(1-0)</f>
        <v>0</v>
      </c>
      <c r="AQ1058" s="30" t="s">
        <v>56</v>
      </c>
      <c r="AV1058" s="28">
        <f>ROUND(AW1058+AX1058,2)</f>
        <v>0</v>
      </c>
      <c r="AW1058" s="28">
        <f>ROUND(F1058*AO1058,2)</f>
        <v>0</v>
      </c>
      <c r="AX1058" s="28">
        <f>ROUND(F1058*AP1058,2)</f>
        <v>0</v>
      </c>
      <c r="AY1058" s="30" t="s">
        <v>1858</v>
      </c>
      <c r="AZ1058" s="30" t="s">
        <v>1859</v>
      </c>
      <c r="BA1058" s="10" t="s">
        <v>1860</v>
      </c>
      <c r="BC1058" s="28">
        <f>AW1058+AX1058</f>
        <v>0</v>
      </c>
      <c r="BD1058" s="28">
        <f>G1058/(100-BE1058)*100</f>
        <v>0</v>
      </c>
      <c r="BE1058" s="28">
        <v>0</v>
      </c>
      <c r="BF1058" s="28">
        <f>1066</f>
        <v>1066</v>
      </c>
      <c r="BH1058" s="28">
        <f>F1058*AO1058</f>
        <v>0</v>
      </c>
      <c r="BI1058" s="28">
        <f>F1058*AP1058</f>
        <v>0</v>
      </c>
      <c r="BJ1058" s="28">
        <f>F1058*G1058</f>
        <v>0</v>
      </c>
      <c r="BK1058" s="28"/>
      <c r="BL1058" s="28">
        <v>11</v>
      </c>
      <c r="BW1058" s="28">
        <v>21</v>
      </c>
      <c r="BX1058" s="4" t="s">
        <v>1893</v>
      </c>
    </row>
    <row r="1059" spans="1:76" x14ac:dyDescent="0.25">
      <c r="A1059" s="31"/>
      <c r="C1059" s="32" t="s">
        <v>295</v>
      </c>
      <c r="D1059" s="32" t="s">
        <v>1894</v>
      </c>
      <c r="F1059" s="33">
        <v>35</v>
      </c>
      <c r="K1059" s="34"/>
    </row>
    <row r="1060" spans="1:76" x14ac:dyDescent="0.25">
      <c r="A1060" s="31"/>
      <c r="C1060" s="32" t="s">
        <v>1200</v>
      </c>
      <c r="D1060" s="32" t="s">
        <v>1895</v>
      </c>
      <c r="F1060" s="33">
        <v>220</v>
      </c>
      <c r="K1060" s="34"/>
    </row>
    <row r="1061" spans="1:76" x14ac:dyDescent="0.25">
      <c r="A1061" s="31"/>
      <c r="C1061" s="32" t="s">
        <v>135</v>
      </c>
      <c r="D1061" s="32" t="s">
        <v>1896</v>
      </c>
      <c r="F1061" s="33">
        <v>10</v>
      </c>
      <c r="K1061" s="34"/>
    </row>
    <row r="1062" spans="1:76" x14ac:dyDescent="0.25">
      <c r="A1062" s="31"/>
      <c r="C1062" s="32" t="s">
        <v>295</v>
      </c>
      <c r="D1062" s="32" t="s">
        <v>1897</v>
      </c>
      <c r="F1062" s="33">
        <v>35</v>
      </c>
      <c r="K1062" s="34"/>
    </row>
    <row r="1063" spans="1:76" x14ac:dyDescent="0.25">
      <c r="A1063" s="31"/>
      <c r="C1063" s="32" t="s">
        <v>1898</v>
      </c>
      <c r="D1063" s="32" t="s">
        <v>1899</v>
      </c>
      <c r="F1063" s="33">
        <v>1008.6</v>
      </c>
      <c r="K1063" s="34"/>
    </row>
    <row r="1064" spans="1:76" x14ac:dyDescent="0.25">
      <c r="A1064" s="31"/>
      <c r="C1064" s="32" t="s">
        <v>636</v>
      </c>
      <c r="D1064" s="32" t="s">
        <v>1900</v>
      </c>
      <c r="F1064" s="33">
        <v>104</v>
      </c>
      <c r="K1064" s="34"/>
    </row>
    <row r="1065" spans="1:76" ht="51" x14ac:dyDescent="0.25">
      <c r="A1065" s="31"/>
      <c r="B1065" s="35" t="s">
        <v>68</v>
      </c>
      <c r="C1065" s="94" t="s">
        <v>1901</v>
      </c>
      <c r="D1065" s="95"/>
      <c r="E1065" s="95"/>
      <c r="F1065" s="95"/>
      <c r="G1065" s="95"/>
      <c r="H1065" s="95"/>
      <c r="I1065" s="95"/>
      <c r="J1065" s="95"/>
      <c r="K1065" s="96"/>
      <c r="BX1065" s="36" t="s">
        <v>1901</v>
      </c>
    </row>
    <row r="1066" spans="1:76" x14ac:dyDescent="0.25">
      <c r="A1066" s="2" t="s">
        <v>1902</v>
      </c>
      <c r="B1066" s="3" t="s">
        <v>1903</v>
      </c>
      <c r="C1066" s="76" t="s">
        <v>1904</v>
      </c>
      <c r="D1066" s="71"/>
      <c r="E1066" s="3" t="s">
        <v>103</v>
      </c>
      <c r="F1066" s="28">
        <v>164</v>
      </c>
      <c r="G1066" s="28">
        <v>0</v>
      </c>
      <c r="H1066" s="28">
        <f>ROUND(F1066*AO1066,2)</f>
        <v>0</v>
      </c>
      <c r="I1066" s="28">
        <f>ROUND(F1066*AP1066,2)</f>
        <v>0</v>
      </c>
      <c r="J1066" s="28">
        <f>ROUND(F1066*G1066,2)</f>
        <v>0</v>
      </c>
      <c r="K1066" s="29" t="s">
        <v>60</v>
      </c>
      <c r="Z1066" s="28">
        <f>ROUND(IF(AQ1066="5",BJ1066,0),2)</f>
        <v>0</v>
      </c>
      <c r="AB1066" s="28">
        <f>ROUND(IF(AQ1066="1",BH1066,0),2)</f>
        <v>0</v>
      </c>
      <c r="AC1066" s="28">
        <f>ROUND(IF(AQ1066="1",BI1066,0),2)</f>
        <v>0</v>
      </c>
      <c r="AD1066" s="28">
        <f>ROUND(IF(AQ1066="7",BH1066,0),2)</f>
        <v>0</v>
      </c>
      <c r="AE1066" s="28">
        <f>ROUND(IF(AQ1066="7",BI1066,0),2)</f>
        <v>0</v>
      </c>
      <c r="AF1066" s="28">
        <f>ROUND(IF(AQ1066="2",BH1066,0),2)</f>
        <v>0</v>
      </c>
      <c r="AG1066" s="28">
        <f>ROUND(IF(AQ1066="2",BI1066,0),2)</f>
        <v>0</v>
      </c>
      <c r="AH1066" s="28">
        <f>ROUND(IF(AQ1066="0",BJ1066,0),2)</f>
        <v>0</v>
      </c>
      <c r="AI1066" s="10" t="s">
        <v>1854</v>
      </c>
      <c r="AJ1066" s="28">
        <f>IF(AN1066=0,J1066,0)</f>
        <v>0</v>
      </c>
      <c r="AK1066" s="28">
        <f>IF(AN1066=12,J1066,0)</f>
        <v>0</v>
      </c>
      <c r="AL1066" s="28">
        <f>IF(AN1066=21,J1066,0)</f>
        <v>0</v>
      </c>
      <c r="AN1066" s="28">
        <v>21</v>
      </c>
      <c r="AO1066" s="28">
        <f>G1066*0</f>
        <v>0</v>
      </c>
      <c r="AP1066" s="28">
        <f>G1066*(1-0)</f>
        <v>0</v>
      </c>
      <c r="AQ1066" s="30" t="s">
        <v>56</v>
      </c>
      <c r="AV1066" s="28">
        <f>ROUND(AW1066+AX1066,2)</f>
        <v>0</v>
      </c>
      <c r="AW1066" s="28">
        <f>ROUND(F1066*AO1066,2)</f>
        <v>0</v>
      </c>
      <c r="AX1066" s="28">
        <f>ROUND(F1066*AP1066,2)</f>
        <v>0</v>
      </c>
      <c r="AY1066" s="30" t="s">
        <v>1858</v>
      </c>
      <c r="AZ1066" s="30" t="s">
        <v>1859</v>
      </c>
      <c r="BA1066" s="10" t="s">
        <v>1860</v>
      </c>
      <c r="BC1066" s="28">
        <f>AW1066+AX1066</f>
        <v>0</v>
      </c>
      <c r="BD1066" s="28">
        <f>G1066/(100-BE1066)*100</f>
        <v>0</v>
      </c>
      <c r="BE1066" s="28">
        <v>0</v>
      </c>
      <c r="BF1066" s="28">
        <f>1074</f>
        <v>1074</v>
      </c>
      <c r="BH1066" s="28">
        <f>F1066*AO1066</f>
        <v>0</v>
      </c>
      <c r="BI1066" s="28">
        <f>F1066*AP1066</f>
        <v>0</v>
      </c>
      <c r="BJ1066" s="28">
        <f>F1066*G1066</f>
        <v>0</v>
      </c>
      <c r="BK1066" s="28"/>
      <c r="BL1066" s="28">
        <v>11</v>
      </c>
      <c r="BW1066" s="28">
        <v>21</v>
      </c>
      <c r="BX1066" s="4" t="s">
        <v>1904</v>
      </c>
    </row>
    <row r="1067" spans="1:76" x14ac:dyDescent="0.25">
      <c r="A1067" s="31"/>
      <c r="C1067" s="32" t="s">
        <v>440</v>
      </c>
      <c r="D1067" s="32" t="s">
        <v>1905</v>
      </c>
      <c r="F1067" s="33">
        <v>60</v>
      </c>
      <c r="K1067" s="34"/>
    </row>
    <row r="1068" spans="1:76" x14ac:dyDescent="0.25">
      <c r="A1068" s="31"/>
      <c r="C1068" s="32" t="s">
        <v>636</v>
      </c>
      <c r="D1068" s="32" t="s">
        <v>1879</v>
      </c>
      <c r="F1068" s="33">
        <v>104</v>
      </c>
      <c r="K1068" s="34"/>
    </row>
    <row r="1069" spans="1:76" ht="51" x14ac:dyDescent="0.25">
      <c r="A1069" s="31"/>
      <c r="B1069" s="35" t="s">
        <v>68</v>
      </c>
      <c r="C1069" s="94" t="s">
        <v>1901</v>
      </c>
      <c r="D1069" s="95"/>
      <c r="E1069" s="95"/>
      <c r="F1069" s="95"/>
      <c r="G1069" s="95"/>
      <c r="H1069" s="95"/>
      <c r="I1069" s="95"/>
      <c r="J1069" s="95"/>
      <c r="K1069" s="96"/>
      <c r="BX1069" s="36" t="s">
        <v>1901</v>
      </c>
    </row>
    <row r="1070" spans="1:76" x14ac:dyDescent="0.25">
      <c r="A1070" s="24" t="s">
        <v>51</v>
      </c>
      <c r="B1070" s="25" t="s">
        <v>148</v>
      </c>
      <c r="C1070" s="87" t="s">
        <v>713</v>
      </c>
      <c r="D1070" s="88"/>
      <c r="E1070" s="26" t="s">
        <v>4</v>
      </c>
      <c r="F1070" s="26" t="s">
        <v>4</v>
      </c>
      <c r="G1070" s="26" t="s">
        <v>4</v>
      </c>
      <c r="H1070" s="1">
        <f>SUM(H1071:H1074)</f>
        <v>0</v>
      </c>
      <c r="I1070" s="1">
        <f>SUM(I1071:I1074)</f>
        <v>0</v>
      </c>
      <c r="J1070" s="1">
        <f>SUM(J1071:J1074)</f>
        <v>0</v>
      </c>
      <c r="K1070" s="27" t="s">
        <v>51</v>
      </c>
      <c r="AI1070" s="10" t="s">
        <v>1854</v>
      </c>
      <c r="AS1070" s="1">
        <f>SUM(AJ1071:AJ1074)</f>
        <v>0</v>
      </c>
      <c r="AT1070" s="1">
        <f>SUM(AK1071:AK1074)</f>
        <v>0</v>
      </c>
      <c r="AU1070" s="1">
        <f>SUM(AL1071:AL1074)</f>
        <v>0</v>
      </c>
    </row>
    <row r="1071" spans="1:76" x14ac:dyDescent="0.25">
      <c r="A1071" s="2" t="s">
        <v>1906</v>
      </c>
      <c r="B1071" s="3" t="s">
        <v>1907</v>
      </c>
      <c r="C1071" s="76" t="s">
        <v>1908</v>
      </c>
      <c r="D1071" s="71"/>
      <c r="E1071" s="3" t="s">
        <v>59</v>
      </c>
      <c r="F1071" s="28">
        <v>463.7</v>
      </c>
      <c r="G1071" s="28">
        <v>0</v>
      </c>
      <c r="H1071" s="28">
        <f>ROUND(F1071*AO1071,2)</f>
        <v>0</v>
      </c>
      <c r="I1071" s="28">
        <f>ROUND(F1071*AP1071,2)</f>
        <v>0</v>
      </c>
      <c r="J1071" s="28">
        <f>ROUND(F1071*G1071,2)</f>
        <v>0</v>
      </c>
      <c r="K1071" s="29" t="s">
        <v>60</v>
      </c>
      <c r="Z1071" s="28">
        <f>ROUND(IF(AQ1071="5",BJ1071,0),2)</f>
        <v>0</v>
      </c>
      <c r="AB1071" s="28">
        <f>ROUND(IF(AQ1071="1",BH1071,0),2)</f>
        <v>0</v>
      </c>
      <c r="AC1071" s="28">
        <f>ROUND(IF(AQ1071="1",BI1071,0),2)</f>
        <v>0</v>
      </c>
      <c r="AD1071" s="28">
        <f>ROUND(IF(AQ1071="7",BH1071,0),2)</f>
        <v>0</v>
      </c>
      <c r="AE1071" s="28">
        <f>ROUND(IF(AQ1071="7",BI1071,0),2)</f>
        <v>0</v>
      </c>
      <c r="AF1071" s="28">
        <f>ROUND(IF(AQ1071="2",BH1071,0),2)</f>
        <v>0</v>
      </c>
      <c r="AG1071" s="28">
        <f>ROUND(IF(AQ1071="2",BI1071,0),2)</f>
        <v>0</v>
      </c>
      <c r="AH1071" s="28">
        <f>ROUND(IF(AQ1071="0",BJ1071,0),2)</f>
        <v>0</v>
      </c>
      <c r="AI1071" s="10" t="s">
        <v>1854</v>
      </c>
      <c r="AJ1071" s="28">
        <f>IF(AN1071=0,J1071,0)</f>
        <v>0</v>
      </c>
      <c r="AK1071" s="28">
        <f>IF(AN1071=12,J1071,0)</f>
        <v>0</v>
      </c>
      <c r="AL1071" s="28">
        <f>IF(AN1071=21,J1071,0)</f>
        <v>0</v>
      </c>
      <c r="AN1071" s="28">
        <v>21</v>
      </c>
      <c r="AO1071" s="28">
        <f>G1071*0</f>
        <v>0</v>
      </c>
      <c r="AP1071" s="28">
        <f>G1071*(1-0)</f>
        <v>0</v>
      </c>
      <c r="AQ1071" s="30" t="s">
        <v>56</v>
      </c>
      <c r="AV1071" s="28">
        <f>ROUND(AW1071+AX1071,2)</f>
        <v>0</v>
      </c>
      <c r="AW1071" s="28">
        <f>ROUND(F1071*AO1071,2)</f>
        <v>0</v>
      </c>
      <c r="AX1071" s="28">
        <f>ROUND(F1071*AP1071,2)</f>
        <v>0</v>
      </c>
      <c r="AY1071" s="30" t="s">
        <v>718</v>
      </c>
      <c r="AZ1071" s="30" t="s">
        <v>1859</v>
      </c>
      <c r="BA1071" s="10" t="s">
        <v>1860</v>
      </c>
      <c r="BC1071" s="28">
        <f>AW1071+AX1071</f>
        <v>0</v>
      </c>
      <c r="BD1071" s="28">
        <f>G1071/(100-BE1071)*100</f>
        <v>0</v>
      </c>
      <c r="BE1071" s="28">
        <v>0</v>
      </c>
      <c r="BF1071" s="28">
        <f>1079</f>
        <v>1079</v>
      </c>
      <c r="BH1071" s="28">
        <f>F1071*AO1071</f>
        <v>0</v>
      </c>
      <c r="BI1071" s="28">
        <f>F1071*AP1071</f>
        <v>0</v>
      </c>
      <c r="BJ1071" s="28">
        <f>F1071*G1071</f>
        <v>0</v>
      </c>
      <c r="BK1071" s="28"/>
      <c r="BL1071" s="28">
        <v>12</v>
      </c>
      <c r="BW1071" s="28">
        <v>21</v>
      </c>
      <c r="BX1071" s="4" t="s">
        <v>1908</v>
      </c>
    </row>
    <row r="1072" spans="1:76" x14ac:dyDescent="0.25">
      <c r="A1072" s="31"/>
      <c r="C1072" s="32" t="s">
        <v>1909</v>
      </c>
      <c r="D1072" s="32" t="s">
        <v>51</v>
      </c>
      <c r="F1072" s="33">
        <v>41</v>
      </c>
      <c r="K1072" s="34"/>
    </row>
    <row r="1073" spans="1:76" x14ac:dyDescent="0.25">
      <c r="A1073" s="31"/>
      <c r="C1073" s="32" t="s">
        <v>1910</v>
      </c>
      <c r="D1073" s="32" t="s">
        <v>51</v>
      </c>
      <c r="F1073" s="33">
        <v>422.7</v>
      </c>
      <c r="K1073" s="34"/>
    </row>
    <row r="1074" spans="1:76" x14ac:dyDescent="0.25">
      <c r="A1074" s="2" t="s">
        <v>1911</v>
      </c>
      <c r="B1074" s="3" t="s">
        <v>1912</v>
      </c>
      <c r="C1074" s="76" t="s">
        <v>1913</v>
      </c>
      <c r="D1074" s="71"/>
      <c r="E1074" s="3" t="s">
        <v>59</v>
      </c>
      <c r="F1074" s="28">
        <v>28.86</v>
      </c>
      <c r="G1074" s="28">
        <v>0</v>
      </c>
      <c r="H1074" s="28">
        <f>ROUND(F1074*AO1074,2)</f>
        <v>0</v>
      </c>
      <c r="I1074" s="28">
        <f>ROUND(F1074*AP1074,2)</f>
        <v>0</v>
      </c>
      <c r="J1074" s="28">
        <f>ROUND(F1074*G1074,2)</f>
        <v>0</v>
      </c>
      <c r="K1074" s="29" t="s">
        <v>60</v>
      </c>
      <c r="Z1074" s="28">
        <f>ROUND(IF(AQ1074="5",BJ1074,0),2)</f>
        <v>0</v>
      </c>
      <c r="AB1074" s="28">
        <f>ROUND(IF(AQ1074="1",BH1074,0),2)</f>
        <v>0</v>
      </c>
      <c r="AC1074" s="28">
        <f>ROUND(IF(AQ1074="1",BI1074,0),2)</f>
        <v>0</v>
      </c>
      <c r="AD1074" s="28">
        <f>ROUND(IF(AQ1074="7",BH1074,0),2)</f>
        <v>0</v>
      </c>
      <c r="AE1074" s="28">
        <f>ROUND(IF(AQ1074="7",BI1074,0),2)</f>
        <v>0</v>
      </c>
      <c r="AF1074" s="28">
        <f>ROUND(IF(AQ1074="2",BH1074,0),2)</f>
        <v>0</v>
      </c>
      <c r="AG1074" s="28">
        <f>ROUND(IF(AQ1074="2",BI1074,0),2)</f>
        <v>0</v>
      </c>
      <c r="AH1074" s="28">
        <f>ROUND(IF(AQ1074="0",BJ1074,0),2)</f>
        <v>0</v>
      </c>
      <c r="AI1074" s="10" t="s">
        <v>1854</v>
      </c>
      <c r="AJ1074" s="28">
        <f>IF(AN1074=0,J1074,0)</f>
        <v>0</v>
      </c>
      <c r="AK1074" s="28">
        <f>IF(AN1074=12,J1074,0)</f>
        <v>0</v>
      </c>
      <c r="AL1074" s="28">
        <f>IF(AN1074=21,J1074,0)</f>
        <v>0</v>
      </c>
      <c r="AN1074" s="28">
        <v>21</v>
      </c>
      <c r="AO1074" s="28">
        <f>G1074*0</f>
        <v>0</v>
      </c>
      <c r="AP1074" s="28">
        <f>G1074*(1-0)</f>
        <v>0</v>
      </c>
      <c r="AQ1074" s="30" t="s">
        <v>56</v>
      </c>
      <c r="AV1074" s="28">
        <f>ROUND(AW1074+AX1074,2)</f>
        <v>0</v>
      </c>
      <c r="AW1074" s="28">
        <f>ROUND(F1074*AO1074,2)</f>
        <v>0</v>
      </c>
      <c r="AX1074" s="28">
        <f>ROUND(F1074*AP1074,2)</f>
        <v>0</v>
      </c>
      <c r="AY1074" s="30" t="s">
        <v>718</v>
      </c>
      <c r="AZ1074" s="30" t="s">
        <v>1859</v>
      </c>
      <c r="BA1074" s="10" t="s">
        <v>1860</v>
      </c>
      <c r="BC1074" s="28">
        <f>AW1074+AX1074</f>
        <v>0</v>
      </c>
      <c r="BD1074" s="28">
        <f>G1074/(100-BE1074)*100</f>
        <v>0</v>
      </c>
      <c r="BE1074" s="28">
        <v>0</v>
      </c>
      <c r="BF1074" s="28">
        <f>1082</f>
        <v>1082</v>
      </c>
      <c r="BH1074" s="28">
        <f>F1074*AO1074</f>
        <v>0</v>
      </c>
      <c r="BI1074" s="28">
        <f>F1074*AP1074</f>
        <v>0</v>
      </c>
      <c r="BJ1074" s="28">
        <f>F1074*G1074</f>
        <v>0</v>
      </c>
      <c r="BK1074" s="28"/>
      <c r="BL1074" s="28">
        <v>12</v>
      </c>
      <c r="BW1074" s="28">
        <v>21</v>
      </c>
      <c r="BX1074" s="4" t="s">
        <v>1913</v>
      </c>
    </row>
    <row r="1075" spans="1:76" x14ac:dyDescent="0.25">
      <c r="A1075" s="31"/>
      <c r="C1075" s="32" t="s">
        <v>1914</v>
      </c>
      <c r="D1075" s="32" t="s">
        <v>1915</v>
      </c>
      <c r="F1075" s="33">
        <v>2.88</v>
      </c>
      <c r="K1075" s="34"/>
    </row>
    <row r="1076" spans="1:76" x14ac:dyDescent="0.25">
      <c r="A1076" s="31"/>
      <c r="C1076" s="32" t="s">
        <v>1916</v>
      </c>
      <c r="D1076" s="32" t="s">
        <v>1917</v>
      </c>
      <c r="F1076" s="33">
        <v>23.58</v>
      </c>
      <c r="K1076" s="34"/>
    </row>
    <row r="1077" spans="1:76" x14ac:dyDescent="0.25">
      <c r="A1077" s="31"/>
      <c r="C1077" s="32" t="s">
        <v>1918</v>
      </c>
      <c r="D1077" s="32" t="s">
        <v>1919</v>
      </c>
      <c r="F1077" s="33">
        <v>2.4</v>
      </c>
      <c r="K1077" s="34"/>
    </row>
    <row r="1078" spans="1:76" ht="63.75" x14ac:dyDescent="0.25">
      <c r="A1078" s="31"/>
      <c r="B1078" s="35" t="s">
        <v>68</v>
      </c>
      <c r="C1078" s="94" t="s">
        <v>1920</v>
      </c>
      <c r="D1078" s="95"/>
      <c r="E1078" s="95"/>
      <c r="F1078" s="95"/>
      <c r="G1078" s="95"/>
      <c r="H1078" s="95"/>
      <c r="I1078" s="95"/>
      <c r="J1078" s="95"/>
      <c r="K1078" s="96"/>
      <c r="BX1078" s="36" t="s">
        <v>1920</v>
      </c>
    </row>
    <row r="1079" spans="1:76" x14ac:dyDescent="0.25">
      <c r="A1079" s="24" t="s">
        <v>51</v>
      </c>
      <c r="B1079" s="25" t="s">
        <v>152</v>
      </c>
      <c r="C1079" s="87" t="s">
        <v>153</v>
      </c>
      <c r="D1079" s="88"/>
      <c r="E1079" s="26" t="s">
        <v>4</v>
      </c>
      <c r="F1079" s="26" t="s">
        <v>4</v>
      </c>
      <c r="G1079" s="26" t="s">
        <v>4</v>
      </c>
      <c r="H1079" s="1">
        <f>SUM(H1080:H1080)</f>
        <v>0</v>
      </c>
      <c r="I1079" s="1">
        <f>SUM(I1080:I1080)</f>
        <v>0</v>
      </c>
      <c r="J1079" s="1">
        <f>SUM(J1080:J1080)</f>
        <v>0</v>
      </c>
      <c r="K1079" s="27" t="s">
        <v>51</v>
      </c>
      <c r="AI1079" s="10" t="s">
        <v>1854</v>
      </c>
      <c r="AS1079" s="1">
        <f>SUM(AJ1080:AJ1080)</f>
        <v>0</v>
      </c>
      <c r="AT1079" s="1">
        <f>SUM(AK1080:AK1080)</f>
        <v>0</v>
      </c>
      <c r="AU1079" s="1">
        <f>SUM(AL1080:AL1080)</f>
        <v>0</v>
      </c>
    </row>
    <row r="1080" spans="1:76" x14ac:dyDescent="0.25">
      <c r="A1080" s="2" t="s">
        <v>1921</v>
      </c>
      <c r="B1080" s="3" t="s">
        <v>1922</v>
      </c>
      <c r="C1080" s="76" t="s">
        <v>1923</v>
      </c>
      <c r="D1080" s="71"/>
      <c r="E1080" s="3" t="s">
        <v>59</v>
      </c>
      <c r="F1080" s="28">
        <v>586.45000000000005</v>
      </c>
      <c r="G1080" s="28">
        <v>0</v>
      </c>
      <c r="H1080" s="28">
        <f>ROUND(F1080*AO1080,2)</f>
        <v>0</v>
      </c>
      <c r="I1080" s="28">
        <f>ROUND(F1080*AP1080,2)</f>
        <v>0</v>
      </c>
      <c r="J1080" s="28">
        <f>ROUND(F1080*G1080,2)</f>
        <v>0</v>
      </c>
      <c r="K1080" s="29" t="s">
        <v>1652</v>
      </c>
      <c r="Z1080" s="28">
        <f>ROUND(IF(AQ1080="5",BJ1080,0),2)</f>
        <v>0</v>
      </c>
      <c r="AB1080" s="28">
        <f>ROUND(IF(AQ1080="1",BH1080,0),2)</f>
        <v>0</v>
      </c>
      <c r="AC1080" s="28">
        <f>ROUND(IF(AQ1080="1",BI1080,0),2)</f>
        <v>0</v>
      </c>
      <c r="AD1080" s="28">
        <f>ROUND(IF(AQ1080="7",BH1080,0),2)</f>
        <v>0</v>
      </c>
      <c r="AE1080" s="28">
        <f>ROUND(IF(AQ1080="7",BI1080,0),2)</f>
        <v>0</v>
      </c>
      <c r="AF1080" s="28">
        <f>ROUND(IF(AQ1080="2",BH1080,0),2)</f>
        <v>0</v>
      </c>
      <c r="AG1080" s="28">
        <f>ROUND(IF(AQ1080="2",BI1080,0),2)</f>
        <v>0</v>
      </c>
      <c r="AH1080" s="28">
        <f>ROUND(IF(AQ1080="0",BJ1080,0),2)</f>
        <v>0</v>
      </c>
      <c r="AI1080" s="10" t="s">
        <v>1854</v>
      </c>
      <c r="AJ1080" s="28">
        <f>IF(AN1080=0,J1080,0)</f>
        <v>0</v>
      </c>
      <c r="AK1080" s="28">
        <f>IF(AN1080=12,J1080,0)</f>
        <v>0</v>
      </c>
      <c r="AL1080" s="28">
        <f>IF(AN1080=21,J1080,0)</f>
        <v>0</v>
      </c>
      <c r="AN1080" s="28">
        <v>21</v>
      </c>
      <c r="AO1080" s="28">
        <f>G1080*0</f>
        <v>0</v>
      </c>
      <c r="AP1080" s="28">
        <f>G1080*(1-0)</f>
        <v>0</v>
      </c>
      <c r="AQ1080" s="30" t="s">
        <v>56</v>
      </c>
      <c r="AV1080" s="28">
        <f>ROUND(AW1080+AX1080,2)</f>
        <v>0</v>
      </c>
      <c r="AW1080" s="28">
        <f>ROUND(F1080*AO1080,2)</f>
        <v>0</v>
      </c>
      <c r="AX1080" s="28">
        <f>ROUND(F1080*AP1080,2)</f>
        <v>0</v>
      </c>
      <c r="AY1080" s="30" t="s">
        <v>156</v>
      </c>
      <c r="AZ1080" s="30" t="s">
        <v>1859</v>
      </c>
      <c r="BA1080" s="10" t="s">
        <v>1860</v>
      </c>
      <c r="BC1080" s="28">
        <f>AW1080+AX1080</f>
        <v>0</v>
      </c>
      <c r="BD1080" s="28">
        <f>G1080/(100-BE1080)*100</f>
        <v>0</v>
      </c>
      <c r="BE1080" s="28">
        <v>0</v>
      </c>
      <c r="BF1080" s="28">
        <f>1088</f>
        <v>1088</v>
      </c>
      <c r="BH1080" s="28">
        <f>F1080*AO1080</f>
        <v>0</v>
      </c>
      <c r="BI1080" s="28">
        <f>F1080*AP1080</f>
        <v>0</v>
      </c>
      <c r="BJ1080" s="28">
        <f>F1080*G1080</f>
        <v>0</v>
      </c>
      <c r="BK1080" s="28"/>
      <c r="BL1080" s="28">
        <v>17</v>
      </c>
      <c r="BW1080" s="28">
        <v>21</v>
      </c>
      <c r="BX1080" s="4" t="s">
        <v>1923</v>
      </c>
    </row>
    <row r="1081" spans="1:76" ht="13.5" customHeight="1" x14ac:dyDescent="0.25">
      <c r="A1081" s="31"/>
      <c r="B1081" s="35" t="s">
        <v>105</v>
      </c>
      <c r="C1081" s="97" t="s">
        <v>1924</v>
      </c>
      <c r="D1081" s="98"/>
      <c r="E1081" s="98"/>
      <c r="F1081" s="98"/>
      <c r="G1081" s="98"/>
      <c r="H1081" s="98"/>
      <c r="I1081" s="98"/>
      <c r="J1081" s="98"/>
      <c r="K1081" s="99"/>
    </row>
    <row r="1082" spans="1:76" x14ac:dyDescent="0.25">
      <c r="A1082" s="31"/>
      <c r="C1082" s="32" t="s">
        <v>1925</v>
      </c>
      <c r="D1082" s="32" t="s">
        <v>51</v>
      </c>
      <c r="F1082" s="33">
        <v>352.25</v>
      </c>
      <c r="K1082" s="34"/>
    </row>
    <row r="1083" spans="1:76" x14ac:dyDescent="0.25">
      <c r="A1083" s="31"/>
      <c r="C1083" s="32" t="s">
        <v>1926</v>
      </c>
      <c r="D1083" s="32" t="s">
        <v>51</v>
      </c>
      <c r="F1083" s="33">
        <v>49.2</v>
      </c>
      <c r="K1083" s="34"/>
    </row>
    <row r="1084" spans="1:76" x14ac:dyDescent="0.25">
      <c r="A1084" s="31"/>
      <c r="C1084" s="32" t="s">
        <v>404</v>
      </c>
      <c r="D1084" s="32" t="s">
        <v>51</v>
      </c>
      <c r="F1084" s="33">
        <v>185</v>
      </c>
      <c r="K1084" s="34"/>
    </row>
    <row r="1085" spans="1:76" x14ac:dyDescent="0.25">
      <c r="A1085" s="24" t="s">
        <v>51</v>
      </c>
      <c r="B1085" s="25" t="s">
        <v>596</v>
      </c>
      <c r="C1085" s="87" t="s">
        <v>619</v>
      </c>
      <c r="D1085" s="88"/>
      <c r="E1085" s="26" t="s">
        <v>4</v>
      </c>
      <c r="F1085" s="26" t="s">
        <v>4</v>
      </c>
      <c r="G1085" s="26" t="s">
        <v>4</v>
      </c>
      <c r="H1085" s="1">
        <f>SUM(H1086:H1099)</f>
        <v>0</v>
      </c>
      <c r="I1085" s="1">
        <f>SUM(I1086:I1099)</f>
        <v>0</v>
      </c>
      <c r="J1085" s="1">
        <f>SUM(J1086:J1099)</f>
        <v>0</v>
      </c>
      <c r="K1085" s="27" t="s">
        <v>51</v>
      </c>
      <c r="AI1085" s="10" t="s">
        <v>1854</v>
      </c>
      <c r="AS1085" s="1">
        <f>SUM(AJ1086:AJ1099)</f>
        <v>0</v>
      </c>
      <c r="AT1085" s="1">
        <f>SUM(AK1086:AK1099)</f>
        <v>0</v>
      </c>
      <c r="AU1085" s="1">
        <f>SUM(AL1086:AL1099)</f>
        <v>0</v>
      </c>
    </row>
    <row r="1086" spans="1:76" x14ac:dyDescent="0.25">
      <c r="A1086" s="2" t="s">
        <v>1927</v>
      </c>
      <c r="B1086" s="3" t="s">
        <v>1928</v>
      </c>
      <c r="C1086" s="76" t="s">
        <v>1929</v>
      </c>
      <c r="D1086" s="71"/>
      <c r="E1086" s="3" t="s">
        <v>59</v>
      </c>
      <c r="F1086" s="28">
        <v>78.5</v>
      </c>
      <c r="G1086" s="28">
        <v>0</v>
      </c>
      <c r="H1086" s="28">
        <f>ROUND(F1086*AO1086,2)</f>
        <v>0</v>
      </c>
      <c r="I1086" s="28">
        <f>ROUND(F1086*AP1086,2)</f>
        <v>0</v>
      </c>
      <c r="J1086" s="28">
        <f>ROUND(F1086*G1086,2)</f>
        <v>0</v>
      </c>
      <c r="K1086" s="29" t="s">
        <v>60</v>
      </c>
      <c r="Z1086" s="28">
        <f>ROUND(IF(AQ1086="5",BJ1086,0),2)</f>
        <v>0</v>
      </c>
      <c r="AB1086" s="28">
        <f>ROUND(IF(AQ1086="1",BH1086,0),2)</f>
        <v>0</v>
      </c>
      <c r="AC1086" s="28">
        <f>ROUND(IF(AQ1086="1",BI1086,0),2)</f>
        <v>0</v>
      </c>
      <c r="AD1086" s="28">
        <f>ROUND(IF(AQ1086="7",BH1086,0),2)</f>
        <v>0</v>
      </c>
      <c r="AE1086" s="28">
        <f>ROUND(IF(AQ1086="7",BI1086,0),2)</f>
        <v>0</v>
      </c>
      <c r="AF1086" s="28">
        <f>ROUND(IF(AQ1086="2",BH1086,0),2)</f>
        <v>0</v>
      </c>
      <c r="AG1086" s="28">
        <f>ROUND(IF(AQ1086="2",BI1086,0),2)</f>
        <v>0</v>
      </c>
      <c r="AH1086" s="28">
        <f>ROUND(IF(AQ1086="0",BJ1086,0),2)</f>
        <v>0</v>
      </c>
      <c r="AI1086" s="10" t="s">
        <v>1854</v>
      </c>
      <c r="AJ1086" s="28">
        <f>IF(AN1086=0,J1086,0)</f>
        <v>0</v>
      </c>
      <c r="AK1086" s="28">
        <f>IF(AN1086=12,J1086,0)</f>
        <v>0</v>
      </c>
      <c r="AL1086" s="28">
        <f>IF(AN1086=21,J1086,0)</f>
        <v>0</v>
      </c>
      <c r="AN1086" s="28">
        <v>21</v>
      </c>
      <c r="AO1086" s="28">
        <f>G1086*0.00481647</f>
        <v>0</v>
      </c>
      <c r="AP1086" s="28">
        <f>G1086*(1-0.00481647)</f>
        <v>0</v>
      </c>
      <c r="AQ1086" s="30" t="s">
        <v>56</v>
      </c>
      <c r="AV1086" s="28">
        <f>ROUND(AW1086+AX1086,2)</f>
        <v>0</v>
      </c>
      <c r="AW1086" s="28">
        <f>ROUND(F1086*AO1086,2)</f>
        <v>0</v>
      </c>
      <c r="AX1086" s="28">
        <f>ROUND(F1086*AP1086,2)</f>
        <v>0</v>
      </c>
      <c r="AY1086" s="30" t="s">
        <v>623</v>
      </c>
      <c r="AZ1086" s="30" t="s">
        <v>1930</v>
      </c>
      <c r="BA1086" s="10" t="s">
        <v>1860</v>
      </c>
      <c r="BC1086" s="28">
        <f>AW1086+AX1086</f>
        <v>0</v>
      </c>
      <c r="BD1086" s="28">
        <f>G1086/(100-BE1086)*100</f>
        <v>0</v>
      </c>
      <c r="BE1086" s="28">
        <v>0</v>
      </c>
      <c r="BF1086" s="28">
        <f>1094</f>
        <v>1094</v>
      </c>
      <c r="BH1086" s="28">
        <f>F1086*AO1086</f>
        <v>0</v>
      </c>
      <c r="BI1086" s="28">
        <f>F1086*AP1086</f>
        <v>0</v>
      </c>
      <c r="BJ1086" s="28">
        <f>F1086*G1086</f>
        <v>0</v>
      </c>
      <c r="BK1086" s="28"/>
      <c r="BL1086" s="28">
        <v>96</v>
      </c>
      <c r="BW1086" s="28">
        <v>21</v>
      </c>
      <c r="BX1086" s="4" t="s">
        <v>1929</v>
      </c>
    </row>
    <row r="1087" spans="1:76" x14ac:dyDescent="0.25">
      <c r="A1087" s="31"/>
      <c r="C1087" s="32" t="s">
        <v>1931</v>
      </c>
      <c r="D1087" s="32" t="s">
        <v>1915</v>
      </c>
      <c r="F1087" s="33">
        <v>4.8</v>
      </c>
      <c r="K1087" s="34"/>
    </row>
    <row r="1088" spans="1:76" x14ac:dyDescent="0.25">
      <c r="A1088" s="31"/>
      <c r="C1088" s="32" t="s">
        <v>1932</v>
      </c>
      <c r="D1088" s="32" t="s">
        <v>1933</v>
      </c>
      <c r="F1088" s="33">
        <v>12</v>
      </c>
      <c r="K1088" s="34"/>
    </row>
    <row r="1089" spans="1:76" x14ac:dyDescent="0.25">
      <c r="A1089" s="31"/>
      <c r="C1089" s="32" t="s">
        <v>1934</v>
      </c>
      <c r="D1089" s="32" t="s">
        <v>1917</v>
      </c>
      <c r="F1089" s="33">
        <v>46.8</v>
      </c>
      <c r="K1089" s="34"/>
    </row>
    <row r="1090" spans="1:76" x14ac:dyDescent="0.25">
      <c r="A1090" s="31"/>
      <c r="C1090" s="32" t="s">
        <v>1918</v>
      </c>
      <c r="D1090" s="32" t="s">
        <v>1919</v>
      </c>
      <c r="F1090" s="33">
        <v>2.4</v>
      </c>
      <c r="K1090" s="34"/>
    </row>
    <row r="1091" spans="1:76" x14ac:dyDescent="0.25">
      <c r="A1091" s="31"/>
      <c r="C1091" s="32" t="s">
        <v>1935</v>
      </c>
      <c r="D1091" s="32" t="s">
        <v>1936</v>
      </c>
      <c r="F1091" s="33">
        <v>10.5</v>
      </c>
      <c r="K1091" s="34"/>
    </row>
    <row r="1092" spans="1:76" x14ac:dyDescent="0.25">
      <c r="A1092" s="31"/>
      <c r="C1092" s="32" t="s">
        <v>74</v>
      </c>
      <c r="D1092" s="32" t="s">
        <v>1937</v>
      </c>
      <c r="F1092" s="33">
        <v>2</v>
      </c>
      <c r="K1092" s="34"/>
    </row>
    <row r="1093" spans="1:76" ht="38.25" x14ac:dyDescent="0.25">
      <c r="A1093" s="31"/>
      <c r="B1093" s="35" t="s">
        <v>68</v>
      </c>
      <c r="C1093" s="94" t="s">
        <v>1938</v>
      </c>
      <c r="D1093" s="95"/>
      <c r="E1093" s="95"/>
      <c r="F1093" s="95"/>
      <c r="G1093" s="95"/>
      <c r="H1093" s="95"/>
      <c r="I1093" s="95"/>
      <c r="J1093" s="95"/>
      <c r="K1093" s="96"/>
      <c r="BX1093" s="36" t="s">
        <v>1938</v>
      </c>
    </row>
    <row r="1094" spans="1:76" x14ac:dyDescent="0.25">
      <c r="A1094" s="2" t="s">
        <v>1939</v>
      </c>
      <c r="B1094" s="3" t="s">
        <v>1940</v>
      </c>
      <c r="C1094" s="76" t="s">
        <v>1941</v>
      </c>
      <c r="D1094" s="71"/>
      <c r="E1094" s="3" t="s">
        <v>457</v>
      </c>
      <c r="F1094" s="28">
        <v>1</v>
      </c>
      <c r="G1094" s="28">
        <v>0</v>
      </c>
      <c r="H1094" s="28">
        <f>ROUND(F1094*AO1094,2)</f>
        <v>0</v>
      </c>
      <c r="I1094" s="28">
        <f>ROUND(F1094*AP1094,2)</f>
        <v>0</v>
      </c>
      <c r="J1094" s="28">
        <f>ROUND(F1094*G1094,2)</f>
        <v>0</v>
      </c>
      <c r="K1094" s="29" t="s">
        <v>60</v>
      </c>
      <c r="Z1094" s="28">
        <f>ROUND(IF(AQ1094="5",BJ1094,0),2)</f>
        <v>0</v>
      </c>
      <c r="AB1094" s="28">
        <f>ROUND(IF(AQ1094="1",BH1094,0),2)</f>
        <v>0</v>
      </c>
      <c r="AC1094" s="28">
        <f>ROUND(IF(AQ1094="1",BI1094,0),2)</f>
        <v>0</v>
      </c>
      <c r="AD1094" s="28">
        <f>ROUND(IF(AQ1094="7",BH1094,0),2)</f>
        <v>0</v>
      </c>
      <c r="AE1094" s="28">
        <f>ROUND(IF(AQ1094="7",BI1094,0),2)</f>
        <v>0</v>
      </c>
      <c r="AF1094" s="28">
        <f>ROUND(IF(AQ1094="2",BH1094,0),2)</f>
        <v>0</v>
      </c>
      <c r="AG1094" s="28">
        <f>ROUND(IF(AQ1094="2",BI1094,0),2)</f>
        <v>0</v>
      </c>
      <c r="AH1094" s="28">
        <f>ROUND(IF(AQ1094="0",BJ1094,0),2)</f>
        <v>0</v>
      </c>
      <c r="AI1094" s="10" t="s">
        <v>1854</v>
      </c>
      <c r="AJ1094" s="28">
        <f>IF(AN1094=0,J1094,0)</f>
        <v>0</v>
      </c>
      <c r="AK1094" s="28">
        <f>IF(AN1094=12,J1094,0)</f>
        <v>0</v>
      </c>
      <c r="AL1094" s="28">
        <f>IF(AN1094=21,J1094,0)</f>
        <v>0</v>
      </c>
      <c r="AN1094" s="28">
        <v>21</v>
      </c>
      <c r="AO1094" s="28">
        <f>G1094*0</f>
        <v>0</v>
      </c>
      <c r="AP1094" s="28">
        <f>G1094*(1-0)</f>
        <v>0</v>
      </c>
      <c r="AQ1094" s="30" t="s">
        <v>56</v>
      </c>
      <c r="AV1094" s="28">
        <f>ROUND(AW1094+AX1094,2)</f>
        <v>0</v>
      </c>
      <c r="AW1094" s="28">
        <f>ROUND(F1094*AO1094,2)</f>
        <v>0</v>
      </c>
      <c r="AX1094" s="28">
        <f>ROUND(F1094*AP1094,2)</f>
        <v>0</v>
      </c>
      <c r="AY1094" s="30" t="s">
        <v>623</v>
      </c>
      <c r="AZ1094" s="30" t="s">
        <v>1930</v>
      </c>
      <c r="BA1094" s="10" t="s">
        <v>1860</v>
      </c>
      <c r="BC1094" s="28">
        <f>AW1094+AX1094</f>
        <v>0</v>
      </c>
      <c r="BD1094" s="28">
        <f>G1094/(100-BE1094)*100</f>
        <v>0</v>
      </c>
      <c r="BE1094" s="28">
        <v>0</v>
      </c>
      <c r="BF1094" s="28">
        <f>1102</f>
        <v>1102</v>
      </c>
      <c r="BH1094" s="28">
        <f>F1094*AO1094</f>
        <v>0</v>
      </c>
      <c r="BI1094" s="28">
        <f>F1094*AP1094</f>
        <v>0</v>
      </c>
      <c r="BJ1094" s="28">
        <f>F1094*G1094</f>
        <v>0</v>
      </c>
      <c r="BK1094" s="28"/>
      <c r="BL1094" s="28">
        <v>96</v>
      </c>
      <c r="BW1094" s="28">
        <v>21</v>
      </c>
      <c r="BX1094" s="4" t="s">
        <v>1941</v>
      </c>
    </row>
    <row r="1095" spans="1:76" x14ac:dyDescent="0.25">
      <c r="A1095" s="2" t="s">
        <v>1942</v>
      </c>
      <c r="B1095" s="3" t="s">
        <v>1943</v>
      </c>
      <c r="C1095" s="76" t="s">
        <v>1944</v>
      </c>
      <c r="D1095" s="71"/>
      <c r="E1095" s="3" t="s">
        <v>188</v>
      </c>
      <c r="F1095" s="28">
        <v>148</v>
      </c>
      <c r="G1095" s="28">
        <v>0</v>
      </c>
      <c r="H1095" s="28">
        <f>ROUND(F1095*AO1095,2)</f>
        <v>0</v>
      </c>
      <c r="I1095" s="28">
        <f>ROUND(F1095*AP1095,2)</f>
        <v>0</v>
      </c>
      <c r="J1095" s="28">
        <f>ROUND(F1095*G1095,2)</f>
        <v>0</v>
      </c>
      <c r="K1095" s="29" t="s">
        <v>60</v>
      </c>
      <c r="Z1095" s="28">
        <f>ROUND(IF(AQ1095="5",BJ1095,0),2)</f>
        <v>0</v>
      </c>
      <c r="AB1095" s="28">
        <f>ROUND(IF(AQ1095="1",BH1095,0),2)</f>
        <v>0</v>
      </c>
      <c r="AC1095" s="28">
        <f>ROUND(IF(AQ1095="1",BI1095,0),2)</f>
        <v>0</v>
      </c>
      <c r="AD1095" s="28">
        <f>ROUND(IF(AQ1095="7",BH1095,0),2)</f>
        <v>0</v>
      </c>
      <c r="AE1095" s="28">
        <f>ROUND(IF(AQ1095="7",BI1095,0),2)</f>
        <v>0</v>
      </c>
      <c r="AF1095" s="28">
        <f>ROUND(IF(AQ1095="2",BH1095,0),2)</f>
        <v>0</v>
      </c>
      <c r="AG1095" s="28">
        <f>ROUND(IF(AQ1095="2",BI1095,0),2)</f>
        <v>0</v>
      </c>
      <c r="AH1095" s="28">
        <f>ROUND(IF(AQ1095="0",BJ1095,0),2)</f>
        <v>0</v>
      </c>
      <c r="AI1095" s="10" t="s">
        <v>1854</v>
      </c>
      <c r="AJ1095" s="28">
        <f>IF(AN1095=0,J1095,0)</f>
        <v>0</v>
      </c>
      <c r="AK1095" s="28">
        <f>IF(AN1095=12,J1095,0)</f>
        <v>0</v>
      </c>
      <c r="AL1095" s="28">
        <f>IF(AN1095=21,J1095,0)</f>
        <v>0</v>
      </c>
      <c r="AN1095" s="28">
        <v>21</v>
      </c>
      <c r="AO1095" s="28">
        <f>G1095*0</f>
        <v>0</v>
      </c>
      <c r="AP1095" s="28">
        <f>G1095*(1-0)</f>
        <v>0</v>
      </c>
      <c r="AQ1095" s="30" t="s">
        <v>74</v>
      </c>
      <c r="AV1095" s="28">
        <f>ROUND(AW1095+AX1095,2)</f>
        <v>0</v>
      </c>
      <c r="AW1095" s="28">
        <f>ROUND(F1095*AO1095,2)</f>
        <v>0</v>
      </c>
      <c r="AX1095" s="28">
        <f>ROUND(F1095*AP1095,2)</f>
        <v>0</v>
      </c>
      <c r="AY1095" s="30" t="s">
        <v>623</v>
      </c>
      <c r="AZ1095" s="30" t="s">
        <v>1930</v>
      </c>
      <c r="BA1095" s="10" t="s">
        <v>1860</v>
      </c>
      <c r="BC1095" s="28">
        <f>AW1095+AX1095</f>
        <v>0</v>
      </c>
      <c r="BD1095" s="28">
        <f>G1095/(100-BE1095)*100</f>
        <v>0</v>
      </c>
      <c r="BE1095" s="28">
        <v>0</v>
      </c>
      <c r="BF1095" s="28">
        <f>1103</f>
        <v>1103</v>
      </c>
      <c r="BH1095" s="28">
        <f>F1095*AO1095</f>
        <v>0</v>
      </c>
      <c r="BI1095" s="28">
        <f>F1095*AP1095</f>
        <v>0</v>
      </c>
      <c r="BJ1095" s="28">
        <f>F1095*G1095</f>
        <v>0</v>
      </c>
      <c r="BK1095" s="28"/>
      <c r="BL1095" s="28">
        <v>96</v>
      </c>
      <c r="BW1095" s="28">
        <v>21</v>
      </c>
      <c r="BX1095" s="4" t="s">
        <v>1944</v>
      </c>
    </row>
    <row r="1096" spans="1:76" x14ac:dyDescent="0.25">
      <c r="A1096" s="31"/>
      <c r="C1096" s="32" t="s">
        <v>1945</v>
      </c>
      <c r="D1096" s="32" t="s">
        <v>51</v>
      </c>
      <c r="F1096" s="33">
        <v>148</v>
      </c>
      <c r="K1096" s="34"/>
    </row>
    <row r="1097" spans="1:76" x14ac:dyDescent="0.25">
      <c r="A1097" s="2" t="s">
        <v>1946</v>
      </c>
      <c r="B1097" s="3" t="s">
        <v>1947</v>
      </c>
      <c r="C1097" s="76" t="s">
        <v>1948</v>
      </c>
      <c r="D1097" s="71"/>
      <c r="E1097" s="3" t="s">
        <v>59</v>
      </c>
      <c r="F1097" s="28">
        <v>4</v>
      </c>
      <c r="G1097" s="28">
        <v>0</v>
      </c>
      <c r="H1097" s="28">
        <f>ROUND(F1097*AO1097,2)</f>
        <v>0</v>
      </c>
      <c r="I1097" s="28">
        <f>ROUND(F1097*AP1097,2)</f>
        <v>0</v>
      </c>
      <c r="J1097" s="28">
        <f>ROUND(F1097*G1097,2)</f>
        <v>0</v>
      </c>
      <c r="K1097" s="29" t="s">
        <v>60</v>
      </c>
      <c r="Z1097" s="28">
        <f>ROUND(IF(AQ1097="5",BJ1097,0),2)</f>
        <v>0</v>
      </c>
      <c r="AB1097" s="28">
        <f>ROUND(IF(AQ1097="1",BH1097,0),2)</f>
        <v>0</v>
      </c>
      <c r="AC1097" s="28">
        <f>ROUND(IF(AQ1097="1",BI1097,0),2)</f>
        <v>0</v>
      </c>
      <c r="AD1097" s="28">
        <f>ROUND(IF(AQ1097="7",BH1097,0),2)</f>
        <v>0</v>
      </c>
      <c r="AE1097" s="28">
        <f>ROUND(IF(AQ1097="7",BI1097,0),2)</f>
        <v>0</v>
      </c>
      <c r="AF1097" s="28">
        <f>ROUND(IF(AQ1097="2",BH1097,0),2)</f>
        <v>0</v>
      </c>
      <c r="AG1097" s="28">
        <f>ROUND(IF(AQ1097="2",BI1097,0),2)</f>
        <v>0</v>
      </c>
      <c r="AH1097" s="28">
        <f>ROUND(IF(AQ1097="0",BJ1097,0),2)</f>
        <v>0</v>
      </c>
      <c r="AI1097" s="10" t="s">
        <v>1854</v>
      </c>
      <c r="AJ1097" s="28">
        <f>IF(AN1097=0,J1097,0)</f>
        <v>0</v>
      </c>
      <c r="AK1097" s="28">
        <f>IF(AN1097=12,J1097,0)</f>
        <v>0</v>
      </c>
      <c r="AL1097" s="28">
        <f>IF(AN1097=21,J1097,0)</f>
        <v>0</v>
      </c>
      <c r="AN1097" s="28">
        <v>21</v>
      </c>
      <c r="AO1097" s="28">
        <f>G1097*0</f>
        <v>0</v>
      </c>
      <c r="AP1097" s="28">
        <f>G1097*(1-0)</f>
        <v>0</v>
      </c>
      <c r="AQ1097" s="30" t="s">
        <v>56</v>
      </c>
      <c r="AV1097" s="28">
        <f>ROUND(AW1097+AX1097,2)</f>
        <v>0</v>
      </c>
      <c r="AW1097" s="28">
        <f>ROUND(F1097*AO1097,2)</f>
        <v>0</v>
      </c>
      <c r="AX1097" s="28">
        <f>ROUND(F1097*AP1097,2)</f>
        <v>0</v>
      </c>
      <c r="AY1097" s="30" t="s">
        <v>623</v>
      </c>
      <c r="AZ1097" s="30" t="s">
        <v>1930</v>
      </c>
      <c r="BA1097" s="10" t="s">
        <v>1860</v>
      </c>
      <c r="BC1097" s="28">
        <f>AW1097+AX1097</f>
        <v>0</v>
      </c>
      <c r="BD1097" s="28">
        <f>G1097/(100-BE1097)*100</f>
        <v>0</v>
      </c>
      <c r="BE1097" s="28">
        <v>0</v>
      </c>
      <c r="BF1097" s="28">
        <f>1105</f>
        <v>1105</v>
      </c>
      <c r="BH1097" s="28">
        <f>F1097*AO1097</f>
        <v>0</v>
      </c>
      <c r="BI1097" s="28">
        <f>F1097*AP1097</f>
        <v>0</v>
      </c>
      <c r="BJ1097" s="28">
        <f>F1097*G1097</f>
        <v>0</v>
      </c>
      <c r="BK1097" s="28"/>
      <c r="BL1097" s="28">
        <v>96</v>
      </c>
      <c r="BW1097" s="28">
        <v>21</v>
      </c>
      <c r="BX1097" s="4" t="s">
        <v>1948</v>
      </c>
    </row>
    <row r="1098" spans="1:76" ht="13.5" customHeight="1" x14ac:dyDescent="0.25">
      <c r="A1098" s="31"/>
      <c r="B1098" s="35" t="s">
        <v>105</v>
      </c>
      <c r="C1098" s="97" t="s">
        <v>1949</v>
      </c>
      <c r="D1098" s="98"/>
      <c r="E1098" s="98"/>
      <c r="F1098" s="98"/>
      <c r="G1098" s="98"/>
      <c r="H1098" s="98"/>
      <c r="I1098" s="98"/>
      <c r="J1098" s="98"/>
      <c r="K1098" s="99"/>
    </row>
    <row r="1099" spans="1:76" x14ac:dyDescent="0.25">
      <c r="A1099" s="2" t="s">
        <v>1950</v>
      </c>
      <c r="B1099" s="3" t="s">
        <v>1951</v>
      </c>
      <c r="C1099" s="76" t="s">
        <v>1952</v>
      </c>
      <c r="D1099" s="71"/>
      <c r="E1099" s="3" t="s">
        <v>188</v>
      </c>
      <c r="F1099" s="28">
        <v>25</v>
      </c>
      <c r="G1099" s="28">
        <v>0</v>
      </c>
      <c r="H1099" s="28">
        <f>ROUND(F1099*AO1099,2)</f>
        <v>0</v>
      </c>
      <c r="I1099" s="28">
        <f>ROUND(F1099*AP1099,2)</f>
        <v>0</v>
      </c>
      <c r="J1099" s="28">
        <f>ROUND(F1099*G1099,2)</f>
        <v>0</v>
      </c>
      <c r="K1099" s="29" t="s">
        <v>60</v>
      </c>
      <c r="Z1099" s="28">
        <f>ROUND(IF(AQ1099="5",BJ1099,0),2)</f>
        <v>0</v>
      </c>
      <c r="AB1099" s="28">
        <f>ROUND(IF(AQ1099="1",BH1099,0),2)</f>
        <v>0</v>
      </c>
      <c r="AC1099" s="28">
        <f>ROUND(IF(AQ1099="1",BI1099,0),2)</f>
        <v>0</v>
      </c>
      <c r="AD1099" s="28">
        <f>ROUND(IF(AQ1099="7",BH1099,0),2)</f>
        <v>0</v>
      </c>
      <c r="AE1099" s="28">
        <f>ROUND(IF(AQ1099="7",BI1099,0),2)</f>
        <v>0</v>
      </c>
      <c r="AF1099" s="28">
        <f>ROUND(IF(AQ1099="2",BH1099,0),2)</f>
        <v>0</v>
      </c>
      <c r="AG1099" s="28">
        <f>ROUND(IF(AQ1099="2",BI1099,0),2)</f>
        <v>0</v>
      </c>
      <c r="AH1099" s="28">
        <f>ROUND(IF(AQ1099="0",BJ1099,0),2)</f>
        <v>0</v>
      </c>
      <c r="AI1099" s="10" t="s">
        <v>1854</v>
      </c>
      <c r="AJ1099" s="28">
        <f>IF(AN1099=0,J1099,0)</f>
        <v>0</v>
      </c>
      <c r="AK1099" s="28">
        <f>IF(AN1099=12,J1099,0)</f>
        <v>0</v>
      </c>
      <c r="AL1099" s="28">
        <f>IF(AN1099=21,J1099,0)</f>
        <v>0</v>
      </c>
      <c r="AN1099" s="28">
        <v>21</v>
      </c>
      <c r="AO1099" s="28">
        <f>G1099*0</f>
        <v>0</v>
      </c>
      <c r="AP1099" s="28">
        <f>G1099*(1-0)</f>
        <v>0</v>
      </c>
      <c r="AQ1099" s="30" t="s">
        <v>56</v>
      </c>
      <c r="AV1099" s="28">
        <f>ROUND(AW1099+AX1099,2)</f>
        <v>0</v>
      </c>
      <c r="AW1099" s="28">
        <f>ROUND(F1099*AO1099,2)</f>
        <v>0</v>
      </c>
      <c r="AX1099" s="28">
        <f>ROUND(F1099*AP1099,2)</f>
        <v>0</v>
      </c>
      <c r="AY1099" s="30" t="s">
        <v>623</v>
      </c>
      <c r="AZ1099" s="30" t="s">
        <v>1930</v>
      </c>
      <c r="BA1099" s="10" t="s">
        <v>1860</v>
      </c>
      <c r="BC1099" s="28">
        <f>AW1099+AX1099</f>
        <v>0</v>
      </c>
      <c r="BD1099" s="28">
        <f>G1099/(100-BE1099)*100</f>
        <v>0</v>
      </c>
      <c r="BE1099" s="28">
        <v>0</v>
      </c>
      <c r="BF1099" s="28">
        <f>1107</f>
        <v>1107</v>
      </c>
      <c r="BH1099" s="28">
        <f>F1099*AO1099</f>
        <v>0</v>
      </c>
      <c r="BI1099" s="28">
        <f>F1099*AP1099</f>
        <v>0</v>
      </c>
      <c r="BJ1099" s="28">
        <f>F1099*G1099</f>
        <v>0</v>
      </c>
      <c r="BK1099" s="28"/>
      <c r="BL1099" s="28">
        <v>96</v>
      </c>
      <c r="BW1099" s="28">
        <v>21</v>
      </c>
      <c r="BX1099" s="4" t="s">
        <v>1952</v>
      </c>
    </row>
    <row r="1100" spans="1:76" ht="13.5" customHeight="1" x14ac:dyDescent="0.25">
      <c r="A1100" s="31"/>
      <c r="B1100" s="35" t="s">
        <v>105</v>
      </c>
      <c r="C1100" s="97" t="s">
        <v>1953</v>
      </c>
      <c r="D1100" s="98"/>
      <c r="E1100" s="98"/>
      <c r="F1100" s="98"/>
      <c r="G1100" s="98"/>
      <c r="H1100" s="98"/>
      <c r="I1100" s="98"/>
      <c r="J1100" s="98"/>
      <c r="K1100" s="99"/>
    </row>
    <row r="1101" spans="1:76" ht="25.5" x14ac:dyDescent="0.25">
      <c r="A1101" s="31"/>
      <c r="B1101" s="35" t="s">
        <v>68</v>
      </c>
      <c r="C1101" s="94" t="s">
        <v>624</v>
      </c>
      <c r="D1101" s="95"/>
      <c r="E1101" s="95"/>
      <c r="F1101" s="95"/>
      <c r="G1101" s="95"/>
      <c r="H1101" s="95"/>
      <c r="I1101" s="95"/>
      <c r="J1101" s="95"/>
      <c r="K1101" s="96"/>
      <c r="BX1101" s="36" t="s">
        <v>624</v>
      </c>
    </row>
    <row r="1102" spans="1:76" x14ac:dyDescent="0.25">
      <c r="A1102" s="24" t="s">
        <v>51</v>
      </c>
      <c r="B1102" s="25" t="s">
        <v>1954</v>
      </c>
      <c r="C1102" s="87" t="s">
        <v>1955</v>
      </c>
      <c r="D1102" s="88"/>
      <c r="E1102" s="26" t="s">
        <v>4</v>
      </c>
      <c r="F1102" s="26" t="s">
        <v>4</v>
      </c>
      <c r="G1102" s="26" t="s">
        <v>4</v>
      </c>
      <c r="H1102" s="1">
        <f>SUM(H1103:H1116)</f>
        <v>0</v>
      </c>
      <c r="I1102" s="1">
        <f>SUM(I1103:I1116)</f>
        <v>0</v>
      </c>
      <c r="J1102" s="1">
        <f>SUM(J1103:J1116)</f>
        <v>0</v>
      </c>
      <c r="K1102" s="27" t="s">
        <v>51</v>
      </c>
      <c r="AI1102" s="10" t="s">
        <v>1854</v>
      </c>
      <c r="AS1102" s="1">
        <f>SUM(AJ1103:AJ1116)</f>
        <v>0</v>
      </c>
      <c r="AT1102" s="1">
        <f>SUM(AK1103:AK1116)</f>
        <v>0</v>
      </c>
      <c r="AU1102" s="1">
        <f>SUM(AL1103:AL1116)</f>
        <v>0</v>
      </c>
    </row>
    <row r="1103" spans="1:76" x14ac:dyDescent="0.25">
      <c r="A1103" s="2" t="s">
        <v>1956</v>
      </c>
      <c r="B1103" s="3" t="s">
        <v>1957</v>
      </c>
      <c r="C1103" s="76" t="s">
        <v>1958</v>
      </c>
      <c r="D1103" s="71"/>
      <c r="E1103" s="3" t="s">
        <v>201</v>
      </c>
      <c r="F1103" s="28">
        <v>778</v>
      </c>
      <c r="G1103" s="28">
        <v>0</v>
      </c>
      <c r="H1103" s="28">
        <f>ROUND(F1103*AO1103,2)</f>
        <v>0</v>
      </c>
      <c r="I1103" s="28">
        <f>ROUND(F1103*AP1103,2)</f>
        <v>0</v>
      </c>
      <c r="J1103" s="28">
        <f>ROUND(F1103*G1103,2)</f>
        <v>0</v>
      </c>
      <c r="K1103" s="29" t="s">
        <v>60</v>
      </c>
      <c r="Z1103" s="28">
        <f>ROUND(IF(AQ1103="5",BJ1103,0),2)</f>
        <v>0</v>
      </c>
      <c r="AB1103" s="28">
        <f>ROUND(IF(AQ1103="1",BH1103,0),2)</f>
        <v>0</v>
      </c>
      <c r="AC1103" s="28">
        <f>ROUND(IF(AQ1103="1",BI1103,0),2)</f>
        <v>0</v>
      </c>
      <c r="AD1103" s="28">
        <f>ROUND(IF(AQ1103="7",BH1103,0),2)</f>
        <v>0</v>
      </c>
      <c r="AE1103" s="28">
        <f>ROUND(IF(AQ1103="7",BI1103,0),2)</f>
        <v>0</v>
      </c>
      <c r="AF1103" s="28">
        <f>ROUND(IF(AQ1103="2",BH1103,0),2)</f>
        <v>0</v>
      </c>
      <c r="AG1103" s="28">
        <f>ROUND(IF(AQ1103="2",BI1103,0),2)</f>
        <v>0</v>
      </c>
      <c r="AH1103" s="28">
        <f>ROUND(IF(AQ1103="0",BJ1103,0),2)</f>
        <v>0</v>
      </c>
      <c r="AI1103" s="10" t="s">
        <v>1854</v>
      </c>
      <c r="AJ1103" s="28">
        <f>IF(AN1103=0,J1103,0)</f>
        <v>0</v>
      </c>
      <c r="AK1103" s="28">
        <f>IF(AN1103=12,J1103,0)</f>
        <v>0</v>
      </c>
      <c r="AL1103" s="28">
        <f>IF(AN1103=21,J1103,0)</f>
        <v>0</v>
      </c>
      <c r="AN1103" s="28">
        <v>21</v>
      </c>
      <c r="AO1103" s="28">
        <f>G1103*0</f>
        <v>0</v>
      </c>
      <c r="AP1103" s="28">
        <f>G1103*(1-0)</f>
        <v>0</v>
      </c>
      <c r="AQ1103" s="30" t="s">
        <v>100</v>
      </c>
      <c r="AV1103" s="28">
        <f>ROUND(AW1103+AX1103,2)</f>
        <v>0</v>
      </c>
      <c r="AW1103" s="28">
        <f>ROUND(F1103*AO1103,2)</f>
        <v>0</v>
      </c>
      <c r="AX1103" s="28">
        <f>ROUND(F1103*AP1103,2)</f>
        <v>0</v>
      </c>
      <c r="AY1103" s="30" t="s">
        <v>1959</v>
      </c>
      <c r="AZ1103" s="30" t="s">
        <v>1930</v>
      </c>
      <c r="BA1103" s="10" t="s">
        <v>1860</v>
      </c>
      <c r="BC1103" s="28">
        <f>AW1103+AX1103</f>
        <v>0</v>
      </c>
      <c r="BD1103" s="28">
        <f>G1103/(100-BE1103)*100</f>
        <v>0</v>
      </c>
      <c r="BE1103" s="28">
        <v>0</v>
      </c>
      <c r="BF1103" s="28">
        <f>1111</f>
        <v>1111</v>
      </c>
      <c r="BH1103" s="28">
        <f>F1103*AO1103</f>
        <v>0</v>
      </c>
      <c r="BI1103" s="28">
        <f>F1103*AP1103</f>
        <v>0</v>
      </c>
      <c r="BJ1103" s="28">
        <f>F1103*G1103</f>
        <v>0</v>
      </c>
      <c r="BK1103" s="28"/>
      <c r="BL1103" s="28"/>
      <c r="BW1103" s="28">
        <v>21</v>
      </c>
      <c r="BX1103" s="4" t="s">
        <v>1958</v>
      </c>
    </row>
    <row r="1104" spans="1:76" x14ac:dyDescent="0.25">
      <c r="A1104" s="31"/>
      <c r="C1104" s="32" t="s">
        <v>281</v>
      </c>
      <c r="D1104" s="32" t="s">
        <v>1960</v>
      </c>
      <c r="F1104" s="33">
        <v>33</v>
      </c>
      <c r="K1104" s="34"/>
    </row>
    <row r="1105" spans="1:76" x14ac:dyDescent="0.25">
      <c r="A1105" s="31"/>
      <c r="C1105" s="32" t="s">
        <v>1950</v>
      </c>
      <c r="D1105" s="32" t="s">
        <v>1961</v>
      </c>
      <c r="F1105" s="33">
        <v>380</v>
      </c>
      <c r="K1105" s="34"/>
    </row>
    <row r="1106" spans="1:76" x14ac:dyDescent="0.25">
      <c r="A1106" s="31"/>
      <c r="C1106" s="32" t="s">
        <v>1861</v>
      </c>
      <c r="D1106" s="32" t="s">
        <v>1962</v>
      </c>
      <c r="F1106" s="33">
        <v>365</v>
      </c>
      <c r="K1106" s="34"/>
    </row>
    <row r="1107" spans="1:76" x14ac:dyDescent="0.25">
      <c r="A1107" s="2" t="s">
        <v>1963</v>
      </c>
      <c r="B1107" s="3" t="s">
        <v>1964</v>
      </c>
      <c r="C1107" s="76" t="s">
        <v>1965</v>
      </c>
      <c r="D1107" s="71"/>
      <c r="E1107" s="3" t="s">
        <v>201</v>
      </c>
      <c r="F1107" s="28">
        <v>10892</v>
      </c>
      <c r="G1107" s="28">
        <v>0</v>
      </c>
      <c r="H1107" s="28">
        <f>ROUND(F1107*AO1107,2)</f>
        <v>0</v>
      </c>
      <c r="I1107" s="28">
        <f>ROUND(F1107*AP1107,2)</f>
        <v>0</v>
      </c>
      <c r="J1107" s="28">
        <f>ROUND(F1107*G1107,2)</f>
        <v>0</v>
      </c>
      <c r="K1107" s="29" t="s">
        <v>60</v>
      </c>
      <c r="Z1107" s="28">
        <f>ROUND(IF(AQ1107="5",BJ1107,0),2)</f>
        <v>0</v>
      </c>
      <c r="AB1107" s="28">
        <f>ROUND(IF(AQ1107="1",BH1107,0),2)</f>
        <v>0</v>
      </c>
      <c r="AC1107" s="28">
        <f>ROUND(IF(AQ1107="1",BI1107,0),2)</f>
        <v>0</v>
      </c>
      <c r="AD1107" s="28">
        <f>ROUND(IF(AQ1107="7",BH1107,0),2)</f>
        <v>0</v>
      </c>
      <c r="AE1107" s="28">
        <f>ROUND(IF(AQ1107="7",BI1107,0),2)</f>
        <v>0</v>
      </c>
      <c r="AF1107" s="28">
        <f>ROUND(IF(AQ1107="2",BH1107,0),2)</f>
        <v>0</v>
      </c>
      <c r="AG1107" s="28">
        <f>ROUND(IF(AQ1107="2",BI1107,0),2)</f>
        <v>0</v>
      </c>
      <c r="AH1107" s="28">
        <f>ROUND(IF(AQ1107="0",BJ1107,0),2)</f>
        <v>0</v>
      </c>
      <c r="AI1107" s="10" t="s">
        <v>1854</v>
      </c>
      <c r="AJ1107" s="28">
        <f>IF(AN1107=0,J1107,0)</f>
        <v>0</v>
      </c>
      <c r="AK1107" s="28">
        <f>IF(AN1107=12,J1107,0)</f>
        <v>0</v>
      </c>
      <c r="AL1107" s="28">
        <f>IF(AN1107=21,J1107,0)</f>
        <v>0</v>
      </c>
      <c r="AN1107" s="28">
        <v>21</v>
      </c>
      <c r="AO1107" s="28">
        <f>G1107*0</f>
        <v>0</v>
      </c>
      <c r="AP1107" s="28">
        <f>G1107*(1-0)</f>
        <v>0</v>
      </c>
      <c r="AQ1107" s="30" t="s">
        <v>100</v>
      </c>
      <c r="AV1107" s="28">
        <f>ROUND(AW1107+AX1107,2)</f>
        <v>0</v>
      </c>
      <c r="AW1107" s="28">
        <f>ROUND(F1107*AO1107,2)</f>
        <v>0</v>
      </c>
      <c r="AX1107" s="28">
        <f>ROUND(F1107*AP1107,2)</f>
        <v>0</v>
      </c>
      <c r="AY1107" s="30" t="s">
        <v>1959</v>
      </c>
      <c r="AZ1107" s="30" t="s">
        <v>1930</v>
      </c>
      <c r="BA1107" s="10" t="s">
        <v>1860</v>
      </c>
      <c r="BC1107" s="28">
        <f>AW1107+AX1107</f>
        <v>0</v>
      </c>
      <c r="BD1107" s="28">
        <f>G1107/(100-BE1107)*100</f>
        <v>0</v>
      </c>
      <c r="BE1107" s="28">
        <v>0</v>
      </c>
      <c r="BF1107" s="28">
        <f>1115</f>
        <v>1115</v>
      </c>
      <c r="BH1107" s="28">
        <f>F1107*AO1107</f>
        <v>0</v>
      </c>
      <c r="BI1107" s="28">
        <f>F1107*AP1107</f>
        <v>0</v>
      </c>
      <c r="BJ1107" s="28">
        <f>F1107*G1107</f>
        <v>0</v>
      </c>
      <c r="BK1107" s="28"/>
      <c r="BL1107" s="28"/>
      <c r="BW1107" s="28">
        <v>21</v>
      </c>
      <c r="BX1107" s="4" t="s">
        <v>1965</v>
      </c>
    </row>
    <row r="1108" spans="1:76" x14ac:dyDescent="0.25">
      <c r="A1108" s="31"/>
      <c r="C1108" s="32" t="s">
        <v>1966</v>
      </c>
      <c r="D1108" s="32" t="s">
        <v>1960</v>
      </c>
      <c r="F1108" s="33">
        <v>462</v>
      </c>
      <c r="K1108" s="34"/>
    </row>
    <row r="1109" spans="1:76" x14ac:dyDescent="0.25">
      <c r="A1109" s="31"/>
      <c r="C1109" s="32" t="s">
        <v>1967</v>
      </c>
      <c r="D1109" s="32" t="s">
        <v>1961</v>
      </c>
      <c r="F1109" s="33">
        <v>5320</v>
      </c>
      <c r="K1109" s="34"/>
    </row>
    <row r="1110" spans="1:76" x14ac:dyDescent="0.25">
      <c r="A1110" s="31"/>
      <c r="C1110" s="32" t="s">
        <v>1968</v>
      </c>
      <c r="D1110" s="32" t="s">
        <v>1969</v>
      </c>
      <c r="F1110" s="33">
        <v>5110</v>
      </c>
      <c r="K1110" s="34"/>
    </row>
    <row r="1111" spans="1:76" x14ac:dyDescent="0.25">
      <c r="A1111" s="2" t="s">
        <v>1970</v>
      </c>
      <c r="B1111" s="3" t="s">
        <v>1971</v>
      </c>
      <c r="C1111" s="76" t="s">
        <v>1972</v>
      </c>
      <c r="D1111" s="71"/>
      <c r="E1111" s="3" t="s">
        <v>201</v>
      </c>
      <c r="F1111" s="28">
        <v>778</v>
      </c>
      <c r="G1111" s="28">
        <v>0</v>
      </c>
      <c r="H1111" s="28">
        <f>ROUND(F1111*AO1111,2)</f>
        <v>0</v>
      </c>
      <c r="I1111" s="28">
        <f>ROUND(F1111*AP1111,2)</f>
        <v>0</v>
      </c>
      <c r="J1111" s="28">
        <f>ROUND(F1111*G1111,2)</f>
        <v>0</v>
      </c>
      <c r="K1111" s="29" t="s">
        <v>60</v>
      </c>
      <c r="Z1111" s="28">
        <f>ROUND(IF(AQ1111="5",BJ1111,0),2)</f>
        <v>0</v>
      </c>
      <c r="AB1111" s="28">
        <f>ROUND(IF(AQ1111="1",BH1111,0),2)</f>
        <v>0</v>
      </c>
      <c r="AC1111" s="28">
        <f>ROUND(IF(AQ1111="1",BI1111,0),2)</f>
        <v>0</v>
      </c>
      <c r="AD1111" s="28">
        <f>ROUND(IF(AQ1111="7",BH1111,0),2)</f>
        <v>0</v>
      </c>
      <c r="AE1111" s="28">
        <f>ROUND(IF(AQ1111="7",BI1111,0),2)</f>
        <v>0</v>
      </c>
      <c r="AF1111" s="28">
        <f>ROUND(IF(AQ1111="2",BH1111,0),2)</f>
        <v>0</v>
      </c>
      <c r="AG1111" s="28">
        <f>ROUND(IF(AQ1111="2",BI1111,0),2)</f>
        <v>0</v>
      </c>
      <c r="AH1111" s="28">
        <f>ROUND(IF(AQ1111="0",BJ1111,0),2)</f>
        <v>0</v>
      </c>
      <c r="AI1111" s="10" t="s">
        <v>1854</v>
      </c>
      <c r="AJ1111" s="28">
        <f>IF(AN1111=0,J1111,0)</f>
        <v>0</v>
      </c>
      <c r="AK1111" s="28">
        <f>IF(AN1111=12,J1111,0)</f>
        <v>0</v>
      </c>
      <c r="AL1111" s="28">
        <f>IF(AN1111=21,J1111,0)</f>
        <v>0</v>
      </c>
      <c r="AN1111" s="28">
        <v>21</v>
      </c>
      <c r="AO1111" s="28">
        <f>G1111*0</f>
        <v>0</v>
      </c>
      <c r="AP1111" s="28">
        <f>G1111*(1-0)</f>
        <v>0</v>
      </c>
      <c r="AQ1111" s="30" t="s">
        <v>100</v>
      </c>
      <c r="AV1111" s="28">
        <f>ROUND(AW1111+AX1111,2)</f>
        <v>0</v>
      </c>
      <c r="AW1111" s="28">
        <f>ROUND(F1111*AO1111,2)</f>
        <v>0</v>
      </c>
      <c r="AX1111" s="28">
        <f>ROUND(F1111*AP1111,2)</f>
        <v>0</v>
      </c>
      <c r="AY1111" s="30" t="s">
        <v>1959</v>
      </c>
      <c r="AZ1111" s="30" t="s">
        <v>1930</v>
      </c>
      <c r="BA1111" s="10" t="s">
        <v>1860</v>
      </c>
      <c r="BC1111" s="28">
        <f>AW1111+AX1111</f>
        <v>0</v>
      </c>
      <c r="BD1111" s="28">
        <f>G1111/(100-BE1111)*100</f>
        <v>0</v>
      </c>
      <c r="BE1111" s="28">
        <v>0</v>
      </c>
      <c r="BF1111" s="28">
        <f>1119</f>
        <v>1119</v>
      </c>
      <c r="BH1111" s="28">
        <f>F1111*AO1111</f>
        <v>0</v>
      </c>
      <c r="BI1111" s="28">
        <f>F1111*AP1111</f>
        <v>0</v>
      </c>
      <c r="BJ1111" s="28">
        <f>F1111*G1111</f>
        <v>0</v>
      </c>
      <c r="BK1111" s="28"/>
      <c r="BL1111" s="28"/>
      <c r="BW1111" s="28">
        <v>21</v>
      </c>
      <c r="BX1111" s="4" t="s">
        <v>1972</v>
      </c>
    </row>
    <row r="1112" spans="1:76" x14ac:dyDescent="0.25">
      <c r="A1112" s="31"/>
      <c r="C1112" s="32" t="s">
        <v>281</v>
      </c>
      <c r="D1112" s="32" t="s">
        <v>1960</v>
      </c>
      <c r="F1112" s="33">
        <v>33</v>
      </c>
      <c r="K1112" s="34"/>
    </row>
    <row r="1113" spans="1:76" x14ac:dyDescent="0.25">
      <c r="A1113" s="31"/>
      <c r="C1113" s="32" t="s">
        <v>1950</v>
      </c>
      <c r="D1113" s="32" t="s">
        <v>1961</v>
      </c>
      <c r="F1113" s="33">
        <v>380</v>
      </c>
      <c r="K1113" s="34"/>
    </row>
    <row r="1114" spans="1:76" x14ac:dyDescent="0.25">
      <c r="A1114" s="31"/>
      <c r="C1114" s="32" t="s">
        <v>1861</v>
      </c>
      <c r="D1114" s="32" t="s">
        <v>1969</v>
      </c>
      <c r="F1114" s="33">
        <v>365</v>
      </c>
      <c r="K1114" s="34"/>
    </row>
    <row r="1115" spans="1:76" ht="13.5" customHeight="1" x14ac:dyDescent="0.25">
      <c r="A1115" s="31"/>
      <c r="B1115" s="37" t="s">
        <v>72</v>
      </c>
      <c r="C1115" s="97" t="s">
        <v>1973</v>
      </c>
      <c r="D1115" s="98"/>
      <c r="E1115" s="98"/>
      <c r="F1115" s="98"/>
      <c r="G1115" s="98"/>
      <c r="H1115" s="98"/>
      <c r="I1115" s="98"/>
      <c r="J1115" s="98"/>
      <c r="K1115" s="99"/>
    </row>
    <row r="1116" spans="1:76" x14ac:dyDescent="0.25">
      <c r="A1116" s="2" t="s">
        <v>1974</v>
      </c>
      <c r="B1116" s="3" t="s">
        <v>1975</v>
      </c>
      <c r="C1116" s="76" t="s">
        <v>1976</v>
      </c>
      <c r="D1116" s="71"/>
      <c r="E1116" s="3" t="s">
        <v>201</v>
      </c>
      <c r="F1116" s="28">
        <v>778</v>
      </c>
      <c r="G1116" s="28">
        <v>0</v>
      </c>
      <c r="H1116" s="28">
        <f>ROUND(F1116*AO1116,2)</f>
        <v>0</v>
      </c>
      <c r="I1116" s="28">
        <f>ROUND(F1116*AP1116,2)</f>
        <v>0</v>
      </c>
      <c r="J1116" s="28">
        <f>ROUND(F1116*G1116,2)</f>
        <v>0</v>
      </c>
      <c r="K1116" s="29" t="s">
        <v>60</v>
      </c>
      <c r="Z1116" s="28">
        <f>ROUND(IF(AQ1116="5",BJ1116,0),2)</f>
        <v>0</v>
      </c>
      <c r="AB1116" s="28">
        <f>ROUND(IF(AQ1116="1",BH1116,0),2)</f>
        <v>0</v>
      </c>
      <c r="AC1116" s="28">
        <f>ROUND(IF(AQ1116="1",BI1116,0),2)</f>
        <v>0</v>
      </c>
      <c r="AD1116" s="28">
        <f>ROUND(IF(AQ1116="7",BH1116,0),2)</f>
        <v>0</v>
      </c>
      <c r="AE1116" s="28">
        <f>ROUND(IF(AQ1116="7",BI1116,0),2)</f>
        <v>0</v>
      </c>
      <c r="AF1116" s="28">
        <f>ROUND(IF(AQ1116="2",BH1116,0),2)</f>
        <v>0</v>
      </c>
      <c r="AG1116" s="28">
        <f>ROUND(IF(AQ1116="2",BI1116,0),2)</f>
        <v>0</v>
      </c>
      <c r="AH1116" s="28">
        <f>ROUND(IF(AQ1116="0",BJ1116,0),2)</f>
        <v>0</v>
      </c>
      <c r="AI1116" s="10" t="s">
        <v>1854</v>
      </c>
      <c r="AJ1116" s="28">
        <f>IF(AN1116=0,J1116,0)</f>
        <v>0</v>
      </c>
      <c r="AK1116" s="28">
        <f>IF(AN1116=12,J1116,0)</f>
        <v>0</v>
      </c>
      <c r="AL1116" s="28">
        <f>IF(AN1116=21,J1116,0)</f>
        <v>0</v>
      </c>
      <c r="AN1116" s="28">
        <v>21</v>
      </c>
      <c r="AO1116" s="28">
        <f>G1116*0</f>
        <v>0</v>
      </c>
      <c r="AP1116" s="28">
        <f>G1116*(1-0)</f>
        <v>0</v>
      </c>
      <c r="AQ1116" s="30" t="s">
        <v>100</v>
      </c>
      <c r="AV1116" s="28">
        <f>ROUND(AW1116+AX1116,2)</f>
        <v>0</v>
      </c>
      <c r="AW1116" s="28">
        <f>ROUND(F1116*AO1116,2)</f>
        <v>0</v>
      </c>
      <c r="AX1116" s="28">
        <f>ROUND(F1116*AP1116,2)</f>
        <v>0</v>
      </c>
      <c r="AY1116" s="30" t="s">
        <v>1959</v>
      </c>
      <c r="AZ1116" s="30" t="s">
        <v>1930</v>
      </c>
      <c r="BA1116" s="10" t="s">
        <v>1860</v>
      </c>
      <c r="BC1116" s="28">
        <f>AW1116+AX1116</f>
        <v>0</v>
      </c>
      <c r="BD1116" s="28">
        <f>G1116/(100-BE1116)*100</f>
        <v>0</v>
      </c>
      <c r="BE1116" s="28">
        <v>0</v>
      </c>
      <c r="BF1116" s="28">
        <f>1124</f>
        <v>1124</v>
      </c>
      <c r="BH1116" s="28">
        <f>F1116*AO1116</f>
        <v>0</v>
      </c>
      <c r="BI1116" s="28">
        <f>F1116*AP1116</f>
        <v>0</v>
      </c>
      <c r="BJ1116" s="28">
        <f>F1116*G1116</f>
        <v>0</v>
      </c>
      <c r="BK1116" s="28"/>
      <c r="BL1116" s="28"/>
      <c r="BW1116" s="28">
        <v>21</v>
      </c>
      <c r="BX1116" s="4" t="s">
        <v>1976</v>
      </c>
    </row>
    <row r="1117" spans="1:76" x14ac:dyDescent="0.25">
      <c r="A1117" s="31"/>
      <c r="B1117" s="35" t="s">
        <v>68</v>
      </c>
      <c r="C1117" s="94" t="s">
        <v>1977</v>
      </c>
      <c r="D1117" s="95"/>
      <c r="E1117" s="95"/>
      <c r="F1117" s="95"/>
      <c r="G1117" s="95"/>
      <c r="H1117" s="95"/>
      <c r="I1117" s="95"/>
      <c r="J1117" s="95"/>
      <c r="K1117" s="96"/>
      <c r="BX1117" s="36" t="s">
        <v>1977</v>
      </c>
    </row>
    <row r="1118" spans="1:76" x14ac:dyDescent="0.25">
      <c r="A1118" s="24" t="s">
        <v>51</v>
      </c>
      <c r="B1118" s="25" t="s">
        <v>51</v>
      </c>
      <c r="C1118" s="87" t="s">
        <v>1978</v>
      </c>
      <c r="D1118" s="88"/>
      <c r="E1118" s="26" t="s">
        <v>4</v>
      </c>
      <c r="F1118" s="26" t="s">
        <v>4</v>
      </c>
      <c r="G1118" s="26" t="s">
        <v>4</v>
      </c>
      <c r="H1118" s="1">
        <f>H1119+H1123+H1133+H1147</f>
        <v>0</v>
      </c>
      <c r="I1118" s="1">
        <f>I1119+I1123+I1133+I1147</f>
        <v>0</v>
      </c>
      <c r="J1118" s="1">
        <f>J1119+J1123+J1133+J1147</f>
        <v>0</v>
      </c>
      <c r="K1118" s="27" t="s">
        <v>51</v>
      </c>
    </row>
    <row r="1119" spans="1:76" x14ac:dyDescent="0.25">
      <c r="A1119" s="24" t="s">
        <v>51</v>
      </c>
      <c r="B1119" s="25" t="s">
        <v>427</v>
      </c>
      <c r="C1119" s="87" t="s">
        <v>1979</v>
      </c>
      <c r="D1119" s="88"/>
      <c r="E1119" s="26" t="s">
        <v>4</v>
      </c>
      <c r="F1119" s="26" t="s">
        <v>4</v>
      </c>
      <c r="G1119" s="26" t="s">
        <v>4</v>
      </c>
      <c r="H1119" s="1">
        <f>SUM(H1120:H1120)</f>
        <v>0</v>
      </c>
      <c r="I1119" s="1">
        <f>SUM(I1120:I1120)</f>
        <v>0</v>
      </c>
      <c r="J1119" s="1">
        <f>SUM(J1120:J1120)</f>
        <v>0</v>
      </c>
      <c r="K1119" s="27" t="s">
        <v>51</v>
      </c>
      <c r="AI1119" s="10" t="s">
        <v>1980</v>
      </c>
      <c r="AS1119" s="1">
        <f>SUM(AJ1120:AJ1120)</f>
        <v>0</v>
      </c>
      <c r="AT1119" s="1">
        <f>SUM(AK1120:AK1120)</f>
        <v>0</v>
      </c>
      <c r="AU1119" s="1">
        <f>SUM(AL1120:AL1120)</f>
        <v>0</v>
      </c>
    </row>
    <row r="1120" spans="1:76" x14ac:dyDescent="0.25">
      <c r="A1120" s="2" t="s">
        <v>1981</v>
      </c>
      <c r="B1120" s="3" t="s">
        <v>1982</v>
      </c>
      <c r="C1120" s="76" t="s">
        <v>1983</v>
      </c>
      <c r="D1120" s="71"/>
      <c r="E1120" s="3" t="s">
        <v>103</v>
      </c>
      <c r="F1120" s="28">
        <v>144</v>
      </c>
      <c r="G1120" s="28">
        <v>0</v>
      </c>
      <c r="H1120" s="28">
        <f>ROUND(F1120*AO1120,2)</f>
        <v>0</v>
      </c>
      <c r="I1120" s="28">
        <f>ROUND(F1120*AP1120,2)</f>
        <v>0</v>
      </c>
      <c r="J1120" s="28">
        <f>ROUND(F1120*G1120,2)</f>
        <v>0</v>
      </c>
      <c r="K1120" s="29" t="s">
        <v>60</v>
      </c>
      <c r="Z1120" s="28">
        <f>ROUND(IF(AQ1120="5",BJ1120,0),2)</f>
        <v>0</v>
      </c>
      <c r="AB1120" s="28">
        <f>ROUND(IF(AQ1120="1",BH1120,0),2)</f>
        <v>0</v>
      </c>
      <c r="AC1120" s="28">
        <f>ROUND(IF(AQ1120="1",BI1120,0),2)</f>
        <v>0</v>
      </c>
      <c r="AD1120" s="28">
        <f>ROUND(IF(AQ1120="7",BH1120,0),2)</f>
        <v>0</v>
      </c>
      <c r="AE1120" s="28">
        <f>ROUND(IF(AQ1120="7",BI1120,0),2)</f>
        <v>0</v>
      </c>
      <c r="AF1120" s="28">
        <f>ROUND(IF(AQ1120="2",BH1120,0),2)</f>
        <v>0</v>
      </c>
      <c r="AG1120" s="28">
        <f>ROUND(IF(AQ1120="2",BI1120,0),2)</f>
        <v>0</v>
      </c>
      <c r="AH1120" s="28">
        <f>ROUND(IF(AQ1120="0",BJ1120,0),2)</f>
        <v>0</v>
      </c>
      <c r="AI1120" s="10" t="s">
        <v>1980</v>
      </c>
      <c r="AJ1120" s="28">
        <f>IF(AN1120=0,J1120,0)</f>
        <v>0</v>
      </c>
      <c r="AK1120" s="28">
        <f>IF(AN1120=12,J1120,0)</f>
        <v>0</v>
      </c>
      <c r="AL1120" s="28">
        <f>IF(AN1120=21,J1120,0)</f>
        <v>0</v>
      </c>
      <c r="AN1120" s="28">
        <v>21</v>
      </c>
      <c r="AO1120" s="28">
        <f>G1120*0.946589604</f>
        <v>0</v>
      </c>
      <c r="AP1120" s="28">
        <f>G1120*(1-0.946589604)</f>
        <v>0</v>
      </c>
      <c r="AQ1120" s="30" t="s">
        <v>56</v>
      </c>
      <c r="AV1120" s="28">
        <f>ROUND(AW1120+AX1120,2)</f>
        <v>0</v>
      </c>
      <c r="AW1120" s="28">
        <f>ROUND(F1120*AO1120,2)</f>
        <v>0</v>
      </c>
      <c r="AX1120" s="28">
        <f>ROUND(F1120*AP1120,2)</f>
        <v>0</v>
      </c>
      <c r="AY1120" s="30" t="s">
        <v>1984</v>
      </c>
      <c r="AZ1120" s="30" t="s">
        <v>1985</v>
      </c>
      <c r="BA1120" s="10" t="s">
        <v>1986</v>
      </c>
      <c r="BC1120" s="28">
        <f>AW1120+AX1120</f>
        <v>0</v>
      </c>
      <c r="BD1120" s="28">
        <f>G1120/(100-BE1120)*100</f>
        <v>0</v>
      </c>
      <c r="BE1120" s="28">
        <v>0</v>
      </c>
      <c r="BF1120" s="28">
        <f>1128</f>
        <v>1128</v>
      </c>
      <c r="BH1120" s="28">
        <f>F1120*AO1120</f>
        <v>0</v>
      </c>
      <c r="BI1120" s="28">
        <f>F1120*AP1120</f>
        <v>0</v>
      </c>
      <c r="BJ1120" s="28">
        <f>F1120*G1120</f>
        <v>0</v>
      </c>
      <c r="BK1120" s="28"/>
      <c r="BL1120" s="28">
        <v>58</v>
      </c>
      <c r="BW1120" s="28">
        <v>21</v>
      </c>
      <c r="BX1120" s="4" t="s">
        <v>1983</v>
      </c>
    </row>
    <row r="1121" spans="1:76" ht="13.5" customHeight="1" x14ac:dyDescent="0.25">
      <c r="A1121" s="31"/>
      <c r="B1121" s="35" t="s">
        <v>105</v>
      </c>
      <c r="C1121" s="97" t="s">
        <v>1987</v>
      </c>
      <c r="D1121" s="98"/>
      <c r="E1121" s="98"/>
      <c r="F1121" s="98"/>
      <c r="G1121" s="98"/>
      <c r="H1121" s="98"/>
      <c r="I1121" s="98"/>
      <c r="J1121" s="98"/>
      <c r="K1121" s="99"/>
    </row>
    <row r="1122" spans="1:76" x14ac:dyDescent="0.25">
      <c r="A1122" s="31"/>
      <c r="B1122" s="35" t="s">
        <v>68</v>
      </c>
      <c r="C1122" s="94" t="s">
        <v>1988</v>
      </c>
      <c r="D1122" s="95"/>
      <c r="E1122" s="95"/>
      <c r="F1122" s="95"/>
      <c r="G1122" s="95"/>
      <c r="H1122" s="95"/>
      <c r="I1122" s="95"/>
      <c r="J1122" s="95"/>
      <c r="K1122" s="96"/>
      <c r="BX1122" s="36" t="s">
        <v>1988</v>
      </c>
    </row>
    <row r="1123" spans="1:76" x14ac:dyDescent="0.25">
      <c r="A1123" s="24" t="s">
        <v>51</v>
      </c>
      <c r="B1123" s="25" t="s">
        <v>1227</v>
      </c>
      <c r="C1123" s="87" t="s">
        <v>1228</v>
      </c>
      <c r="D1123" s="88"/>
      <c r="E1123" s="26" t="s">
        <v>4</v>
      </c>
      <c r="F1123" s="26" t="s">
        <v>4</v>
      </c>
      <c r="G1123" s="26" t="s">
        <v>4</v>
      </c>
      <c r="H1123" s="1">
        <f>SUM(H1124:H1131)</f>
        <v>0</v>
      </c>
      <c r="I1123" s="1">
        <f>SUM(I1124:I1131)</f>
        <v>0</v>
      </c>
      <c r="J1123" s="1">
        <f>SUM(J1124:J1131)</f>
        <v>0</v>
      </c>
      <c r="K1123" s="27" t="s">
        <v>51</v>
      </c>
      <c r="AI1123" s="10" t="s">
        <v>1980</v>
      </c>
      <c r="AS1123" s="1">
        <f>SUM(AJ1124:AJ1131)</f>
        <v>0</v>
      </c>
      <c r="AT1123" s="1">
        <f>SUM(AK1124:AK1131)</f>
        <v>0</v>
      </c>
      <c r="AU1123" s="1">
        <f>SUM(AL1124:AL1131)</f>
        <v>0</v>
      </c>
    </row>
    <row r="1124" spans="1:76" x14ac:dyDescent="0.25">
      <c r="A1124" s="2" t="s">
        <v>1989</v>
      </c>
      <c r="B1124" s="3" t="s">
        <v>1990</v>
      </c>
      <c r="C1124" s="76" t="s">
        <v>1991</v>
      </c>
      <c r="D1124" s="71"/>
      <c r="E1124" s="3" t="s">
        <v>103</v>
      </c>
      <c r="F1124" s="28">
        <v>56.7</v>
      </c>
      <c r="G1124" s="28">
        <v>0</v>
      </c>
      <c r="H1124" s="28">
        <f>ROUND(F1124*AO1124,2)</f>
        <v>0</v>
      </c>
      <c r="I1124" s="28">
        <f>ROUND(F1124*AP1124,2)</f>
        <v>0</v>
      </c>
      <c r="J1124" s="28">
        <f>ROUND(F1124*G1124,2)</f>
        <v>0</v>
      </c>
      <c r="K1124" s="29" t="s">
        <v>60</v>
      </c>
      <c r="Z1124" s="28">
        <f>ROUND(IF(AQ1124="5",BJ1124,0),2)</f>
        <v>0</v>
      </c>
      <c r="AB1124" s="28">
        <f>ROUND(IF(AQ1124="1",BH1124,0),2)</f>
        <v>0</v>
      </c>
      <c r="AC1124" s="28">
        <f>ROUND(IF(AQ1124="1",BI1124,0),2)</f>
        <v>0</v>
      </c>
      <c r="AD1124" s="28">
        <f>ROUND(IF(AQ1124="7",BH1124,0),2)</f>
        <v>0</v>
      </c>
      <c r="AE1124" s="28">
        <f>ROUND(IF(AQ1124="7",BI1124,0),2)</f>
        <v>0</v>
      </c>
      <c r="AF1124" s="28">
        <f>ROUND(IF(AQ1124="2",BH1124,0),2)</f>
        <v>0</v>
      </c>
      <c r="AG1124" s="28">
        <f>ROUND(IF(AQ1124="2",BI1124,0),2)</f>
        <v>0</v>
      </c>
      <c r="AH1124" s="28">
        <f>ROUND(IF(AQ1124="0",BJ1124,0),2)</f>
        <v>0</v>
      </c>
      <c r="AI1124" s="10" t="s">
        <v>1980</v>
      </c>
      <c r="AJ1124" s="28">
        <f>IF(AN1124=0,J1124,0)</f>
        <v>0</v>
      </c>
      <c r="AK1124" s="28">
        <f>IF(AN1124=12,J1124,0)</f>
        <v>0</v>
      </c>
      <c r="AL1124" s="28">
        <f>IF(AN1124=21,J1124,0)</f>
        <v>0</v>
      </c>
      <c r="AN1124" s="28">
        <v>21</v>
      </c>
      <c r="AO1124" s="28">
        <f>G1124*0</f>
        <v>0</v>
      </c>
      <c r="AP1124" s="28">
        <f>G1124*(1-0)</f>
        <v>0</v>
      </c>
      <c r="AQ1124" s="30" t="s">
        <v>118</v>
      </c>
      <c r="AV1124" s="28">
        <f>ROUND(AW1124+AX1124,2)</f>
        <v>0</v>
      </c>
      <c r="AW1124" s="28">
        <f>ROUND(F1124*AO1124,2)</f>
        <v>0</v>
      </c>
      <c r="AX1124" s="28">
        <f>ROUND(F1124*AP1124,2)</f>
        <v>0</v>
      </c>
      <c r="AY1124" s="30" t="s">
        <v>1232</v>
      </c>
      <c r="AZ1124" s="30" t="s">
        <v>1992</v>
      </c>
      <c r="BA1124" s="10" t="s">
        <v>1986</v>
      </c>
      <c r="BC1124" s="28">
        <f>AW1124+AX1124</f>
        <v>0</v>
      </c>
      <c r="BD1124" s="28">
        <f>G1124/(100-BE1124)*100</f>
        <v>0</v>
      </c>
      <c r="BE1124" s="28">
        <v>0</v>
      </c>
      <c r="BF1124" s="28">
        <f>1132</f>
        <v>1132</v>
      </c>
      <c r="BH1124" s="28">
        <f>F1124*AO1124</f>
        <v>0</v>
      </c>
      <c r="BI1124" s="28">
        <f>F1124*AP1124</f>
        <v>0</v>
      </c>
      <c r="BJ1124" s="28">
        <f>F1124*G1124</f>
        <v>0</v>
      </c>
      <c r="BK1124" s="28"/>
      <c r="BL1124" s="28">
        <v>762</v>
      </c>
      <c r="BW1124" s="28">
        <v>21</v>
      </c>
      <c r="BX1124" s="4" t="s">
        <v>1991</v>
      </c>
    </row>
    <row r="1125" spans="1:76" x14ac:dyDescent="0.25">
      <c r="A1125" s="2" t="s">
        <v>1993</v>
      </c>
      <c r="B1125" s="3" t="s">
        <v>1994</v>
      </c>
      <c r="C1125" s="76" t="s">
        <v>1995</v>
      </c>
      <c r="D1125" s="71"/>
      <c r="E1125" s="3" t="s">
        <v>293</v>
      </c>
      <c r="F1125" s="28">
        <v>4</v>
      </c>
      <c r="G1125" s="28">
        <v>0</v>
      </c>
      <c r="H1125" s="28">
        <f>ROUND(F1125*AO1125,2)</f>
        <v>0</v>
      </c>
      <c r="I1125" s="28">
        <f>ROUND(F1125*AP1125,2)</f>
        <v>0</v>
      </c>
      <c r="J1125" s="28">
        <f>ROUND(F1125*G1125,2)</f>
        <v>0</v>
      </c>
      <c r="K1125" s="29" t="s">
        <v>424</v>
      </c>
      <c r="Z1125" s="28">
        <f>ROUND(IF(AQ1125="5",BJ1125,0),2)</f>
        <v>0</v>
      </c>
      <c r="AB1125" s="28">
        <f>ROUND(IF(AQ1125="1",BH1125,0),2)</f>
        <v>0</v>
      </c>
      <c r="AC1125" s="28">
        <f>ROUND(IF(AQ1125="1",BI1125,0),2)</f>
        <v>0</v>
      </c>
      <c r="AD1125" s="28">
        <f>ROUND(IF(AQ1125="7",BH1125,0),2)</f>
        <v>0</v>
      </c>
      <c r="AE1125" s="28">
        <f>ROUND(IF(AQ1125="7",BI1125,0),2)</f>
        <v>0</v>
      </c>
      <c r="AF1125" s="28">
        <f>ROUND(IF(AQ1125="2",BH1125,0),2)</f>
        <v>0</v>
      </c>
      <c r="AG1125" s="28">
        <f>ROUND(IF(AQ1125="2",BI1125,0),2)</f>
        <v>0</v>
      </c>
      <c r="AH1125" s="28">
        <f>ROUND(IF(AQ1125="0",BJ1125,0),2)</f>
        <v>0</v>
      </c>
      <c r="AI1125" s="10" t="s">
        <v>1980</v>
      </c>
      <c r="AJ1125" s="28">
        <f>IF(AN1125=0,J1125,0)</f>
        <v>0</v>
      </c>
      <c r="AK1125" s="28">
        <f>IF(AN1125=12,J1125,0)</f>
        <v>0</v>
      </c>
      <c r="AL1125" s="28">
        <f>IF(AN1125=21,J1125,0)</f>
        <v>0</v>
      </c>
      <c r="AN1125" s="28">
        <v>21</v>
      </c>
      <c r="AO1125" s="28">
        <f>G1125*1</f>
        <v>0</v>
      </c>
      <c r="AP1125" s="28">
        <f>G1125*(1-1)</f>
        <v>0</v>
      </c>
      <c r="AQ1125" s="30" t="s">
        <v>118</v>
      </c>
      <c r="AV1125" s="28">
        <f>ROUND(AW1125+AX1125,2)</f>
        <v>0</v>
      </c>
      <c r="AW1125" s="28">
        <f>ROUND(F1125*AO1125,2)</f>
        <v>0</v>
      </c>
      <c r="AX1125" s="28">
        <f>ROUND(F1125*AP1125,2)</f>
        <v>0</v>
      </c>
      <c r="AY1125" s="30" t="s">
        <v>1232</v>
      </c>
      <c r="AZ1125" s="30" t="s">
        <v>1992</v>
      </c>
      <c r="BA1125" s="10" t="s">
        <v>1986</v>
      </c>
      <c r="BC1125" s="28">
        <f>AW1125+AX1125</f>
        <v>0</v>
      </c>
      <c r="BD1125" s="28">
        <f>G1125/(100-BE1125)*100</f>
        <v>0</v>
      </c>
      <c r="BE1125" s="28">
        <v>0</v>
      </c>
      <c r="BF1125" s="28">
        <f>1133</f>
        <v>1133</v>
      </c>
      <c r="BH1125" s="28">
        <f>F1125*AO1125</f>
        <v>0</v>
      </c>
      <c r="BI1125" s="28">
        <f>F1125*AP1125</f>
        <v>0</v>
      </c>
      <c r="BJ1125" s="28">
        <f>F1125*G1125</f>
        <v>0</v>
      </c>
      <c r="BK1125" s="28"/>
      <c r="BL1125" s="28">
        <v>762</v>
      </c>
      <c r="BW1125" s="28">
        <v>21</v>
      </c>
      <c r="BX1125" s="4" t="s">
        <v>1995</v>
      </c>
    </row>
    <row r="1126" spans="1:76" x14ac:dyDescent="0.25">
      <c r="A1126" s="31"/>
      <c r="B1126" s="35" t="s">
        <v>68</v>
      </c>
      <c r="C1126" s="94" t="s">
        <v>1996</v>
      </c>
      <c r="D1126" s="95"/>
      <c r="E1126" s="95"/>
      <c r="F1126" s="95"/>
      <c r="G1126" s="95"/>
      <c r="H1126" s="95"/>
      <c r="I1126" s="95"/>
      <c r="J1126" s="95"/>
      <c r="K1126" s="96"/>
      <c r="BX1126" s="36" t="s">
        <v>1996</v>
      </c>
    </row>
    <row r="1127" spans="1:76" x14ac:dyDescent="0.25">
      <c r="A1127" s="2" t="s">
        <v>1997</v>
      </c>
      <c r="B1127" s="3" t="s">
        <v>1994</v>
      </c>
      <c r="C1127" s="76" t="s">
        <v>1998</v>
      </c>
      <c r="D1127" s="71"/>
      <c r="E1127" s="3" t="s">
        <v>293</v>
      </c>
      <c r="F1127" s="28">
        <v>104</v>
      </c>
      <c r="G1127" s="28">
        <v>0</v>
      </c>
      <c r="H1127" s="28">
        <f>ROUND(F1127*AO1127,2)</f>
        <v>0</v>
      </c>
      <c r="I1127" s="28">
        <f>ROUND(F1127*AP1127,2)</f>
        <v>0</v>
      </c>
      <c r="J1127" s="28">
        <f>ROUND(F1127*G1127,2)</f>
        <v>0</v>
      </c>
      <c r="K1127" s="29" t="s">
        <v>424</v>
      </c>
      <c r="Z1127" s="28">
        <f>ROUND(IF(AQ1127="5",BJ1127,0),2)</f>
        <v>0</v>
      </c>
      <c r="AB1127" s="28">
        <f>ROUND(IF(AQ1127="1",BH1127,0),2)</f>
        <v>0</v>
      </c>
      <c r="AC1127" s="28">
        <f>ROUND(IF(AQ1127="1",BI1127,0),2)</f>
        <v>0</v>
      </c>
      <c r="AD1127" s="28">
        <f>ROUND(IF(AQ1127="7",BH1127,0),2)</f>
        <v>0</v>
      </c>
      <c r="AE1127" s="28">
        <f>ROUND(IF(AQ1127="7",BI1127,0),2)</f>
        <v>0</v>
      </c>
      <c r="AF1127" s="28">
        <f>ROUND(IF(AQ1127="2",BH1127,0),2)</f>
        <v>0</v>
      </c>
      <c r="AG1127" s="28">
        <f>ROUND(IF(AQ1127="2",BI1127,0),2)</f>
        <v>0</v>
      </c>
      <c r="AH1127" s="28">
        <f>ROUND(IF(AQ1127="0",BJ1127,0),2)</f>
        <v>0</v>
      </c>
      <c r="AI1127" s="10" t="s">
        <v>1980</v>
      </c>
      <c r="AJ1127" s="28">
        <f>IF(AN1127=0,J1127,0)</f>
        <v>0</v>
      </c>
      <c r="AK1127" s="28">
        <f>IF(AN1127=12,J1127,0)</f>
        <v>0</v>
      </c>
      <c r="AL1127" s="28">
        <f>IF(AN1127=21,J1127,0)</f>
        <v>0</v>
      </c>
      <c r="AN1127" s="28">
        <v>21</v>
      </c>
      <c r="AO1127" s="28">
        <f>G1127*1</f>
        <v>0</v>
      </c>
      <c r="AP1127" s="28">
        <f>G1127*(1-1)</f>
        <v>0</v>
      </c>
      <c r="AQ1127" s="30" t="s">
        <v>118</v>
      </c>
      <c r="AV1127" s="28">
        <f>ROUND(AW1127+AX1127,2)</f>
        <v>0</v>
      </c>
      <c r="AW1127" s="28">
        <f>ROUND(F1127*AO1127,2)</f>
        <v>0</v>
      </c>
      <c r="AX1127" s="28">
        <f>ROUND(F1127*AP1127,2)</f>
        <v>0</v>
      </c>
      <c r="AY1127" s="30" t="s">
        <v>1232</v>
      </c>
      <c r="AZ1127" s="30" t="s">
        <v>1992</v>
      </c>
      <c r="BA1127" s="10" t="s">
        <v>1986</v>
      </c>
      <c r="BC1127" s="28">
        <f>AW1127+AX1127</f>
        <v>0</v>
      </c>
      <c r="BD1127" s="28">
        <f>G1127/(100-BE1127)*100</f>
        <v>0</v>
      </c>
      <c r="BE1127" s="28">
        <v>0</v>
      </c>
      <c r="BF1127" s="28">
        <f>1135</f>
        <v>1135</v>
      </c>
      <c r="BH1127" s="28">
        <f>F1127*AO1127</f>
        <v>0</v>
      </c>
      <c r="BI1127" s="28">
        <f>F1127*AP1127</f>
        <v>0</v>
      </c>
      <c r="BJ1127" s="28">
        <f>F1127*G1127</f>
        <v>0</v>
      </c>
      <c r="BK1127" s="28"/>
      <c r="BL1127" s="28">
        <v>762</v>
      </c>
      <c r="BW1127" s="28">
        <v>21</v>
      </c>
      <c r="BX1127" s="4" t="s">
        <v>1998</v>
      </c>
    </row>
    <row r="1128" spans="1:76" x14ac:dyDescent="0.25">
      <c r="A1128" s="31"/>
      <c r="C1128" s="32" t="s">
        <v>1999</v>
      </c>
      <c r="D1128" s="32" t="s">
        <v>51</v>
      </c>
      <c r="F1128" s="33">
        <v>104</v>
      </c>
      <c r="K1128" s="34"/>
    </row>
    <row r="1129" spans="1:76" x14ac:dyDescent="0.25">
      <c r="A1129" s="31"/>
      <c r="B1129" s="35" t="s">
        <v>68</v>
      </c>
      <c r="C1129" s="94" t="s">
        <v>2000</v>
      </c>
      <c r="D1129" s="95"/>
      <c r="E1129" s="95"/>
      <c r="F1129" s="95"/>
      <c r="G1129" s="95"/>
      <c r="H1129" s="95"/>
      <c r="I1129" s="95"/>
      <c r="J1129" s="95"/>
      <c r="K1129" s="96"/>
      <c r="BX1129" s="36" t="s">
        <v>2000</v>
      </c>
    </row>
    <row r="1130" spans="1:76" ht="25.5" x14ac:dyDescent="0.25">
      <c r="A1130" s="2" t="s">
        <v>2001</v>
      </c>
      <c r="B1130" s="3" t="s">
        <v>2002</v>
      </c>
      <c r="C1130" s="76" t="s">
        <v>2003</v>
      </c>
      <c r="D1130" s="71"/>
      <c r="E1130" s="3" t="s">
        <v>1376</v>
      </c>
      <c r="F1130" s="28">
        <v>27</v>
      </c>
      <c r="G1130" s="28">
        <v>0</v>
      </c>
      <c r="H1130" s="28">
        <f>ROUND(F1130*AO1130,2)</f>
        <v>0</v>
      </c>
      <c r="I1130" s="28">
        <f>ROUND(F1130*AP1130,2)</f>
        <v>0</v>
      </c>
      <c r="J1130" s="28">
        <f>ROUND(F1130*G1130,2)</f>
        <v>0</v>
      </c>
      <c r="K1130" s="29" t="s">
        <v>424</v>
      </c>
      <c r="Z1130" s="28">
        <f>ROUND(IF(AQ1130="5",BJ1130,0),2)</f>
        <v>0</v>
      </c>
      <c r="AB1130" s="28">
        <f>ROUND(IF(AQ1130="1",BH1130,0),2)</f>
        <v>0</v>
      </c>
      <c r="AC1130" s="28">
        <f>ROUND(IF(AQ1130="1",BI1130,0),2)</f>
        <v>0</v>
      </c>
      <c r="AD1130" s="28">
        <f>ROUND(IF(AQ1130="7",BH1130,0),2)</f>
        <v>0</v>
      </c>
      <c r="AE1130" s="28">
        <f>ROUND(IF(AQ1130="7",BI1130,0),2)</f>
        <v>0</v>
      </c>
      <c r="AF1130" s="28">
        <f>ROUND(IF(AQ1130="2",BH1130,0),2)</f>
        <v>0</v>
      </c>
      <c r="AG1130" s="28">
        <f>ROUND(IF(AQ1130="2",BI1130,0),2)</f>
        <v>0</v>
      </c>
      <c r="AH1130" s="28">
        <f>ROUND(IF(AQ1130="0",BJ1130,0),2)</f>
        <v>0</v>
      </c>
      <c r="AI1130" s="10" t="s">
        <v>1980</v>
      </c>
      <c r="AJ1130" s="28">
        <f>IF(AN1130=0,J1130,0)</f>
        <v>0</v>
      </c>
      <c r="AK1130" s="28">
        <f>IF(AN1130=12,J1130,0)</f>
        <v>0</v>
      </c>
      <c r="AL1130" s="28">
        <f>IF(AN1130=21,J1130,0)</f>
        <v>0</v>
      </c>
      <c r="AN1130" s="28">
        <v>21</v>
      </c>
      <c r="AO1130" s="28">
        <f>G1130*1</f>
        <v>0</v>
      </c>
      <c r="AP1130" s="28">
        <f>G1130*(1-1)</f>
        <v>0</v>
      </c>
      <c r="AQ1130" s="30" t="s">
        <v>118</v>
      </c>
      <c r="AV1130" s="28">
        <f>ROUND(AW1130+AX1130,2)</f>
        <v>0</v>
      </c>
      <c r="AW1130" s="28">
        <f>ROUND(F1130*AO1130,2)</f>
        <v>0</v>
      </c>
      <c r="AX1130" s="28">
        <f>ROUND(F1130*AP1130,2)</f>
        <v>0</v>
      </c>
      <c r="AY1130" s="30" t="s">
        <v>1232</v>
      </c>
      <c r="AZ1130" s="30" t="s">
        <v>1992</v>
      </c>
      <c r="BA1130" s="10" t="s">
        <v>1986</v>
      </c>
      <c r="BC1130" s="28">
        <f>AW1130+AX1130</f>
        <v>0</v>
      </c>
      <c r="BD1130" s="28">
        <f>G1130/(100-BE1130)*100</f>
        <v>0</v>
      </c>
      <c r="BE1130" s="28">
        <v>0</v>
      </c>
      <c r="BF1130" s="28">
        <f>1138</f>
        <v>1138</v>
      </c>
      <c r="BH1130" s="28">
        <f>F1130*AO1130</f>
        <v>0</v>
      </c>
      <c r="BI1130" s="28">
        <f>F1130*AP1130</f>
        <v>0</v>
      </c>
      <c r="BJ1130" s="28">
        <f>F1130*G1130</f>
        <v>0</v>
      </c>
      <c r="BK1130" s="28"/>
      <c r="BL1130" s="28">
        <v>762</v>
      </c>
      <c r="BW1130" s="28">
        <v>21</v>
      </c>
      <c r="BX1130" s="4" t="s">
        <v>2003</v>
      </c>
    </row>
    <row r="1131" spans="1:76" x14ac:dyDescent="0.25">
      <c r="A1131" s="2" t="s">
        <v>2004</v>
      </c>
      <c r="B1131" s="3" t="s">
        <v>2005</v>
      </c>
      <c r="C1131" s="76" t="s">
        <v>2472</v>
      </c>
      <c r="D1131" s="71"/>
      <c r="E1131" s="3" t="s">
        <v>293</v>
      </c>
      <c r="F1131" s="28">
        <v>28</v>
      </c>
      <c r="G1131" s="28">
        <v>0</v>
      </c>
      <c r="H1131" s="28">
        <f>ROUND(F1131*AO1131,2)</f>
        <v>0</v>
      </c>
      <c r="I1131" s="28">
        <f>ROUND(F1131*AP1131,2)</f>
        <v>0</v>
      </c>
      <c r="J1131" s="28">
        <f>ROUND(F1131*G1131,2)</f>
        <v>0</v>
      </c>
      <c r="K1131" s="29" t="s">
        <v>424</v>
      </c>
      <c r="Z1131" s="28">
        <f>ROUND(IF(AQ1131="5",BJ1131,0),2)</f>
        <v>0</v>
      </c>
      <c r="AB1131" s="28">
        <f>ROUND(IF(AQ1131="1",BH1131,0),2)</f>
        <v>0</v>
      </c>
      <c r="AC1131" s="28">
        <f>ROUND(IF(AQ1131="1",BI1131,0),2)</f>
        <v>0</v>
      </c>
      <c r="AD1131" s="28">
        <f>ROUND(IF(AQ1131="7",BH1131,0),2)</f>
        <v>0</v>
      </c>
      <c r="AE1131" s="28">
        <f>ROUND(IF(AQ1131="7",BI1131,0),2)</f>
        <v>0</v>
      </c>
      <c r="AF1131" s="28">
        <f>ROUND(IF(AQ1131="2",BH1131,0),2)</f>
        <v>0</v>
      </c>
      <c r="AG1131" s="28">
        <f>ROUND(IF(AQ1131="2",BI1131,0),2)</f>
        <v>0</v>
      </c>
      <c r="AH1131" s="28">
        <f>ROUND(IF(AQ1131="0",BJ1131,0),2)</f>
        <v>0</v>
      </c>
      <c r="AI1131" s="10" t="s">
        <v>1980</v>
      </c>
      <c r="AJ1131" s="28">
        <f>IF(AN1131=0,J1131,0)</f>
        <v>0</v>
      </c>
      <c r="AK1131" s="28">
        <f>IF(AN1131=12,J1131,0)</f>
        <v>0</v>
      </c>
      <c r="AL1131" s="28">
        <f>IF(AN1131=21,J1131,0)</f>
        <v>0</v>
      </c>
      <c r="AN1131" s="28">
        <v>21</v>
      </c>
      <c r="AO1131" s="28">
        <f>G1131*1</f>
        <v>0</v>
      </c>
      <c r="AP1131" s="28">
        <f>G1131*(1-1)</f>
        <v>0</v>
      </c>
      <c r="AQ1131" s="30" t="s">
        <v>118</v>
      </c>
      <c r="AV1131" s="28">
        <f>ROUND(AW1131+AX1131,2)</f>
        <v>0</v>
      </c>
      <c r="AW1131" s="28">
        <f>ROUND(F1131*AO1131,2)</f>
        <v>0</v>
      </c>
      <c r="AX1131" s="28">
        <f>ROUND(F1131*AP1131,2)</f>
        <v>0</v>
      </c>
      <c r="AY1131" s="30" t="s">
        <v>1232</v>
      </c>
      <c r="AZ1131" s="30" t="s">
        <v>1992</v>
      </c>
      <c r="BA1131" s="10" t="s">
        <v>1986</v>
      </c>
      <c r="BC1131" s="28">
        <f>AW1131+AX1131</f>
        <v>0</v>
      </c>
      <c r="BD1131" s="28">
        <f>G1131/(100-BE1131)*100</f>
        <v>0</v>
      </c>
      <c r="BE1131" s="28">
        <v>0</v>
      </c>
      <c r="BF1131" s="28">
        <f>1139</f>
        <v>1139</v>
      </c>
      <c r="BH1131" s="28">
        <f>F1131*AO1131</f>
        <v>0</v>
      </c>
      <c r="BI1131" s="28">
        <f>F1131*AP1131</f>
        <v>0</v>
      </c>
      <c r="BJ1131" s="28">
        <f>F1131*G1131</f>
        <v>0</v>
      </c>
      <c r="BK1131" s="28"/>
      <c r="BL1131" s="28">
        <v>762</v>
      </c>
      <c r="BW1131" s="28">
        <v>21</v>
      </c>
      <c r="BX1131" s="4" t="s">
        <v>2006</v>
      </c>
    </row>
    <row r="1132" spans="1:76" x14ac:dyDescent="0.25">
      <c r="A1132" s="31"/>
      <c r="B1132" s="35" t="s">
        <v>68</v>
      </c>
      <c r="C1132" s="94" t="s">
        <v>2007</v>
      </c>
      <c r="D1132" s="95"/>
      <c r="E1132" s="95"/>
      <c r="F1132" s="95"/>
      <c r="G1132" s="95"/>
      <c r="H1132" s="95"/>
      <c r="I1132" s="95"/>
      <c r="J1132" s="95"/>
      <c r="K1132" s="96"/>
      <c r="BX1132" s="36" t="s">
        <v>2007</v>
      </c>
    </row>
    <row r="1133" spans="1:76" x14ac:dyDescent="0.25">
      <c r="A1133" s="24" t="s">
        <v>51</v>
      </c>
      <c r="B1133" s="25" t="s">
        <v>583</v>
      </c>
      <c r="C1133" s="87" t="s">
        <v>600</v>
      </c>
      <c r="D1133" s="88"/>
      <c r="E1133" s="26" t="s">
        <v>4</v>
      </c>
      <c r="F1133" s="26" t="s">
        <v>4</v>
      </c>
      <c r="G1133" s="26" t="s">
        <v>4</v>
      </c>
      <c r="H1133" s="1">
        <f>SUM(H1134:H1145)</f>
        <v>0</v>
      </c>
      <c r="I1133" s="1">
        <f>SUM(I1134:I1145)</f>
        <v>0</v>
      </c>
      <c r="J1133" s="1">
        <f>SUM(J1134:J1145)</f>
        <v>0</v>
      </c>
      <c r="K1133" s="27" t="s">
        <v>51</v>
      </c>
      <c r="AI1133" s="10" t="s">
        <v>1980</v>
      </c>
      <c r="AS1133" s="1">
        <f>SUM(AJ1134:AJ1145)</f>
        <v>0</v>
      </c>
      <c r="AT1133" s="1">
        <f>SUM(AK1134:AK1145)</f>
        <v>0</v>
      </c>
      <c r="AU1133" s="1">
        <f>SUM(AL1134:AL1145)</f>
        <v>0</v>
      </c>
    </row>
    <row r="1134" spans="1:76" x14ac:dyDescent="0.25">
      <c r="A1134" s="2" t="s">
        <v>2008</v>
      </c>
      <c r="B1134" s="3" t="s">
        <v>2009</v>
      </c>
      <c r="C1134" s="76" t="s">
        <v>2010</v>
      </c>
      <c r="D1134" s="71"/>
      <c r="E1134" s="3" t="s">
        <v>293</v>
      </c>
      <c r="F1134" s="28">
        <v>16</v>
      </c>
      <c r="G1134" s="28">
        <v>0</v>
      </c>
      <c r="H1134" s="28">
        <f>ROUND(F1134*AO1134,2)</f>
        <v>0</v>
      </c>
      <c r="I1134" s="28">
        <f>ROUND(F1134*AP1134,2)</f>
        <v>0</v>
      </c>
      <c r="J1134" s="28">
        <f>ROUND(F1134*G1134,2)</f>
        <v>0</v>
      </c>
      <c r="K1134" s="29" t="s">
        <v>60</v>
      </c>
      <c r="Z1134" s="28">
        <f>ROUND(IF(AQ1134="5",BJ1134,0),2)</f>
        <v>0</v>
      </c>
      <c r="AB1134" s="28">
        <f>ROUND(IF(AQ1134="1",BH1134,0),2)</f>
        <v>0</v>
      </c>
      <c r="AC1134" s="28">
        <f>ROUND(IF(AQ1134="1",BI1134,0),2)</f>
        <v>0</v>
      </c>
      <c r="AD1134" s="28">
        <f>ROUND(IF(AQ1134="7",BH1134,0),2)</f>
        <v>0</v>
      </c>
      <c r="AE1134" s="28">
        <f>ROUND(IF(AQ1134="7",BI1134,0),2)</f>
        <v>0</v>
      </c>
      <c r="AF1134" s="28">
        <f>ROUND(IF(AQ1134="2",BH1134,0),2)</f>
        <v>0</v>
      </c>
      <c r="AG1134" s="28">
        <f>ROUND(IF(AQ1134="2",BI1134,0),2)</f>
        <v>0</v>
      </c>
      <c r="AH1134" s="28">
        <f>ROUND(IF(AQ1134="0",BJ1134,0),2)</f>
        <v>0</v>
      </c>
      <c r="AI1134" s="10" t="s">
        <v>1980</v>
      </c>
      <c r="AJ1134" s="28">
        <f>IF(AN1134=0,J1134,0)</f>
        <v>0</v>
      </c>
      <c r="AK1134" s="28">
        <f>IF(AN1134=12,J1134,0)</f>
        <v>0</v>
      </c>
      <c r="AL1134" s="28">
        <f>IF(AN1134=21,J1134,0)</f>
        <v>0</v>
      </c>
      <c r="AN1134" s="28">
        <v>21</v>
      </c>
      <c r="AO1134" s="28">
        <f>G1134*0</f>
        <v>0</v>
      </c>
      <c r="AP1134" s="28">
        <f>G1134*(1-0)</f>
        <v>0</v>
      </c>
      <c r="AQ1134" s="30" t="s">
        <v>56</v>
      </c>
      <c r="AV1134" s="28">
        <f>ROUND(AW1134+AX1134,2)</f>
        <v>0</v>
      </c>
      <c r="AW1134" s="28">
        <f>ROUND(F1134*AO1134,2)</f>
        <v>0</v>
      </c>
      <c r="AX1134" s="28">
        <f>ROUND(F1134*AP1134,2)</f>
        <v>0</v>
      </c>
      <c r="AY1134" s="30" t="s">
        <v>604</v>
      </c>
      <c r="AZ1134" s="30" t="s">
        <v>2011</v>
      </c>
      <c r="BA1134" s="10" t="s">
        <v>1986</v>
      </c>
      <c r="BC1134" s="28">
        <f>AW1134+AX1134</f>
        <v>0</v>
      </c>
      <c r="BD1134" s="28">
        <f>G1134/(100-BE1134)*100</f>
        <v>0</v>
      </c>
      <c r="BE1134" s="28">
        <v>0</v>
      </c>
      <c r="BF1134" s="28">
        <f>1142</f>
        <v>1142</v>
      </c>
      <c r="BH1134" s="28">
        <f>F1134*AO1134</f>
        <v>0</v>
      </c>
      <c r="BI1134" s="28">
        <f>F1134*AP1134</f>
        <v>0</v>
      </c>
      <c r="BJ1134" s="28">
        <f>F1134*G1134</f>
        <v>0</v>
      </c>
      <c r="BK1134" s="28"/>
      <c r="BL1134" s="28">
        <v>93</v>
      </c>
      <c r="BW1134" s="28">
        <v>21</v>
      </c>
      <c r="BX1134" s="4" t="s">
        <v>2010</v>
      </c>
    </row>
    <row r="1135" spans="1:76" ht="13.5" customHeight="1" x14ac:dyDescent="0.25">
      <c r="A1135" s="31"/>
      <c r="B1135" s="35" t="s">
        <v>105</v>
      </c>
      <c r="C1135" s="97" t="s">
        <v>2012</v>
      </c>
      <c r="D1135" s="98"/>
      <c r="E1135" s="98"/>
      <c r="F1135" s="98"/>
      <c r="G1135" s="98"/>
      <c r="H1135" s="98"/>
      <c r="I1135" s="98"/>
      <c r="J1135" s="98"/>
      <c r="K1135" s="99"/>
    </row>
    <row r="1136" spans="1:76" x14ac:dyDescent="0.25">
      <c r="A1136" s="2" t="s">
        <v>2013</v>
      </c>
      <c r="B1136" s="3" t="s">
        <v>2014</v>
      </c>
      <c r="C1136" s="76" t="s">
        <v>2473</v>
      </c>
      <c r="D1136" s="71"/>
      <c r="E1136" s="3" t="s">
        <v>293</v>
      </c>
      <c r="F1136" s="28">
        <v>2</v>
      </c>
      <c r="G1136" s="28">
        <v>0</v>
      </c>
      <c r="H1136" s="28">
        <f>ROUND(F1136*AO1136,2)</f>
        <v>0</v>
      </c>
      <c r="I1136" s="28">
        <f>ROUND(F1136*AP1136,2)</f>
        <v>0</v>
      </c>
      <c r="J1136" s="28">
        <f>ROUND(F1136*G1136,2)</f>
        <v>0</v>
      </c>
      <c r="K1136" s="29" t="s">
        <v>424</v>
      </c>
      <c r="Z1136" s="28">
        <f>ROUND(IF(AQ1136="5",BJ1136,0),2)</f>
        <v>0</v>
      </c>
      <c r="AB1136" s="28">
        <f>ROUND(IF(AQ1136="1",BH1136,0),2)</f>
        <v>0</v>
      </c>
      <c r="AC1136" s="28">
        <f>ROUND(IF(AQ1136="1",BI1136,0),2)</f>
        <v>0</v>
      </c>
      <c r="AD1136" s="28">
        <f>ROUND(IF(AQ1136="7",BH1136,0),2)</f>
        <v>0</v>
      </c>
      <c r="AE1136" s="28">
        <f>ROUND(IF(AQ1136="7",BI1136,0),2)</f>
        <v>0</v>
      </c>
      <c r="AF1136" s="28">
        <f>ROUND(IF(AQ1136="2",BH1136,0),2)</f>
        <v>0</v>
      </c>
      <c r="AG1136" s="28">
        <f>ROUND(IF(AQ1136="2",BI1136,0),2)</f>
        <v>0</v>
      </c>
      <c r="AH1136" s="28">
        <f>ROUND(IF(AQ1136="0",BJ1136,0),2)</f>
        <v>0</v>
      </c>
      <c r="AI1136" s="10" t="s">
        <v>1980</v>
      </c>
      <c r="AJ1136" s="28">
        <f>IF(AN1136=0,J1136,0)</f>
        <v>0</v>
      </c>
      <c r="AK1136" s="28">
        <f>IF(AN1136=12,J1136,0)</f>
        <v>0</v>
      </c>
      <c r="AL1136" s="28">
        <f>IF(AN1136=21,J1136,0)</f>
        <v>0</v>
      </c>
      <c r="AN1136" s="28">
        <v>21</v>
      </c>
      <c r="AO1136" s="28">
        <f>G1136*1</f>
        <v>0</v>
      </c>
      <c r="AP1136" s="28">
        <f>G1136*(1-1)</f>
        <v>0</v>
      </c>
      <c r="AQ1136" s="30" t="s">
        <v>56</v>
      </c>
      <c r="AV1136" s="28">
        <f>ROUND(AW1136+AX1136,2)</f>
        <v>0</v>
      </c>
      <c r="AW1136" s="28">
        <f>ROUND(F1136*AO1136,2)</f>
        <v>0</v>
      </c>
      <c r="AX1136" s="28">
        <f>ROUND(F1136*AP1136,2)</f>
        <v>0</v>
      </c>
      <c r="AY1136" s="30" t="s">
        <v>604</v>
      </c>
      <c r="AZ1136" s="30" t="s">
        <v>2011</v>
      </c>
      <c r="BA1136" s="10" t="s">
        <v>1986</v>
      </c>
      <c r="BC1136" s="28">
        <f>AW1136+AX1136</f>
        <v>0</v>
      </c>
      <c r="BD1136" s="28">
        <f>G1136/(100-BE1136)*100</f>
        <v>0</v>
      </c>
      <c r="BE1136" s="28">
        <v>0</v>
      </c>
      <c r="BF1136" s="28">
        <f>1144</f>
        <v>1144</v>
      </c>
      <c r="BH1136" s="28">
        <f>F1136*AO1136</f>
        <v>0</v>
      </c>
      <c r="BI1136" s="28">
        <f>F1136*AP1136</f>
        <v>0</v>
      </c>
      <c r="BJ1136" s="28">
        <f>F1136*G1136</f>
        <v>0</v>
      </c>
      <c r="BK1136" s="28"/>
      <c r="BL1136" s="28">
        <v>93</v>
      </c>
      <c r="BW1136" s="28">
        <v>21</v>
      </c>
      <c r="BX1136" s="4" t="s">
        <v>2015</v>
      </c>
    </row>
    <row r="1137" spans="1:76" x14ac:dyDescent="0.25">
      <c r="A1137" s="2" t="s">
        <v>2016</v>
      </c>
      <c r="B1137" s="3" t="s">
        <v>2017</v>
      </c>
      <c r="C1137" s="76" t="s">
        <v>2018</v>
      </c>
      <c r="D1137" s="71"/>
      <c r="E1137" s="3" t="s">
        <v>1376</v>
      </c>
      <c r="F1137" s="28">
        <v>2</v>
      </c>
      <c r="G1137" s="28">
        <v>0</v>
      </c>
      <c r="H1137" s="28">
        <f>ROUND(F1137*AO1137,2)</f>
        <v>0</v>
      </c>
      <c r="I1137" s="28">
        <f>ROUND(F1137*AP1137,2)</f>
        <v>0</v>
      </c>
      <c r="J1137" s="28">
        <f>ROUND(F1137*G1137,2)</f>
        <v>0</v>
      </c>
      <c r="K1137" s="29" t="s">
        <v>424</v>
      </c>
      <c r="Z1137" s="28">
        <f>ROUND(IF(AQ1137="5",BJ1137,0),2)</f>
        <v>0</v>
      </c>
      <c r="AB1137" s="28">
        <f>ROUND(IF(AQ1137="1",BH1137,0),2)</f>
        <v>0</v>
      </c>
      <c r="AC1137" s="28">
        <f>ROUND(IF(AQ1137="1",BI1137,0),2)</f>
        <v>0</v>
      </c>
      <c r="AD1137" s="28">
        <f>ROUND(IF(AQ1137="7",BH1137,0),2)</f>
        <v>0</v>
      </c>
      <c r="AE1137" s="28">
        <f>ROUND(IF(AQ1137="7",BI1137,0),2)</f>
        <v>0</v>
      </c>
      <c r="AF1137" s="28">
        <f>ROUND(IF(AQ1137="2",BH1137,0),2)</f>
        <v>0</v>
      </c>
      <c r="AG1137" s="28">
        <f>ROUND(IF(AQ1137="2",BI1137,0),2)</f>
        <v>0</v>
      </c>
      <c r="AH1137" s="28">
        <f>ROUND(IF(AQ1137="0",BJ1137,0),2)</f>
        <v>0</v>
      </c>
      <c r="AI1137" s="10" t="s">
        <v>1980</v>
      </c>
      <c r="AJ1137" s="28">
        <f>IF(AN1137=0,J1137,0)</f>
        <v>0</v>
      </c>
      <c r="AK1137" s="28">
        <f>IF(AN1137=12,J1137,0)</f>
        <v>0</v>
      </c>
      <c r="AL1137" s="28">
        <f>IF(AN1137=21,J1137,0)</f>
        <v>0</v>
      </c>
      <c r="AN1137" s="28">
        <v>21</v>
      </c>
      <c r="AO1137" s="28">
        <f>G1137*1</f>
        <v>0</v>
      </c>
      <c r="AP1137" s="28">
        <f>G1137*(1-1)</f>
        <v>0</v>
      </c>
      <c r="AQ1137" s="30" t="s">
        <v>56</v>
      </c>
      <c r="AV1137" s="28">
        <f>ROUND(AW1137+AX1137,2)</f>
        <v>0</v>
      </c>
      <c r="AW1137" s="28">
        <f>ROUND(F1137*AO1137,2)</f>
        <v>0</v>
      </c>
      <c r="AX1137" s="28">
        <f>ROUND(F1137*AP1137,2)</f>
        <v>0</v>
      </c>
      <c r="AY1137" s="30" t="s">
        <v>604</v>
      </c>
      <c r="AZ1137" s="30" t="s">
        <v>2011</v>
      </c>
      <c r="BA1137" s="10" t="s">
        <v>1986</v>
      </c>
      <c r="BC1137" s="28">
        <f>AW1137+AX1137</f>
        <v>0</v>
      </c>
      <c r="BD1137" s="28">
        <f>G1137/(100-BE1137)*100</f>
        <v>0</v>
      </c>
      <c r="BE1137" s="28">
        <v>0</v>
      </c>
      <c r="BF1137" s="28">
        <f>1145</f>
        <v>1145</v>
      </c>
      <c r="BH1137" s="28">
        <f>F1137*AO1137</f>
        <v>0</v>
      </c>
      <c r="BI1137" s="28">
        <f>F1137*AP1137</f>
        <v>0</v>
      </c>
      <c r="BJ1137" s="28">
        <f>F1137*G1137</f>
        <v>0</v>
      </c>
      <c r="BK1137" s="28"/>
      <c r="BL1137" s="28">
        <v>93</v>
      </c>
      <c r="BW1137" s="28">
        <v>21</v>
      </c>
      <c r="BX1137" s="4" t="s">
        <v>2018</v>
      </c>
    </row>
    <row r="1138" spans="1:76" x14ac:dyDescent="0.25">
      <c r="A1138" s="31"/>
      <c r="B1138" s="35" t="s">
        <v>68</v>
      </c>
      <c r="C1138" s="94" t="s">
        <v>2019</v>
      </c>
      <c r="D1138" s="95"/>
      <c r="E1138" s="95"/>
      <c r="F1138" s="95"/>
      <c r="G1138" s="95"/>
      <c r="H1138" s="95"/>
      <c r="I1138" s="95"/>
      <c r="J1138" s="95"/>
      <c r="K1138" s="96"/>
      <c r="BX1138" s="36" t="s">
        <v>2019</v>
      </c>
    </row>
    <row r="1139" spans="1:76" x14ac:dyDescent="0.25">
      <c r="A1139" s="2" t="s">
        <v>2020</v>
      </c>
      <c r="B1139" s="3" t="s">
        <v>2021</v>
      </c>
      <c r="C1139" s="76" t="s">
        <v>2022</v>
      </c>
      <c r="D1139" s="71"/>
      <c r="E1139" s="3" t="s">
        <v>1376</v>
      </c>
      <c r="F1139" s="28">
        <v>3</v>
      </c>
      <c r="G1139" s="28">
        <v>0</v>
      </c>
      <c r="H1139" s="28">
        <f>ROUND(F1139*AO1139,2)</f>
        <v>0</v>
      </c>
      <c r="I1139" s="28">
        <f>ROUND(F1139*AP1139,2)</f>
        <v>0</v>
      </c>
      <c r="J1139" s="28">
        <f>ROUND(F1139*G1139,2)</f>
        <v>0</v>
      </c>
      <c r="K1139" s="29" t="s">
        <v>424</v>
      </c>
      <c r="Z1139" s="28">
        <f>ROUND(IF(AQ1139="5",BJ1139,0),2)</f>
        <v>0</v>
      </c>
      <c r="AB1139" s="28">
        <f>ROUND(IF(AQ1139="1",BH1139,0),2)</f>
        <v>0</v>
      </c>
      <c r="AC1139" s="28">
        <f>ROUND(IF(AQ1139="1",BI1139,0),2)</f>
        <v>0</v>
      </c>
      <c r="AD1139" s="28">
        <f>ROUND(IF(AQ1139="7",BH1139,0),2)</f>
        <v>0</v>
      </c>
      <c r="AE1139" s="28">
        <f>ROUND(IF(AQ1139="7",BI1139,0),2)</f>
        <v>0</v>
      </c>
      <c r="AF1139" s="28">
        <f>ROUND(IF(AQ1139="2",BH1139,0),2)</f>
        <v>0</v>
      </c>
      <c r="AG1139" s="28">
        <f>ROUND(IF(AQ1139="2",BI1139,0),2)</f>
        <v>0</v>
      </c>
      <c r="AH1139" s="28">
        <f>ROUND(IF(AQ1139="0",BJ1139,0),2)</f>
        <v>0</v>
      </c>
      <c r="AI1139" s="10" t="s">
        <v>1980</v>
      </c>
      <c r="AJ1139" s="28">
        <f>IF(AN1139=0,J1139,0)</f>
        <v>0</v>
      </c>
      <c r="AK1139" s="28">
        <f>IF(AN1139=12,J1139,0)</f>
        <v>0</v>
      </c>
      <c r="AL1139" s="28">
        <f>IF(AN1139=21,J1139,0)</f>
        <v>0</v>
      </c>
      <c r="AN1139" s="28">
        <v>21</v>
      </c>
      <c r="AO1139" s="28">
        <f>G1139*1</f>
        <v>0</v>
      </c>
      <c r="AP1139" s="28">
        <f>G1139*(1-1)</f>
        <v>0</v>
      </c>
      <c r="AQ1139" s="30" t="s">
        <v>56</v>
      </c>
      <c r="AV1139" s="28">
        <f>ROUND(AW1139+AX1139,2)</f>
        <v>0</v>
      </c>
      <c r="AW1139" s="28">
        <f>ROUND(F1139*AO1139,2)</f>
        <v>0</v>
      </c>
      <c r="AX1139" s="28">
        <f>ROUND(F1139*AP1139,2)</f>
        <v>0</v>
      </c>
      <c r="AY1139" s="30" t="s">
        <v>604</v>
      </c>
      <c r="AZ1139" s="30" t="s">
        <v>2011</v>
      </c>
      <c r="BA1139" s="10" t="s">
        <v>1986</v>
      </c>
      <c r="BC1139" s="28">
        <f>AW1139+AX1139</f>
        <v>0</v>
      </c>
      <c r="BD1139" s="28">
        <f>G1139/(100-BE1139)*100</f>
        <v>0</v>
      </c>
      <c r="BE1139" s="28">
        <v>0</v>
      </c>
      <c r="BF1139" s="28">
        <f>1147</f>
        <v>1147</v>
      </c>
      <c r="BH1139" s="28">
        <f>F1139*AO1139</f>
        <v>0</v>
      </c>
      <c r="BI1139" s="28">
        <f>F1139*AP1139</f>
        <v>0</v>
      </c>
      <c r="BJ1139" s="28">
        <f>F1139*G1139</f>
        <v>0</v>
      </c>
      <c r="BK1139" s="28"/>
      <c r="BL1139" s="28">
        <v>93</v>
      </c>
      <c r="BW1139" s="28">
        <v>21</v>
      </c>
      <c r="BX1139" s="4" t="s">
        <v>2022</v>
      </c>
    </row>
    <row r="1140" spans="1:76" x14ac:dyDescent="0.25">
      <c r="A1140" s="31"/>
      <c r="B1140" s="35" t="s">
        <v>68</v>
      </c>
      <c r="C1140" s="94" t="s">
        <v>2023</v>
      </c>
      <c r="D1140" s="95"/>
      <c r="E1140" s="95"/>
      <c r="F1140" s="95"/>
      <c r="G1140" s="95"/>
      <c r="H1140" s="95"/>
      <c r="I1140" s="95"/>
      <c r="J1140" s="95"/>
      <c r="K1140" s="96"/>
      <c r="BX1140" s="36" t="s">
        <v>2023</v>
      </c>
    </row>
    <row r="1141" spans="1:76" ht="25.5" x14ac:dyDescent="0.25">
      <c r="A1141" s="2" t="s">
        <v>2024</v>
      </c>
      <c r="B1141" s="3" t="s">
        <v>2025</v>
      </c>
      <c r="C1141" s="76" t="s">
        <v>2026</v>
      </c>
      <c r="D1141" s="71"/>
      <c r="E1141" s="3" t="s">
        <v>1376</v>
      </c>
      <c r="F1141" s="28">
        <v>1</v>
      </c>
      <c r="G1141" s="28">
        <v>0</v>
      </c>
      <c r="H1141" s="28">
        <f>ROUND(F1141*AO1141,2)</f>
        <v>0</v>
      </c>
      <c r="I1141" s="28">
        <f>ROUND(F1141*AP1141,2)</f>
        <v>0</v>
      </c>
      <c r="J1141" s="28">
        <f>ROUND(F1141*G1141,2)</f>
        <v>0</v>
      </c>
      <c r="K1141" s="29" t="s">
        <v>424</v>
      </c>
      <c r="Z1141" s="28">
        <f>ROUND(IF(AQ1141="5",BJ1141,0),2)</f>
        <v>0</v>
      </c>
      <c r="AB1141" s="28">
        <f>ROUND(IF(AQ1141="1",BH1141,0),2)</f>
        <v>0</v>
      </c>
      <c r="AC1141" s="28">
        <f>ROUND(IF(AQ1141="1",BI1141,0),2)</f>
        <v>0</v>
      </c>
      <c r="AD1141" s="28">
        <f>ROUND(IF(AQ1141="7",BH1141,0),2)</f>
        <v>0</v>
      </c>
      <c r="AE1141" s="28">
        <f>ROUND(IF(AQ1141="7",BI1141,0),2)</f>
        <v>0</v>
      </c>
      <c r="AF1141" s="28">
        <f>ROUND(IF(AQ1141="2",BH1141,0),2)</f>
        <v>0</v>
      </c>
      <c r="AG1141" s="28">
        <f>ROUND(IF(AQ1141="2",BI1141,0),2)</f>
        <v>0</v>
      </c>
      <c r="AH1141" s="28">
        <f>ROUND(IF(AQ1141="0",BJ1141,0),2)</f>
        <v>0</v>
      </c>
      <c r="AI1141" s="10" t="s">
        <v>1980</v>
      </c>
      <c r="AJ1141" s="28">
        <f>IF(AN1141=0,J1141,0)</f>
        <v>0</v>
      </c>
      <c r="AK1141" s="28">
        <f>IF(AN1141=12,J1141,0)</f>
        <v>0</v>
      </c>
      <c r="AL1141" s="28">
        <f>IF(AN1141=21,J1141,0)</f>
        <v>0</v>
      </c>
      <c r="AN1141" s="28">
        <v>21</v>
      </c>
      <c r="AO1141" s="28">
        <f>G1141*1</f>
        <v>0</v>
      </c>
      <c r="AP1141" s="28">
        <f>G1141*(1-1)</f>
        <v>0</v>
      </c>
      <c r="AQ1141" s="30" t="s">
        <v>56</v>
      </c>
      <c r="AV1141" s="28">
        <f>ROUND(AW1141+AX1141,2)</f>
        <v>0</v>
      </c>
      <c r="AW1141" s="28">
        <f>ROUND(F1141*AO1141,2)</f>
        <v>0</v>
      </c>
      <c r="AX1141" s="28">
        <f>ROUND(F1141*AP1141,2)</f>
        <v>0</v>
      </c>
      <c r="AY1141" s="30" t="s">
        <v>604</v>
      </c>
      <c r="AZ1141" s="30" t="s">
        <v>2011</v>
      </c>
      <c r="BA1141" s="10" t="s">
        <v>1986</v>
      </c>
      <c r="BC1141" s="28">
        <f>AW1141+AX1141</f>
        <v>0</v>
      </c>
      <c r="BD1141" s="28">
        <f>G1141/(100-BE1141)*100</f>
        <v>0</v>
      </c>
      <c r="BE1141" s="28">
        <v>0</v>
      </c>
      <c r="BF1141" s="28">
        <f>1149</f>
        <v>1149</v>
      </c>
      <c r="BH1141" s="28">
        <f>F1141*AO1141</f>
        <v>0</v>
      </c>
      <c r="BI1141" s="28">
        <f>F1141*AP1141</f>
        <v>0</v>
      </c>
      <c r="BJ1141" s="28">
        <f>F1141*G1141</f>
        <v>0</v>
      </c>
      <c r="BK1141" s="28"/>
      <c r="BL1141" s="28">
        <v>93</v>
      </c>
      <c r="BW1141" s="28">
        <v>21</v>
      </c>
      <c r="BX1141" s="4" t="s">
        <v>2026</v>
      </c>
    </row>
    <row r="1142" spans="1:76" x14ac:dyDescent="0.25">
      <c r="A1142" s="31"/>
      <c r="B1142" s="35" t="s">
        <v>68</v>
      </c>
      <c r="C1142" s="94" t="s">
        <v>2027</v>
      </c>
      <c r="D1142" s="95"/>
      <c r="E1142" s="95"/>
      <c r="F1142" s="95"/>
      <c r="G1142" s="95"/>
      <c r="H1142" s="95"/>
      <c r="I1142" s="95"/>
      <c r="J1142" s="95"/>
      <c r="K1142" s="96"/>
      <c r="BX1142" s="36" t="s">
        <v>2027</v>
      </c>
    </row>
    <row r="1143" spans="1:76" ht="25.5" x14ac:dyDescent="0.25">
      <c r="A1143" s="2" t="s">
        <v>2028</v>
      </c>
      <c r="B1143" s="3" t="s">
        <v>2029</v>
      </c>
      <c r="C1143" s="76" t="s">
        <v>2030</v>
      </c>
      <c r="D1143" s="71"/>
      <c r="E1143" s="3" t="s">
        <v>1376</v>
      </c>
      <c r="F1143" s="28">
        <v>4</v>
      </c>
      <c r="G1143" s="28">
        <v>0</v>
      </c>
      <c r="H1143" s="28">
        <f>ROUND(F1143*AO1143,2)</f>
        <v>0</v>
      </c>
      <c r="I1143" s="28">
        <f>ROUND(F1143*AP1143,2)</f>
        <v>0</v>
      </c>
      <c r="J1143" s="28">
        <f>ROUND(F1143*G1143,2)</f>
        <v>0</v>
      </c>
      <c r="K1143" s="29" t="s">
        <v>424</v>
      </c>
      <c r="Z1143" s="28">
        <f>ROUND(IF(AQ1143="5",BJ1143,0),2)</f>
        <v>0</v>
      </c>
      <c r="AB1143" s="28">
        <f>ROUND(IF(AQ1143="1",BH1143,0),2)</f>
        <v>0</v>
      </c>
      <c r="AC1143" s="28">
        <f>ROUND(IF(AQ1143="1",BI1143,0),2)</f>
        <v>0</v>
      </c>
      <c r="AD1143" s="28">
        <f>ROUND(IF(AQ1143="7",BH1143,0),2)</f>
        <v>0</v>
      </c>
      <c r="AE1143" s="28">
        <f>ROUND(IF(AQ1143="7",BI1143,0),2)</f>
        <v>0</v>
      </c>
      <c r="AF1143" s="28">
        <f>ROUND(IF(AQ1143="2",BH1143,0),2)</f>
        <v>0</v>
      </c>
      <c r="AG1143" s="28">
        <f>ROUND(IF(AQ1143="2",BI1143,0),2)</f>
        <v>0</v>
      </c>
      <c r="AH1143" s="28">
        <f>ROUND(IF(AQ1143="0",BJ1143,0),2)</f>
        <v>0</v>
      </c>
      <c r="AI1143" s="10" t="s">
        <v>1980</v>
      </c>
      <c r="AJ1143" s="28">
        <f>IF(AN1143=0,J1143,0)</f>
        <v>0</v>
      </c>
      <c r="AK1143" s="28">
        <f>IF(AN1143=12,J1143,0)</f>
        <v>0</v>
      </c>
      <c r="AL1143" s="28">
        <f>IF(AN1143=21,J1143,0)</f>
        <v>0</v>
      </c>
      <c r="AN1143" s="28">
        <v>21</v>
      </c>
      <c r="AO1143" s="28">
        <f>G1143*1</f>
        <v>0</v>
      </c>
      <c r="AP1143" s="28">
        <f>G1143*(1-1)</f>
        <v>0</v>
      </c>
      <c r="AQ1143" s="30" t="s">
        <v>56</v>
      </c>
      <c r="AV1143" s="28">
        <f>ROUND(AW1143+AX1143,2)</f>
        <v>0</v>
      </c>
      <c r="AW1143" s="28">
        <f>ROUND(F1143*AO1143,2)</f>
        <v>0</v>
      </c>
      <c r="AX1143" s="28">
        <f>ROUND(F1143*AP1143,2)</f>
        <v>0</v>
      </c>
      <c r="AY1143" s="30" t="s">
        <v>604</v>
      </c>
      <c r="AZ1143" s="30" t="s">
        <v>2011</v>
      </c>
      <c r="BA1143" s="10" t="s">
        <v>1986</v>
      </c>
      <c r="BC1143" s="28">
        <f>AW1143+AX1143</f>
        <v>0</v>
      </c>
      <c r="BD1143" s="28">
        <f>G1143/(100-BE1143)*100</f>
        <v>0</v>
      </c>
      <c r="BE1143" s="28">
        <v>0</v>
      </c>
      <c r="BF1143" s="28">
        <f>1151</f>
        <v>1151</v>
      </c>
      <c r="BH1143" s="28">
        <f>F1143*AO1143</f>
        <v>0</v>
      </c>
      <c r="BI1143" s="28">
        <f>F1143*AP1143</f>
        <v>0</v>
      </c>
      <c r="BJ1143" s="28">
        <f>F1143*G1143</f>
        <v>0</v>
      </c>
      <c r="BK1143" s="28"/>
      <c r="BL1143" s="28">
        <v>93</v>
      </c>
      <c r="BW1143" s="28">
        <v>21</v>
      </c>
      <c r="BX1143" s="4" t="s">
        <v>2030</v>
      </c>
    </row>
    <row r="1144" spans="1:76" x14ac:dyDescent="0.25">
      <c r="A1144" s="31"/>
      <c r="B1144" s="35" t="s">
        <v>68</v>
      </c>
      <c r="C1144" s="94" t="s">
        <v>2031</v>
      </c>
      <c r="D1144" s="95"/>
      <c r="E1144" s="95"/>
      <c r="F1144" s="95"/>
      <c r="G1144" s="95"/>
      <c r="H1144" s="95"/>
      <c r="I1144" s="95"/>
      <c r="J1144" s="95"/>
      <c r="K1144" s="96"/>
      <c r="BX1144" s="36" t="s">
        <v>2031</v>
      </c>
    </row>
    <row r="1145" spans="1:76" ht="25.5" x14ac:dyDescent="0.25">
      <c r="A1145" s="2" t="s">
        <v>2032</v>
      </c>
      <c r="B1145" s="3" t="s">
        <v>2033</v>
      </c>
      <c r="C1145" s="76" t="s">
        <v>2034</v>
      </c>
      <c r="D1145" s="71"/>
      <c r="E1145" s="3" t="s">
        <v>1376</v>
      </c>
      <c r="F1145" s="28">
        <v>4</v>
      </c>
      <c r="G1145" s="28">
        <v>0</v>
      </c>
      <c r="H1145" s="28">
        <f>ROUND(F1145*AO1145,2)</f>
        <v>0</v>
      </c>
      <c r="I1145" s="28">
        <f>ROUND(F1145*AP1145,2)</f>
        <v>0</v>
      </c>
      <c r="J1145" s="28">
        <f>ROUND(F1145*G1145,2)</f>
        <v>0</v>
      </c>
      <c r="K1145" s="29" t="s">
        <v>424</v>
      </c>
      <c r="Z1145" s="28">
        <f>ROUND(IF(AQ1145="5",BJ1145,0),2)</f>
        <v>0</v>
      </c>
      <c r="AB1145" s="28">
        <f>ROUND(IF(AQ1145="1",BH1145,0),2)</f>
        <v>0</v>
      </c>
      <c r="AC1145" s="28">
        <f>ROUND(IF(AQ1145="1",BI1145,0),2)</f>
        <v>0</v>
      </c>
      <c r="AD1145" s="28">
        <f>ROUND(IF(AQ1145="7",BH1145,0),2)</f>
        <v>0</v>
      </c>
      <c r="AE1145" s="28">
        <f>ROUND(IF(AQ1145="7",BI1145,0),2)</f>
        <v>0</v>
      </c>
      <c r="AF1145" s="28">
        <f>ROUND(IF(AQ1145="2",BH1145,0),2)</f>
        <v>0</v>
      </c>
      <c r="AG1145" s="28">
        <f>ROUND(IF(AQ1145="2",BI1145,0),2)</f>
        <v>0</v>
      </c>
      <c r="AH1145" s="28">
        <f>ROUND(IF(AQ1145="0",BJ1145,0),2)</f>
        <v>0</v>
      </c>
      <c r="AI1145" s="10" t="s">
        <v>1980</v>
      </c>
      <c r="AJ1145" s="28">
        <f>IF(AN1145=0,J1145,0)</f>
        <v>0</v>
      </c>
      <c r="AK1145" s="28">
        <f>IF(AN1145=12,J1145,0)</f>
        <v>0</v>
      </c>
      <c r="AL1145" s="28">
        <f>IF(AN1145=21,J1145,0)</f>
        <v>0</v>
      </c>
      <c r="AN1145" s="28">
        <v>21</v>
      </c>
      <c r="AO1145" s="28">
        <f>G1145*1</f>
        <v>0</v>
      </c>
      <c r="AP1145" s="28">
        <f>G1145*(1-1)</f>
        <v>0</v>
      </c>
      <c r="AQ1145" s="30" t="s">
        <v>56</v>
      </c>
      <c r="AV1145" s="28">
        <f>ROUND(AW1145+AX1145,2)</f>
        <v>0</v>
      </c>
      <c r="AW1145" s="28">
        <f>ROUND(F1145*AO1145,2)</f>
        <v>0</v>
      </c>
      <c r="AX1145" s="28">
        <f>ROUND(F1145*AP1145,2)</f>
        <v>0</v>
      </c>
      <c r="AY1145" s="30" t="s">
        <v>604</v>
      </c>
      <c r="AZ1145" s="30" t="s">
        <v>2011</v>
      </c>
      <c r="BA1145" s="10" t="s">
        <v>1986</v>
      </c>
      <c r="BC1145" s="28">
        <f>AW1145+AX1145</f>
        <v>0</v>
      </c>
      <c r="BD1145" s="28">
        <f>G1145/(100-BE1145)*100</f>
        <v>0</v>
      </c>
      <c r="BE1145" s="28">
        <v>0</v>
      </c>
      <c r="BF1145" s="28">
        <f>1153</f>
        <v>1153</v>
      </c>
      <c r="BH1145" s="28">
        <f>F1145*AO1145</f>
        <v>0</v>
      </c>
      <c r="BI1145" s="28">
        <f>F1145*AP1145</f>
        <v>0</v>
      </c>
      <c r="BJ1145" s="28">
        <f>F1145*G1145</f>
        <v>0</v>
      </c>
      <c r="BK1145" s="28"/>
      <c r="BL1145" s="28">
        <v>93</v>
      </c>
      <c r="BW1145" s="28">
        <v>21</v>
      </c>
      <c r="BX1145" s="4" t="s">
        <v>2034</v>
      </c>
    </row>
    <row r="1146" spans="1:76" x14ac:dyDescent="0.25">
      <c r="A1146" s="31"/>
      <c r="B1146" s="35" t="s">
        <v>68</v>
      </c>
      <c r="C1146" s="94" t="s">
        <v>2031</v>
      </c>
      <c r="D1146" s="95"/>
      <c r="E1146" s="95"/>
      <c r="F1146" s="95"/>
      <c r="G1146" s="95"/>
      <c r="H1146" s="95"/>
      <c r="I1146" s="95"/>
      <c r="J1146" s="95"/>
      <c r="K1146" s="96"/>
      <c r="BX1146" s="36" t="s">
        <v>2031</v>
      </c>
    </row>
    <row r="1147" spans="1:76" x14ac:dyDescent="0.25">
      <c r="A1147" s="24" t="s">
        <v>51</v>
      </c>
      <c r="B1147" s="25" t="s">
        <v>2035</v>
      </c>
      <c r="C1147" s="87" t="s">
        <v>2036</v>
      </c>
      <c r="D1147" s="88"/>
      <c r="E1147" s="26" t="s">
        <v>4</v>
      </c>
      <c r="F1147" s="26" t="s">
        <v>4</v>
      </c>
      <c r="G1147" s="26" t="s">
        <v>4</v>
      </c>
      <c r="H1147" s="1">
        <f>SUM(H1148:H1157)</f>
        <v>0</v>
      </c>
      <c r="I1147" s="1">
        <f>SUM(I1148:I1157)</f>
        <v>0</v>
      </c>
      <c r="J1147" s="1">
        <f>SUM(J1148:J1157)</f>
        <v>0</v>
      </c>
      <c r="K1147" s="27" t="s">
        <v>51</v>
      </c>
      <c r="AI1147" s="10" t="s">
        <v>1980</v>
      </c>
      <c r="AS1147" s="1">
        <f>SUM(AJ1148:AJ1157)</f>
        <v>0</v>
      </c>
      <c r="AT1147" s="1">
        <f>SUM(AK1148:AK1157)</f>
        <v>0</v>
      </c>
      <c r="AU1147" s="1">
        <f>SUM(AL1148:AL1157)</f>
        <v>0</v>
      </c>
    </row>
    <row r="1148" spans="1:76" x14ac:dyDescent="0.25">
      <c r="A1148" s="2" t="s">
        <v>2037</v>
      </c>
      <c r="B1148" s="3" t="s">
        <v>2038</v>
      </c>
      <c r="C1148" s="76" t="s">
        <v>2039</v>
      </c>
      <c r="D1148" s="71"/>
      <c r="E1148" s="3" t="s">
        <v>457</v>
      </c>
      <c r="F1148" s="28">
        <v>1</v>
      </c>
      <c r="G1148" s="28">
        <v>0</v>
      </c>
      <c r="H1148" s="28">
        <f>ROUND(F1148*AO1148,2)</f>
        <v>0</v>
      </c>
      <c r="I1148" s="28">
        <f>ROUND(F1148*AP1148,2)</f>
        <v>0</v>
      </c>
      <c r="J1148" s="28">
        <f>ROUND(F1148*G1148,2)</f>
        <v>0</v>
      </c>
      <c r="K1148" s="29" t="s">
        <v>51</v>
      </c>
      <c r="Z1148" s="28">
        <f>ROUND(IF(AQ1148="5",BJ1148,0),2)</f>
        <v>0</v>
      </c>
      <c r="AB1148" s="28">
        <f>ROUND(IF(AQ1148="1",BH1148,0),2)</f>
        <v>0</v>
      </c>
      <c r="AC1148" s="28">
        <f>ROUND(IF(AQ1148="1",BI1148,0),2)</f>
        <v>0</v>
      </c>
      <c r="AD1148" s="28">
        <f>ROUND(IF(AQ1148="7",BH1148,0),2)</f>
        <v>0</v>
      </c>
      <c r="AE1148" s="28">
        <f>ROUND(IF(AQ1148="7",BI1148,0),2)</f>
        <v>0</v>
      </c>
      <c r="AF1148" s="28">
        <f>ROUND(IF(AQ1148="2",BH1148,0),2)</f>
        <v>0</v>
      </c>
      <c r="AG1148" s="28">
        <f>ROUND(IF(AQ1148="2",BI1148,0),2)</f>
        <v>0</v>
      </c>
      <c r="AH1148" s="28">
        <f>ROUND(IF(AQ1148="0",BJ1148,0),2)</f>
        <v>0</v>
      </c>
      <c r="AI1148" s="10" t="s">
        <v>1980</v>
      </c>
      <c r="AJ1148" s="28">
        <f>IF(AN1148=0,J1148,0)</f>
        <v>0</v>
      </c>
      <c r="AK1148" s="28">
        <f>IF(AN1148=12,J1148,0)</f>
        <v>0</v>
      </c>
      <c r="AL1148" s="28">
        <f>IF(AN1148=21,J1148,0)</f>
        <v>0</v>
      </c>
      <c r="AN1148" s="28">
        <v>21</v>
      </c>
      <c r="AO1148" s="28">
        <f>G1148*0.294117647</f>
        <v>0</v>
      </c>
      <c r="AP1148" s="28">
        <f>G1148*(1-0.294117647)</f>
        <v>0</v>
      </c>
      <c r="AQ1148" s="30" t="s">
        <v>74</v>
      </c>
      <c r="AV1148" s="28">
        <f>ROUND(AW1148+AX1148,2)</f>
        <v>0</v>
      </c>
      <c r="AW1148" s="28">
        <f>ROUND(F1148*AO1148,2)</f>
        <v>0</v>
      </c>
      <c r="AX1148" s="28">
        <f>ROUND(F1148*AP1148,2)</f>
        <v>0</v>
      </c>
      <c r="AY1148" s="30" t="s">
        <v>2040</v>
      </c>
      <c r="AZ1148" s="30" t="s">
        <v>2011</v>
      </c>
      <c r="BA1148" s="10" t="s">
        <v>1986</v>
      </c>
      <c r="BC1148" s="28">
        <f>AW1148+AX1148</f>
        <v>0</v>
      </c>
      <c r="BD1148" s="28">
        <f>G1148/(100-BE1148)*100</f>
        <v>0</v>
      </c>
      <c r="BE1148" s="28">
        <v>0</v>
      </c>
      <c r="BF1148" s="28">
        <f>1156</f>
        <v>1156</v>
      </c>
      <c r="BH1148" s="28">
        <f>F1148*AO1148</f>
        <v>0</v>
      </c>
      <c r="BI1148" s="28">
        <f>F1148*AP1148</f>
        <v>0</v>
      </c>
      <c r="BJ1148" s="28">
        <f>F1148*G1148</f>
        <v>0</v>
      </c>
      <c r="BK1148" s="28"/>
      <c r="BL1148" s="28"/>
      <c r="BW1148" s="28">
        <v>21</v>
      </c>
      <c r="BX1148" s="4" t="s">
        <v>2039</v>
      </c>
    </row>
    <row r="1149" spans="1:76" x14ac:dyDescent="0.25">
      <c r="A1149" s="2" t="s">
        <v>2041</v>
      </c>
      <c r="B1149" s="3" t="s">
        <v>2042</v>
      </c>
      <c r="C1149" s="76" t="s">
        <v>2043</v>
      </c>
      <c r="D1149" s="71"/>
      <c r="E1149" s="3" t="s">
        <v>1376</v>
      </c>
      <c r="F1149" s="28">
        <v>1</v>
      </c>
      <c r="G1149" s="28">
        <v>0</v>
      </c>
      <c r="H1149" s="28">
        <f>ROUND(F1149*AO1149,2)</f>
        <v>0</v>
      </c>
      <c r="I1149" s="28">
        <f>ROUND(F1149*AP1149,2)</f>
        <v>0</v>
      </c>
      <c r="J1149" s="28">
        <f>ROUND(F1149*G1149,2)</f>
        <v>0</v>
      </c>
      <c r="K1149" s="29" t="s">
        <v>424</v>
      </c>
      <c r="Z1149" s="28">
        <f>ROUND(IF(AQ1149="5",BJ1149,0),2)</f>
        <v>0</v>
      </c>
      <c r="AB1149" s="28">
        <f>ROUND(IF(AQ1149="1",BH1149,0),2)</f>
        <v>0</v>
      </c>
      <c r="AC1149" s="28">
        <f>ROUND(IF(AQ1149="1",BI1149,0),2)</f>
        <v>0</v>
      </c>
      <c r="AD1149" s="28">
        <f>ROUND(IF(AQ1149="7",BH1149,0),2)</f>
        <v>0</v>
      </c>
      <c r="AE1149" s="28">
        <f>ROUND(IF(AQ1149="7",BI1149,0),2)</f>
        <v>0</v>
      </c>
      <c r="AF1149" s="28">
        <f>ROUND(IF(AQ1149="2",BH1149,0),2)</f>
        <v>0</v>
      </c>
      <c r="AG1149" s="28">
        <f>ROUND(IF(AQ1149="2",BI1149,0),2)</f>
        <v>0</v>
      </c>
      <c r="AH1149" s="28">
        <f>ROUND(IF(AQ1149="0",BJ1149,0),2)</f>
        <v>0</v>
      </c>
      <c r="AI1149" s="10" t="s">
        <v>1980</v>
      </c>
      <c r="AJ1149" s="28">
        <f>IF(AN1149=0,J1149,0)</f>
        <v>0</v>
      </c>
      <c r="AK1149" s="28">
        <f>IF(AN1149=12,J1149,0)</f>
        <v>0</v>
      </c>
      <c r="AL1149" s="28">
        <f>IF(AN1149=21,J1149,0)</f>
        <v>0</v>
      </c>
      <c r="AN1149" s="28">
        <v>21</v>
      </c>
      <c r="AO1149" s="28">
        <f>G1149*1</f>
        <v>0</v>
      </c>
      <c r="AP1149" s="28">
        <f>G1149*(1-1)</f>
        <v>0</v>
      </c>
      <c r="AQ1149" s="30" t="s">
        <v>74</v>
      </c>
      <c r="AV1149" s="28">
        <f>ROUND(AW1149+AX1149,2)</f>
        <v>0</v>
      </c>
      <c r="AW1149" s="28">
        <f>ROUND(F1149*AO1149,2)</f>
        <v>0</v>
      </c>
      <c r="AX1149" s="28">
        <f>ROUND(F1149*AP1149,2)</f>
        <v>0</v>
      </c>
      <c r="AY1149" s="30" t="s">
        <v>2040</v>
      </c>
      <c r="AZ1149" s="30" t="s">
        <v>2011</v>
      </c>
      <c r="BA1149" s="10" t="s">
        <v>1986</v>
      </c>
      <c r="BC1149" s="28">
        <f>AW1149+AX1149</f>
        <v>0</v>
      </c>
      <c r="BD1149" s="28">
        <f>G1149/(100-BE1149)*100</f>
        <v>0</v>
      </c>
      <c r="BE1149" s="28">
        <v>0</v>
      </c>
      <c r="BF1149" s="28">
        <f>1157</f>
        <v>1157</v>
      </c>
      <c r="BH1149" s="28">
        <f>F1149*AO1149</f>
        <v>0</v>
      </c>
      <c r="BI1149" s="28">
        <f>F1149*AP1149</f>
        <v>0</v>
      </c>
      <c r="BJ1149" s="28">
        <f>F1149*G1149</f>
        <v>0</v>
      </c>
      <c r="BK1149" s="28"/>
      <c r="BL1149" s="28"/>
      <c r="BW1149" s="28">
        <v>21</v>
      </c>
      <c r="BX1149" s="4" t="s">
        <v>2043</v>
      </c>
    </row>
    <row r="1150" spans="1:76" ht="38.25" x14ac:dyDescent="0.25">
      <c r="A1150" s="31"/>
      <c r="B1150" s="35" t="s">
        <v>68</v>
      </c>
      <c r="C1150" s="94" t="s">
        <v>2044</v>
      </c>
      <c r="D1150" s="95"/>
      <c r="E1150" s="95"/>
      <c r="F1150" s="95"/>
      <c r="G1150" s="95"/>
      <c r="H1150" s="95"/>
      <c r="I1150" s="95"/>
      <c r="J1150" s="95"/>
      <c r="K1150" s="96"/>
      <c r="BX1150" s="36" t="s">
        <v>2044</v>
      </c>
    </row>
    <row r="1151" spans="1:76" x14ac:dyDescent="0.25">
      <c r="A1151" s="2" t="s">
        <v>2045</v>
      </c>
      <c r="B1151" s="3" t="s">
        <v>2046</v>
      </c>
      <c r="C1151" s="76" t="s">
        <v>2047</v>
      </c>
      <c r="D1151" s="71"/>
      <c r="E1151" s="3" t="s">
        <v>1376</v>
      </c>
      <c r="F1151" s="28">
        <v>1</v>
      </c>
      <c r="G1151" s="28">
        <v>0</v>
      </c>
      <c r="H1151" s="28">
        <f>ROUND(F1151*AO1151,2)</f>
        <v>0</v>
      </c>
      <c r="I1151" s="28">
        <f>ROUND(F1151*AP1151,2)</f>
        <v>0</v>
      </c>
      <c r="J1151" s="28">
        <f>ROUND(F1151*G1151,2)</f>
        <v>0</v>
      </c>
      <c r="K1151" s="29" t="s">
        <v>424</v>
      </c>
      <c r="Z1151" s="28">
        <f>ROUND(IF(AQ1151="5",BJ1151,0),2)</f>
        <v>0</v>
      </c>
      <c r="AB1151" s="28">
        <f>ROUND(IF(AQ1151="1",BH1151,0),2)</f>
        <v>0</v>
      </c>
      <c r="AC1151" s="28">
        <f>ROUND(IF(AQ1151="1",BI1151,0),2)</f>
        <v>0</v>
      </c>
      <c r="AD1151" s="28">
        <f>ROUND(IF(AQ1151="7",BH1151,0),2)</f>
        <v>0</v>
      </c>
      <c r="AE1151" s="28">
        <f>ROUND(IF(AQ1151="7",BI1151,0),2)</f>
        <v>0</v>
      </c>
      <c r="AF1151" s="28">
        <f>ROUND(IF(AQ1151="2",BH1151,0),2)</f>
        <v>0</v>
      </c>
      <c r="AG1151" s="28">
        <f>ROUND(IF(AQ1151="2",BI1151,0),2)</f>
        <v>0</v>
      </c>
      <c r="AH1151" s="28">
        <f>ROUND(IF(AQ1151="0",BJ1151,0),2)</f>
        <v>0</v>
      </c>
      <c r="AI1151" s="10" t="s">
        <v>1980</v>
      </c>
      <c r="AJ1151" s="28">
        <f>IF(AN1151=0,J1151,0)</f>
        <v>0</v>
      </c>
      <c r="AK1151" s="28">
        <f>IF(AN1151=12,J1151,0)</f>
        <v>0</v>
      </c>
      <c r="AL1151" s="28">
        <f>IF(AN1151=21,J1151,0)</f>
        <v>0</v>
      </c>
      <c r="AN1151" s="28">
        <v>21</v>
      </c>
      <c r="AO1151" s="28">
        <f>G1151*1</f>
        <v>0</v>
      </c>
      <c r="AP1151" s="28">
        <f>G1151*(1-1)</f>
        <v>0</v>
      </c>
      <c r="AQ1151" s="30" t="s">
        <v>74</v>
      </c>
      <c r="AV1151" s="28">
        <f>ROUND(AW1151+AX1151,2)</f>
        <v>0</v>
      </c>
      <c r="AW1151" s="28">
        <f>ROUND(F1151*AO1151,2)</f>
        <v>0</v>
      </c>
      <c r="AX1151" s="28">
        <f>ROUND(F1151*AP1151,2)</f>
        <v>0</v>
      </c>
      <c r="AY1151" s="30" t="s">
        <v>2040</v>
      </c>
      <c r="AZ1151" s="30" t="s">
        <v>2011</v>
      </c>
      <c r="BA1151" s="10" t="s">
        <v>1986</v>
      </c>
      <c r="BC1151" s="28">
        <f>AW1151+AX1151</f>
        <v>0</v>
      </c>
      <c r="BD1151" s="28">
        <f>G1151/(100-BE1151)*100</f>
        <v>0</v>
      </c>
      <c r="BE1151" s="28">
        <v>0</v>
      </c>
      <c r="BF1151" s="28">
        <f>1159</f>
        <v>1159</v>
      </c>
      <c r="BH1151" s="28">
        <f>F1151*AO1151</f>
        <v>0</v>
      </c>
      <c r="BI1151" s="28">
        <f>F1151*AP1151</f>
        <v>0</v>
      </c>
      <c r="BJ1151" s="28">
        <f>F1151*G1151</f>
        <v>0</v>
      </c>
      <c r="BK1151" s="28"/>
      <c r="BL1151" s="28"/>
      <c r="BW1151" s="28">
        <v>21</v>
      </c>
      <c r="BX1151" s="4" t="s">
        <v>2047</v>
      </c>
    </row>
    <row r="1152" spans="1:76" ht="25.5" x14ac:dyDescent="0.25">
      <c r="A1152" s="31"/>
      <c r="B1152" s="35" t="s">
        <v>68</v>
      </c>
      <c r="C1152" s="94" t="s">
        <v>2048</v>
      </c>
      <c r="D1152" s="95"/>
      <c r="E1152" s="95"/>
      <c r="F1152" s="95"/>
      <c r="G1152" s="95"/>
      <c r="H1152" s="95"/>
      <c r="I1152" s="95"/>
      <c r="J1152" s="95"/>
      <c r="K1152" s="96"/>
      <c r="BX1152" s="36" t="s">
        <v>2048</v>
      </c>
    </row>
    <row r="1153" spans="1:76" x14ac:dyDescent="0.25">
      <c r="A1153" s="2" t="s">
        <v>2049</v>
      </c>
      <c r="B1153" s="3" t="s">
        <v>2050</v>
      </c>
      <c r="C1153" s="76" t="s">
        <v>2051</v>
      </c>
      <c r="D1153" s="71"/>
      <c r="E1153" s="3" t="s">
        <v>1376</v>
      </c>
      <c r="F1153" s="28">
        <v>1</v>
      </c>
      <c r="G1153" s="28">
        <v>0</v>
      </c>
      <c r="H1153" s="28">
        <f>ROUND(F1153*AO1153,2)</f>
        <v>0</v>
      </c>
      <c r="I1153" s="28">
        <f>ROUND(F1153*AP1153,2)</f>
        <v>0</v>
      </c>
      <c r="J1153" s="28">
        <f>ROUND(F1153*G1153,2)</f>
        <v>0</v>
      </c>
      <c r="K1153" s="29" t="s">
        <v>424</v>
      </c>
      <c r="Z1153" s="28">
        <f>ROUND(IF(AQ1153="5",BJ1153,0),2)</f>
        <v>0</v>
      </c>
      <c r="AB1153" s="28">
        <f>ROUND(IF(AQ1153="1",BH1153,0),2)</f>
        <v>0</v>
      </c>
      <c r="AC1153" s="28">
        <f>ROUND(IF(AQ1153="1",BI1153,0),2)</f>
        <v>0</v>
      </c>
      <c r="AD1153" s="28">
        <f>ROUND(IF(AQ1153="7",BH1153,0),2)</f>
        <v>0</v>
      </c>
      <c r="AE1153" s="28">
        <f>ROUND(IF(AQ1153="7",BI1153,0),2)</f>
        <v>0</v>
      </c>
      <c r="AF1153" s="28">
        <f>ROUND(IF(AQ1153="2",BH1153,0),2)</f>
        <v>0</v>
      </c>
      <c r="AG1153" s="28">
        <f>ROUND(IF(AQ1153="2",BI1153,0),2)</f>
        <v>0</v>
      </c>
      <c r="AH1153" s="28">
        <f>ROUND(IF(AQ1153="0",BJ1153,0),2)</f>
        <v>0</v>
      </c>
      <c r="AI1153" s="10" t="s">
        <v>1980</v>
      </c>
      <c r="AJ1153" s="28">
        <f>IF(AN1153=0,J1153,0)</f>
        <v>0</v>
      </c>
      <c r="AK1153" s="28">
        <f>IF(AN1153=12,J1153,0)</f>
        <v>0</v>
      </c>
      <c r="AL1153" s="28">
        <f>IF(AN1153=21,J1153,0)</f>
        <v>0</v>
      </c>
      <c r="AN1153" s="28">
        <v>21</v>
      </c>
      <c r="AO1153" s="28">
        <f>G1153*1</f>
        <v>0</v>
      </c>
      <c r="AP1153" s="28">
        <f>G1153*(1-1)</f>
        <v>0</v>
      </c>
      <c r="AQ1153" s="30" t="s">
        <v>74</v>
      </c>
      <c r="AV1153" s="28">
        <f>ROUND(AW1153+AX1153,2)</f>
        <v>0</v>
      </c>
      <c r="AW1153" s="28">
        <f>ROUND(F1153*AO1153,2)</f>
        <v>0</v>
      </c>
      <c r="AX1153" s="28">
        <f>ROUND(F1153*AP1153,2)</f>
        <v>0</v>
      </c>
      <c r="AY1153" s="30" t="s">
        <v>2040</v>
      </c>
      <c r="AZ1153" s="30" t="s">
        <v>2011</v>
      </c>
      <c r="BA1153" s="10" t="s">
        <v>1986</v>
      </c>
      <c r="BC1153" s="28">
        <f>AW1153+AX1153</f>
        <v>0</v>
      </c>
      <c r="BD1153" s="28">
        <f>G1153/(100-BE1153)*100</f>
        <v>0</v>
      </c>
      <c r="BE1153" s="28">
        <v>0</v>
      </c>
      <c r="BF1153" s="28">
        <f>1161</f>
        <v>1161</v>
      </c>
      <c r="BH1153" s="28">
        <f>F1153*AO1153</f>
        <v>0</v>
      </c>
      <c r="BI1153" s="28">
        <f>F1153*AP1153</f>
        <v>0</v>
      </c>
      <c r="BJ1153" s="28">
        <f>F1153*G1153</f>
        <v>0</v>
      </c>
      <c r="BK1153" s="28"/>
      <c r="BL1153" s="28"/>
      <c r="BW1153" s="28">
        <v>21</v>
      </c>
      <c r="BX1153" s="4" t="s">
        <v>2051</v>
      </c>
    </row>
    <row r="1154" spans="1:76" ht="25.5" x14ac:dyDescent="0.25">
      <c r="A1154" s="31"/>
      <c r="B1154" s="35" t="s">
        <v>68</v>
      </c>
      <c r="C1154" s="94" t="s">
        <v>2052</v>
      </c>
      <c r="D1154" s="95"/>
      <c r="E1154" s="95"/>
      <c r="F1154" s="95"/>
      <c r="G1154" s="95"/>
      <c r="H1154" s="95"/>
      <c r="I1154" s="95"/>
      <c r="J1154" s="95"/>
      <c r="K1154" s="96"/>
      <c r="BX1154" s="36" t="s">
        <v>2052</v>
      </c>
    </row>
    <row r="1155" spans="1:76" x14ac:dyDescent="0.25">
      <c r="A1155" s="2" t="s">
        <v>2053</v>
      </c>
      <c r="B1155" s="3" t="s">
        <v>2054</v>
      </c>
      <c r="C1155" s="76" t="s">
        <v>2055</v>
      </c>
      <c r="D1155" s="71"/>
      <c r="E1155" s="3" t="s">
        <v>1376</v>
      </c>
      <c r="F1155" s="28">
        <v>1</v>
      </c>
      <c r="G1155" s="28">
        <v>0</v>
      </c>
      <c r="H1155" s="28">
        <f>ROUND(F1155*AO1155,2)</f>
        <v>0</v>
      </c>
      <c r="I1155" s="28">
        <f>ROUND(F1155*AP1155,2)</f>
        <v>0</v>
      </c>
      <c r="J1155" s="28">
        <f>ROUND(F1155*G1155,2)</f>
        <v>0</v>
      </c>
      <c r="K1155" s="29" t="s">
        <v>2056</v>
      </c>
      <c r="Z1155" s="28">
        <f>ROUND(IF(AQ1155="5",BJ1155,0),2)</f>
        <v>0</v>
      </c>
      <c r="AB1155" s="28">
        <f>ROUND(IF(AQ1155="1",BH1155,0),2)</f>
        <v>0</v>
      </c>
      <c r="AC1155" s="28">
        <f>ROUND(IF(AQ1155="1",BI1155,0),2)</f>
        <v>0</v>
      </c>
      <c r="AD1155" s="28">
        <f>ROUND(IF(AQ1155="7",BH1155,0),2)</f>
        <v>0</v>
      </c>
      <c r="AE1155" s="28">
        <f>ROUND(IF(AQ1155="7",BI1155,0),2)</f>
        <v>0</v>
      </c>
      <c r="AF1155" s="28">
        <f>ROUND(IF(AQ1155="2",BH1155,0),2)</f>
        <v>0</v>
      </c>
      <c r="AG1155" s="28">
        <f>ROUND(IF(AQ1155="2",BI1155,0),2)</f>
        <v>0</v>
      </c>
      <c r="AH1155" s="28">
        <f>ROUND(IF(AQ1155="0",BJ1155,0),2)</f>
        <v>0</v>
      </c>
      <c r="AI1155" s="10" t="s">
        <v>1980</v>
      </c>
      <c r="AJ1155" s="28">
        <f>IF(AN1155=0,J1155,0)</f>
        <v>0</v>
      </c>
      <c r="AK1155" s="28">
        <f>IF(AN1155=12,J1155,0)</f>
        <v>0</v>
      </c>
      <c r="AL1155" s="28">
        <f>IF(AN1155=21,J1155,0)</f>
        <v>0</v>
      </c>
      <c r="AN1155" s="28">
        <v>21</v>
      </c>
      <c r="AO1155" s="28">
        <f>G1155*1</f>
        <v>0</v>
      </c>
      <c r="AP1155" s="28">
        <f>G1155*(1-1)</f>
        <v>0</v>
      </c>
      <c r="AQ1155" s="30" t="s">
        <v>74</v>
      </c>
      <c r="AV1155" s="28">
        <f>ROUND(AW1155+AX1155,2)</f>
        <v>0</v>
      </c>
      <c r="AW1155" s="28">
        <f>ROUND(F1155*AO1155,2)</f>
        <v>0</v>
      </c>
      <c r="AX1155" s="28">
        <f>ROUND(F1155*AP1155,2)</f>
        <v>0</v>
      </c>
      <c r="AY1155" s="30" t="s">
        <v>2040</v>
      </c>
      <c r="AZ1155" s="30" t="s">
        <v>2011</v>
      </c>
      <c r="BA1155" s="10" t="s">
        <v>1986</v>
      </c>
      <c r="BC1155" s="28">
        <f>AW1155+AX1155</f>
        <v>0</v>
      </c>
      <c r="BD1155" s="28">
        <f>G1155/(100-BE1155)*100</f>
        <v>0</v>
      </c>
      <c r="BE1155" s="28">
        <v>0</v>
      </c>
      <c r="BF1155" s="28">
        <f>1163</f>
        <v>1163</v>
      </c>
      <c r="BH1155" s="28">
        <f>F1155*AO1155</f>
        <v>0</v>
      </c>
      <c r="BI1155" s="28">
        <f>F1155*AP1155</f>
        <v>0</v>
      </c>
      <c r="BJ1155" s="28">
        <f>F1155*G1155</f>
        <v>0</v>
      </c>
      <c r="BK1155" s="28"/>
      <c r="BL1155" s="28"/>
      <c r="BW1155" s="28">
        <v>21</v>
      </c>
      <c r="BX1155" s="4" t="s">
        <v>2055</v>
      </c>
    </row>
    <row r="1156" spans="1:76" x14ac:dyDescent="0.25">
      <c r="A1156" s="2" t="s">
        <v>2057</v>
      </c>
      <c r="B1156" s="3" t="s">
        <v>2058</v>
      </c>
      <c r="C1156" s="76" t="s">
        <v>2059</v>
      </c>
      <c r="D1156" s="71"/>
      <c r="E1156" s="3" t="s">
        <v>1376</v>
      </c>
      <c r="F1156" s="28">
        <v>1</v>
      </c>
      <c r="G1156" s="28">
        <v>0</v>
      </c>
      <c r="H1156" s="28">
        <f>ROUND(F1156*AO1156,2)</f>
        <v>0</v>
      </c>
      <c r="I1156" s="28">
        <f>ROUND(F1156*AP1156,2)</f>
        <v>0</v>
      </c>
      <c r="J1156" s="28">
        <f>ROUND(F1156*G1156,2)</f>
        <v>0</v>
      </c>
      <c r="K1156" s="29" t="s">
        <v>424</v>
      </c>
      <c r="Z1156" s="28">
        <f>ROUND(IF(AQ1156="5",BJ1156,0),2)</f>
        <v>0</v>
      </c>
      <c r="AB1156" s="28">
        <f>ROUND(IF(AQ1156="1",BH1156,0),2)</f>
        <v>0</v>
      </c>
      <c r="AC1156" s="28">
        <f>ROUND(IF(AQ1156="1",BI1156,0),2)</f>
        <v>0</v>
      </c>
      <c r="AD1156" s="28">
        <f>ROUND(IF(AQ1156="7",BH1156,0),2)</f>
        <v>0</v>
      </c>
      <c r="AE1156" s="28">
        <f>ROUND(IF(AQ1156="7",BI1156,0),2)</f>
        <v>0</v>
      </c>
      <c r="AF1156" s="28">
        <f>ROUND(IF(AQ1156="2",BH1156,0),2)</f>
        <v>0</v>
      </c>
      <c r="AG1156" s="28">
        <f>ROUND(IF(AQ1156="2",BI1156,0),2)</f>
        <v>0</v>
      </c>
      <c r="AH1156" s="28">
        <f>ROUND(IF(AQ1156="0",BJ1156,0),2)</f>
        <v>0</v>
      </c>
      <c r="AI1156" s="10" t="s">
        <v>1980</v>
      </c>
      <c r="AJ1156" s="28">
        <f>IF(AN1156=0,J1156,0)</f>
        <v>0</v>
      </c>
      <c r="AK1156" s="28">
        <f>IF(AN1156=12,J1156,0)</f>
        <v>0</v>
      </c>
      <c r="AL1156" s="28">
        <f>IF(AN1156=21,J1156,0)</f>
        <v>0</v>
      </c>
      <c r="AN1156" s="28">
        <v>21</v>
      </c>
      <c r="AO1156" s="28">
        <f>G1156*1</f>
        <v>0</v>
      </c>
      <c r="AP1156" s="28">
        <f>G1156*(1-1)</f>
        <v>0</v>
      </c>
      <c r="AQ1156" s="30" t="s">
        <v>74</v>
      </c>
      <c r="AV1156" s="28">
        <f>ROUND(AW1156+AX1156,2)</f>
        <v>0</v>
      </c>
      <c r="AW1156" s="28">
        <f>ROUND(F1156*AO1156,2)</f>
        <v>0</v>
      </c>
      <c r="AX1156" s="28">
        <f>ROUND(F1156*AP1156,2)</f>
        <v>0</v>
      </c>
      <c r="AY1156" s="30" t="s">
        <v>2040</v>
      </c>
      <c r="AZ1156" s="30" t="s">
        <v>2011</v>
      </c>
      <c r="BA1156" s="10" t="s">
        <v>1986</v>
      </c>
      <c r="BC1156" s="28">
        <f>AW1156+AX1156</f>
        <v>0</v>
      </c>
      <c r="BD1156" s="28">
        <f>G1156/(100-BE1156)*100</f>
        <v>0</v>
      </c>
      <c r="BE1156" s="28">
        <v>0</v>
      </c>
      <c r="BF1156" s="28">
        <f>1164</f>
        <v>1164</v>
      </c>
      <c r="BH1156" s="28">
        <f>F1156*AO1156</f>
        <v>0</v>
      </c>
      <c r="BI1156" s="28">
        <f>F1156*AP1156</f>
        <v>0</v>
      </c>
      <c r="BJ1156" s="28">
        <f>F1156*G1156</f>
        <v>0</v>
      </c>
      <c r="BK1156" s="28"/>
      <c r="BL1156" s="28"/>
      <c r="BW1156" s="28">
        <v>21</v>
      </c>
      <c r="BX1156" s="4" t="s">
        <v>2059</v>
      </c>
    </row>
    <row r="1157" spans="1:76" x14ac:dyDescent="0.25">
      <c r="A1157" s="2" t="s">
        <v>2060</v>
      </c>
      <c r="B1157" s="3" t="s">
        <v>2061</v>
      </c>
      <c r="C1157" s="76" t="s">
        <v>2062</v>
      </c>
      <c r="D1157" s="71"/>
      <c r="E1157" s="3" t="s">
        <v>1376</v>
      </c>
      <c r="F1157" s="28">
        <v>1</v>
      </c>
      <c r="G1157" s="28">
        <v>0</v>
      </c>
      <c r="H1157" s="28">
        <f>ROUND(F1157*AO1157,2)</f>
        <v>0</v>
      </c>
      <c r="I1157" s="28">
        <f>ROUND(F1157*AP1157,2)</f>
        <v>0</v>
      </c>
      <c r="J1157" s="28">
        <f>ROUND(F1157*G1157,2)</f>
        <v>0</v>
      </c>
      <c r="K1157" s="29" t="s">
        <v>424</v>
      </c>
      <c r="Z1157" s="28">
        <f>ROUND(IF(AQ1157="5",BJ1157,0),2)</f>
        <v>0</v>
      </c>
      <c r="AB1157" s="28">
        <f>ROUND(IF(AQ1157="1",BH1157,0),2)</f>
        <v>0</v>
      </c>
      <c r="AC1157" s="28">
        <f>ROUND(IF(AQ1157="1",BI1157,0),2)</f>
        <v>0</v>
      </c>
      <c r="AD1157" s="28">
        <f>ROUND(IF(AQ1157="7",BH1157,0),2)</f>
        <v>0</v>
      </c>
      <c r="AE1157" s="28">
        <f>ROUND(IF(AQ1157="7",BI1157,0),2)</f>
        <v>0</v>
      </c>
      <c r="AF1157" s="28">
        <f>ROUND(IF(AQ1157="2",BH1157,0),2)</f>
        <v>0</v>
      </c>
      <c r="AG1157" s="28">
        <f>ROUND(IF(AQ1157="2",BI1157,0),2)</f>
        <v>0</v>
      </c>
      <c r="AH1157" s="28">
        <f>ROUND(IF(AQ1157="0",BJ1157,0),2)</f>
        <v>0</v>
      </c>
      <c r="AI1157" s="10" t="s">
        <v>1980</v>
      </c>
      <c r="AJ1157" s="28">
        <f>IF(AN1157=0,J1157,0)</f>
        <v>0</v>
      </c>
      <c r="AK1157" s="28">
        <f>IF(AN1157=12,J1157,0)</f>
        <v>0</v>
      </c>
      <c r="AL1157" s="28">
        <f>IF(AN1157=21,J1157,0)</f>
        <v>0</v>
      </c>
      <c r="AN1157" s="28">
        <v>21</v>
      </c>
      <c r="AO1157" s="28">
        <f>G1157*1</f>
        <v>0</v>
      </c>
      <c r="AP1157" s="28">
        <f>G1157*(1-1)</f>
        <v>0</v>
      </c>
      <c r="AQ1157" s="30" t="s">
        <v>74</v>
      </c>
      <c r="AV1157" s="28">
        <f>ROUND(AW1157+AX1157,2)</f>
        <v>0</v>
      </c>
      <c r="AW1157" s="28">
        <f>ROUND(F1157*AO1157,2)</f>
        <v>0</v>
      </c>
      <c r="AX1157" s="28">
        <f>ROUND(F1157*AP1157,2)</f>
        <v>0</v>
      </c>
      <c r="AY1157" s="30" t="s">
        <v>2040</v>
      </c>
      <c r="AZ1157" s="30" t="s">
        <v>2011</v>
      </c>
      <c r="BA1157" s="10" t="s">
        <v>1986</v>
      </c>
      <c r="BC1157" s="28">
        <f>AW1157+AX1157</f>
        <v>0</v>
      </c>
      <c r="BD1157" s="28">
        <f>G1157/(100-BE1157)*100</f>
        <v>0</v>
      </c>
      <c r="BE1157" s="28">
        <v>0</v>
      </c>
      <c r="BF1157" s="28">
        <f>1165</f>
        <v>1165</v>
      </c>
      <c r="BH1157" s="28">
        <f>F1157*AO1157</f>
        <v>0</v>
      </c>
      <c r="BI1157" s="28">
        <f>F1157*AP1157</f>
        <v>0</v>
      </c>
      <c r="BJ1157" s="28">
        <f>F1157*G1157</f>
        <v>0</v>
      </c>
      <c r="BK1157" s="28"/>
      <c r="BL1157" s="28"/>
      <c r="BW1157" s="28">
        <v>21</v>
      </c>
      <c r="BX1157" s="4" t="s">
        <v>2062</v>
      </c>
    </row>
    <row r="1158" spans="1:76" x14ac:dyDescent="0.25">
      <c r="A1158" s="31"/>
      <c r="B1158" s="35" t="s">
        <v>68</v>
      </c>
      <c r="C1158" s="94" t="s">
        <v>2063</v>
      </c>
      <c r="D1158" s="95"/>
      <c r="E1158" s="95"/>
      <c r="F1158" s="95"/>
      <c r="G1158" s="95"/>
      <c r="H1158" s="95"/>
      <c r="I1158" s="95"/>
      <c r="J1158" s="95"/>
      <c r="K1158" s="96"/>
      <c r="BX1158" s="36" t="s">
        <v>2063</v>
      </c>
    </row>
    <row r="1159" spans="1:76" x14ac:dyDescent="0.25">
      <c r="A1159" s="24" t="s">
        <v>51</v>
      </c>
      <c r="B1159" s="25" t="s">
        <v>51</v>
      </c>
      <c r="C1159" s="87" t="s">
        <v>2064</v>
      </c>
      <c r="D1159" s="88"/>
      <c r="E1159" s="26" t="s">
        <v>4</v>
      </c>
      <c r="F1159" s="26" t="s">
        <v>4</v>
      </c>
      <c r="G1159" s="26" t="s">
        <v>4</v>
      </c>
      <c r="H1159" s="1">
        <f>H1160+H1165+H1171+H1176+H1185+H1189+H1199+H1205+H1217</f>
        <v>0</v>
      </c>
      <c r="I1159" s="1">
        <f>I1160+I1165+I1171+I1176+I1185+I1189+I1199+I1205+I1217</f>
        <v>0</v>
      </c>
      <c r="J1159" s="1">
        <f>J1160+J1165+J1171+J1176+J1185+J1189+J1199+J1205+J1217</f>
        <v>0</v>
      </c>
      <c r="K1159" s="27" t="s">
        <v>51</v>
      </c>
    </row>
    <row r="1160" spans="1:76" x14ac:dyDescent="0.25">
      <c r="A1160" s="24" t="s">
        <v>51</v>
      </c>
      <c r="B1160" s="25" t="s">
        <v>53</v>
      </c>
      <c r="C1160" s="87" t="s">
        <v>54</v>
      </c>
      <c r="D1160" s="88"/>
      <c r="E1160" s="26" t="s">
        <v>4</v>
      </c>
      <c r="F1160" s="26" t="s">
        <v>4</v>
      </c>
      <c r="G1160" s="26" t="s">
        <v>4</v>
      </c>
      <c r="H1160" s="1">
        <f>SUM(H1161:H1163)</f>
        <v>0</v>
      </c>
      <c r="I1160" s="1">
        <f>SUM(I1161:I1163)</f>
        <v>0</v>
      </c>
      <c r="J1160" s="1">
        <f>SUM(J1161:J1163)</f>
        <v>0</v>
      </c>
      <c r="K1160" s="27" t="s">
        <v>51</v>
      </c>
      <c r="AI1160" s="10" t="s">
        <v>2065</v>
      </c>
      <c r="AS1160" s="1">
        <f>SUM(AJ1161:AJ1163)</f>
        <v>0</v>
      </c>
      <c r="AT1160" s="1">
        <f>SUM(AK1161:AK1163)</f>
        <v>0</v>
      </c>
      <c r="AU1160" s="1">
        <f>SUM(AL1161:AL1163)</f>
        <v>0</v>
      </c>
    </row>
    <row r="1161" spans="1:76" x14ac:dyDescent="0.25">
      <c r="A1161" s="2" t="s">
        <v>2066</v>
      </c>
      <c r="B1161" s="3" t="s">
        <v>2067</v>
      </c>
      <c r="C1161" s="76" t="s">
        <v>2068</v>
      </c>
      <c r="D1161" s="71"/>
      <c r="E1161" s="3" t="s">
        <v>59</v>
      </c>
      <c r="F1161" s="28">
        <v>379.01</v>
      </c>
      <c r="G1161" s="28">
        <v>0</v>
      </c>
      <c r="H1161" s="28">
        <f>ROUND(F1161*AO1161,2)</f>
        <v>0</v>
      </c>
      <c r="I1161" s="28">
        <f>ROUND(F1161*AP1161,2)</f>
        <v>0</v>
      </c>
      <c r="J1161" s="28">
        <f>ROUND(F1161*G1161,2)</f>
        <v>0</v>
      </c>
      <c r="K1161" s="29" t="s">
        <v>60</v>
      </c>
      <c r="Z1161" s="28">
        <f>ROUND(IF(AQ1161="5",BJ1161,0),2)</f>
        <v>0</v>
      </c>
      <c r="AB1161" s="28">
        <f>ROUND(IF(AQ1161="1",BH1161,0),2)</f>
        <v>0</v>
      </c>
      <c r="AC1161" s="28">
        <f>ROUND(IF(AQ1161="1",BI1161,0),2)</f>
        <v>0</v>
      </c>
      <c r="AD1161" s="28">
        <f>ROUND(IF(AQ1161="7",BH1161,0),2)</f>
        <v>0</v>
      </c>
      <c r="AE1161" s="28">
        <f>ROUND(IF(AQ1161="7",BI1161,0),2)</f>
        <v>0</v>
      </c>
      <c r="AF1161" s="28">
        <f>ROUND(IF(AQ1161="2",BH1161,0),2)</f>
        <v>0</v>
      </c>
      <c r="AG1161" s="28">
        <f>ROUND(IF(AQ1161="2",BI1161,0),2)</f>
        <v>0</v>
      </c>
      <c r="AH1161" s="28">
        <f>ROUND(IF(AQ1161="0",BJ1161,0),2)</f>
        <v>0</v>
      </c>
      <c r="AI1161" s="10" t="s">
        <v>2065</v>
      </c>
      <c r="AJ1161" s="28">
        <f>IF(AN1161=0,J1161,0)</f>
        <v>0</v>
      </c>
      <c r="AK1161" s="28">
        <f>IF(AN1161=12,J1161,0)</f>
        <v>0</v>
      </c>
      <c r="AL1161" s="28">
        <f>IF(AN1161=21,J1161,0)</f>
        <v>0</v>
      </c>
      <c r="AN1161" s="28">
        <v>21</v>
      </c>
      <c r="AO1161" s="28">
        <f>G1161*0</f>
        <v>0</v>
      </c>
      <c r="AP1161" s="28">
        <f>G1161*(1-0)</f>
        <v>0</v>
      </c>
      <c r="AQ1161" s="30" t="s">
        <v>56</v>
      </c>
      <c r="AV1161" s="28">
        <f>ROUND(AW1161+AX1161,2)</f>
        <v>0</v>
      </c>
      <c r="AW1161" s="28">
        <f>ROUND(F1161*AO1161,2)</f>
        <v>0</v>
      </c>
      <c r="AX1161" s="28">
        <f>ROUND(F1161*AP1161,2)</f>
        <v>0</v>
      </c>
      <c r="AY1161" s="30" t="s">
        <v>61</v>
      </c>
      <c r="AZ1161" s="30" t="s">
        <v>2069</v>
      </c>
      <c r="BA1161" s="10" t="s">
        <v>2070</v>
      </c>
      <c r="BC1161" s="28">
        <f>AW1161+AX1161</f>
        <v>0</v>
      </c>
      <c r="BD1161" s="28">
        <f>G1161/(100-BE1161)*100</f>
        <v>0</v>
      </c>
      <c r="BE1161" s="28">
        <v>0</v>
      </c>
      <c r="BF1161" s="28">
        <f>1169</f>
        <v>1169</v>
      </c>
      <c r="BH1161" s="28">
        <f>F1161*AO1161</f>
        <v>0</v>
      </c>
      <c r="BI1161" s="28">
        <f>F1161*AP1161</f>
        <v>0</v>
      </c>
      <c r="BJ1161" s="28">
        <f>F1161*G1161</f>
        <v>0</v>
      </c>
      <c r="BK1161" s="28"/>
      <c r="BL1161" s="28">
        <v>13</v>
      </c>
      <c r="BW1161" s="28">
        <v>21</v>
      </c>
      <c r="BX1161" s="4" t="s">
        <v>2068</v>
      </c>
    </row>
    <row r="1162" spans="1:76" ht="63.75" x14ac:dyDescent="0.25">
      <c r="A1162" s="31"/>
      <c r="B1162" s="35" t="s">
        <v>68</v>
      </c>
      <c r="C1162" s="94" t="s">
        <v>69</v>
      </c>
      <c r="D1162" s="95"/>
      <c r="E1162" s="95"/>
      <c r="F1162" s="95"/>
      <c r="G1162" s="95"/>
      <c r="H1162" s="95"/>
      <c r="I1162" s="95"/>
      <c r="J1162" s="95"/>
      <c r="K1162" s="96"/>
      <c r="BX1162" s="36" t="s">
        <v>69</v>
      </c>
    </row>
    <row r="1163" spans="1:76" x14ac:dyDescent="0.25">
      <c r="A1163" s="2" t="s">
        <v>2071</v>
      </c>
      <c r="B1163" s="3" t="s">
        <v>75</v>
      </c>
      <c r="C1163" s="76" t="s">
        <v>76</v>
      </c>
      <c r="D1163" s="71"/>
      <c r="E1163" s="3" t="s">
        <v>59</v>
      </c>
      <c r="F1163" s="28">
        <v>379.01</v>
      </c>
      <c r="G1163" s="28">
        <v>0</v>
      </c>
      <c r="H1163" s="28">
        <f>ROUND(F1163*AO1163,2)</f>
        <v>0</v>
      </c>
      <c r="I1163" s="28">
        <f>ROUND(F1163*AP1163,2)</f>
        <v>0</v>
      </c>
      <c r="J1163" s="28">
        <f>ROUND(F1163*G1163,2)</f>
        <v>0</v>
      </c>
      <c r="K1163" s="29" t="s">
        <v>60</v>
      </c>
      <c r="Z1163" s="28">
        <f>ROUND(IF(AQ1163="5",BJ1163,0),2)</f>
        <v>0</v>
      </c>
      <c r="AB1163" s="28">
        <f>ROUND(IF(AQ1163="1",BH1163,0),2)</f>
        <v>0</v>
      </c>
      <c r="AC1163" s="28">
        <f>ROUND(IF(AQ1163="1",BI1163,0),2)</f>
        <v>0</v>
      </c>
      <c r="AD1163" s="28">
        <f>ROUND(IF(AQ1163="7",BH1163,0),2)</f>
        <v>0</v>
      </c>
      <c r="AE1163" s="28">
        <f>ROUND(IF(AQ1163="7",BI1163,0),2)</f>
        <v>0</v>
      </c>
      <c r="AF1163" s="28">
        <f>ROUND(IF(AQ1163="2",BH1163,0),2)</f>
        <v>0</v>
      </c>
      <c r="AG1163" s="28">
        <f>ROUND(IF(AQ1163="2",BI1163,0),2)</f>
        <v>0</v>
      </c>
      <c r="AH1163" s="28">
        <f>ROUND(IF(AQ1163="0",BJ1163,0),2)</f>
        <v>0</v>
      </c>
      <c r="AI1163" s="10" t="s">
        <v>2065</v>
      </c>
      <c r="AJ1163" s="28">
        <f>IF(AN1163=0,J1163,0)</f>
        <v>0</v>
      </c>
      <c r="AK1163" s="28">
        <f>IF(AN1163=12,J1163,0)</f>
        <v>0</v>
      </c>
      <c r="AL1163" s="28">
        <f>IF(AN1163=21,J1163,0)</f>
        <v>0</v>
      </c>
      <c r="AN1163" s="28">
        <v>21</v>
      </c>
      <c r="AO1163" s="28">
        <f>G1163*0</f>
        <v>0</v>
      </c>
      <c r="AP1163" s="28">
        <f>G1163*(1-0)</f>
        <v>0</v>
      </c>
      <c r="AQ1163" s="30" t="s">
        <v>56</v>
      </c>
      <c r="AV1163" s="28">
        <f>ROUND(AW1163+AX1163,2)</f>
        <v>0</v>
      </c>
      <c r="AW1163" s="28">
        <f>ROUND(F1163*AO1163,2)</f>
        <v>0</v>
      </c>
      <c r="AX1163" s="28">
        <f>ROUND(F1163*AP1163,2)</f>
        <v>0</v>
      </c>
      <c r="AY1163" s="30" t="s">
        <v>61</v>
      </c>
      <c r="AZ1163" s="30" t="s">
        <v>2069</v>
      </c>
      <c r="BA1163" s="10" t="s">
        <v>2070</v>
      </c>
      <c r="BC1163" s="28">
        <f>AW1163+AX1163</f>
        <v>0</v>
      </c>
      <c r="BD1163" s="28">
        <f>G1163/(100-BE1163)*100</f>
        <v>0</v>
      </c>
      <c r="BE1163" s="28">
        <v>0</v>
      </c>
      <c r="BF1163" s="28">
        <f>1171</f>
        <v>1171</v>
      </c>
      <c r="BH1163" s="28">
        <f>F1163*AO1163</f>
        <v>0</v>
      </c>
      <c r="BI1163" s="28">
        <f>F1163*AP1163</f>
        <v>0</v>
      </c>
      <c r="BJ1163" s="28">
        <f>F1163*G1163</f>
        <v>0</v>
      </c>
      <c r="BK1163" s="28"/>
      <c r="BL1163" s="28">
        <v>13</v>
      </c>
      <c r="BW1163" s="28">
        <v>21</v>
      </c>
      <c r="BX1163" s="4" t="s">
        <v>76</v>
      </c>
    </row>
    <row r="1164" spans="1:76" ht="25.5" x14ac:dyDescent="0.25">
      <c r="A1164" s="31"/>
      <c r="B1164" s="35" t="s">
        <v>68</v>
      </c>
      <c r="C1164" s="94" t="s">
        <v>79</v>
      </c>
      <c r="D1164" s="95"/>
      <c r="E1164" s="95"/>
      <c r="F1164" s="95"/>
      <c r="G1164" s="95"/>
      <c r="H1164" s="95"/>
      <c r="I1164" s="95"/>
      <c r="J1164" s="95"/>
      <c r="K1164" s="96"/>
      <c r="BX1164" s="36" t="s">
        <v>79</v>
      </c>
    </row>
    <row r="1165" spans="1:76" x14ac:dyDescent="0.25">
      <c r="A1165" s="24" t="s">
        <v>51</v>
      </c>
      <c r="B1165" s="25" t="s">
        <v>98</v>
      </c>
      <c r="C1165" s="87" t="s">
        <v>99</v>
      </c>
      <c r="D1165" s="88"/>
      <c r="E1165" s="26" t="s">
        <v>4</v>
      </c>
      <c r="F1165" s="26" t="s">
        <v>4</v>
      </c>
      <c r="G1165" s="26" t="s">
        <v>4</v>
      </c>
      <c r="H1165" s="1">
        <f>SUM(H1166:H1169)</f>
        <v>0</v>
      </c>
      <c r="I1165" s="1">
        <f>SUM(I1166:I1169)</f>
        <v>0</v>
      </c>
      <c r="J1165" s="1">
        <f>SUM(J1166:J1169)</f>
        <v>0</v>
      </c>
      <c r="K1165" s="27" t="s">
        <v>51</v>
      </c>
      <c r="AI1165" s="10" t="s">
        <v>2065</v>
      </c>
      <c r="AS1165" s="1">
        <f>SUM(AJ1166:AJ1169)</f>
        <v>0</v>
      </c>
      <c r="AT1165" s="1">
        <f>SUM(AK1166:AK1169)</f>
        <v>0</v>
      </c>
      <c r="AU1165" s="1">
        <f>SUM(AL1166:AL1169)</f>
        <v>0</v>
      </c>
    </row>
    <row r="1166" spans="1:76" x14ac:dyDescent="0.25">
      <c r="A1166" s="2" t="s">
        <v>2072</v>
      </c>
      <c r="B1166" s="3" t="s">
        <v>652</v>
      </c>
      <c r="C1166" s="76" t="s">
        <v>653</v>
      </c>
      <c r="D1166" s="71"/>
      <c r="E1166" s="3" t="s">
        <v>103</v>
      </c>
      <c r="F1166" s="28">
        <v>385.8</v>
      </c>
      <c r="G1166" s="28">
        <v>0</v>
      </c>
      <c r="H1166" s="28">
        <f>ROUND(F1166*AO1166,2)</f>
        <v>0</v>
      </c>
      <c r="I1166" s="28">
        <f>ROUND(F1166*AP1166,2)</f>
        <v>0</v>
      </c>
      <c r="J1166" s="28">
        <f>ROUND(F1166*G1166,2)</f>
        <v>0</v>
      </c>
      <c r="K1166" s="29" t="s">
        <v>60</v>
      </c>
      <c r="Z1166" s="28">
        <f>ROUND(IF(AQ1166="5",BJ1166,0),2)</f>
        <v>0</v>
      </c>
      <c r="AB1166" s="28">
        <f>ROUND(IF(AQ1166="1",BH1166,0),2)</f>
        <v>0</v>
      </c>
      <c r="AC1166" s="28">
        <f>ROUND(IF(AQ1166="1",BI1166,0),2)</f>
        <v>0</v>
      </c>
      <c r="AD1166" s="28">
        <f>ROUND(IF(AQ1166="7",BH1166,0),2)</f>
        <v>0</v>
      </c>
      <c r="AE1166" s="28">
        <f>ROUND(IF(AQ1166="7",BI1166,0),2)</f>
        <v>0</v>
      </c>
      <c r="AF1166" s="28">
        <f>ROUND(IF(AQ1166="2",BH1166,0),2)</f>
        <v>0</v>
      </c>
      <c r="AG1166" s="28">
        <f>ROUND(IF(AQ1166="2",BI1166,0),2)</f>
        <v>0</v>
      </c>
      <c r="AH1166" s="28">
        <f>ROUND(IF(AQ1166="0",BJ1166,0),2)</f>
        <v>0</v>
      </c>
      <c r="AI1166" s="10" t="s">
        <v>2065</v>
      </c>
      <c r="AJ1166" s="28">
        <f>IF(AN1166=0,J1166,0)</f>
        <v>0</v>
      </c>
      <c r="AK1166" s="28">
        <f>IF(AN1166=12,J1166,0)</f>
        <v>0</v>
      </c>
      <c r="AL1166" s="28">
        <f>IF(AN1166=21,J1166,0)</f>
        <v>0</v>
      </c>
      <c r="AN1166" s="28">
        <v>21</v>
      </c>
      <c r="AO1166" s="28">
        <f>G1166*0.088676752</f>
        <v>0</v>
      </c>
      <c r="AP1166" s="28">
        <f>G1166*(1-0.088676752)</f>
        <v>0</v>
      </c>
      <c r="AQ1166" s="30" t="s">
        <v>56</v>
      </c>
      <c r="AV1166" s="28">
        <f>ROUND(AW1166+AX1166,2)</f>
        <v>0</v>
      </c>
      <c r="AW1166" s="28">
        <f>ROUND(F1166*AO1166,2)</f>
        <v>0</v>
      </c>
      <c r="AX1166" s="28">
        <f>ROUND(F1166*AP1166,2)</f>
        <v>0</v>
      </c>
      <c r="AY1166" s="30" t="s">
        <v>104</v>
      </c>
      <c r="AZ1166" s="30" t="s">
        <v>2069</v>
      </c>
      <c r="BA1166" s="10" t="s">
        <v>2070</v>
      </c>
      <c r="BC1166" s="28">
        <f>AW1166+AX1166</f>
        <v>0</v>
      </c>
      <c r="BD1166" s="28">
        <f>G1166/(100-BE1166)*100</f>
        <v>0</v>
      </c>
      <c r="BE1166" s="28">
        <v>0</v>
      </c>
      <c r="BF1166" s="28">
        <f>1174</f>
        <v>1174</v>
      </c>
      <c r="BH1166" s="28">
        <f>F1166*AO1166</f>
        <v>0</v>
      </c>
      <c r="BI1166" s="28">
        <f>F1166*AP1166</f>
        <v>0</v>
      </c>
      <c r="BJ1166" s="28">
        <f>F1166*G1166</f>
        <v>0</v>
      </c>
      <c r="BK1166" s="28"/>
      <c r="BL1166" s="28">
        <v>15</v>
      </c>
      <c r="BW1166" s="28">
        <v>21</v>
      </c>
      <c r="BX1166" s="4" t="s">
        <v>653</v>
      </c>
    </row>
    <row r="1167" spans="1:76" x14ac:dyDescent="0.25">
      <c r="A1167" s="31"/>
      <c r="C1167" s="32" t="s">
        <v>2073</v>
      </c>
      <c r="D1167" s="32" t="s">
        <v>2074</v>
      </c>
      <c r="F1167" s="33">
        <v>385.8</v>
      </c>
      <c r="K1167" s="34"/>
    </row>
    <row r="1168" spans="1:76" x14ac:dyDescent="0.25">
      <c r="A1168" s="31"/>
      <c r="B1168" s="35" t="s">
        <v>68</v>
      </c>
      <c r="C1168" s="94" t="s">
        <v>111</v>
      </c>
      <c r="D1168" s="95"/>
      <c r="E1168" s="95"/>
      <c r="F1168" s="95"/>
      <c r="G1168" s="95"/>
      <c r="H1168" s="95"/>
      <c r="I1168" s="95"/>
      <c r="J1168" s="95"/>
      <c r="K1168" s="96"/>
      <c r="BX1168" s="36" t="s">
        <v>111</v>
      </c>
    </row>
    <row r="1169" spans="1:76" x14ac:dyDescent="0.25">
      <c r="A1169" s="2" t="s">
        <v>2075</v>
      </c>
      <c r="B1169" s="3" t="s">
        <v>657</v>
      </c>
      <c r="C1169" s="76" t="s">
        <v>658</v>
      </c>
      <c r="D1169" s="71"/>
      <c r="E1169" s="3" t="s">
        <v>103</v>
      </c>
      <c r="F1169" s="28">
        <v>385.8</v>
      </c>
      <c r="G1169" s="28">
        <v>0</v>
      </c>
      <c r="H1169" s="28">
        <f>ROUND(F1169*AO1169,2)</f>
        <v>0</v>
      </c>
      <c r="I1169" s="28">
        <f>ROUND(F1169*AP1169,2)</f>
        <v>0</v>
      </c>
      <c r="J1169" s="28">
        <f>ROUND(F1169*G1169,2)</f>
        <v>0</v>
      </c>
      <c r="K1169" s="29" t="s">
        <v>60</v>
      </c>
      <c r="Z1169" s="28">
        <f>ROUND(IF(AQ1169="5",BJ1169,0),2)</f>
        <v>0</v>
      </c>
      <c r="AB1169" s="28">
        <f>ROUND(IF(AQ1169="1",BH1169,0),2)</f>
        <v>0</v>
      </c>
      <c r="AC1169" s="28">
        <f>ROUND(IF(AQ1169="1",BI1169,0),2)</f>
        <v>0</v>
      </c>
      <c r="AD1169" s="28">
        <f>ROUND(IF(AQ1169="7",BH1169,0),2)</f>
        <v>0</v>
      </c>
      <c r="AE1169" s="28">
        <f>ROUND(IF(AQ1169="7",BI1169,0),2)</f>
        <v>0</v>
      </c>
      <c r="AF1169" s="28">
        <f>ROUND(IF(AQ1169="2",BH1169,0),2)</f>
        <v>0</v>
      </c>
      <c r="AG1169" s="28">
        <f>ROUND(IF(AQ1169="2",BI1169,0),2)</f>
        <v>0</v>
      </c>
      <c r="AH1169" s="28">
        <f>ROUND(IF(AQ1169="0",BJ1169,0),2)</f>
        <v>0</v>
      </c>
      <c r="AI1169" s="10" t="s">
        <v>2065</v>
      </c>
      <c r="AJ1169" s="28">
        <f>IF(AN1169=0,J1169,0)</f>
        <v>0</v>
      </c>
      <c r="AK1169" s="28">
        <f>IF(AN1169=12,J1169,0)</f>
        <v>0</v>
      </c>
      <c r="AL1169" s="28">
        <f>IF(AN1169=21,J1169,0)</f>
        <v>0</v>
      </c>
      <c r="AN1169" s="28">
        <v>21</v>
      </c>
      <c r="AO1169" s="28">
        <f>G1169*0</f>
        <v>0</v>
      </c>
      <c r="AP1169" s="28">
        <f>G1169*(1-0)</f>
        <v>0</v>
      </c>
      <c r="AQ1169" s="30" t="s">
        <v>56</v>
      </c>
      <c r="AV1169" s="28">
        <f>ROUND(AW1169+AX1169,2)</f>
        <v>0</v>
      </c>
      <c r="AW1169" s="28">
        <f>ROUND(F1169*AO1169,2)</f>
        <v>0</v>
      </c>
      <c r="AX1169" s="28">
        <f>ROUND(F1169*AP1169,2)</f>
        <v>0</v>
      </c>
      <c r="AY1169" s="30" t="s">
        <v>104</v>
      </c>
      <c r="AZ1169" s="30" t="s">
        <v>2069</v>
      </c>
      <c r="BA1169" s="10" t="s">
        <v>2070</v>
      </c>
      <c r="BC1169" s="28">
        <f>AW1169+AX1169</f>
        <v>0</v>
      </c>
      <c r="BD1169" s="28">
        <f>G1169/(100-BE1169)*100</f>
        <v>0</v>
      </c>
      <c r="BE1169" s="28">
        <v>0</v>
      </c>
      <c r="BF1169" s="28">
        <f>1177</f>
        <v>1177</v>
      </c>
      <c r="BH1169" s="28">
        <f>F1169*AO1169</f>
        <v>0</v>
      </c>
      <c r="BI1169" s="28">
        <f>F1169*AP1169</f>
        <v>0</v>
      </c>
      <c r="BJ1169" s="28">
        <f>F1169*G1169</f>
        <v>0</v>
      </c>
      <c r="BK1169" s="28"/>
      <c r="BL1169" s="28">
        <v>15</v>
      </c>
      <c r="BW1169" s="28">
        <v>21</v>
      </c>
      <c r="BX1169" s="4" t="s">
        <v>658</v>
      </c>
    </row>
    <row r="1170" spans="1:76" x14ac:dyDescent="0.25">
      <c r="A1170" s="31"/>
      <c r="C1170" s="32" t="s">
        <v>2076</v>
      </c>
      <c r="D1170" s="32" t="s">
        <v>2074</v>
      </c>
      <c r="F1170" s="33">
        <v>385.8</v>
      </c>
      <c r="K1170" s="34"/>
    </row>
    <row r="1171" spans="1:76" x14ac:dyDescent="0.25">
      <c r="A1171" s="24" t="s">
        <v>51</v>
      </c>
      <c r="B1171" s="25" t="s">
        <v>116</v>
      </c>
      <c r="C1171" s="87" t="s">
        <v>117</v>
      </c>
      <c r="D1171" s="88"/>
      <c r="E1171" s="26" t="s">
        <v>4</v>
      </c>
      <c r="F1171" s="26" t="s">
        <v>4</v>
      </c>
      <c r="G1171" s="26" t="s">
        <v>4</v>
      </c>
      <c r="H1171" s="1">
        <f>SUM(H1172:H1175)</f>
        <v>0</v>
      </c>
      <c r="I1171" s="1">
        <f>SUM(I1172:I1175)</f>
        <v>0</v>
      </c>
      <c r="J1171" s="1">
        <f>SUM(J1172:J1175)</f>
        <v>0</v>
      </c>
      <c r="K1171" s="27" t="s">
        <v>51</v>
      </c>
      <c r="AI1171" s="10" t="s">
        <v>2065</v>
      </c>
      <c r="AS1171" s="1">
        <f>SUM(AJ1172:AJ1175)</f>
        <v>0</v>
      </c>
      <c r="AT1171" s="1">
        <f>SUM(AK1172:AK1175)</f>
        <v>0</v>
      </c>
      <c r="AU1171" s="1">
        <f>SUM(AL1172:AL1175)</f>
        <v>0</v>
      </c>
    </row>
    <row r="1172" spans="1:76" x14ac:dyDescent="0.25">
      <c r="A1172" s="2" t="s">
        <v>2077</v>
      </c>
      <c r="B1172" s="3" t="s">
        <v>119</v>
      </c>
      <c r="C1172" s="76" t="s">
        <v>120</v>
      </c>
      <c r="D1172" s="71"/>
      <c r="E1172" s="3" t="s">
        <v>59</v>
      </c>
      <c r="F1172" s="28">
        <v>220.51</v>
      </c>
      <c r="G1172" s="28">
        <v>0</v>
      </c>
      <c r="H1172" s="28">
        <f>ROUND(F1172*AO1172,2)</f>
        <v>0</v>
      </c>
      <c r="I1172" s="28">
        <f>ROUND(F1172*AP1172,2)</f>
        <v>0</v>
      </c>
      <c r="J1172" s="28">
        <f>ROUND(F1172*G1172,2)</f>
        <v>0</v>
      </c>
      <c r="K1172" s="29" t="s">
        <v>60</v>
      </c>
      <c r="Z1172" s="28">
        <f>ROUND(IF(AQ1172="5",BJ1172,0),2)</f>
        <v>0</v>
      </c>
      <c r="AB1172" s="28">
        <f>ROUND(IF(AQ1172="1",BH1172,0),2)</f>
        <v>0</v>
      </c>
      <c r="AC1172" s="28">
        <f>ROUND(IF(AQ1172="1",BI1172,0),2)</f>
        <v>0</v>
      </c>
      <c r="AD1172" s="28">
        <f>ROUND(IF(AQ1172="7",BH1172,0),2)</f>
        <v>0</v>
      </c>
      <c r="AE1172" s="28">
        <f>ROUND(IF(AQ1172="7",BI1172,0),2)</f>
        <v>0</v>
      </c>
      <c r="AF1172" s="28">
        <f>ROUND(IF(AQ1172="2",BH1172,0),2)</f>
        <v>0</v>
      </c>
      <c r="AG1172" s="28">
        <f>ROUND(IF(AQ1172="2",BI1172,0),2)</f>
        <v>0</v>
      </c>
      <c r="AH1172" s="28">
        <f>ROUND(IF(AQ1172="0",BJ1172,0),2)</f>
        <v>0</v>
      </c>
      <c r="AI1172" s="10" t="s">
        <v>2065</v>
      </c>
      <c r="AJ1172" s="28">
        <f>IF(AN1172=0,J1172,0)</f>
        <v>0</v>
      </c>
      <c r="AK1172" s="28">
        <f>IF(AN1172=12,J1172,0)</f>
        <v>0</v>
      </c>
      <c r="AL1172" s="28">
        <f>IF(AN1172=21,J1172,0)</f>
        <v>0</v>
      </c>
      <c r="AN1172" s="28">
        <v>21</v>
      </c>
      <c r="AO1172" s="28">
        <f>G1172*0</f>
        <v>0</v>
      </c>
      <c r="AP1172" s="28">
        <f>G1172*(1-0)</f>
        <v>0</v>
      </c>
      <c r="AQ1172" s="30" t="s">
        <v>56</v>
      </c>
      <c r="AV1172" s="28">
        <f>ROUND(AW1172+AX1172,2)</f>
        <v>0</v>
      </c>
      <c r="AW1172" s="28">
        <f>ROUND(F1172*AO1172,2)</f>
        <v>0</v>
      </c>
      <c r="AX1172" s="28">
        <f>ROUND(F1172*AP1172,2)</f>
        <v>0</v>
      </c>
      <c r="AY1172" s="30" t="s">
        <v>121</v>
      </c>
      <c r="AZ1172" s="30" t="s">
        <v>2069</v>
      </c>
      <c r="BA1172" s="10" t="s">
        <v>2070</v>
      </c>
      <c r="BC1172" s="28">
        <f>AW1172+AX1172</f>
        <v>0</v>
      </c>
      <c r="BD1172" s="28">
        <f>G1172/(100-BE1172)*100</f>
        <v>0</v>
      </c>
      <c r="BE1172" s="28">
        <v>0</v>
      </c>
      <c r="BF1172" s="28">
        <f>1180</f>
        <v>1180</v>
      </c>
      <c r="BH1172" s="28">
        <f>F1172*AO1172</f>
        <v>0</v>
      </c>
      <c r="BI1172" s="28">
        <f>F1172*AP1172</f>
        <v>0</v>
      </c>
      <c r="BJ1172" s="28">
        <f>F1172*G1172</f>
        <v>0</v>
      </c>
      <c r="BK1172" s="28"/>
      <c r="BL1172" s="28">
        <v>16</v>
      </c>
      <c r="BW1172" s="28">
        <v>21</v>
      </c>
      <c r="BX1172" s="4" t="s">
        <v>120</v>
      </c>
    </row>
    <row r="1173" spans="1:76" x14ac:dyDescent="0.25">
      <c r="A1173" s="2" t="s">
        <v>2078</v>
      </c>
      <c r="B1173" s="3" t="s">
        <v>139</v>
      </c>
      <c r="C1173" s="76" t="s">
        <v>140</v>
      </c>
      <c r="D1173" s="71"/>
      <c r="E1173" s="3" t="s">
        <v>59</v>
      </c>
      <c r="F1173" s="28">
        <v>147.01</v>
      </c>
      <c r="G1173" s="28">
        <v>0</v>
      </c>
      <c r="H1173" s="28">
        <f>ROUND(F1173*AO1173,2)</f>
        <v>0</v>
      </c>
      <c r="I1173" s="28">
        <f>ROUND(F1173*AP1173,2)</f>
        <v>0</v>
      </c>
      <c r="J1173" s="28">
        <f>ROUND(F1173*G1173,2)</f>
        <v>0</v>
      </c>
      <c r="K1173" s="29" t="s">
        <v>60</v>
      </c>
      <c r="Z1173" s="28">
        <f>ROUND(IF(AQ1173="5",BJ1173,0),2)</f>
        <v>0</v>
      </c>
      <c r="AB1173" s="28">
        <f>ROUND(IF(AQ1173="1",BH1173,0),2)</f>
        <v>0</v>
      </c>
      <c r="AC1173" s="28">
        <f>ROUND(IF(AQ1173="1",BI1173,0),2)</f>
        <v>0</v>
      </c>
      <c r="AD1173" s="28">
        <f>ROUND(IF(AQ1173="7",BH1173,0),2)</f>
        <v>0</v>
      </c>
      <c r="AE1173" s="28">
        <f>ROUND(IF(AQ1173="7",BI1173,0),2)</f>
        <v>0</v>
      </c>
      <c r="AF1173" s="28">
        <f>ROUND(IF(AQ1173="2",BH1173,0),2)</f>
        <v>0</v>
      </c>
      <c r="AG1173" s="28">
        <f>ROUND(IF(AQ1173="2",BI1173,0),2)</f>
        <v>0</v>
      </c>
      <c r="AH1173" s="28">
        <f>ROUND(IF(AQ1173="0",BJ1173,0),2)</f>
        <v>0</v>
      </c>
      <c r="AI1173" s="10" t="s">
        <v>2065</v>
      </c>
      <c r="AJ1173" s="28">
        <f>IF(AN1173=0,J1173,0)</f>
        <v>0</v>
      </c>
      <c r="AK1173" s="28">
        <f>IF(AN1173=12,J1173,0)</f>
        <v>0</v>
      </c>
      <c r="AL1173" s="28">
        <f>IF(AN1173=21,J1173,0)</f>
        <v>0</v>
      </c>
      <c r="AN1173" s="28">
        <v>21</v>
      </c>
      <c r="AO1173" s="28">
        <f>G1173*0</f>
        <v>0</v>
      </c>
      <c r="AP1173" s="28">
        <f>G1173*(1-0)</f>
        <v>0</v>
      </c>
      <c r="AQ1173" s="30" t="s">
        <v>56</v>
      </c>
      <c r="AV1173" s="28">
        <f>ROUND(AW1173+AX1173,2)</f>
        <v>0</v>
      </c>
      <c r="AW1173" s="28">
        <f>ROUND(F1173*AO1173,2)</f>
        <v>0</v>
      </c>
      <c r="AX1173" s="28">
        <f>ROUND(F1173*AP1173,2)</f>
        <v>0</v>
      </c>
      <c r="AY1173" s="30" t="s">
        <v>121</v>
      </c>
      <c r="AZ1173" s="30" t="s">
        <v>2069</v>
      </c>
      <c r="BA1173" s="10" t="s">
        <v>2070</v>
      </c>
      <c r="BC1173" s="28">
        <f>AW1173+AX1173</f>
        <v>0</v>
      </c>
      <c r="BD1173" s="28">
        <f>G1173/(100-BE1173)*100</f>
        <v>0</v>
      </c>
      <c r="BE1173" s="28">
        <v>0</v>
      </c>
      <c r="BF1173" s="28">
        <f>1181</f>
        <v>1181</v>
      </c>
      <c r="BH1173" s="28">
        <f>F1173*AO1173</f>
        <v>0</v>
      </c>
      <c r="BI1173" s="28">
        <f>F1173*AP1173</f>
        <v>0</v>
      </c>
      <c r="BJ1173" s="28">
        <f>F1173*G1173</f>
        <v>0</v>
      </c>
      <c r="BK1173" s="28"/>
      <c r="BL1173" s="28">
        <v>16</v>
      </c>
      <c r="BW1173" s="28">
        <v>21</v>
      </c>
      <c r="BX1173" s="4" t="s">
        <v>140</v>
      </c>
    </row>
    <row r="1174" spans="1:76" x14ac:dyDescent="0.25">
      <c r="A1174" s="2" t="s">
        <v>2079</v>
      </c>
      <c r="B1174" s="3" t="s">
        <v>143</v>
      </c>
      <c r="C1174" s="76" t="s">
        <v>144</v>
      </c>
      <c r="D1174" s="71"/>
      <c r="E1174" s="3" t="s">
        <v>59</v>
      </c>
      <c r="F1174" s="28">
        <v>147.01</v>
      </c>
      <c r="G1174" s="28">
        <v>0</v>
      </c>
      <c r="H1174" s="28">
        <f>ROUND(F1174*AO1174,2)</f>
        <v>0</v>
      </c>
      <c r="I1174" s="28">
        <f>ROUND(F1174*AP1174,2)</f>
        <v>0</v>
      </c>
      <c r="J1174" s="28">
        <f>ROUND(F1174*G1174,2)</f>
        <v>0</v>
      </c>
      <c r="K1174" s="29" t="s">
        <v>60</v>
      </c>
      <c r="Z1174" s="28">
        <f>ROUND(IF(AQ1174="5",BJ1174,0),2)</f>
        <v>0</v>
      </c>
      <c r="AB1174" s="28">
        <f>ROUND(IF(AQ1174="1",BH1174,0),2)</f>
        <v>0</v>
      </c>
      <c r="AC1174" s="28">
        <f>ROUND(IF(AQ1174="1",BI1174,0),2)</f>
        <v>0</v>
      </c>
      <c r="AD1174" s="28">
        <f>ROUND(IF(AQ1174="7",BH1174,0),2)</f>
        <v>0</v>
      </c>
      <c r="AE1174" s="28">
        <f>ROUND(IF(AQ1174="7",BI1174,0),2)</f>
        <v>0</v>
      </c>
      <c r="AF1174" s="28">
        <f>ROUND(IF(AQ1174="2",BH1174,0),2)</f>
        <v>0</v>
      </c>
      <c r="AG1174" s="28">
        <f>ROUND(IF(AQ1174="2",BI1174,0),2)</f>
        <v>0</v>
      </c>
      <c r="AH1174" s="28">
        <f>ROUND(IF(AQ1174="0",BJ1174,0),2)</f>
        <v>0</v>
      </c>
      <c r="AI1174" s="10" t="s">
        <v>2065</v>
      </c>
      <c r="AJ1174" s="28">
        <f>IF(AN1174=0,J1174,0)</f>
        <v>0</v>
      </c>
      <c r="AK1174" s="28">
        <f>IF(AN1174=12,J1174,0)</f>
        <v>0</v>
      </c>
      <c r="AL1174" s="28">
        <f>IF(AN1174=21,J1174,0)</f>
        <v>0</v>
      </c>
      <c r="AN1174" s="28">
        <v>21</v>
      </c>
      <c r="AO1174" s="28">
        <f>G1174*0</f>
        <v>0</v>
      </c>
      <c r="AP1174" s="28">
        <f>G1174*(1-0)</f>
        <v>0</v>
      </c>
      <c r="AQ1174" s="30" t="s">
        <v>56</v>
      </c>
      <c r="AV1174" s="28">
        <f>ROUND(AW1174+AX1174,2)</f>
        <v>0</v>
      </c>
      <c r="AW1174" s="28">
        <f>ROUND(F1174*AO1174,2)</f>
        <v>0</v>
      </c>
      <c r="AX1174" s="28">
        <f>ROUND(F1174*AP1174,2)</f>
        <v>0</v>
      </c>
      <c r="AY1174" s="30" t="s">
        <v>121</v>
      </c>
      <c r="AZ1174" s="30" t="s">
        <v>2069</v>
      </c>
      <c r="BA1174" s="10" t="s">
        <v>2070</v>
      </c>
      <c r="BC1174" s="28">
        <f>AW1174+AX1174</f>
        <v>0</v>
      </c>
      <c r="BD1174" s="28">
        <f>G1174/(100-BE1174)*100</f>
        <v>0</v>
      </c>
      <c r="BE1174" s="28">
        <v>0</v>
      </c>
      <c r="BF1174" s="28">
        <f>1182</f>
        <v>1182</v>
      </c>
      <c r="BH1174" s="28">
        <f>F1174*AO1174</f>
        <v>0</v>
      </c>
      <c r="BI1174" s="28">
        <f>F1174*AP1174</f>
        <v>0</v>
      </c>
      <c r="BJ1174" s="28">
        <f>F1174*G1174</f>
        <v>0</v>
      </c>
      <c r="BK1174" s="28"/>
      <c r="BL1174" s="28">
        <v>16</v>
      </c>
      <c r="BW1174" s="28">
        <v>21</v>
      </c>
      <c r="BX1174" s="4" t="s">
        <v>144</v>
      </c>
    </row>
    <row r="1175" spans="1:76" x14ac:dyDescent="0.25">
      <c r="A1175" s="2" t="s">
        <v>2080</v>
      </c>
      <c r="B1175" s="3" t="s">
        <v>146</v>
      </c>
      <c r="C1175" s="76" t="s">
        <v>147</v>
      </c>
      <c r="D1175" s="71"/>
      <c r="E1175" s="3" t="s">
        <v>59</v>
      </c>
      <c r="F1175" s="28">
        <v>147.01</v>
      </c>
      <c r="G1175" s="28">
        <v>0</v>
      </c>
      <c r="H1175" s="28">
        <f>ROUND(F1175*AO1175,2)</f>
        <v>0</v>
      </c>
      <c r="I1175" s="28">
        <f>ROUND(F1175*AP1175,2)</f>
        <v>0</v>
      </c>
      <c r="J1175" s="28">
        <f>ROUND(F1175*G1175,2)</f>
        <v>0</v>
      </c>
      <c r="K1175" s="29" t="s">
        <v>60</v>
      </c>
      <c r="Z1175" s="28">
        <f>ROUND(IF(AQ1175="5",BJ1175,0),2)</f>
        <v>0</v>
      </c>
      <c r="AB1175" s="28">
        <f>ROUND(IF(AQ1175="1",BH1175,0),2)</f>
        <v>0</v>
      </c>
      <c r="AC1175" s="28">
        <f>ROUND(IF(AQ1175="1",BI1175,0),2)</f>
        <v>0</v>
      </c>
      <c r="AD1175" s="28">
        <f>ROUND(IF(AQ1175="7",BH1175,0),2)</f>
        <v>0</v>
      </c>
      <c r="AE1175" s="28">
        <f>ROUND(IF(AQ1175="7",BI1175,0),2)</f>
        <v>0</v>
      </c>
      <c r="AF1175" s="28">
        <f>ROUND(IF(AQ1175="2",BH1175,0),2)</f>
        <v>0</v>
      </c>
      <c r="AG1175" s="28">
        <f>ROUND(IF(AQ1175="2",BI1175,0),2)</f>
        <v>0</v>
      </c>
      <c r="AH1175" s="28">
        <f>ROUND(IF(AQ1175="0",BJ1175,0),2)</f>
        <v>0</v>
      </c>
      <c r="AI1175" s="10" t="s">
        <v>2065</v>
      </c>
      <c r="AJ1175" s="28">
        <f>IF(AN1175=0,J1175,0)</f>
        <v>0</v>
      </c>
      <c r="AK1175" s="28">
        <f>IF(AN1175=12,J1175,0)</f>
        <v>0</v>
      </c>
      <c r="AL1175" s="28">
        <f>IF(AN1175=21,J1175,0)</f>
        <v>0</v>
      </c>
      <c r="AN1175" s="28">
        <v>21</v>
      </c>
      <c r="AO1175" s="28">
        <f>G1175*0</f>
        <v>0</v>
      </c>
      <c r="AP1175" s="28">
        <f>G1175*(1-0)</f>
        <v>0</v>
      </c>
      <c r="AQ1175" s="30" t="s">
        <v>56</v>
      </c>
      <c r="AV1175" s="28">
        <f>ROUND(AW1175+AX1175,2)</f>
        <v>0</v>
      </c>
      <c r="AW1175" s="28">
        <f>ROUND(F1175*AO1175,2)</f>
        <v>0</v>
      </c>
      <c r="AX1175" s="28">
        <f>ROUND(F1175*AP1175,2)</f>
        <v>0</v>
      </c>
      <c r="AY1175" s="30" t="s">
        <v>121</v>
      </c>
      <c r="AZ1175" s="30" t="s">
        <v>2069</v>
      </c>
      <c r="BA1175" s="10" t="s">
        <v>2070</v>
      </c>
      <c r="BC1175" s="28">
        <f>AW1175+AX1175</f>
        <v>0</v>
      </c>
      <c r="BD1175" s="28">
        <f>G1175/(100-BE1175)*100</f>
        <v>0</v>
      </c>
      <c r="BE1175" s="28">
        <v>0</v>
      </c>
      <c r="BF1175" s="28">
        <f>1183</f>
        <v>1183</v>
      </c>
      <c r="BH1175" s="28">
        <f>F1175*AO1175</f>
        <v>0</v>
      </c>
      <c r="BI1175" s="28">
        <f>F1175*AP1175</f>
        <v>0</v>
      </c>
      <c r="BJ1175" s="28">
        <f>F1175*G1175</f>
        <v>0</v>
      </c>
      <c r="BK1175" s="28"/>
      <c r="BL1175" s="28">
        <v>16</v>
      </c>
      <c r="BW1175" s="28">
        <v>21</v>
      </c>
      <c r="BX1175" s="4" t="s">
        <v>147</v>
      </c>
    </row>
    <row r="1176" spans="1:76" x14ac:dyDescent="0.25">
      <c r="A1176" s="24" t="s">
        <v>51</v>
      </c>
      <c r="B1176" s="25" t="s">
        <v>152</v>
      </c>
      <c r="C1176" s="87" t="s">
        <v>153</v>
      </c>
      <c r="D1176" s="88"/>
      <c r="E1176" s="26" t="s">
        <v>4</v>
      </c>
      <c r="F1176" s="26" t="s">
        <v>4</v>
      </c>
      <c r="G1176" s="26" t="s">
        <v>4</v>
      </c>
      <c r="H1176" s="1">
        <f>SUM(H1177:H1182)</f>
        <v>0</v>
      </c>
      <c r="I1176" s="1">
        <f>SUM(I1177:I1182)</f>
        <v>0</v>
      </c>
      <c r="J1176" s="1">
        <f>SUM(J1177:J1182)</f>
        <v>0</v>
      </c>
      <c r="K1176" s="27" t="s">
        <v>51</v>
      </c>
      <c r="AI1176" s="10" t="s">
        <v>2065</v>
      </c>
      <c r="AS1176" s="1">
        <f>SUM(AJ1177:AJ1182)</f>
        <v>0</v>
      </c>
      <c r="AT1176" s="1">
        <f>SUM(AK1177:AK1182)</f>
        <v>0</v>
      </c>
      <c r="AU1176" s="1">
        <f>SUM(AL1177:AL1182)</f>
        <v>0</v>
      </c>
    </row>
    <row r="1177" spans="1:76" x14ac:dyDescent="0.25">
      <c r="A1177" s="2" t="s">
        <v>2081</v>
      </c>
      <c r="B1177" s="3" t="s">
        <v>2082</v>
      </c>
      <c r="C1177" s="76" t="s">
        <v>155</v>
      </c>
      <c r="D1177" s="71"/>
      <c r="E1177" s="3" t="s">
        <v>59</v>
      </c>
      <c r="F1177" s="28">
        <v>120.16</v>
      </c>
      <c r="G1177" s="28">
        <v>0</v>
      </c>
      <c r="H1177" s="28">
        <f>ROUND(F1177*AO1177,2)</f>
        <v>0</v>
      </c>
      <c r="I1177" s="28">
        <f>ROUND(F1177*AP1177,2)</f>
        <v>0</v>
      </c>
      <c r="J1177" s="28">
        <f>ROUND(F1177*G1177,2)</f>
        <v>0</v>
      </c>
      <c r="K1177" s="29" t="s">
        <v>60</v>
      </c>
      <c r="Z1177" s="28">
        <f>ROUND(IF(AQ1177="5",BJ1177,0),2)</f>
        <v>0</v>
      </c>
      <c r="AB1177" s="28">
        <f>ROUND(IF(AQ1177="1",BH1177,0),2)</f>
        <v>0</v>
      </c>
      <c r="AC1177" s="28">
        <f>ROUND(IF(AQ1177="1",BI1177,0),2)</f>
        <v>0</v>
      </c>
      <c r="AD1177" s="28">
        <f>ROUND(IF(AQ1177="7",BH1177,0),2)</f>
        <v>0</v>
      </c>
      <c r="AE1177" s="28">
        <f>ROUND(IF(AQ1177="7",BI1177,0),2)</f>
        <v>0</v>
      </c>
      <c r="AF1177" s="28">
        <f>ROUND(IF(AQ1177="2",BH1177,0),2)</f>
        <v>0</v>
      </c>
      <c r="AG1177" s="28">
        <f>ROUND(IF(AQ1177="2",BI1177,0),2)</f>
        <v>0</v>
      </c>
      <c r="AH1177" s="28">
        <f>ROUND(IF(AQ1177="0",BJ1177,0),2)</f>
        <v>0</v>
      </c>
      <c r="AI1177" s="10" t="s">
        <v>2065</v>
      </c>
      <c r="AJ1177" s="28">
        <f>IF(AN1177=0,J1177,0)</f>
        <v>0</v>
      </c>
      <c r="AK1177" s="28">
        <f>IF(AN1177=12,J1177,0)</f>
        <v>0</v>
      </c>
      <c r="AL1177" s="28">
        <f>IF(AN1177=21,J1177,0)</f>
        <v>0</v>
      </c>
      <c r="AN1177" s="28">
        <v>21</v>
      </c>
      <c r="AO1177" s="28">
        <f>G1177*0.512975792</f>
        <v>0</v>
      </c>
      <c r="AP1177" s="28">
        <f>G1177*(1-0.512975792)</f>
        <v>0</v>
      </c>
      <c r="AQ1177" s="30" t="s">
        <v>56</v>
      </c>
      <c r="AV1177" s="28">
        <f>ROUND(AW1177+AX1177,2)</f>
        <v>0</v>
      </c>
      <c r="AW1177" s="28">
        <f>ROUND(F1177*AO1177,2)</f>
        <v>0</v>
      </c>
      <c r="AX1177" s="28">
        <f>ROUND(F1177*AP1177,2)</f>
        <v>0</v>
      </c>
      <c r="AY1177" s="30" t="s">
        <v>156</v>
      </c>
      <c r="AZ1177" s="30" t="s">
        <v>2069</v>
      </c>
      <c r="BA1177" s="10" t="s">
        <v>2070</v>
      </c>
      <c r="BC1177" s="28">
        <f>AW1177+AX1177</f>
        <v>0</v>
      </c>
      <c r="BD1177" s="28">
        <f>G1177/(100-BE1177)*100</f>
        <v>0</v>
      </c>
      <c r="BE1177" s="28">
        <v>0</v>
      </c>
      <c r="BF1177" s="28">
        <f>1185</f>
        <v>1185</v>
      </c>
      <c r="BH1177" s="28">
        <f>F1177*AO1177</f>
        <v>0</v>
      </c>
      <c r="BI1177" s="28">
        <f>F1177*AP1177</f>
        <v>0</v>
      </c>
      <c r="BJ1177" s="28">
        <f>F1177*G1177</f>
        <v>0</v>
      </c>
      <c r="BK1177" s="28"/>
      <c r="BL1177" s="28">
        <v>17</v>
      </c>
      <c r="BW1177" s="28">
        <v>21</v>
      </c>
      <c r="BX1177" s="4" t="s">
        <v>155</v>
      </c>
    </row>
    <row r="1178" spans="1:76" ht="13.5" customHeight="1" x14ac:dyDescent="0.25">
      <c r="A1178" s="31"/>
      <c r="B1178" s="35" t="s">
        <v>105</v>
      </c>
      <c r="C1178" s="97" t="s">
        <v>2083</v>
      </c>
      <c r="D1178" s="98"/>
      <c r="E1178" s="98"/>
      <c r="F1178" s="98"/>
      <c r="G1178" s="98"/>
      <c r="H1178" s="98"/>
      <c r="I1178" s="98"/>
      <c r="J1178" s="98"/>
      <c r="K1178" s="99"/>
    </row>
    <row r="1179" spans="1:76" x14ac:dyDescent="0.25">
      <c r="A1179" s="31"/>
      <c r="B1179" s="35" t="s">
        <v>68</v>
      </c>
      <c r="C1179" s="94" t="s">
        <v>2084</v>
      </c>
      <c r="D1179" s="95"/>
      <c r="E1179" s="95"/>
      <c r="F1179" s="95"/>
      <c r="G1179" s="95"/>
      <c r="H1179" s="95"/>
      <c r="I1179" s="95"/>
      <c r="J1179" s="95"/>
      <c r="K1179" s="96"/>
      <c r="BX1179" s="36" t="s">
        <v>2084</v>
      </c>
    </row>
    <row r="1180" spans="1:76" x14ac:dyDescent="0.25">
      <c r="A1180" s="2" t="s">
        <v>2085</v>
      </c>
      <c r="B1180" s="3" t="s">
        <v>163</v>
      </c>
      <c r="C1180" s="76" t="s">
        <v>164</v>
      </c>
      <c r="D1180" s="71"/>
      <c r="E1180" s="3" t="s">
        <v>59</v>
      </c>
      <c r="F1180" s="28">
        <v>220.51</v>
      </c>
      <c r="G1180" s="28">
        <v>0</v>
      </c>
      <c r="H1180" s="28">
        <f>ROUND(F1180*AO1180,2)</f>
        <v>0</v>
      </c>
      <c r="I1180" s="28">
        <f>ROUND(F1180*AP1180,2)</f>
        <v>0</v>
      </c>
      <c r="J1180" s="28">
        <f>ROUND(F1180*G1180,2)</f>
        <v>0</v>
      </c>
      <c r="K1180" s="29" t="s">
        <v>60</v>
      </c>
      <c r="Z1180" s="28">
        <f>ROUND(IF(AQ1180="5",BJ1180,0),2)</f>
        <v>0</v>
      </c>
      <c r="AB1180" s="28">
        <f>ROUND(IF(AQ1180="1",BH1180,0),2)</f>
        <v>0</v>
      </c>
      <c r="AC1180" s="28">
        <f>ROUND(IF(AQ1180="1",BI1180,0),2)</f>
        <v>0</v>
      </c>
      <c r="AD1180" s="28">
        <f>ROUND(IF(AQ1180="7",BH1180,0),2)</f>
        <v>0</v>
      </c>
      <c r="AE1180" s="28">
        <f>ROUND(IF(AQ1180="7",BI1180,0),2)</f>
        <v>0</v>
      </c>
      <c r="AF1180" s="28">
        <f>ROUND(IF(AQ1180="2",BH1180,0),2)</f>
        <v>0</v>
      </c>
      <c r="AG1180" s="28">
        <f>ROUND(IF(AQ1180="2",BI1180,0),2)</f>
        <v>0</v>
      </c>
      <c r="AH1180" s="28">
        <f>ROUND(IF(AQ1180="0",BJ1180,0),2)</f>
        <v>0</v>
      </c>
      <c r="AI1180" s="10" t="s">
        <v>2065</v>
      </c>
      <c r="AJ1180" s="28">
        <f>IF(AN1180=0,J1180,0)</f>
        <v>0</v>
      </c>
      <c r="AK1180" s="28">
        <f>IF(AN1180=12,J1180,0)</f>
        <v>0</v>
      </c>
      <c r="AL1180" s="28">
        <f>IF(AN1180=21,J1180,0)</f>
        <v>0</v>
      </c>
      <c r="AN1180" s="28">
        <v>21</v>
      </c>
      <c r="AO1180" s="28">
        <f>G1180*0</f>
        <v>0</v>
      </c>
      <c r="AP1180" s="28">
        <f>G1180*(1-0)</f>
        <v>0</v>
      </c>
      <c r="AQ1180" s="30" t="s">
        <v>56</v>
      </c>
      <c r="AV1180" s="28">
        <f>ROUND(AW1180+AX1180,2)</f>
        <v>0</v>
      </c>
      <c r="AW1180" s="28">
        <f>ROUND(F1180*AO1180,2)</f>
        <v>0</v>
      </c>
      <c r="AX1180" s="28">
        <f>ROUND(F1180*AP1180,2)</f>
        <v>0</v>
      </c>
      <c r="AY1180" s="30" t="s">
        <v>156</v>
      </c>
      <c r="AZ1180" s="30" t="s">
        <v>2069</v>
      </c>
      <c r="BA1180" s="10" t="s">
        <v>2070</v>
      </c>
      <c r="BC1180" s="28">
        <f>AW1180+AX1180</f>
        <v>0</v>
      </c>
      <c r="BD1180" s="28">
        <f>G1180/(100-BE1180)*100</f>
        <v>0</v>
      </c>
      <c r="BE1180" s="28">
        <v>0</v>
      </c>
      <c r="BF1180" s="28">
        <f>1188</f>
        <v>1188</v>
      </c>
      <c r="BH1180" s="28">
        <f>F1180*AO1180</f>
        <v>0</v>
      </c>
      <c r="BI1180" s="28">
        <f>F1180*AP1180</f>
        <v>0</v>
      </c>
      <c r="BJ1180" s="28">
        <f>F1180*G1180</f>
        <v>0</v>
      </c>
      <c r="BK1180" s="28"/>
      <c r="BL1180" s="28">
        <v>17</v>
      </c>
      <c r="BW1180" s="28">
        <v>21</v>
      </c>
      <c r="BX1180" s="4" t="s">
        <v>164</v>
      </c>
    </row>
    <row r="1181" spans="1:76" ht="25.5" x14ac:dyDescent="0.25">
      <c r="A1181" s="31"/>
      <c r="B1181" s="35" t="s">
        <v>68</v>
      </c>
      <c r="C1181" s="94" t="s">
        <v>169</v>
      </c>
      <c r="D1181" s="95"/>
      <c r="E1181" s="95"/>
      <c r="F1181" s="95"/>
      <c r="G1181" s="95"/>
      <c r="H1181" s="95"/>
      <c r="I1181" s="95"/>
      <c r="J1181" s="95"/>
      <c r="K1181" s="96"/>
      <c r="BX1181" s="36" t="s">
        <v>169</v>
      </c>
    </row>
    <row r="1182" spans="1:76" x14ac:dyDescent="0.25">
      <c r="A1182" s="2" t="s">
        <v>746</v>
      </c>
      <c r="B1182" s="3" t="s">
        <v>186</v>
      </c>
      <c r="C1182" s="76" t="s">
        <v>187</v>
      </c>
      <c r="D1182" s="71"/>
      <c r="E1182" s="3" t="s">
        <v>188</v>
      </c>
      <c r="F1182" s="28">
        <v>66</v>
      </c>
      <c r="G1182" s="28">
        <v>0</v>
      </c>
      <c r="H1182" s="28">
        <f>ROUND(F1182*AO1182,2)</f>
        <v>0</v>
      </c>
      <c r="I1182" s="28">
        <f>ROUND(F1182*AP1182,2)</f>
        <v>0</v>
      </c>
      <c r="J1182" s="28">
        <f>ROUND(F1182*G1182,2)</f>
        <v>0</v>
      </c>
      <c r="K1182" s="29" t="s">
        <v>60</v>
      </c>
      <c r="Z1182" s="28">
        <f>ROUND(IF(AQ1182="5",BJ1182,0),2)</f>
        <v>0</v>
      </c>
      <c r="AB1182" s="28">
        <f>ROUND(IF(AQ1182="1",BH1182,0),2)</f>
        <v>0</v>
      </c>
      <c r="AC1182" s="28">
        <f>ROUND(IF(AQ1182="1",BI1182,0),2)</f>
        <v>0</v>
      </c>
      <c r="AD1182" s="28">
        <f>ROUND(IF(AQ1182="7",BH1182,0),2)</f>
        <v>0</v>
      </c>
      <c r="AE1182" s="28">
        <f>ROUND(IF(AQ1182="7",BI1182,0),2)</f>
        <v>0</v>
      </c>
      <c r="AF1182" s="28">
        <f>ROUND(IF(AQ1182="2",BH1182,0),2)</f>
        <v>0</v>
      </c>
      <c r="AG1182" s="28">
        <f>ROUND(IF(AQ1182="2",BI1182,0),2)</f>
        <v>0</v>
      </c>
      <c r="AH1182" s="28">
        <f>ROUND(IF(AQ1182="0",BJ1182,0),2)</f>
        <v>0</v>
      </c>
      <c r="AI1182" s="10" t="s">
        <v>2065</v>
      </c>
      <c r="AJ1182" s="28">
        <f>IF(AN1182=0,J1182,0)</f>
        <v>0</v>
      </c>
      <c r="AK1182" s="28">
        <f>IF(AN1182=12,J1182,0)</f>
        <v>0</v>
      </c>
      <c r="AL1182" s="28">
        <f>IF(AN1182=21,J1182,0)</f>
        <v>0</v>
      </c>
      <c r="AN1182" s="28">
        <v>21</v>
      </c>
      <c r="AO1182" s="28">
        <f>G1182*0.352747253</f>
        <v>0</v>
      </c>
      <c r="AP1182" s="28">
        <f>G1182*(1-0.352747253)</f>
        <v>0</v>
      </c>
      <c r="AQ1182" s="30" t="s">
        <v>56</v>
      </c>
      <c r="AV1182" s="28">
        <f>ROUND(AW1182+AX1182,2)</f>
        <v>0</v>
      </c>
      <c r="AW1182" s="28">
        <f>ROUND(F1182*AO1182,2)</f>
        <v>0</v>
      </c>
      <c r="AX1182" s="28">
        <f>ROUND(F1182*AP1182,2)</f>
        <v>0</v>
      </c>
      <c r="AY1182" s="30" t="s">
        <v>156</v>
      </c>
      <c r="AZ1182" s="30" t="s">
        <v>2069</v>
      </c>
      <c r="BA1182" s="10" t="s">
        <v>2070</v>
      </c>
      <c r="BC1182" s="28">
        <f>AW1182+AX1182</f>
        <v>0</v>
      </c>
      <c r="BD1182" s="28">
        <f>G1182/(100-BE1182)*100</f>
        <v>0</v>
      </c>
      <c r="BE1182" s="28">
        <v>0</v>
      </c>
      <c r="BF1182" s="28">
        <f>1190</f>
        <v>1190</v>
      </c>
      <c r="BH1182" s="28">
        <f>F1182*AO1182</f>
        <v>0</v>
      </c>
      <c r="BI1182" s="28">
        <f>F1182*AP1182</f>
        <v>0</v>
      </c>
      <c r="BJ1182" s="28">
        <f>F1182*G1182</f>
        <v>0</v>
      </c>
      <c r="BK1182" s="28"/>
      <c r="BL1182" s="28">
        <v>17</v>
      </c>
      <c r="BW1182" s="28">
        <v>21</v>
      </c>
      <c r="BX1182" s="4" t="s">
        <v>187</v>
      </c>
    </row>
    <row r="1183" spans="1:76" ht="13.5" customHeight="1" x14ac:dyDescent="0.25">
      <c r="A1183" s="31"/>
      <c r="B1183" s="35" t="s">
        <v>105</v>
      </c>
      <c r="C1183" s="97" t="s">
        <v>189</v>
      </c>
      <c r="D1183" s="98"/>
      <c r="E1183" s="98"/>
      <c r="F1183" s="98"/>
      <c r="G1183" s="98"/>
      <c r="H1183" s="98"/>
      <c r="I1183" s="98"/>
      <c r="J1183" s="98"/>
      <c r="K1183" s="99"/>
    </row>
    <row r="1184" spans="1:76" x14ac:dyDescent="0.25">
      <c r="A1184" s="31"/>
      <c r="C1184" s="32" t="s">
        <v>2086</v>
      </c>
      <c r="D1184" s="32" t="s">
        <v>51</v>
      </c>
      <c r="F1184" s="33">
        <v>66</v>
      </c>
      <c r="K1184" s="34"/>
    </row>
    <row r="1185" spans="1:76" x14ac:dyDescent="0.25">
      <c r="A1185" s="24" t="s">
        <v>51</v>
      </c>
      <c r="B1185" s="25" t="s">
        <v>192</v>
      </c>
      <c r="C1185" s="87" t="s">
        <v>1067</v>
      </c>
      <c r="D1185" s="88"/>
      <c r="E1185" s="26" t="s">
        <v>4</v>
      </c>
      <c r="F1185" s="26" t="s">
        <v>4</v>
      </c>
      <c r="G1185" s="26" t="s">
        <v>4</v>
      </c>
      <c r="H1185" s="1">
        <f>SUM(H1186:H1186)</f>
        <v>0</v>
      </c>
      <c r="I1185" s="1">
        <f>SUM(I1186:I1186)</f>
        <v>0</v>
      </c>
      <c r="J1185" s="1">
        <f>SUM(J1186:J1186)</f>
        <v>0</v>
      </c>
      <c r="K1185" s="27" t="s">
        <v>51</v>
      </c>
      <c r="AI1185" s="10" t="s">
        <v>2065</v>
      </c>
      <c r="AS1185" s="1">
        <f>SUM(AJ1186:AJ1186)</f>
        <v>0</v>
      </c>
      <c r="AT1185" s="1">
        <f>SUM(AK1186:AK1186)</f>
        <v>0</v>
      </c>
      <c r="AU1185" s="1">
        <f>SUM(AL1186:AL1186)</f>
        <v>0</v>
      </c>
    </row>
    <row r="1186" spans="1:76" x14ac:dyDescent="0.25">
      <c r="A1186" s="2" t="s">
        <v>2087</v>
      </c>
      <c r="B1186" s="3" t="s">
        <v>149</v>
      </c>
      <c r="C1186" s="76" t="s">
        <v>150</v>
      </c>
      <c r="D1186" s="71"/>
      <c r="E1186" s="3" t="s">
        <v>59</v>
      </c>
      <c r="F1186" s="28">
        <v>367.52</v>
      </c>
      <c r="G1186" s="28">
        <v>0</v>
      </c>
      <c r="H1186" s="28">
        <f>ROUND(F1186*AO1186,2)</f>
        <v>0</v>
      </c>
      <c r="I1186" s="28">
        <f>ROUND(F1186*AP1186,2)</f>
        <v>0</v>
      </c>
      <c r="J1186" s="28">
        <f>ROUND(F1186*G1186,2)</f>
        <v>0</v>
      </c>
      <c r="K1186" s="29" t="s">
        <v>60</v>
      </c>
      <c r="Z1186" s="28">
        <f>ROUND(IF(AQ1186="5",BJ1186,0),2)</f>
        <v>0</v>
      </c>
      <c r="AB1186" s="28">
        <f>ROUND(IF(AQ1186="1",BH1186,0),2)</f>
        <v>0</v>
      </c>
      <c r="AC1186" s="28">
        <f>ROUND(IF(AQ1186="1",BI1186,0),2)</f>
        <v>0</v>
      </c>
      <c r="AD1186" s="28">
        <f>ROUND(IF(AQ1186="7",BH1186,0),2)</f>
        <v>0</v>
      </c>
      <c r="AE1186" s="28">
        <f>ROUND(IF(AQ1186="7",BI1186,0),2)</f>
        <v>0</v>
      </c>
      <c r="AF1186" s="28">
        <f>ROUND(IF(AQ1186="2",BH1186,0),2)</f>
        <v>0</v>
      </c>
      <c r="AG1186" s="28">
        <f>ROUND(IF(AQ1186="2",BI1186,0),2)</f>
        <v>0</v>
      </c>
      <c r="AH1186" s="28">
        <f>ROUND(IF(AQ1186="0",BJ1186,0),2)</f>
        <v>0</v>
      </c>
      <c r="AI1186" s="10" t="s">
        <v>2065</v>
      </c>
      <c r="AJ1186" s="28">
        <f>IF(AN1186=0,J1186,0)</f>
        <v>0</v>
      </c>
      <c r="AK1186" s="28">
        <f>IF(AN1186=12,J1186,0)</f>
        <v>0</v>
      </c>
      <c r="AL1186" s="28">
        <f>IF(AN1186=21,J1186,0)</f>
        <v>0</v>
      </c>
      <c r="AN1186" s="28">
        <v>21</v>
      </c>
      <c r="AO1186" s="28">
        <f>G1186*0</f>
        <v>0</v>
      </c>
      <c r="AP1186" s="28">
        <f>G1186*(1-0)</f>
        <v>0</v>
      </c>
      <c r="AQ1186" s="30" t="s">
        <v>56</v>
      </c>
      <c r="AV1186" s="28">
        <f>ROUND(AW1186+AX1186,2)</f>
        <v>0</v>
      </c>
      <c r="AW1186" s="28">
        <f>ROUND(F1186*AO1186,2)</f>
        <v>0</v>
      </c>
      <c r="AX1186" s="28">
        <f>ROUND(F1186*AP1186,2)</f>
        <v>0</v>
      </c>
      <c r="AY1186" s="30" t="s">
        <v>1069</v>
      </c>
      <c r="AZ1186" s="30" t="s">
        <v>2069</v>
      </c>
      <c r="BA1186" s="10" t="s">
        <v>2070</v>
      </c>
      <c r="BC1186" s="28">
        <f>AW1186+AX1186</f>
        <v>0</v>
      </c>
      <c r="BD1186" s="28">
        <f>G1186/(100-BE1186)*100</f>
        <v>0</v>
      </c>
      <c r="BE1186" s="28">
        <v>0</v>
      </c>
      <c r="BF1186" s="28">
        <f>1194</f>
        <v>1194</v>
      </c>
      <c r="BH1186" s="28">
        <f>F1186*AO1186</f>
        <v>0</v>
      </c>
      <c r="BI1186" s="28">
        <f>F1186*AP1186</f>
        <v>0</v>
      </c>
      <c r="BJ1186" s="28">
        <f>F1186*G1186</f>
        <v>0</v>
      </c>
      <c r="BK1186" s="28"/>
      <c r="BL1186" s="28">
        <v>19</v>
      </c>
      <c r="BW1186" s="28">
        <v>21</v>
      </c>
      <c r="BX1186" s="4" t="s">
        <v>150</v>
      </c>
    </row>
    <row r="1187" spans="1:76" x14ac:dyDescent="0.25">
      <c r="A1187" s="31"/>
      <c r="C1187" s="32" t="s">
        <v>2088</v>
      </c>
      <c r="D1187" s="32" t="s">
        <v>51</v>
      </c>
      <c r="F1187" s="33">
        <v>367.52</v>
      </c>
      <c r="K1187" s="34"/>
    </row>
    <row r="1188" spans="1:76" x14ac:dyDescent="0.25">
      <c r="A1188" s="31"/>
      <c r="B1188" s="35" t="s">
        <v>68</v>
      </c>
      <c r="C1188" s="94" t="s">
        <v>151</v>
      </c>
      <c r="D1188" s="95"/>
      <c r="E1188" s="95"/>
      <c r="F1188" s="95"/>
      <c r="G1188" s="95"/>
      <c r="H1188" s="95"/>
      <c r="I1188" s="95"/>
      <c r="J1188" s="95"/>
      <c r="K1188" s="96"/>
      <c r="BX1188" s="36" t="s">
        <v>151</v>
      </c>
    </row>
    <row r="1189" spans="1:76" x14ac:dyDescent="0.25">
      <c r="A1189" s="24" t="s">
        <v>51</v>
      </c>
      <c r="B1189" s="25" t="s">
        <v>279</v>
      </c>
      <c r="C1189" s="87" t="s">
        <v>280</v>
      </c>
      <c r="D1189" s="88"/>
      <c r="E1189" s="26" t="s">
        <v>4</v>
      </c>
      <c r="F1189" s="26" t="s">
        <v>4</v>
      </c>
      <c r="G1189" s="26" t="s">
        <v>4</v>
      </c>
      <c r="H1189" s="1">
        <f>SUM(H1190:H1196)</f>
        <v>0</v>
      </c>
      <c r="I1189" s="1">
        <f>SUM(I1190:I1196)</f>
        <v>0</v>
      </c>
      <c r="J1189" s="1">
        <f>SUM(J1190:J1196)</f>
        <v>0</v>
      </c>
      <c r="K1189" s="27" t="s">
        <v>51</v>
      </c>
      <c r="AI1189" s="10" t="s">
        <v>2065</v>
      </c>
      <c r="AS1189" s="1">
        <f>SUM(AJ1190:AJ1196)</f>
        <v>0</v>
      </c>
      <c r="AT1189" s="1">
        <f>SUM(AK1190:AK1196)</f>
        <v>0</v>
      </c>
      <c r="AU1189" s="1">
        <f>SUM(AL1190:AL1196)</f>
        <v>0</v>
      </c>
    </row>
    <row r="1190" spans="1:76" x14ac:dyDescent="0.25">
      <c r="A1190" s="2" t="s">
        <v>2089</v>
      </c>
      <c r="B1190" s="3" t="s">
        <v>2090</v>
      </c>
      <c r="C1190" s="76" t="s">
        <v>2091</v>
      </c>
      <c r="D1190" s="71"/>
      <c r="E1190" s="3" t="s">
        <v>59</v>
      </c>
      <c r="F1190" s="28">
        <v>19.8</v>
      </c>
      <c r="G1190" s="28">
        <v>0</v>
      </c>
      <c r="H1190" s="28">
        <f>ROUND(F1190*AO1190,2)</f>
        <v>0</v>
      </c>
      <c r="I1190" s="28">
        <f>ROUND(F1190*AP1190,2)</f>
        <v>0</v>
      </c>
      <c r="J1190" s="28">
        <f>ROUND(F1190*G1190,2)</f>
        <v>0</v>
      </c>
      <c r="K1190" s="29" t="s">
        <v>60</v>
      </c>
      <c r="Z1190" s="28">
        <f>ROUND(IF(AQ1190="5",BJ1190,0),2)</f>
        <v>0</v>
      </c>
      <c r="AB1190" s="28">
        <f>ROUND(IF(AQ1190="1",BH1190,0),2)</f>
        <v>0</v>
      </c>
      <c r="AC1190" s="28">
        <f>ROUND(IF(AQ1190="1",BI1190,0),2)</f>
        <v>0</v>
      </c>
      <c r="AD1190" s="28">
        <f>ROUND(IF(AQ1190="7",BH1190,0),2)</f>
        <v>0</v>
      </c>
      <c r="AE1190" s="28">
        <f>ROUND(IF(AQ1190="7",BI1190,0),2)</f>
        <v>0</v>
      </c>
      <c r="AF1190" s="28">
        <f>ROUND(IF(AQ1190="2",BH1190,0),2)</f>
        <v>0</v>
      </c>
      <c r="AG1190" s="28">
        <f>ROUND(IF(AQ1190="2",BI1190,0),2)</f>
        <v>0</v>
      </c>
      <c r="AH1190" s="28">
        <f>ROUND(IF(AQ1190="0",BJ1190,0),2)</f>
        <v>0</v>
      </c>
      <c r="AI1190" s="10" t="s">
        <v>2065</v>
      </c>
      <c r="AJ1190" s="28">
        <f>IF(AN1190=0,J1190,0)</f>
        <v>0</v>
      </c>
      <c r="AK1190" s="28">
        <f>IF(AN1190=12,J1190,0)</f>
        <v>0</v>
      </c>
      <c r="AL1190" s="28">
        <f>IF(AN1190=21,J1190,0)</f>
        <v>0</v>
      </c>
      <c r="AN1190" s="28">
        <v>21</v>
      </c>
      <c r="AO1190" s="28">
        <f>G1190*0.562194218</f>
        <v>0</v>
      </c>
      <c r="AP1190" s="28">
        <f>G1190*(1-0.562194218)</f>
        <v>0</v>
      </c>
      <c r="AQ1190" s="30" t="s">
        <v>56</v>
      </c>
      <c r="AV1190" s="28">
        <f>ROUND(AW1190+AX1190,2)</f>
        <v>0</v>
      </c>
      <c r="AW1190" s="28">
        <f>ROUND(F1190*AO1190,2)</f>
        <v>0</v>
      </c>
      <c r="AX1190" s="28">
        <f>ROUND(F1190*AP1190,2)</f>
        <v>0</v>
      </c>
      <c r="AY1190" s="30" t="s">
        <v>284</v>
      </c>
      <c r="AZ1190" s="30" t="s">
        <v>2092</v>
      </c>
      <c r="BA1190" s="10" t="s">
        <v>2070</v>
      </c>
      <c r="BC1190" s="28">
        <f>AW1190+AX1190</f>
        <v>0</v>
      </c>
      <c r="BD1190" s="28">
        <f>G1190/(100-BE1190)*100</f>
        <v>0</v>
      </c>
      <c r="BE1190" s="28">
        <v>0</v>
      </c>
      <c r="BF1190" s="28">
        <f>1198</f>
        <v>1198</v>
      </c>
      <c r="BH1190" s="28">
        <f>F1190*AO1190</f>
        <v>0</v>
      </c>
      <c r="BI1190" s="28">
        <f>F1190*AP1190</f>
        <v>0</v>
      </c>
      <c r="BJ1190" s="28">
        <f>F1190*G1190</f>
        <v>0</v>
      </c>
      <c r="BK1190" s="28"/>
      <c r="BL1190" s="28">
        <v>45</v>
      </c>
      <c r="BW1190" s="28">
        <v>21</v>
      </c>
      <c r="BX1190" s="4" t="s">
        <v>2091</v>
      </c>
    </row>
    <row r="1191" spans="1:76" ht="13.5" customHeight="1" x14ac:dyDescent="0.25">
      <c r="A1191" s="31"/>
      <c r="B1191" s="35" t="s">
        <v>105</v>
      </c>
      <c r="C1191" s="97" t="s">
        <v>276</v>
      </c>
      <c r="D1191" s="98"/>
      <c r="E1191" s="98"/>
      <c r="F1191" s="98"/>
      <c r="G1191" s="98"/>
      <c r="H1191" s="98"/>
      <c r="I1191" s="98"/>
      <c r="J1191" s="98"/>
      <c r="K1191" s="99"/>
    </row>
    <row r="1192" spans="1:76" x14ac:dyDescent="0.25">
      <c r="A1192" s="31"/>
      <c r="C1192" s="32" t="s">
        <v>2093</v>
      </c>
      <c r="D1192" s="32" t="s">
        <v>2094</v>
      </c>
      <c r="F1192" s="33">
        <v>19.8</v>
      </c>
      <c r="K1192" s="34"/>
    </row>
    <row r="1193" spans="1:76" ht="38.25" x14ac:dyDescent="0.25">
      <c r="A1193" s="31"/>
      <c r="B1193" s="35" t="s">
        <v>68</v>
      </c>
      <c r="C1193" s="94" t="s">
        <v>289</v>
      </c>
      <c r="D1193" s="95"/>
      <c r="E1193" s="95"/>
      <c r="F1193" s="95"/>
      <c r="G1193" s="95"/>
      <c r="H1193" s="95"/>
      <c r="I1193" s="95"/>
      <c r="J1193" s="95"/>
      <c r="K1193" s="96"/>
      <c r="BX1193" s="36" t="s">
        <v>289</v>
      </c>
    </row>
    <row r="1194" spans="1:76" x14ac:dyDescent="0.25">
      <c r="A1194" s="2" t="s">
        <v>2095</v>
      </c>
      <c r="B1194" s="3" t="s">
        <v>2096</v>
      </c>
      <c r="C1194" s="76" t="s">
        <v>2097</v>
      </c>
      <c r="D1194" s="71"/>
      <c r="E1194" s="3" t="s">
        <v>59</v>
      </c>
      <c r="F1194" s="28">
        <v>17.55</v>
      </c>
      <c r="G1194" s="28">
        <v>0</v>
      </c>
      <c r="H1194" s="28">
        <f>ROUND(F1194*AO1194,2)</f>
        <v>0</v>
      </c>
      <c r="I1194" s="28">
        <f>ROUND(F1194*AP1194,2)</f>
        <v>0</v>
      </c>
      <c r="J1194" s="28">
        <f>ROUND(F1194*G1194,2)</f>
        <v>0</v>
      </c>
      <c r="K1194" s="29" t="s">
        <v>60</v>
      </c>
      <c r="Z1194" s="28">
        <f>ROUND(IF(AQ1194="5",BJ1194,0),2)</f>
        <v>0</v>
      </c>
      <c r="AB1194" s="28">
        <f>ROUND(IF(AQ1194="1",BH1194,0),2)</f>
        <v>0</v>
      </c>
      <c r="AC1194" s="28">
        <f>ROUND(IF(AQ1194="1",BI1194,0),2)</f>
        <v>0</v>
      </c>
      <c r="AD1194" s="28">
        <f>ROUND(IF(AQ1194="7",BH1194,0),2)</f>
        <v>0</v>
      </c>
      <c r="AE1194" s="28">
        <f>ROUND(IF(AQ1194="7",BI1194,0),2)</f>
        <v>0</v>
      </c>
      <c r="AF1194" s="28">
        <f>ROUND(IF(AQ1194="2",BH1194,0),2)</f>
        <v>0</v>
      </c>
      <c r="AG1194" s="28">
        <f>ROUND(IF(AQ1194="2",BI1194,0),2)</f>
        <v>0</v>
      </c>
      <c r="AH1194" s="28">
        <f>ROUND(IF(AQ1194="0",BJ1194,0),2)</f>
        <v>0</v>
      </c>
      <c r="AI1194" s="10" t="s">
        <v>2065</v>
      </c>
      <c r="AJ1194" s="28">
        <f>IF(AN1194=0,J1194,0)</f>
        <v>0</v>
      </c>
      <c r="AK1194" s="28">
        <f>IF(AN1194=12,J1194,0)</f>
        <v>0</v>
      </c>
      <c r="AL1194" s="28">
        <f>IF(AN1194=21,J1194,0)</f>
        <v>0</v>
      </c>
      <c r="AN1194" s="28">
        <v>21</v>
      </c>
      <c r="AO1194" s="28">
        <f>G1194*0.849929425</f>
        <v>0</v>
      </c>
      <c r="AP1194" s="28">
        <f>G1194*(1-0.849929425)</f>
        <v>0</v>
      </c>
      <c r="AQ1194" s="30" t="s">
        <v>56</v>
      </c>
      <c r="AV1194" s="28">
        <f>ROUND(AW1194+AX1194,2)</f>
        <v>0</v>
      </c>
      <c r="AW1194" s="28">
        <f>ROUND(F1194*AO1194,2)</f>
        <v>0</v>
      </c>
      <c r="AX1194" s="28">
        <f>ROUND(F1194*AP1194,2)</f>
        <v>0</v>
      </c>
      <c r="AY1194" s="30" t="s">
        <v>284</v>
      </c>
      <c r="AZ1194" s="30" t="s">
        <v>2092</v>
      </c>
      <c r="BA1194" s="10" t="s">
        <v>2070</v>
      </c>
      <c r="BC1194" s="28">
        <f>AW1194+AX1194</f>
        <v>0</v>
      </c>
      <c r="BD1194" s="28">
        <f>G1194/(100-BE1194)*100</f>
        <v>0</v>
      </c>
      <c r="BE1194" s="28">
        <v>0</v>
      </c>
      <c r="BF1194" s="28">
        <f>1202</f>
        <v>1202</v>
      </c>
      <c r="BH1194" s="28">
        <f>F1194*AO1194</f>
        <v>0</v>
      </c>
      <c r="BI1194" s="28">
        <f>F1194*AP1194</f>
        <v>0</v>
      </c>
      <c r="BJ1194" s="28">
        <f>F1194*G1194</f>
        <v>0</v>
      </c>
      <c r="BK1194" s="28"/>
      <c r="BL1194" s="28">
        <v>45</v>
      </c>
      <c r="BW1194" s="28">
        <v>21</v>
      </c>
      <c r="BX1194" s="4" t="s">
        <v>2097</v>
      </c>
    </row>
    <row r="1195" spans="1:76" ht="25.5" x14ac:dyDescent="0.25">
      <c r="A1195" s="31"/>
      <c r="B1195" s="35" t="s">
        <v>68</v>
      </c>
      <c r="C1195" s="94" t="s">
        <v>2098</v>
      </c>
      <c r="D1195" s="95"/>
      <c r="E1195" s="95"/>
      <c r="F1195" s="95"/>
      <c r="G1195" s="95"/>
      <c r="H1195" s="95"/>
      <c r="I1195" s="95"/>
      <c r="J1195" s="95"/>
      <c r="K1195" s="96"/>
      <c r="BX1195" s="36" t="s">
        <v>2098</v>
      </c>
    </row>
    <row r="1196" spans="1:76" x14ac:dyDescent="0.25">
      <c r="A1196" s="2" t="s">
        <v>2099</v>
      </c>
      <c r="B1196" s="3" t="s">
        <v>2100</v>
      </c>
      <c r="C1196" s="76" t="s">
        <v>2101</v>
      </c>
      <c r="D1196" s="71"/>
      <c r="E1196" s="3" t="s">
        <v>188</v>
      </c>
      <c r="F1196" s="28">
        <v>117</v>
      </c>
      <c r="G1196" s="28">
        <v>0</v>
      </c>
      <c r="H1196" s="28">
        <f>ROUND(F1196*AO1196,2)</f>
        <v>0</v>
      </c>
      <c r="I1196" s="28">
        <f>ROUND(F1196*AP1196,2)</f>
        <v>0</v>
      </c>
      <c r="J1196" s="28">
        <f>ROUND(F1196*G1196,2)</f>
        <v>0</v>
      </c>
      <c r="K1196" s="29" t="s">
        <v>60</v>
      </c>
      <c r="Z1196" s="28">
        <f>ROUND(IF(AQ1196="5",BJ1196,0),2)</f>
        <v>0</v>
      </c>
      <c r="AB1196" s="28">
        <f>ROUND(IF(AQ1196="1",BH1196,0),2)</f>
        <v>0</v>
      </c>
      <c r="AC1196" s="28">
        <f>ROUND(IF(AQ1196="1",BI1196,0),2)</f>
        <v>0</v>
      </c>
      <c r="AD1196" s="28">
        <f>ROUND(IF(AQ1196="7",BH1196,0),2)</f>
        <v>0</v>
      </c>
      <c r="AE1196" s="28">
        <f>ROUND(IF(AQ1196="7",BI1196,0),2)</f>
        <v>0</v>
      </c>
      <c r="AF1196" s="28">
        <f>ROUND(IF(AQ1196="2",BH1196,0),2)</f>
        <v>0</v>
      </c>
      <c r="AG1196" s="28">
        <f>ROUND(IF(AQ1196="2",BI1196,0),2)</f>
        <v>0</v>
      </c>
      <c r="AH1196" s="28">
        <f>ROUND(IF(AQ1196="0",BJ1196,0),2)</f>
        <v>0</v>
      </c>
      <c r="AI1196" s="10" t="s">
        <v>2065</v>
      </c>
      <c r="AJ1196" s="28">
        <f>IF(AN1196=0,J1196,0)</f>
        <v>0</v>
      </c>
      <c r="AK1196" s="28">
        <f>IF(AN1196=12,J1196,0)</f>
        <v>0</v>
      </c>
      <c r="AL1196" s="28">
        <f>IF(AN1196=21,J1196,0)</f>
        <v>0</v>
      </c>
      <c r="AN1196" s="28">
        <v>21</v>
      </c>
      <c r="AO1196" s="28">
        <f>G1196*0.24729668</f>
        <v>0</v>
      </c>
      <c r="AP1196" s="28">
        <f>G1196*(1-0.24729668)</f>
        <v>0</v>
      </c>
      <c r="AQ1196" s="30" t="s">
        <v>56</v>
      </c>
      <c r="AV1196" s="28">
        <f>ROUND(AW1196+AX1196,2)</f>
        <v>0</v>
      </c>
      <c r="AW1196" s="28">
        <f>ROUND(F1196*AO1196,2)</f>
        <v>0</v>
      </c>
      <c r="AX1196" s="28">
        <f>ROUND(F1196*AP1196,2)</f>
        <v>0</v>
      </c>
      <c r="AY1196" s="30" t="s">
        <v>284</v>
      </c>
      <c r="AZ1196" s="30" t="s">
        <v>2092</v>
      </c>
      <c r="BA1196" s="10" t="s">
        <v>2070</v>
      </c>
      <c r="BC1196" s="28">
        <f>AW1196+AX1196</f>
        <v>0</v>
      </c>
      <c r="BD1196" s="28">
        <f>G1196/(100-BE1196)*100</f>
        <v>0</v>
      </c>
      <c r="BE1196" s="28">
        <v>0</v>
      </c>
      <c r="BF1196" s="28">
        <f>1204</f>
        <v>1204</v>
      </c>
      <c r="BH1196" s="28">
        <f>F1196*AO1196</f>
        <v>0</v>
      </c>
      <c r="BI1196" s="28">
        <f>F1196*AP1196</f>
        <v>0</v>
      </c>
      <c r="BJ1196" s="28">
        <f>F1196*G1196</f>
        <v>0</v>
      </c>
      <c r="BK1196" s="28"/>
      <c r="BL1196" s="28">
        <v>45</v>
      </c>
      <c r="BW1196" s="28">
        <v>21</v>
      </c>
      <c r="BX1196" s="4" t="s">
        <v>2101</v>
      </c>
    </row>
    <row r="1197" spans="1:76" x14ac:dyDescent="0.25">
      <c r="A1197" s="31"/>
      <c r="C1197" s="32" t="s">
        <v>2102</v>
      </c>
      <c r="D1197" s="32" t="s">
        <v>51</v>
      </c>
      <c r="F1197" s="33">
        <v>117</v>
      </c>
      <c r="K1197" s="34"/>
    </row>
    <row r="1198" spans="1:76" ht="63.75" x14ac:dyDescent="0.25">
      <c r="A1198" s="31"/>
      <c r="B1198" s="35" t="s">
        <v>68</v>
      </c>
      <c r="C1198" s="94" t="s">
        <v>2103</v>
      </c>
      <c r="D1198" s="95"/>
      <c r="E1198" s="95"/>
      <c r="F1198" s="95"/>
      <c r="G1198" s="95"/>
      <c r="H1198" s="95"/>
      <c r="I1198" s="95"/>
      <c r="J1198" s="95"/>
      <c r="K1198" s="96"/>
      <c r="BX1198" s="36" t="s">
        <v>2103</v>
      </c>
    </row>
    <row r="1199" spans="1:76" x14ac:dyDescent="0.25">
      <c r="A1199" s="24" t="s">
        <v>51</v>
      </c>
      <c r="B1199" s="25" t="s">
        <v>537</v>
      </c>
      <c r="C1199" s="87" t="s">
        <v>2104</v>
      </c>
      <c r="D1199" s="88"/>
      <c r="E1199" s="26" t="s">
        <v>4</v>
      </c>
      <c r="F1199" s="26" t="s">
        <v>4</v>
      </c>
      <c r="G1199" s="26" t="s">
        <v>4</v>
      </c>
      <c r="H1199" s="1">
        <f>SUM(H1200:H1201)</f>
        <v>0</v>
      </c>
      <c r="I1199" s="1">
        <f>SUM(I1200:I1201)</f>
        <v>0</v>
      </c>
      <c r="J1199" s="1">
        <f>SUM(J1200:J1201)</f>
        <v>0</v>
      </c>
      <c r="K1199" s="27" t="s">
        <v>51</v>
      </c>
      <c r="AI1199" s="10" t="s">
        <v>2065</v>
      </c>
      <c r="AS1199" s="1">
        <f>SUM(AJ1200:AJ1201)</f>
        <v>0</v>
      </c>
      <c r="AT1199" s="1">
        <f>SUM(AK1200:AK1201)</f>
        <v>0</v>
      </c>
      <c r="AU1199" s="1">
        <f>SUM(AL1200:AL1201)</f>
        <v>0</v>
      </c>
    </row>
    <row r="1200" spans="1:76" x14ac:dyDescent="0.25">
      <c r="A1200" s="2" t="s">
        <v>2105</v>
      </c>
      <c r="B1200" s="3" t="s">
        <v>2106</v>
      </c>
      <c r="C1200" s="76" t="s">
        <v>2107</v>
      </c>
      <c r="D1200" s="71"/>
      <c r="E1200" s="3" t="s">
        <v>188</v>
      </c>
      <c r="F1200" s="28">
        <v>65</v>
      </c>
      <c r="G1200" s="28">
        <v>0</v>
      </c>
      <c r="H1200" s="28">
        <f>ROUND(F1200*AO1200,2)</f>
        <v>0</v>
      </c>
      <c r="I1200" s="28">
        <f>ROUND(F1200*AP1200,2)</f>
        <v>0</v>
      </c>
      <c r="J1200" s="28">
        <f>ROUND(F1200*G1200,2)</f>
        <v>0</v>
      </c>
      <c r="K1200" s="29" t="s">
        <v>60</v>
      </c>
      <c r="Z1200" s="28">
        <f>ROUND(IF(AQ1200="5",BJ1200,0),2)</f>
        <v>0</v>
      </c>
      <c r="AB1200" s="28">
        <f>ROUND(IF(AQ1200="1",BH1200,0),2)</f>
        <v>0</v>
      </c>
      <c r="AC1200" s="28">
        <f>ROUND(IF(AQ1200="1",BI1200,0),2)</f>
        <v>0</v>
      </c>
      <c r="AD1200" s="28">
        <f>ROUND(IF(AQ1200="7",BH1200,0),2)</f>
        <v>0</v>
      </c>
      <c r="AE1200" s="28">
        <f>ROUND(IF(AQ1200="7",BI1200,0),2)</f>
        <v>0</v>
      </c>
      <c r="AF1200" s="28">
        <f>ROUND(IF(AQ1200="2",BH1200,0),2)</f>
        <v>0</v>
      </c>
      <c r="AG1200" s="28">
        <f>ROUND(IF(AQ1200="2",BI1200,0),2)</f>
        <v>0</v>
      </c>
      <c r="AH1200" s="28">
        <f>ROUND(IF(AQ1200="0",BJ1200,0),2)</f>
        <v>0</v>
      </c>
      <c r="AI1200" s="10" t="s">
        <v>2065</v>
      </c>
      <c r="AJ1200" s="28">
        <f>IF(AN1200=0,J1200,0)</f>
        <v>0</v>
      </c>
      <c r="AK1200" s="28">
        <f>IF(AN1200=12,J1200,0)</f>
        <v>0</v>
      </c>
      <c r="AL1200" s="28">
        <f>IF(AN1200=21,J1200,0)</f>
        <v>0</v>
      </c>
      <c r="AN1200" s="28">
        <v>21</v>
      </c>
      <c r="AO1200" s="28">
        <f>G1200*0</f>
        <v>0</v>
      </c>
      <c r="AP1200" s="28">
        <f>G1200*(1-0)</f>
        <v>0</v>
      </c>
      <c r="AQ1200" s="30" t="s">
        <v>56</v>
      </c>
      <c r="AV1200" s="28">
        <f>ROUND(AW1200+AX1200,2)</f>
        <v>0</v>
      </c>
      <c r="AW1200" s="28">
        <f>ROUND(F1200*AO1200,2)</f>
        <v>0</v>
      </c>
      <c r="AX1200" s="28">
        <f>ROUND(F1200*AP1200,2)</f>
        <v>0</v>
      </c>
      <c r="AY1200" s="30" t="s">
        <v>2108</v>
      </c>
      <c r="AZ1200" s="30" t="s">
        <v>2109</v>
      </c>
      <c r="BA1200" s="10" t="s">
        <v>2070</v>
      </c>
      <c r="BC1200" s="28">
        <f>AW1200+AX1200</f>
        <v>0</v>
      </c>
      <c r="BD1200" s="28">
        <f>G1200/(100-BE1200)*100</f>
        <v>0</v>
      </c>
      <c r="BE1200" s="28">
        <v>0</v>
      </c>
      <c r="BF1200" s="28">
        <f>1208</f>
        <v>1208</v>
      </c>
      <c r="BH1200" s="28">
        <f>F1200*AO1200</f>
        <v>0</v>
      </c>
      <c r="BI1200" s="28">
        <f>F1200*AP1200</f>
        <v>0</v>
      </c>
      <c r="BJ1200" s="28">
        <f>F1200*G1200</f>
        <v>0</v>
      </c>
      <c r="BK1200" s="28"/>
      <c r="BL1200" s="28">
        <v>81</v>
      </c>
      <c r="BW1200" s="28">
        <v>21</v>
      </c>
      <c r="BX1200" s="4" t="s">
        <v>2107</v>
      </c>
    </row>
    <row r="1201" spans="1:76" x14ac:dyDescent="0.25">
      <c r="A1201" s="2" t="s">
        <v>2110</v>
      </c>
      <c r="B1201" s="3" t="s">
        <v>2111</v>
      </c>
      <c r="C1201" s="76" t="s">
        <v>2112</v>
      </c>
      <c r="D1201" s="71"/>
      <c r="E1201" s="3" t="s">
        <v>293</v>
      </c>
      <c r="F1201" s="28">
        <v>28.6</v>
      </c>
      <c r="G1201" s="28">
        <v>0</v>
      </c>
      <c r="H1201" s="28">
        <f>ROUND(F1201*AO1201,2)</f>
        <v>0</v>
      </c>
      <c r="I1201" s="28">
        <f>ROUND(F1201*AP1201,2)</f>
        <v>0</v>
      </c>
      <c r="J1201" s="28">
        <f>ROUND(F1201*G1201,2)</f>
        <v>0</v>
      </c>
      <c r="K1201" s="29" t="s">
        <v>60</v>
      </c>
      <c r="Z1201" s="28">
        <f>ROUND(IF(AQ1201="5",BJ1201,0),2)</f>
        <v>0</v>
      </c>
      <c r="AB1201" s="28">
        <f>ROUND(IF(AQ1201="1",BH1201,0),2)</f>
        <v>0</v>
      </c>
      <c r="AC1201" s="28">
        <f>ROUND(IF(AQ1201="1",BI1201,0),2)</f>
        <v>0</v>
      </c>
      <c r="AD1201" s="28">
        <f>ROUND(IF(AQ1201="7",BH1201,0),2)</f>
        <v>0</v>
      </c>
      <c r="AE1201" s="28">
        <f>ROUND(IF(AQ1201="7",BI1201,0),2)</f>
        <v>0</v>
      </c>
      <c r="AF1201" s="28">
        <f>ROUND(IF(AQ1201="2",BH1201,0),2)</f>
        <v>0</v>
      </c>
      <c r="AG1201" s="28">
        <f>ROUND(IF(AQ1201="2",BI1201,0),2)</f>
        <v>0</v>
      </c>
      <c r="AH1201" s="28">
        <f>ROUND(IF(AQ1201="0",BJ1201,0),2)</f>
        <v>0</v>
      </c>
      <c r="AI1201" s="10" t="s">
        <v>2065</v>
      </c>
      <c r="AJ1201" s="28">
        <f>IF(AN1201=0,J1201,0)</f>
        <v>0</v>
      </c>
      <c r="AK1201" s="28">
        <f>IF(AN1201=12,J1201,0)</f>
        <v>0</v>
      </c>
      <c r="AL1201" s="28">
        <f>IF(AN1201=21,J1201,0)</f>
        <v>0</v>
      </c>
      <c r="AN1201" s="28">
        <v>21</v>
      </c>
      <c r="AO1201" s="28">
        <f>G1201*1</f>
        <v>0</v>
      </c>
      <c r="AP1201" s="28">
        <f>G1201*(1-1)</f>
        <v>0</v>
      </c>
      <c r="AQ1201" s="30" t="s">
        <v>56</v>
      </c>
      <c r="AV1201" s="28">
        <f>ROUND(AW1201+AX1201,2)</f>
        <v>0</v>
      </c>
      <c r="AW1201" s="28">
        <f>ROUND(F1201*AO1201,2)</f>
        <v>0</v>
      </c>
      <c r="AX1201" s="28">
        <f>ROUND(F1201*AP1201,2)</f>
        <v>0</v>
      </c>
      <c r="AY1201" s="30" t="s">
        <v>2108</v>
      </c>
      <c r="AZ1201" s="30" t="s">
        <v>2109</v>
      </c>
      <c r="BA1201" s="10" t="s">
        <v>2070</v>
      </c>
      <c r="BC1201" s="28">
        <f>AW1201+AX1201</f>
        <v>0</v>
      </c>
      <c r="BD1201" s="28">
        <f>G1201/(100-BE1201)*100</f>
        <v>0</v>
      </c>
      <c r="BE1201" s="28">
        <v>0</v>
      </c>
      <c r="BF1201" s="28">
        <f>1209</f>
        <v>1209</v>
      </c>
      <c r="BH1201" s="28">
        <f>F1201*AO1201</f>
        <v>0</v>
      </c>
      <c r="BI1201" s="28">
        <f>F1201*AP1201</f>
        <v>0</v>
      </c>
      <c r="BJ1201" s="28">
        <f>F1201*G1201</f>
        <v>0</v>
      </c>
      <c r="BK1201" s="28"/>
      <c r="BL1201" s="28">
        <v>81</v>
      </c>
      <c r="BW1201" s="28">
        <v>21</v>
      </c>
      <c r="BX1201" s="4" t="s">
        <v>2112</v>
      </c>
    </row>
    <row r="1202" spans="1:76" x14ac:dyDescent="0.25">
      <c r="A1202" s="31"/>
      <c r="C1202" s="32" t="s">
        <v>2113</v>
      </c>
      <c r="D1202" s="32" t="s">
        <v>51</v>
      </c>
      <c r="F1202" s="33">
        <v>26</v>
      </c>
      <c r="K1202" s="34"/>
    </row>
    <row r="1203" spans="1:76" x14ac:dyDescent="0.25">
      <c r="A1203" s="31"/>
      <c r="C1203" s="32" t="s">
        <v>2114</v>
      </c>
      <c r="D1203" s="32" t="s">
        <v>51</v>
      </c>
      <c r="F1203" s="33">
        <v>2.6</v>
      </c>
      <c r="K1203" s="34"/>
    </row>
    <row r="1204" spans="1:76" ht="25.5" x14ac:dyDescent="0.25">
      <c r="A1204" s="31"/>
      <c r="B1204" s="35" t="s">
        <v>68</v>
      </c>
      <c r="C1204" s="94" t="s">
        <v>2115</v>
      </c>
      <c r="D1204" s="95"/>
      <c r="E1204" s="95"/>
      <c r="F1204" s="95"/>
      <c r="G1204" s="95"/>
      <c r="H1204" s="95"/>
      <c r="I1204" s="95"/>
      <c r="J1204" s="95"/>
      <c r="K1204" s="96"/>
      <c r="BX1204" s="36" t="s">
        <v>2115</v>
      </c>
    </row>
    <row r="1205" spans="1:76" x14ac:dyDescent="0.25">
      <c r="A1205" s="24" t="s">
        <v>51</v>
      </c>
      <c r="B1205" s="25" t="s">
        <v>530</v>
      </c>
      <c r="C1205" s="87" t="s">
        <v>531</v>
      </c>
      <c r="D1205" s="88"/>
      <c r="E1205" s="26" t="s">
        <v>4</v>
      </c>
      <c r="F1205" s="26" t="s">
        <v>4</v>
      </c>
      <c r="G1205" s="26" t="s">
        <v>4</v>
      </c>
      <c r="H1205" s="1">
        <f>SUM(H1206:H1216)</f>
        <v>0</v>
      </c>
      <c r="I1205" s="1">
        <f>SUM(I1206:I1216)</f>
        <v>0</v>
      </c>
      <c r="J1205" s="1">
        <f>SUM(J1206:J1216)</f>
        <v>0</v>
      </c>
      <c r="K1205" s="27" t="s">
        <v>51</v>
      </c>
      <c r="AI1205" s="10" t="s">
        <v>2065</v>
      </c>
      <c r="AS1205" s="1">
        <f>SUM(AJ1206:AJ1216)</f>
        <v>0</v>
      </c>
      <c r="AT1205" s="1">
        <f>SUM(AK1206:AK1216)</f>
        <v>0</v>
      </c>
      <c r="AU1205" s="1">
        <f>SUM(AL1206:AL1216)</f>
        <v>0</v>
      </c>
    </row>
    <row r="1206" spans="1:76" x14ac:dyDescent="0.25">
      <c r="A1206" s="2" t="s">
        <v>2116</v>
      </c>
      <c r="B1206" s="3" t="s">
        <v>556</v>
      </c>
      <c r="C1206" s="76" t="s">
        <v>557</v>
      </c>
      <c r="D1206" s="71"/>
      <c r="E1206" s="3" t="s">
        <v>59</v>
      </c>
      <c r="F1206" s="28">
        <v>17.55</v>
      </c>
      <c r="G1206" s="28">
        <v>0</v>
      </c>
      <c r="H1206" s="28">
        <f>ROUND(F1206*AO1206,2)</f>
        <v>0</v>
      </c>
      <c r="I1206" s="28">
        <f>ROUND(F1206*AP1206,2)</f>
        <v>0</v>
      </c>
      <c r="J1206" s="28">
        <f>ROUND(F1206*G1206,2)</f>
        <v>0</v>
      </c>
      <c r="K1206" s="29" t="s">
        <v>60</v>
      </c>
      <c r="Z1206" s="28">
        <f>ROUND(IF(AQ1206="5",BJ1206,0),2)</f>
        <v>0</v>
      </c>
      <c r="AB1206" s="28">
        <f>ROUND(IF(AQ1206="1",BH1206,0),2)</f>
        <v>0</v>
      </c>
      <c r="AC1206" s="28">
        <f>ROUND(IF(AQ1206="1",BI1206,0),2)</f>
        <v>0</v>
      </c>
      <c r="AD1206" s="28">
        <f>ROUND(IF(AQ1206="7",BH1206,0),2)</f>
        <v>0</v>
      </c>
      <c r="AE1206" s="28">
        <f>ROUND(IF(AQ1206="7",BI1206,0),2)</f>
        <v>0</v>
      </c>
      <c r="AF1206" s="28">
        <f>ROUND(IF(AQ1206="2",BH1206,0),2)</f>
        <v>0</v>
      </c>
      <c r="AG1206" s="28">
        <f>ROUND(IF(AQ1206="2",BI1206,0),2)</f>
        <v>0</v>
      </c>
      <c r="AH1206" s="28">
        <f>ROUND(IF(AQ1206="0",BJ1206,0),2)</f>
        <v>0</v>
      </c>
      <c r="AI1206" s="10" t="s">
        <v>2065</v>
      </c>
      <c r="AJ1206" s="28">
        <f>IF(AN1206=0,J1206,0)</f>
        <v>0</v>
      </c>
      <c r="AK1206" s="28">
        <f>IF(AN1206=12,J1206,0)</f>
        <v>0</v>
      </c>
      <c r="AL1206" s="28">
        <f>IF(AN1206=21,J1206,0)</f>
        <v>0</v>
      </c>
      <c r="AN1206" s="28">
        <v>21</v>
      </c>
      <c r="AO1206" s="28">
        <f>G1206*0.875004763</f>
        <v>0</v>
      </c>
      <c r="AP1206" s="28">
        <f>G1206*(1-0.875004763)</f>
        <v>0</v>
      </c>
      <c r="AQ1206" s="30" t="s">
        <v>56</v>
      </c>
      <c r="AV1206" s="28">
        <f>ROUND(AW1206+AX1206,2)</f>
        <v>0</v>
      </c>
      <c r="AW1206" s="28">
        <f>ROUND(F1206*AO1206,2)</f>
        <v>0</v>
      </c>
      <c r="AX1206" s="28">
        <f>ROUND(F1206*AP1206,2)</f>
        <v>0</v>
      </c>
      <c r="AY1206" s="30" t="s">
        <v>535</v>
      </c>
      <c r="AZ1206" s="30" t="s">
        <v>2109</v>
      </c>
      <c r="BA1206" s="10" t="s">
        <v>2070</v>
      </c>
      <c r="BC1206" s="28">
        <f>AW1206+AX1206</f>
        <v>0</v>
      </c>
      <c r="BD1206" s="28">
        <f>G1206/(100-BE1206)*100</f>
        <v>0</v>
      </c>
      <c r="BE1206" s="28">
        <v>0</v>
      </c>
      <c r="BF1206" s="28">
        <f>1214</f>
        <v>1214</v>
      </c>
      <c r="BH1206" s="28">
        <f>F1206*AO1206</f>
        <v>0</v>
      </c>
      <c r="BI1206" s="28">
        <f>F1206*AP1206</f>
        <v>0</v>
      </c>
      <c r="BJ1206" s="28">
        <f>F1206*G1206</f>
        <v>0</v>
      </c>
      <c r="BK1206" s="28"/>
      <c r="BL1206" s="28">
        <v>89</v>
      </c>
      <c r="BW1206" s="28">
        <v>21</v>
      </c>
      <c r="BX1206" s="4" t="s">
        <v>557</v>
      </c>
    </row>
    <row r="1207" spans="1:76" ht="38.25" x14ac:dyDescent="0.25">
      <c r="A1207" s="31"/>
      <c r="B1207" s="35" t="s">
        <v>68</v>
      </c>
      <c r="C1207" s="94" t="s">
        <v>558</v>
      </c>
      <c r="D1207" s="95"/>
      <c r="E1207" s="95"/>
      <c r="F1207" s="95"/>
      <c r="G1207" s="95"/>
      <c r="H1207" s="95"/>
      <c r="I1207" s="95"/>
      <c r="J1207" s="95"/>
      <c r="K1207" s="96"/>
      <c r="BX1207" s="36" t="s">
        <v>558</v>
      </c>
    </row>
    <row r="1208" spans="1:76" x14ac:dyDescent="0.25">
      <c r="A1208" s="2" t="s">
        <v>2117</v>
      </c>
      <c r="B1208" s="3" t="s">
        <v>2118</v>
      </c>
      <c r="C1208" s="76" t="s">
        <v>2119</v>
      </c>
      <c r="D1208" s="71"/>
      <c r="E1208" s="3" t="s">
        <v>188</v>
      </c>
      <c r="F1208" s="28">
        <v>65</v>
      </c>
      <c r="G1208" s="28">
        <v>0</v>
      </c>
      <c r="H1208" s="28">
        <f>ROUND(F1208*AO1208,2)</f>
        <v>0</v>
      </c>
      <c r="I1208" s="28">
        <f>ROUND(F1208*AP1208,2)</f>
        <v>0</v>
      </c>
      <c r="J1208" s="28">
        <f>ROUND(F1208*G1208,2)</f>
        <v>0</v>
      </c>
      <c r="K1208" s="29" t="s">
        <v>60</v>
      </c>
      <c r="Z1208" s="28">
        <f>ROUND(IF(AQ1208="5",BJ1208,0),2)</f>
        <v>0</v>
      </c>
      <c r="AB1208" s="28">
        <f>ROUND(IF(AQ1208="1",BH1208,0),2)</f>
        <v>0</v>
      </c>
      <c r="AC1208" s="28">
        <f>ROUND(IF(AQ1208="1",BI1208,0),2)</f>
        <v>0</v>
      </c>
      <c r="AD1208" s="28">
        <f>ROUND(IF(AQ1208="7",BH1208,0),2)</f>
        <v>0</v>
      </c>
      <c r="AE1208" s="28">
        <f>ROUND(IF(AQ1208="7",BI1208,0),2)</f>
        <v>0</v>
      </c>
      <c r="AF1208" s="28">
        <f>ROUND(IF(AQ1208="2",BH1208,0),2)</f>
        <v>0</v>
      </c>
      <c r="AG1208" s="28">
        <f>ROUND(IF(AQ1208="2",BI1208,0),2)</f>
        <v>0</v>
      </c>
      <c r="AH1208" s="28">
        <f>ROUND(IF(AQ1208="0",BJ1208,0),2)</f>
        <v>0</v>
      </c>
      <c r="AI1208" s="10" t="s">
        <v>2065</v>
      </c>
      <c r="AJ1208" s="28">
        <f>IF(AN1208=0,J1208,0)</f>
        <v>0</v>
      </c>
      <c r="AK1208" s="28">
        <f>IF(AN1208=12,J1208,0)</f>
        <v>0</v>
      </c>
      <c r="AL1208" s="28">
        <f>IF(AN1208=21,J1208,0)</f>
        <v>0</v>
      </c>
      <c r="AN1208" s="28">
        <v>21</v>
      </c>
      <c r="AO1208" s="28">
        <f>G1208*0</f>
        <v>0</v>
      </c>
      <c r="AP1208" s="28">
        <f>G1208*(1-0)</f>
        <v>0</v>
      </c>
      <c r="AQ1208" s="30" t="s">
        <v>56</v>
      </c>
      <c r="AV1208" s="28">
        <f>ROUND(AW1208+AX1208,2)</f>
        <v>0</v>
      </c>
      <c r="AW1208" s="28">
        <f>ROUND(F1208*AO1208,2)</f>
        <v>0</v>
      </c>
      <c r="AX1208" s="28">
        <f>ROUND(F1208*AP1208,2)</f>
        <v>0</v>
      </c>
      <c r="AY1208" s="30" t="s">
        <v>535</v>
      </c>
      <c r="AZ1208" s="30" t="s">
        <v>2109</v>
      </c>
      <c r="BA1208" s="10" t="s">
        <v>2070</v>
      </c>
      <c r="BC1208" s="28">
        <f>AW1208+AX1208</f>
        <v>0</v>
      </c>
      <c r="BD1208" s="28">
        <f>G1208/(100-BE1208)*100</f>
        <v>0</v>
      </c>
      <c r="BE1208" s="28">
        <v>0</v>
      </c>
      <c r="BF1208" s="28">
        <f>1216</f>
        <v>1216</v>
      </c>
      <c r="BH1208" s="28">
        <f>F1208*AO1208</f>
        <v>0</v>
      </c>
      <c r="BI1208" s="28">
        <f>F1208*AP1208</f>
        <v>0</v>
      </c>
      <c r="BJ1208" s="28">
        <f>F1208*G1208</f>
        <v>0</v>
      </c>
      <c r="BK1208" s="28"/>
      <c r="BL1208" s="28">
        <v>89</v>
      </c>
      <c r="BW1208" s="28">
        <v>21</v>
      </c>
      <c r="BX1208" s="4" t="s">
        <v>2119</v>
      </c>
    </row>
    <row r="1209" spans="1:76" x14ac:dyDescent="0.25">
      <c r="A1209" s="2" t="s">
        <v>2120</v>
      </c>
      <c r="B1209" s="3" t="s">
        <v>2121</v>
      </c>
      <c r="C1209" s="76" t="s">
        <v>2122</v>
      </c>
      <c r="D1209" s="71"/>
      <c r="E1209" s="3" t="s">
        <v>293</v>
      </c>
      <c r="F1209" s="28">
        <v>3</v>
      </c>
      <c r="G1209" s="28">
        <v>0</v>
      </c>
      <c r="H1209" s="28">
        <f>ROUND(F1209*AO1209,2)</f>
        <v>0</v>
      </c>
      <c r="I1209" s="28">
        <f>ROUND(F1209*AP1209,2)</f>
        <v>0</v>
      </c>
      <c r="J1209" s="28">
        <f>ROUND(F1209*G1209,2)</f>
        <v>0</v>
      </c>
      <c r="K1209" s="29" t="s">
        <v>60</v>
      </c>
      <c r="Z1209" s="28">
        <f>ROUND(IF(AQ1209="5",BJ1209,0),2)</f>
        <v>0</v>
      </c>
      <c r="AB1209" s="28">
        <f>ROUND(IF(AQ1209="1",BH1209,0),2)</f>
        <v>0</v>
      </c>
      <c r="AC1209" s="28">
        <f>ROUND(IF(AQ1209="1",BI1209,0),2)</f>
        <v>0</v>
      </c>
      <c r="AD1209" s="28">
        <f>ROUND(IF(AQ1209="7",BH1209,0),2)</f>
        <v>0</v>
      </c>
      <c r="AE1209" s="28">
        <f>ROUND(IF(AQ1209="7",BI1209,0),2)</f>
        <v>0</v>
      </c>
      <c r="AF1209" s="28">
        <f>ROUND(IF(AQ1209="2",BH1209,0),2)</f>
        <v>0</v>
      </c>
      <c r="AG1209" s="28">
        <f>ROUND(IF(AQ1209="2",BI1209,0),2)</f>
        <v>0</v>
      </c>
      <c r="AH1209" s="28">
        <f>ROUND(IF(AQ1209="0",BJ1209,0),2)</f>
        <v>0</v>
      </c>
      <c r="AI1209" s="10" t="s">
        <v>2065</v>
      </c>
      <c r="AJ1209" s="28">
        <f>IF(AN1209=0,J1209,0)</f>
        <v>0</v>
      </c>
      <c r="AK1209" s="28">
        <f>IF(AN1209=12,J1209,0)</f>
        <v>0</v>
      </c>
      <c r="AL1209" s="28">
        <f>IF(AN1209=21,J1209,0)</f>
        <v>0</v>
      </c>
      <c r="AN1209" s="28">
        <v>21</v>
      </c>
      <c r="AO1209" s="28">
        <f>G1209*0</f>
        <v>0</v>
      </c>
      <c r="AP1209" s="28">
        <f>G1209*(1-0)</f>
        <v>0</v>
      </c>
      <c r="AQ1209" s="30" t="s">
        <v>56</v>
      </c>
      <c r="AV1209" s="28">
        <f>ROUND(AW1209+AX1209,2)</f>
        <v>0</v>
      </c>
      <c r="AW1209" s="28">
        <f>ROUND(F1209*AO1209,2)</f>
        <v>0</v>
      </c>
      <c r="AX1209" s="28">
        <f>ROUND(F1209*AP1209,2)</f>
        <v>0</v>
      </c>
      <c r="AY1209" s="30" t="s">
        <v>535</v>
      </c>
      <c r="AZ1209" s="30" t="s">
        <v>2109</v>
      </c>
      <c r="BA1209" s="10" t="s">
        <v>2070</v>
      </c>
      <c r="BC1209" s="28">
        <f>AW1209+AX1209</f>
        <v>0</v>
      </c>
      <c r="BD1209" s="28">
        <f>G1209/(100-BE1209)*100</f>
        <v>0</v>
      </c>
      <c r="BE1209" s="28">
        <v>0</v>
      </c>
      <c r="BF1209" s="28">
        <f>1217</f>
        <v>1217</v>
      </c>
      <c r="BH1209" s="28">
        <f>F1209*AO1209</f>
        <v>0</v>
      </c>
      <c r="BI1209" s="28">
        <f>F1209*AP1209</f>
        <v>0</v>
      </c>
      <c r="BJ1209" s="28">
        <f>F1209*G1209</f>
        <v>0</v>
      </c>
      <c r="BK1209" s="28"/>
      <c r="BL1209" s="28">
        <v>89</v>
      </c>
      <c r="BW1209" s="28">
        <v>21</v>
      </c>
      <c r="BX1209" s="4" t="s">
        <v>2122</v>
      </c>
    </row>
    <row r="1210" spans="1:76" x14ac:dyDescent="0.25">
      <c r="A1210" s="31"/>
      <c r="C1210" s="32" t="s">
        <v>80</v>
      </c>
      <c r="D1210" s="32" t="s">
        <v>51</v>
      </c>
      <c r="F1210" s="33">
        <v>3</v>
      </c>
      <c r="K1210" s="34"/>
    </row>
    <row r="1211" spans="1:76" ht="38.25" x14ac:dyDescent="0.25">
      <c r="A1211" s="31"/>
      <c r="B1211" s="35" t="s">
        <v>68</v>
      </c>
      <c r="C1211" s="94" t="s">
        <v>2123</v>
      </c>
      <c r="D1211" s="95"/>
      <c r="E1211" s="95"/>
      <c r="F1211" s="95"/>
      <c r="G1211" s="95"/>
      <c r="H1211" s="95"/>
      <c r="I1211" s="95"/>
      <c r="J1211" s="95"/>
      <c r="K1211" s="96"/>
      <c r="BX1211" s="36" t="s">
        <v>2123</v>
      </c>
    </row>
    <row r="1212" spans="1:76" x14ac:dyDescent="0.25">
      <c r="A1212" s="2" t="s">
        <v>2124</v>
      </c>
      <c r="B1212" s="3" t="s">
        <v>2125</v>
      </c>
      <c r="C1212" s="76" t="s">
        <v>2126</v>
      </c>
      <c r="D1212" s="71"/>
      <c r="E1212" s="3" t="s">
        <v>293</v>
      </c>
      <c r="F1212" s="28">
        <v>3</v>
      </c>
      <c r="G1212" s="28">
        <v>0</v>
      </c>
      <c r="H1212" s="28">
        <f>ROUND(F1212*AO1212,2)</f>
        <v>0</v>
      </c>
      <c r="I1212" s="28">
        <f>ROUND(F1212*AP1212,2)</f>
        <v>0</v>
      </c>
      <c r="J1212" s="28">
        <f>ROUND(F1212*G1212,2)</f>
        <v>0</v>
      </c>
      <c r="K1212" s="29" t="s">
        <v>60</v>
      </c>
      <c r="Z1212" s="28">
        <f>ROUND(IF(AQ1212="5",BJ1212,0),2)</f>
        <v>0</v>
      </c>
      <c r="AB1212" s="28">
        <f>ROUND(IF(AQ1212="1",BH1212,0),2)</f>
        <v>0</v>
      </c>
      <c r="AC1212" s="28">
        <f>ROUND(IF(AQ1212="1",BI1212,0),2)</f>
        <v>0</v>
      </c>
      <c r="AD1212" s="28">
        <f>ROUND(IF(AQ1212="7",BH1212,0),2)</f>
        <v>0</v>
      </c>
      <c r="AE1212" s="28">
        <f>ROUND(IF(AQ1212="7",BI1212,0),2)</f>
        <v>0</v>
      </c>
      <c r="AF1212" s="28">
        <f>ROUND(IF(AQ1212="2",BH1212,0),2)</f>
        <v>0</v>
      </c>
      <c r="AG1212" s="28">
        <f>ROUND(IF(AQ1212="2",BI1212,0),2)</f>
        <v>0</v>
      </c>
      <c r="AH1212" s="28">
        <f>ROUND(IF(AQ1212="0",BJ1212,0),2)</f>
        <v>0</v>
      </c>
      <c r="AI1212" s="10" t="s">
        <v>2065</v>
      </c>
      <c r="AJ1212" s="28">
        <f>IF(AN1212=0,J1212,0)</f>
        <v>0</v>
      </c>
      <c r="AK1212" s="28">
        <f>IF(AN1212=12,J1212,0)</f>
        <v>0</v>
      </c>
      <c r="AL1212" s="28">
        <f>IF(AN1212=21,J1212,0)</f>
        <v>0</v>
      </c>
      <c r="AN1212" s="28">
        <v>21</v>
      </c>
      <c r="AO1212" s="28">
        <f>G1212*1</f>
        <v>0</v>
      </c>
      <c r="AP1212" s="28">
        <f>G1212*(1-1)</f>
        <v>0</v>
      </c>
      <c r="AQ1212" s="30" t="s">
        <v>56</v>
      </c>
      <c r="AV1212" s="28">
        <f>ROUND(AW1212+AX1212,2)</f>
        <v>0</v>
      </c>
      <c r="AW1212" s="28">
        <f>ROUND(F1212*AO1212,2)</f>
        <v>0</v>
      </c>
      <c r="AX1212" s="28">
        <f>ROUND(F1212*AP1212,2)</f>
        <v>0</v>
      </c>
      <c r="AY1212" s="30" t="s">
        <v>535</v>
      </c>
      <c r="AZ1212" s="30" t="s">
        <v>2109</v>
      </c>
      <c r="BA1212" s="10" t="s">
        <v>2070</v>
      </c>
      <c r="BC1212" s="28">
        <f>AW1212+AX1212</f>
        <v>0</v>
      </c>
      <c r="BD1212" s="28">
        <f>G1212/(100-BE1212)*100</f>
        <v>0</v>
      </c>
      <c r="BE1212" s="28">
        <v>0</v>
      </c>
      <c r="BF1212" s="28">
        <f>1220</f>
        <v>1220</v>
      </c>
      <c r="BH1212" s="28">
        <f>F1212*AO1212</f>
        <v>0</v>
      </c>
      <c r="BI1212" s="28">
        <f>F1212*AP1212</f>
        <v>0</v>
      </c>
      <c r="BJ1212" s="28">
        <f>F1212*G1212</f>
        <v>0</v>
      </c>
      <c r="BK1212" s="28"/>
      <c r="BL1212" s="28">
        <v>89</v>
      </c>
      <c r="BW1212" s="28">
        <v>21</v>
      </c>
      <c r="BX1212" s="4" t="s">
        <v>2126</v>
      </c>
    </row>
    <row r="1213" spans="1:76" x14ac:dyDescent="0.25">
      <c r="A1213" s="2" t="s">
        <v>2127</v>
      </c>
      <c r="B1213" s="3" t="s">
        <v>299</v>
      </c>
      <c r="C1213" s="76" t="s">
        <v>300</v>
      </c>
      <c r="D1213" s="71"/>
      <c r="E1213" s="3" t="s">
        <v>293</v>
      </c>
      <c r="F1213" s="28">
        <v>3</v>
      </c>
      <c r="G1213" s="28">
        <v>0</v>
      </c>
      <c r="H1213" s="28">
        <f>ROUND(F1213*AO1213,2)</f>
        <v>0</v>
      </c>
      <c r="I1213" s="28">
        <f>ROUND(F1213*AP1213,2)</f>
        <v>0</v>
      </c>
      <c r="J1213" s="28">
        <f>ROUND(F1213*G1213,2)</f>
        <v>0</v>
      </c>
      <c r="K1213" s="29" t="s">
        <v>60</v>
      </c>
      <c r="Z1213" s="28">
        <f>ROUND(IF(AQ1213="5",BJ1213,0),2)</f>
        <v>0</v>
      </c>
      <c r="AB1213" s="28">
        <f>ROUND(IF(AQ1213="1",BH1213,0),2)</f>
        <v>0</v>
      </c>
      <c r="AC1213" s="28">
        <f>ROUND(IF(AQ1213="1",BI1213,0),2)</f>
        <v>0</v>
      </c>
      <c r="AD1213" s="28">
        <f>ROUND(IF(AQ1213="7",BH1213,0),2)</f>
        <v>0</v>
      </c>
      <c r="AE1213" s="28">
        <f>ROUND(IF(AQ1213="7",BI1213,0),2)</f>
        <v>0</v>
      </c>
      <c r="AF1213" s="28">
        <f>ROUND(IF(AQ1213="2",BH1213,0),2)</f>
        <v>0</v>
      </c>
      <c r="AG1213" s="28">
        <f>ROUND(IF(AQ1213="2",BI1213,0),2)</f>
        <v>0</v>
      </c>
      <c r="AH1213" s="28">
        <f>ROUND(IF(AQ1213="0",BJ1213,0),2)</f>
        <v>0</v>
      </c>
      <c r="AI1213" s="10" t="s">
        <v>2065</v>
      </c>
      <c r="AJ1213" s="28">
        <f>IF(AN1213=0,J1213,0)</f>
        <v>0</v>
      </c>
      <c r="AK1213" s="28">
        <f>IF(AN1213=12,J1213,0)</f>
        <v>0</v>
      </c>
      <c r="AL1213" s="28">
        <f>IF(AN1213=21,J1213,0)</f>
        <v>0</v>
      </c>
      <c r="AN1213" s="28">
        <v>21</v>
      </c>
      <c r="AO1213" s="28">
        <f>G1213*1</f>
        <v>0</v>
      </c>
      <c r="AP1213" s="28">
        <f>G1213*(1-1)</f>
        <v>0</v>
      </c>
      <c r="AQ1213" s="30" t="s">
        <v>56</v>
      </c>
      <c r="AV1213" s="28">
        <f>ROUND(AW1213+AX1213,2)</f>
        <v>0</v>
      </c>
      <c r="AW1213" s="28">
        <f>ROUND(F1213*AO1213,2)</f>
        <v>0</v>
      </c>
      <c r="AX1213" s="28">
        <f>ROUND(F1213*AP1213,2)</f>
        <v>0</v>
      </c>
      <c r="AY1213" s="30" t="s">
        <v>535</v>
      </c>
      <c r="AZ1213" s="30" t="s">
        <v>2109</v>
      </c>
      <c r="BA1213" s="10" t="s">
        <v>2070</v>
      </c>
      <c r="BC1213" s="28">
        <f>AW1213+AX1213</f>
        <v>0</v>
      </c>
      <c r="BD1213" s="28">
        <f>G1213/(100-BE1213)*100</f>
        <v>0</v>
      </c>
      <c r="BE1213" s="28">
        <v>0</v>
      </c>
      <c r="BF1213" s="28">
        <f>1221</f>
        <v>1221</v>
      </c>
      <c r="BH1213" s="28">
        <f>F1213*AO1213</f>
        <v>0</v>
      </c>
      <c r="BI1213" s="28">
        <f>F1213*AP1213</f>
        <v>0</v>
      </c>
      <c r="BJ1213" s="28">
        <f>F1213*G1213</f>
        <v>0</v>
      </c>
      <c r="BK1213" s="28"/>
      <c r="BL1213" s="28">
        <v>89</v>
      </c>
      <c r="BW1213" s="28">
        <v>21</v>
      </c>
      <c r="BX1213" s="4" t="s">
        <v>300</v>
      </c>
    </row>
    <row r="1214" spans="1:76" x14ac:dyDescent="0.25">
      <c r="A1214" s="2" t="s">
        <v>2128</v>
      </c>
      <c r="B1214" s="3" t="s">
        <v>538</v>
      </c>
      <c r="C1214" s="76" t="s">
        <v>539</v>
      </c>
      <c r="D1214" s="71"/>
      <c r="E1214" s="3" t="s">
        <v>293</v>
      </c>
      <c r="F1214" s="28">
        <v>3</v>
      </c>
      <c r="G1214" s="28">
        <v>0</v>
      </c>
      <c r="H1214" s="28">
        <f>ROUND(F1214*AO1214,2)</f>
        <v>0</v>
      </c>
      <c r="I1214" s="28">
        <f>ROUND(F1214*AP1214,2)</f>
        <v>0</v>
      </c>
      <c r="J1214" s="28">
        <f>ROUND(F1214*G1214,2)</f>
        <v>0</v>
      </c>
      <c r="K1214" s="29" t="s">
        <v>60</v>
      </c>
      <c r="Z1214" s="28">
        <f>ROUND(IF(AQ1214="5",BJ1214,0),2)</f>
        <v>0</v>
      </c>
      <c r="AB1214" s="28">
        <f>ROUND(IF(AQ1214="1",BH1214,0),2)</f>
        <v>0</v>
      </c>
      <c r="AC1214" s="28">
        <f>ROUND(IF(AQ1214="1",BI1214,0),2)</f>
        <v>0</v>
      </c>
      <c r="AD1214" s="28">
        <f>ROUND(IF(AQ1214="7",BH1214,0),2)</f>
        <v>0</v>
      </c>
      <c r="AE1214" s="28">
        <f>ROUND(IF(AQ1214="7",BI1214,0),2)</f>
        <v>0</v>
      </c>
      <c r="AF1214" s="28">
        <f>ROUND(IF(AQ1214="2",BH1214,0),2)</f>
        <v>0</v>
      </c>
      <c r="AG1214" s="28">
        <f>ROUND(IF(AQ1214="2",BI1214,0),2)</f>
        <v>0</v>
      </c>
      <c r="AH1214" s="28">
        <f>ROUND(IF(AQ1214="0",BJ1214,0),2)</f>
        <v>0</v>
      </c>
      <c r="AI1214" s="10" t="s">
        <v>2065</v>
      </c>
      <c r="AJ1214" s="28">
        <f>IF(AN1214=0,J1214,0)</f>
        <v>0</v>
      </c>
      <c r="AK1214" s="28">
        <f>IF(AN1214=12,J1214,0)</f>
        <v>0</v>
      </c>
      <c r="AL1214" s="28">
        <f>IF(AN1214=21,J1214,0)</f>
        <v>0</v>
      </c>
      <c r="AN1214" s="28">
        <v>21</v>
      </c>
      <c r="AO1214" s="28">
        <f>G1214*1</f>
        <v>0</v>
      </c>
      <c r="AP1214" s="28">
        <f>G1214*(1-1)</f>
        <v>0</v>
      </c>
      <c r="AQ1214" s="30" t="s">
        <v>56</v>
      </c>
      <c r="AV1214" s="28">
        <f>ROUND(AW1214+AX1214,2)</f>
        <v>0</v>
      </c>
      <c r="AW1214" s="28">
        <f>ROUND(F1214*AO1214,2)</f>
        <v>0</v>
      </c>
      <c r="AX1214" s="28">
        <f>ROUND(F1214*AP1214,2)</f>
        <v>0</v>
      </c>
      <c r="AY1214" s="30" t="s">
        <v>535</v>
      </c>
      <c r="AZ1214" s="30" t="s">
        <v>2109</v>
      </c>
      <c r="BA1214" s="10" t="s">
        <v>2070</v>
      </c>
      <c r="BC1214" s="28">
        <f>AW1214+AX1214</f>
        <v>0</v>
      </c>
      <c r="BD1214" s="28">
        <f>G1214/(100-BE1214)*100</f>
        <v>0</v>
      </c>
      <c r="BE1214" s="28">
        <v>0</v>
      </c>
      <c r="BF1214" s="28">
        <f>1223</f>
        <v>1223</v>
      </c>
      <c r="BH1214" s="28">
        <f>F1214*AO1214</f>
        <v>0</v>
      </c>
      <c r="BI1214" s="28">
        <f>F1214*AP1214</f>
        <v>0</v>
      </c>
      <c r="BJ1214" s="28">
        <f>F1214*G1214</f>
        <v>0</v>
      </c>
      <c r="BK1214" s="28"/>
      <c r="BL1214" s="28">
        <v>89</v>
      </c>
      <c r="BW1214" s="28">
        <v>21</v>
      </c>
      <c r="BX1214" s="4" t="s">
        <v>539</v>
      </c>
    </row>
    <row r="1215" spans="1:76" x14ac:dyDescent="0.25">
      <c r="A1215" s="2" t="s">
        <v>2129</v>
      </c>
      <c r="B1215" s="3" t="s">
        <v>2130</v>
      </c>
      <c r="C1215" s="76" t="s">
        <v>2131</v>
      </c>
      <c r="D1215" s="71"/>
      <c r="E1215" s="3" t="s">
        <v>293</v>
      </c>
      <c r="F1215" s="28">
        <v>3</v>
      </c>
      <c r="G1215" s="28">
        <v>0</v>
      </c>
      <c r="H1215" s="28">
        <f>ROUND(F1215*AO1215,2)</f>
        <v>0</v>
      </c>
      <c r="I1215" s="28">
        <f>ROUND(F1215*AP1215,2)</f>
        <v>0</v>
      </c>
      <c r="J1215" s="28">
        <f>ROUND(F1215*G1215,2)</f>
        <v>0</v>
      </c>
      <c r="K1215" s="29" t="s">
        <v>60</v>
      </c>
      <c r="Z1215" s="28">
        <f>ROUND(IF(AQ1215="5",BJ1215,0),2)</f>
        <v>0</v>
      </c>
      <c r="AB1215" s="28">
        <f>ROUND(IF(AQ1215="1",BH1215,0),2)</f>
        <v>0</v>
      </c>
      <c r="AC1215" s="28">
        <f>ROUND(IF(AQ1215="1",BI1215,0),2)</f>
        <v>0</v>
      </c>
      <c r="AD1215" s="28">
        <f>ROUND(IF(AQ1215="7",BH1215,0),2)</f>
        <v>0</v>
      </c>
      <c r="AE1215" s="28">
        <f>ROUND(IF(AQ1215="7",BI1215,0),2)</f>
        <v>0</v>
      </c>
      <c r="AF1215" s="28">
        <f>ROUND(IF(AQ1215="2",BH1215,0),2)</f>
        <v>0</v>
      </c>
      <c r="AG1215" s="28">
        <f>ROUND(IF(AQ1215="2",BI1215,0),2)</f>
        <v>0</v>
      </c>
      <c r="AH1215" s="28">
        <f>ROUND(IF(AQ1215="0",BJ1215,0),2)</f>
        <v>0</v>
      </c>
      <c r="AI1215" s="10" t="s">
        <v>2065</v>
      </c>
      <c r="AJ1215" s="28">
        <f>IF(AN1215=0,J1215,0)</f>
        <v>0</v>
      </c>
      <c r="AK1215" s="28">
        <f>IF(AN1215=12,J1215,0)</f>
        <v>0</v>
      </c>
      <c r="AL1215" s="28">
        <f>IF(AN1215=21,J1215,0)</f>
        <v>0</v>
      </c>
      <c r="AN1215" s="28">
        <v>21</v>
      </c>
      <c r="AO1215" s="28">
        <f>G1215*1</f>
        <v>0</v>
      </c>
      <c r="AP1215" s="28">
        <f>G1215*(1-1)</f>
        <v>0</v>
      </c>
      <c r="AQ1215" s="30" t="s">
        <v>56</v>
      </c>
      <c r="AV1215" s="28">
        <f>ROUND(AW1215+AX1215,2)</f>
        <v>0</v>
      </c>
      <c r="AW1215" s="28">
        <f>ROUND(F1215*AO1215,2)</f>
        <v>0</v>
      </c>
      <c r="AX1215" s="28">
        <f>ROUND(F1215*AP1215,2)</f>
        <v>0</v>
      </c>
      <c r="AY1215" s="30" t="s">
        <v>535</v>
      </c>
      <c r="AZ1215" s="30" t="s">
        <v>2109</v>
      </c>
      <c r="BA1215" s="10" t="s">
        <v>2070</v>
      </c>
      <c r="BC1215" s="28">
        <f>AW1215+AX1215</f>
        <v>0</v>
      </c>
      <c r="BD1215" s="28">
        <f>G1215/(100-BE1215)*100</f>
        <v>0</v>
      </c>
      <c r="BE1215" s="28">
        <v>0</v>
      </c>
      <c r="BF1215" s="28">
        <f>1225</f>
        <v>1225</v>
      </c>
      <c r="BH1215" s="28">
        <f>F1215*AO1215</f>
        <v>0</v>
      </c>
      <c r="BI1215" s="28">
        <f>F1215*AP1215</f>
        <v>0</v>
      </c>
      <c r="BJ1215" s="28">
        <f>F1215*G1215</f>
        <v>0</v>
      </c>
      <c r="BK1215" s="28"/>
      <c r="BL1215" s="28">
        <v>89</v>
      </c>
      <c r="BW1215" s="28">
        <v>21</v>
      </c>
      <c r="BX1215" s="4" t="s">
        <v>2131</v>
      </c>
    </row>
    <row r="1216" spans="1:76" x14ac:dyDescent="0.25">
      <c r="A1216" s="2" t="s">
        <v>2132</v>
      </c>
      <c r="B1216" s="3" t="s">
        <v>2133</v>
      </c>
      <c r="C1216" s="76" t="s">
        <v>2134</v>
      </c>
      <c r="D1216" s="71"/>
      <c r="E1216" s="3" t="s">
        <v>293</v>
      </c>
      <c r="F1216" s="28">
        <v>3</v>
      </c>
      <c r="G1216" s="28">
        <v>0</v>
      </c>
      <c r="H1216" s="28">
        <f>ROUND(F1216*AO1216,2)</f>
        <v>0</v>
      </c>
      <c r="I1216" s="28">
        <f>ROUND(F1216*AP1216,2)</f>
        <v>0</v>
      </c>
      <c r="J1216" s="28">
        <f>ROUND(F1216*G1216,2)</f>
        <v>0</v>
      </c>
      <c r="K1216" s="29" t="s">
        <v>424</v>
      </c>
      <c r="Z1216" s="28">
        <f>ROUND(IF(AQ1216="5",BJ1216,0),2)</f>
        <v>0</v>
      </c>
      <c r="AB1216" s="28">
        <f>ROUND(IF(AQ1216="1",BH1216,0),2)</f>
        <v>0</v>
      </c>
      <c r="AC1216" s="28">
        <f>ROUND(IF(AQ1216="1",BI1216,0),2)</f>
        <v>0</v>
      </c>
      <c r="AD1216" s="28">
        <f>ROUND(IF(AQ1216="7",BH1216,0),2)</f>
        <v>0</v>
      </c>
      <c r="AE1216" s="28">
        <f>ROUND(IF(AQ1216="7",BI1216,0),2)</f>
        <v>0</v>
      </c>
      <c r="AF1216" s="28">
        <f>ROUND(IF(AQ1216="2",BH1216,0),2)</f>
        <v>0</v>
      </c>
      <c r="AG1216" s="28">
        <f>ROUND(IF(AQ1216="2",BI1216,0),2)</f>
        <v>0</v>
      </c>
      <c r="AH1216" s="28">
        <f>ROUND(IF(AQ1216="0",BJ1216,0),2)</f>
        <v>0</v>
      </c>
      <c r="AI1216" s="10" t="s">
        <v>2065</v>
      </c>
      <c r="AJ1216" s="28">
        <f>IF(AN1216=0,J1216,0)</f>
        <v>0</v>
      </c>
      <c r="AK1216" s="28">
        <f>IF(AN1216=12,J1216,0)</f>
        <v>0</v>
      </c>
      <c r="AL1216" s="28">
        <f>IF(AN1216=21,J1216,0)</f>
        <v>0</v>
      </c>
      <c r="AN1216" s="28">
        <v>21</v>
      </c>
      <c r="AO1216" s="28">
        <f>G1216*1</f>
        <v>0</v>
      </c>
      <c r="AP1216" s="28">
        <f>G1216*(1-1)</f>
        <v>0</v>
      </c>
      <c r="AQ1216" s="30" t="s">
        <v>56</v>
      </c>
      <c r="AV1216" s="28">
        <f>ROUND(AW1216+AX1216,2)</f>
        <v>0</v>
      </c>
      <c r="AW1216" s="28">
        <f>ROUND(F1216*AO1216,2)</f>
        <v>0</v>
      </c>
      <c r="AX1216" s="28">
        <f>ROUND(F1216*AP1216,2)</f>
        <v>0</v>
      </c>
      <c r="AY1216" s="30" t="s">
        <v>535</v>
      </c>
      <c r="AZ1216" s="30" t="s">
        <v>2109</v>
      </c>
      <c r="BA1216" s="10" t="s">
        <v>2070</v>
      </c>
      <c r="BC1216" s="28">
        <f>AW1216+AX1216</f>
        <v>0</v>
      </c>
      <c r="BD1216" s="28">
        <f>G1216/(100-BE1216)*100</f>
        <v>0</v>
      </c>
      <c r="BE1216" s="28">
        <v>0</v>
      </c>
      <c r="BF1216" s="28">
        <f>1227</f>
        <v>1227</v>
      </c>
      <c r="BH1216" s="28">
        <f>F1216*AO1216</f>
        <v>0</v>
      </c>
      <c r="BI1216" s="28">
        <f>F1216*AP1216</f>
        <v>0</v>
      </c>
      <c r="BJ1216" s="28">
        <f>F1216*G1216</f>
        <v>0</v>
      </c>
      <c r="BK1216" s="28"/>
      <c r="BL1216" s="28">
        <v>89</v>
      </c>
      <c r="BW1216" s="28">
        <v>21</v>
      </c>
      <c r="BX1216" s="4" t="s">
        <v>2134</v>
      </c>
    </row>
    <row r="1217" spans="1:76" x14ac:dyDescent="0.25">
      <c r="A1217" s="24" t="s">
        <v>51</v>
      </c>
      <c r="B1217" s="25" t="s">
        <v>2135</v>
      </c>
      <c r="C1217" s="87" t="s">
        <v>2136</v>
      </c>
      <c r="D1217" s="88"/>
      <c r="E1217" s="26" t="s">
        <v>4</v>
      </c>
      <c r="F1217" s="26" t="s">
        <v>4</v>
      </c>
      <c r="G1217" s="26" t="s">
        <v>4</v>
      </c>
      <c r="H1217" s="1">
        <f>SUM(H1218:H1218)</f>
        <v>0</v>
      </c>
      <c r="I1217" s="1">
        <f>SUM(I1218:I1218)</f>
        <v>0</v>
      </c>
      <c r="J1217" s="1">
        <f>SUM(J1218:J1218)</f>
        <v>0</v>
      </c>
      <c r="K1217" s="27" t="s">
        <v>51</v>
      </c>
      <c r="AI1217" s="10" t="s">
        <v>2065</v>
      </c>
      <c r="AS1217" s="1">
        <f>SUM(AJ1218:AJ1218)</f>
        <v>0</v>
      </c>
      <c r="AT1217" s="1">
        <f>SUM(AK1218:AK1218)</f>
        <v>0</v>
      </c>
      <c r="AU1217" s="1">
        <f>SUM(AL1218:AL1218)</f>
        <v>0</v>
      </c>
    </row>
    <row r="1218" spans="1:76" x14ac:dyDescent="0.25">
      <c r="A1218" s="2" t="s">
        <v>2137</v>
      </c>
      <c r="B1218" s="3" t="s">
        <v>2138</v>
      </c>
      <c r="C1218" s="76" t="s">
        <v>2139</v>
      </c>
      <c r="D1218" s="71"/>
      <c r="E1218" s="3" t="s">
        <v>201</v>
      </c>
      <c r="F1218" s="28">
        <v>340.92</v>
      </c>
      <c r="G1218" s="28">
        <v>0</v>
      </c>
      <c r="H1218" s="28">
        <f>ROUND(F1218*AO1218,2)</f>
        <v>0</v>
      </c>
      <c r="I1218" s="28">
        <f>ROUND(F1218*AP1218,2)</f>
        <v>0</v>
      </c>
      <c r="J1218" s="28">
        <f>ROUND(F1218*G1218,2)</f>
        <v>0</v>
      </c>
      <c r="K1218" s="29" t="s">
        <v>60</v>
      </c>
      <c r="Z1218" s="28">
        <f>ROUND(IF(AQ1218="5",BJ1218,0),2)</f>
        <v>0</v>
      </c>
      <c r="AB1218" s="28">
        <f>ROUND(IF(AQ1218="1",BH1218,0),2)</f>
        <v>0</v>
      </c>
      <c r="AC1218" s="28">
        <f>ROUND(IF(AQ1218="1",BI1218,0),2)</f>
        <v>0</v>
      </c>
      <c r="AD1218" s="28">
        <f>ROUND(IF(AQ1218="7",BH1218,0),2)</f>
        <v>0</v>
      </c>
      <c r="AE1218" s="28">
        <f>ROUND(IF(AQ1218="7",BI1218,0),2)</f>
        <v>0</v>
      </c>
      <c r="AF1218" s="28">
        <f>ROUND(IF(AQ1218="2",BH1218,0),2)</f>
        <v>0</v>
      </c>
      <c r="AG1218" s="28">
        <f>ROUND(IF(AQ1218="2",BI1218,0),2)</f>
        <v>0</v>
      </c>
      <c r="AH1218" s="28">
        <f>ROUND(IF(AQ1218="0",BJ1218,0),2)</f>
        <v>0</v>
      </c>
      <c r="AI1218" s="10" t="s">
        <v>2065</v>
      </c>
      <c r="AJ1218" s="28">
        <f>IF(AN1218=0,J1218,0)</f>
        <v>0</v>
      </c>
      <c r="AK1218" s="28">
        <f>IF(AN1218=12,J1218,0)</f>
        <v>0</v>
      </c>
      <c r="AL1218" s="28">
        <f>IF(AN1218=21,J1218,0)</f>
        <v>0</v>
      </c>
      <c r="AN1218" s="28">
        <v>21</v>
      </c>
      <c r="AO1218" s="28">
        <f>G1218*0</f>
        <v>0</v>
      </c>
      <c r="AP1218" s="28">
        <f>G1218*(1-0)</f>
        <v>0</v>
      </c>
      <c r="AQ1218" s="30" t="s">
        <v>100</v>
      </c>
      <c r="AV1218" s="28">
        <f>ROUND(AW1218+AX1218,2)</f>
        <v>0</v>
      </c>
      <c r="AW1218" s="28">
        <f>ROUND(F1218*AO1218,2)</f>
        <v>0</v>
      </c>
      <c r="AX1218" s="28">
        <f>ROUND(F1218*AP1218,2)</f>
        <v>0</v>
      </c>
      <c r="AY1218" s="30" t="s">
        <v>2140</v>
      </c>
      <c r="AZ1218" s="30" t="s">
        <v>2141</v>
      </c>
      <c r="BA1218" s="10" t="s">
        <v>2070</v>
      </c>
      <c r="BC1218" s="28">
        <f>AW1218+AX1218</f>
        <v>0</v>
      </c>
      <c r="BD1218" s="28">
        <f>G1218/(100-BE1218)*100</f>
        <v>0</v>
      </c>
      <c r="BE1218" s="28">
        <v>0</v>
      </c>
      <c r="BF1218" s="28">
        <f>1229</f>
        <v>1229</v>
      </c>
      <c r="BH1218" s="28">
        <f>F1218*AO1218</f>
        <v>0</v>
      </c>
      <c r="BI1218" s="28">
        <f>F1218*AP1218</f>
        <v>0</v>
      </c>
      <c r="BJ1218" s="28">
        <f>F1218*G1218</f>
        <v>0</v>
      </c>
      <c r="BK1218" s="28"/>
      <c r="BL1218" s="28"/>
      <c r="BW1218" s="28">
        <v>21</v>
      </c>
      <c r="BX1218" s="4" t="s">
        <v>2139</v>
      </c>
    </row>
    <row r="1219" spans="1:76" ht="63.75" x14ac:dyDescent="0.25">
      <c r="A1219" s="31"/>
      <c r="B1219" s="35" t="s">
        <v>68</v>
      </c>
      <c r="C1219" s="94" t="s">
        <v>2142</v>
      </c>
      <c r="D1219" s="95"/>
      <c r="E1219" s="95"/>
      <c r="F1219" s="95"/>
      <c r="G1219" s="95"/>
      <c r="H1219" s="95"/>
      <c r="I1219" s="95"/>
      <c r="J1219" s="95"/>
      <c r="K1219" s="96"/>
      <c r="BX1219" s="36" t="s">
        <v>2142</v>
      </c>
    </row>
    <row r="1220" spans="1:76" x14ac:dyDescent="0.25">
      <c r="A1220" s="24" t="s">
        <v>51</v>
      </c>
      <c r="B1220" s="25" t="s">
        <v>51</v>
      </c>
      <c r="C1220" s="87" t="s">
        <v>2143</v>
      </c>
      <c r="D1220" s="88"/>
      <c r="E1220" s="26" t="s">
        <v>4</v>
      </c>
      <c r="F1220" s="26" t="s">
        <v>4</v>
      </c>
      <c r="G1220" s="26" t="s">
        <v>4</v>
      </c>
      <c r="H1220" s="1">
        <f>H1221+H1224+H1251+H1294</f>
        <v>0</v>
      </c>
      <c r="I1220" s="1">
        <f>I1221+I1224+I1251+I1294</f>
        <v>0</v>
      </c>
      <c r="J1220" s="1">
        <f>J1221+J1224+J1251+J1294</f>
        <v>0</v>
      </c>
      <c r="K1220" s="27" t="s">
        <v>51</v>
      </c>
    </row>
    <row r="1221" spans="1:76" x14ac:dyDescent="0.25">
      <c r="A1221" s="24" t="s">
        <v>51</v>
      </c>
      <c r="B1221" s="25" t="s">
        <v>601</v>
      </c>
      <c r="C1221" s="87" t="s">
        <v>625</v>
      </c>
      <c r="D1221" s="88"/>
      <c r="E1221" s="26" t="s">
        <v>4</v>
      </c>
      <c r="F1221" s="26" t="s">
        <v>4</v>
      </c>
      <c r="G1221" s="26" t="s">
        <v>4</v>
      </c>
      <c r="H1221" s="1">
        <f>SUM(H1222:H1222)</f>
        <v>0</v>
      </c>
      <c r="I1221" s="1">
        <f>SUM(I1222:I1222)</f>
        <v>0</v>
      </c>
      <c r="J1221" s="1">
        <f>SUM(J1222:J1222)</f>
        <v>0</v>
      </c>
      <c r="K1221" s="27" t="s">
        <v>51</v>
      </c>
      <c r="AI1221" s="10" t="s">
        <v>2144</v>
      </c>
      <c r="AS1221" s="1">
        <f>SUM(AJ1222:AJ1222)</f>
        <v>0</v>
      </c>
      <c r="AT1221" s="1">
        <f>SUM(AK1222:AK1222)</f>
        <v>0</v>
      </c>
      <c r="AU1221" s="1">
        <f>SUM(AL1222:AL1222)</f>
        <v>0</v>
      </c>
    </row>
    <row r="1222" spans="1:76" x14ac:dyDescent="0.25">
      <c r="A1222" s="2" t="s">
        <v>2145</v>
      </c>
      <c r="B1222" s="3" t="s">
        <v>2146</v>
      </c>
      <c r="C1222" s="76" t="s">
        <v>2147</v>
      </c>
      <c r="D1222" s="71"/>
      <c r="E1222" s="3" t="s">
        <v>188</v>
      </c>
      <c r="F1222" s="28">
        <v>12</v>
      </c>
      <c r="G1222" s="28">
        <v>0</v>
      </c>
      <c r="H1222" s="28">
        <f>ROUND(F1222*AO1222,2)</f>
        <v>0</v>
      </c>
      <c r="I1222" s="28">
        <f>ROUND(F1222*AP1222,2)</f>
        <v>0</v>
      </c>
      <c r="J1222" s="28">
        <f>ROUND(F1222*G1222,2)</f>
        <v>0</v>
      </c>
      <c r="K1222" s="29" t="s">
        <v>60</v>
      </c>
      <c r="Z1222" s="28">
        <f>ROUND(IF(AQ1222="5",BJ1222,0),2)</f>
        <v>0</v>
      </c>
      <c r="AB1222" s="28">
        <f>ROUND(IF(AQ1222="1",BH1222,0),2)</f>
        <v>0</v>
      </c>
      <c r="AC1222" s="28">
        <f>ROUND(IF(AQ1222="1",BI1222,0),2)</f>
        <v>0</v>
      </c>
      <c r="AD1222" s="28">
        <f>ROUND(IF(AQ1222="7",BH1222,0),2)</f>
        <v>0</v>
      </c>
      <c r="AE1222" s="28">
        <f>ROUND(IF(AQ1222="7",BI1222,0),2)</f>
        <v>0</v>
      </c>
      <c r="AF1222" s="28">
        <f>ROUND(IF(AQ1222="2",BH1222,0),2)</f>
        <v>0</v>
      </c>
      <c r="AG1222" s="28">
        <f>ROUND(IF(AQ1222="2",BI1222,0),2)</f>
        <v>0</v>
      </c>
      <c r="AH1222" s="28">
        <f>ROUND(IF(AQ1222="0",BJ1222,0),2)</f>
        <v>0</v>
      </c>
      <c r="AI1222" s="10" t="s">
        <v>2144</v>
      </c>
      <c r="AJ1222" s="28">
        <f>IF(AN1222=0,J1222,0)</f>
        <v>0</v>
      </c>
      <c r="AK1222" s="28">
        <f>IF(AN1222=12,J1222,0)</f>
        <v>0</v>
      </c>
      <c r="AL1222" s="28">
        <f>IF(AN1222=21,J1222,0)</f>
        <v>0</v>
      </c>
      <c r="AN1222" s="28">
        <v>21</v>
      </c>
      <c r="AO1222" s="28">
        <f>G1222*0.120702479</f>
        <v>0</v>
      </c>
      <c r="AP1222" s="28">
        <f>G1222*(1-0.120702479)</f>
        <v>0</v>
      </c>
      <c r="AQ1222" s="30" t="s">
        <v>56</v>
      </c>
      <c r="AV1222" s="28">
        <f>ROUND(AW1222+AX1222,2)</f>
        <v>0</v>
      </c>
      <c r="AW1222" s="28">
        <f>ROUND(F1222*AO1222,2)</f>
        <v>0</v>
      </c>
      <c r="AX1222" s="28">
        <f>ROUND(F1222*AP1222,2)</f>
        <v>0</v>
      </c>
      <c r="AY1222" s="30" t="s">
        <v>629</v>
      </c>
      <c r="AZ1222" s="30" t="s">
        <v>2148</v>
      </c>
      <c r="BA1222" s="10" t="s">
        <v>2149</v>
      </c>
      <c r="BC1222" s="28">
        <f>AW1222+AX1222</f>
        <v>0</v>
      </c>
      <c r="BD1222" s="28">
        <f>G1222/(100-BE1222)*100</f>
        <v>0</v>
      </c>
      <c r="BE1222" s="28">
        <v>0</v>
      </c>
      <c r="BF1222" s="28">
        <f>1233</f>
        <v>1233</v>
      </c>
      <c r="BH1222" s="28">
        <f>F1222*AO1222</f>
        <v>0</v>
      </c>
      <c r="BI1222" s="28">
        <f>F1222*AP1222</f>
        <v>0</v>
      </c>
      <c r="BJ1222" s="28">
        <f>F1222*G1222</f>
        <v>0</v>
      </c>
      <c r="BK1222" s="28"/>
      <c r="BL1222" s="28">
        <v>97</v>
      </c>
      <c r="BW1222" s="28">
        <v>21</v>
      </c>
      <c r="BX1222" s="4" t="s">
        <v>2147</v>
      </c>
    </row>
    <row r="1223" spans="1:76" ht="25.5" x14ac:dyDescent="0.25">
      <c r="A1223" s="31"/>
      <c r="B1223" s="35" t="s">
        <v>68</v>
      </c>
      <c r="C1223" s="94" t="s">
        <v>2150</v>
      </c>
      <c r="D1223" s="95"/>
      <c r="E1223" s="95"/>
      <c r="F1223" s="95"/>
      <c r="G1223" s="95"/>
      <c r="H1223" s="95"/>
      <c r="I1223" s="95"/>
      <c r="J1223" s="95"/>
      <c r="K1223" s="96"/>
      <c r="BX1223" s="36" t="s">
        <v>2150</v>
      </c>
    </row>
    <row r="1224" spans="1:76" x14ac:dyDescent="0.25">
      <c r="A1224" s="24" t="s">
        <v>51</v>
      </c>
      <c r="B1224" s="25" t="s">
        <v>2151</v>
      </c>
      <c r="C1224" s="87" t="s">
        <v>2152</v>
      </c>
      <c r="D1224" s="88"/>
      <c r="E1224" s="26" t="s">
        <v>4</v>
      </c>
      <c r="F1224" s="26" t="s">
        <v>4</v>
      </c>
      <c r="G1224" s="26" t="s">
        <v>4</v>
      </c>
      <c r="H1224" s="1">
        <f>SUM(H1225:H1250)</f>
        <v>0</v>
      </c>
      <c r="I1224" s="1">
        <f>SUM(I1225:I1250)</f>
        <v>0</v>
      </c>
      <c r="J1224" s="1">
        <f>SUM(J1225:J1250)</f>
        <v>0</v>
      </c>
      <c r="K1224" s="27" t="s">
        <v>51</v>
      </c>
      <c r="AI1224" s="10" t="s">
        <v>2144</v>
      </c>
      <c r="AS1224" s="1">
        <f>SUM(AJ1225:AJ1250)</f>
        <v>0</v>
      </c>
      <c r="AT1224" s="1">
        <f>SUM(AK1225:AK1250)</f>
        <v>0</v>
      </c>
      <c r="AU1224" s="1">
        <f>SUM(AL1225:AL1250)</f>
        <v>0</v>
      </c>
    </row>
    <row r="1225" spans="1:76" x14ac:dyDescent="0.25">
      <c r="A1225" s="2" t="s">
        <v>2153</v>
      </c>
      <c r="B1225" s="3" t="s">
        <v>2154</v>
      </c>
      <c r="C1225" s="76" t="s">
        <v>2155</v>
      </c>
      <c r="D1225" s="71"/>
      <c r="E1225" s="3" t="s">
        <v>188</v>
      </c>
      <c r="F1225" s="28">
        <v>40</v>
      </c>
      <c r="G1225" s="28">
        <v>0</v>
      </c>
      <c r="H1225" s="28">
        <f t="shared" ref="H1225:H1237" si="72">ROUND(F1225*AO1225,2)</f>
        <v>0</v>
      </c>
      <c r="I1225" s="28">
        <f t="shared" ref="I1225:I1237" si="73">ROUND(F1225*AP1225,2)</f>
        <v>0</v>
      </c>
      <c r="J1225" s="28">
        <f t="shared" ref="J1225:J1237" si="74">ROUND(F1225*G1225,2)</f>
        <v>0</v>
      </c>
      <c r="K1225" s="29" t="s">
        <v>60</v>
      </c>
      <c r="Z1225" s="28">
        <f t="shared" ref="Z1225:Z1237" si="75">ROUND(IF(AQ1225="5",BJ1225,0),2)</f>
        <v>0</v>
      </c>
      <c r="AB1225" s="28">
        <f t="shared" ref="AB1225:AB1237" si="76">ROUND(IF(AQ1225="1",BH1225,0),2)</f>
        <v>0</v>
      </c>
      <c r="AC1225" s="28">
        <f t="shared" ref="AC1225:AC1237" si="77">ROUND(IF(AQ1225="1",BI1225,0),2)</f>
        <v>0</v>
      </c>
      <c r="AD1225" s="28">
        <f t="shared" ref="AD1225:AD1237" si="78">ROUND(IF(AQ1225="7",BH1225,0),2)</f>
        <v>0</v>
      </c>
      <c r="AE1225" s="28">
        <f t="shared" ref="AE1225:AE1237" si="79">ROUND(IF(AQ1225="7",BI1225,0),2)</f>
        <v>0</v>
      </c>
      <c r="AF1225" s="28">
        <f t="shared" ref="AF1225:AF1237" si="80">ROUND(IF(AQ1225="2",BH1225,0),2)</f>
        <v>0</v>
      </c>
      <c r="AG1225" s="28">
        <f t="shared" ref="AG1225:AG1237" si="81">ROUND(IF(AQ1225="2",BI1225,0),2)</f>
        <v>0</v>
      </c>
      <c r="AH1225" s="28">
        <f t="shared" ref="AH1225:AH1237" si="82">ROUND(IF(AQ1225="0",BJ1225,0),2)</f>
        <v>0</v>
      </c>
      <c r="AI1225" s="10" t="s">
        <v>2144</v>
      </c>
      <c r="AJ1225" s="28">
        <f t="shared" ref="AJ1225:AJ1237" si="83">IF(AN1225=0,J1225,0)</f>
        <v>0</v>
      </c>
      <c r="AK1225" s="28">
        <f t="shared" ref="AK1225:AK1237" si="84">IF(AN1225=12,J1225,0)</f>
        <v>0</v>
      </c>
      <c r="AL1225" s="28">
        <f t="shared" ref="AL1225:AL1237" si="85">IF(AN1225=21,J1225,0)</f>
        <v>0</v>
      </c>
      <c r="AN1225" s="28">
        <v>21</v>
      </c>
      <c r="AO1225" s="28">
        <f t="shared" ref="AO1225:AO1236" si="86">G1225*0</f>
        <v>0</v>
      </c>
      <c r="AP1225" s="28">
        <f t="shared" ref="AP1225:AP1236" si="87">G1225*(1-0)</f>
        <v>0</v>
      </c>
      <c r="AQ1225" s="30" t="s">
        <v>74</v>
      </c>
      <c r="AV1225" s="28">
        <f t="shared" ref="AV1225:AV1237" si="88">ROUND(AW1225+AX1225,2)</f>
        <v>0</v>
      </c>
      <c r="AW1225" s="28">
        <f t="shared" ref="AW1225:AW1237" si="89">ROUND(F1225*AO1225,2)</f>
        <v>0</v>
      </c>
      <c r="AX1225" s="28">
        <f t="shared" ref="AX1225:AX1237" si="90">ROUND(F1225*AP1225,2)</f>
        <v>0</v>
      </c>
      <c r="AY1225" s="30" t="s">
        <v>2156</v>
      </c>
      <c r="AZ1225" s="30" t="s">
        <v>2148</v>
      </c>
      <c r="BA1225" s="10" t="s">
        <v>2149</v>
      </c>
      <c r="BC1225" s="28">
        <f t="shared" ref="BC1225:BC1237" si="91">AW1225+AX1225</f>
        <v>0</v>
      </c>
      <c r="BD1225" s="28">
        <f t="shared" ref="BD1225:BD1237" si="92">G1225/(100-BE1225)*100</f>
        <v>0</v>
      </c>
      <c r="BE1225" s="28">
        <v>0</v>
      </c>
      <c r="BF1225" s="28">
        <f>1236</f>
        <v>1236</v>
      </c>
      <c r="BH1225" s="28">
        <f t="shared" ref="BH1225:BH1237" si="93">F1225*AO1225</f>
        <v>0</v>
      </c>
      <c r="BI1225" s="28">
        <f t="shared" ref="BI1225:BI1237" si="94">F1225*AP1225</f>
        <v>0</v>
      </c>
      <c r="BJ1225" s="28">
        <f t="shared" ref="BJ1225:BJ1237" si="95">F1225*G1225</f>
        <v>0</v>
      </c>
      <c r="BK1225" s="28"/>
      <c r="BL1225" s="28"/>
      <c r="BW1225" s="28">
        <v>21</v>
      </c>
      <c r="BX1225" s="4" t="s">
        <v>2155</v>
      </c>
    </row>
    <row r="1226" spans="1:76" x14ac:dyDescent="0.25">
      <c r="A1226" s="2" t="s">
        <v>2157</v>
      </c>
      <c r="B1226" s="3" t="s">
        <v>2158</v>
      </c>
      <c r="C1226" s="76" t="s">
        <v>2159</v>
      </c>
      <c r="D1226" s="71"/>
      <c r="E1226" s="3" t="s">
        <v>188</v>
      </c>
      <c r="F1226" s="28">
        <v>4</v>
      </c>
      <c r="G1226" s="28">
        <v>0</v>
      </c>
      <c r="H1226" s="28">
        <f t="shared" si="72"/>
        <v>0</v>
      </c>
      <c r="I1226" s="28">
        <f t="shared" si="73"/>
        <v>0</v>
      </c>
      <c r="J1226" s="28">
        <f t="shared" si="74"/>
        <v>0</v>
      </c>
      <c r="K1226" s="29" t="s">
        <v>60</v>
      </c>
      <c r="Z1226" s="28">
        <f t="shared" si="75"/>
        <v>0</v>
      </c>
      <c r="AB1226" s="28">
        <f t="shared" si="76"/>
        <v>0</v>
      </c>
      <c r="AC1226" s="28">
        <f t="shared" si="77"/>
        <v>0</v>
      </c>
      <c r="AD1226" s="28">
        <f t="shared" si="78"/>
        <v>0</v>
      </c>
      <c r="AE1226" s="28">
        <f t="shared" si="79"/>
        <v>0</v>
      </c>
      <c r="AF1226" s="28">
        <f t="shared" si="80"/>
        <v>0</v>
      </c>
      <c r="AG1226" s="28">
        <f t="shared" si="81"/>
        <v>0</v>
      </c>
      <c r="AH1226" s="28">
        <f t="shared" si="82"/>
        <v>0</v>
      </c>
      <c r="AI1226" s="10" t="s">
        <v>2144</v>
      </c>
      <c r="AJ1226" s="28">
        <f t="shared" si="83"/>
        <v>0</v>
      </c>
      <c r="AK1226" s="28">
        <f t="shared" si="84"/>
        <v>0</v>
      </c>
      <c r="AL1226" s="28">
        <f t="shared" si="85"/>
        <v>0</v>
      </c>
      <c r="AN1226" s="28">
        <v>21</v>
      </c>
      <c r="AO1226" s="28">
        <f t="shared" si="86"/>
        <v>0</v>
      </c>
      <c r="AP1226" s="28">
        <f t="shared" si="87"/>
        <v>0</v>
      </c>
      <c r="AQ1226" s="30" t="s">
        <v>74</v>
      </c>
      <c r="AV1226" s="28">
        <f t="shared" si="88"/>
        <v>0</v>
      </c>
      <c r="AW1226" s="28">
        <f t="shared" si="89"/>
        <v>0</v>
      </c>
      <c r="AX1226" s="28">
        <f t="shared" si="90"/>
        <v>0</v>
      </c>
      <c r="AY1226" s="30" t="s">
        <v>2156</v>
      </c>
      <c r="AZ1226" s="30" t="s">
        <v>2148</v>
      </c>
      <c r="BA1226" s="10" t="s">
        <v>2149</v>
      </c>
      <c r="BC1226" s="28">
        <f t="shared" si="91"/>
        <v>0</v>
      </c>
      <c r="BD1226" s="28">
        <f t="shared" si="92"/>
        <v>0</v>
      </c>
      <c r="BE1226" s="28">
        <v>0</v>
      </c>
      <c r="BF1226" s="28">
        <f>1237</f>
        <v>1237</v>
      </c>
      <c r="BH1226" s="28">
        <f t="shared" si="93"/>
        <v>0</v>
      </c>
      <c r="BI1226" s="28">
        <f t="shared" si="94"/>
        <v>0</v>
      </c>
      <c r="BJ1226" s="28">
        <f t="shared" si="95"/>
        <v>0</v>
      </c>
      <c r="BK1226" s="28"/>
      <c r="BL1226" s="28"/>
      <c r="BW1226" s="28">
        <v>21</v>
      </c>
      <c r="BX1226" s="4" t="s">
        <v>2159</v>
      </c>
    </row>
    <row r="1227" spans="1:76" x14ac:dyDescent="0.25">
      <c r="A1227" s="2" t="s">
        <v>2160</v>
      </c>
      <c r="B1227" s="3" t="s">
        <v>2161</v>
      </c>
      <c r="C1227" s="76" t="s">
        <v>2162</v>
      </c>
      <c r="D1227" s="71"/>
      <c r="E1227" s="3" t="s">
        <v>293</v>
      </c>
      <c r="F1227" s="28">
        <v>10</v>
      </c>
      <c r="G1227" s="28">
        <v>0</v>
      </c>
      <c r="H1227" s="28">
        <f t="shared" si="72"/>
        <v>0</v>
      </c>
      <c r="I1227" s="28">
        <f t="shared" si="73"/>
        <v>0</v>
      </c>
      <c r="J1227" s="28">
        <f t="shared" si="74"/>
        <v>0</v>
      </c>
      <c r="K1227" s="29" t="s">
        <v>60</v>
      </c>
      <c r="Z1227" s="28">
        <f t="shared" si="75"/>
        <v>0</v>
      </c>
      <c r="AB1227" s="28">
        <f t="shared" si="76"/>
        <v>0</v>
      </c>
      <c r="AC1227" s="28">
        <f t="shared" si="77"/>
        <v>0</v>
      </c>
      <c r="AD1227" s="28">
        <f t="shared" si="78"/>
        <v>0</v>
      </c>
      <c r="AE1227" s="28">
        <f t="shared" si="79"/>
        <v>0</v>
      </c>
      <c r="AF1227" s="28">
        <f t="shared" si="80"/>
        <v>0</v>
      </c>
      <c r="AG1227" s="28">
        <f t="shared" si="81"/>
        <v>0</v>
      </c>
      <c r="AH1227" s="28">
        <f t="shared" si="82"/>
        <v>0</v>
      </c>
      <c r="AI1227" s="10" t="s">
        <v>2144</v>
      </c>
      <c r="AJ1227" s="28">
        <f t="shared" si="83"/>
        <v>0</v>
      </c>
      <c r="AK1227" s="28">
        <f t="shared" si="84"/>
        <v>0</v>
      </c>
      <c r="AL1227" s="28">
        <f t="shared" si="85"/>
        <v>0</v>
      </c>
      <c r="AN1227" s="28">
        <v>21</v>
      </c>
      <c r="AO1227" s="28">
        <f t="shared" si="86"/>
        <v>0</v>
      </c>
      <c r="AP1227" s="28">
        <f t="shared" si="87"/>
        <v>0</v>
      </c>
      <c r="AQ1227" s="30" t="s">
        <v>74</v>
      </c>
      <c r="AV1227" s="28">
        <f t="shared" si="88"/>
        <v>0</v>
      </c>
      <c r="AW1227" s="28">
        <f t="shared" si="89"/>
        <v>0</v>
      </c>
      <c r="AX1227" s="28">
        <f t="shared" si="90"/>
        <v>0</v>
      </c>
      <c r="AY1227" s="30" t="s">
        <v>2156</v>
      </c>
      <c r="AZ1227" s="30" t="s">
        <v>2148</v>
      </c>
      <c r="BA1227" s="10" t="s">
        <v>2149</v>
      </c>
      <c r="BC1227" s="28">
        <f t="shared" si="91"/>
        <v>0</v>
      </c>
      <c r="BD1227" s="28">
        <f t="shared" si="92"/>
        <v>0</v>
      </c>
      <c r="BE1227" s="28">
        <v>0</v>
      </c>
      <c r="BF1227" s="28">
        <f>1238</f>
        <v>1238</v>
      </c>
      <c r="BH1227" s="28">
        <f t="shared" si="93"/>
        <v>0</v>
      </c>
      <c r="BI1227" s="28">
        <f t="shared" si="94"/>
        <v>0</v>
      </c>
      <c r="BJ1227" s="28">
        <f t="shared" si="95"/>
        <v>0</v>
      </c>
      <c r="BK1227" s="28"/>
      <c r="BL1227" s="28"/>
      <c r="BW1227" s="28">
        <v>21</v>
      </c>
      <c r="BX1227" s="4" t="s">
        <v>2162</v>
      </c>
    </row>
    <row r="1228" spans="1:76" x14ac:dyDescent="0.25">
      <c r="A1228" s="2" t="s">
        <v>2163</v>
      </c>
      <c r="B1228" s="3" t="s">
        <v>2164</v>
      </c>
      <c r="C1228" s="76" t="s">
        <v>2165</v>
      </c>
      <c r="D1228" s="71"/>
      <c r="E1228" s="3" t="s">
        <v>293</v>
      </c>
      <c r="F1228" s="28">
        <v>14</v>
      </c>
      <c r="G1228" s="28">
        <v>0</v>
      </c>
      <c r="H1228" s="28">
        <f t="shared" si="72"/>
        <v>0</v>
      </c>
      <c r="I1228" s="28">
        <f t="shared" si="73"/>
        <v>0</v>
      </c>
      <c r="J1228" s="28">
        <f t="shared" si="74"/>
        <v>0</v>
      </c>
      <c r="K1228" s="29" t="s">
        <v>60</v>
      </c>
      <c r="Z1228" s="28">
        <f t="shared" si="75"/>
        <v>0</v>
      </c>
      <c r="AB1228" s="28">
        <f t="shared" si="76"/>
        <v>0</v>
      </c>
      <c r="AC1228" s="28">
        <f t="shared" si="77"/>
        <v>0</v>
      </c>
      <c r="AD1228" s="28">
        <f t="shared" si="78"/>
        <v>0</v>
      </c>
      <c r="AE1228" s="28">
        <f t="shared" si="79"/>
        <v>0</v>
      </c>
      <c r="AF1228" s="28">
        <f t="shared" si="80"/>
        <v>0</v>
      </c>
      <c r="AG1228" s="28">
        <f t="shared" si="81"/>
        <v>0</v>
      </c>
      <c r="AH1228" s="28">
        <f t="shared" si="82"/>
        <v>0</v>
      </c>
      <c r="AI1228" s="10" t="s">
        <v>2144</v>
      </c>
      <c r="AJ1228" s="28">
        <f t="shared" si="83"/>
        <v>0</v>
      </c>
      <c r="AK1228" s="28">
        <f t="shared" si="84"/>
        <v>0</v>
      </c>
      <c r="AL1228" s="28">
        <f t="shared" si="85"/>
        <v>0</v>
      </c>
      <c r="AN1228" s="28">
        <v>21</v>
      </c>
      <c r="AO1228" s="28">
        <f t="shared" si="86"/>
        <v>0</v>
      </c>
      <c r="AP1228" s="28">
        <f t="shared" si="87"/>
        <v>0</v>
      </c>
      <c r="AQ1228" s="30" t="s">
        <v>74</v>
      </c>
      <c r="AV1228" s="28">
        <f t="shared" si="88"/>
        <v>0</v>
      </c>
      <c r="AW1228" s="28">
        <f t="shared" si="89"/>
        <v>0</v>
      </c>
      <c r="AX1228" s="28">
        <f t="shared" si="90"/>
        <v>0</v>
      </c>
      <c r="AY1228" s="30" t="s">
        <v>2156</v>
      </c>
      <c r="AZ1228" s="30" t="s">
        <v>2148</v>
      </c>
      <c r="BA1228" s="10" t="s">
        <v>2149</v>
      </c>
      <c r="BC1228" s="28">
        <f t="shared" si="91"/>
        <v>0</v>
      </c>
      <c r="BD1228" s="28">
        <f t="shared" si="92"/>
        <v>0</v>
      </c>
      <c r="BE1228" s="28">
        <v>0</v>
      </c>
      <c r="BF1228" s="28">
        <f>1239</f>
        <v>1239</v>
      </c>
      <c r="BH1228" s="28">
        <f t="shared" si="93"/>
        <v>0</v>
      </c>
      <c r="BI1228" s="28">
        <f t="shared" si="94"/>
        <v>0</v>
      </c>
      <c r="BJ1228" s="28">
        <f t="shared" si="95"/>
        <v>0</v>
      </c>
      <c r="BK1228" s="28"/>
      <c r="BL1228" s="28"/>
      <c r="BW1228" s="28">
        <v>21</v>
      </c>
      <c r="BX1228" s="4" t="s">
        <v>2165</v>
      </c>
    </row>
    <row r="1229" spans="1:76" x14ac:dyDescent="0.25">
      <c r="A1229" s="2" t="s">
        <v>2166</v>
      </c>
      <c r="B1229" s="3" t="s">
        <v>2167</v>
      </c>
      <c r="C1229" s="76" t="s">
        <v>2168</v>
      </c>
      <c r="D1229" s="71"/>
      <c r="E1229" s="3" t="s">
        <v>293</v>
      </c>
      <c r="F1229" s="28">
        <v>2</v>
      </c>
      <c r="G1229" s="28">
        <v>0</v>
      </c>
      <c r="H1229" s="28">
        <f t="shared" si="72"/>
        <v>0</v>
      </c>
      <c r="I1229" s="28">
        <f t="shared" si="73"/>
        <v>0</v>
      </c>
      <c r="J1229" s="28">
        <f t="shared" si="74"/>
        <v>0</v>
      </c>
      <c r="K1229" s="29" t="s">
        <v>60</v>
      </c>
      <c r="Z1229" s="28">
        <f t="shared" si="75"/>
        <v>0</v>
      </c>
      <c r="AB1229" s="28">
        <f t="shared" si="76"/>
        <v>0</v>
      </c>
      <c r="AC1229" s="28">
        <f t="shared" si="77"/>
        <v>0</v>
      </c>
      <c r="AD1229" s="28">
        <f t="shared" si="78"/>
        <v>0</v>
      </c>
      <c r="AE1229" s="28">
        <f t="shared" si="79"/>
        <v>0</v>
      </c>
      <c r="AF1229" s="28">
        <f t="shared" si="80"/>
        <v>0</v>
      </c>
      <c r="AG1229" s="28">
        <f t="shared" si="81"/>
        <v>0</v>
      </c>
      <c r="AH1229" s="28">
        <f t="shared" si="82"/>
        <v>0</v>
      </c>
      <c r="AI1229" s="10" t="s">
        <v>2144</v>
      </c>
      <c r="AJ1229" s="28">
        <f t="shared" si="83"/>
        <v>0</v>
      </c>
      <c r="AK1229" s="28">
        <f t="shared" si="84"/>
        <v>0</v>
      </c>
      <c r="AL1229" s="28">
        <f t="shared" si="85"/>
        <v>0</v>
      </c>
      <c r="AN1229" s="28">
        <v>21</v>
      </c>
      <c r="AO1229" s="28">
        <f t="shared" si="86"/>
        <v>0</v>
      </c>
      <c r="AP1229" s="28">
        <f t="shared" si="87"/>
        <v>0</v>
      </c>
      <c r="AQ1229" s="30" t="s">
        <v>74</v>
      </c>
      <c r="AV1229" s="28">
        <f t="shared" si="88"/>
        <v>0</v>
      </c>
      <c r="AW1229" s="28">
        <f t="shared" si="89"/>
        <v>0</v>
      </c>
      <c r="AX1229" s="28">
        <f t="shared" si="90"/>
        <v>0</v>
      </c>
      <c r="AY1229" s="30" t="s">
        <v>2156</v>
      </c>
      <c r="AZ1229" s="30" t="s">
        <v>2148</v>
      </c>
      <c r="BA1229" s="10" t="s">
        <v>2149</v>
      </c>
      <c r="BC1229" s="28">
        <f t="shared" si="91"/>
        <v>0</v>
      </c>
      <c r="BD1229" s="28">
        <f t="shared" si="92"/>
        <v>0</v>
      </c>
      <c r="BE1229" s="28">
        <v>0</v>
      </c>
      <c r="BF1229" s="28">
        <f>1240</f>
        <v>1240</v>
      </c>
      <c r="BH1229" s="28">
        <f t="shared" si="93"/>
        <v>0</v>
      </c>
      <c r="BI1229" s="28">
        <f t="shared" si="94"/>
        <v>0</v>
      </c>
      <c r="BJ1229" s="28">
        <f t="shared" si="95"/>
        <v>0</v>
      </c>
      <c r="BK1229" s="28"/>
      <c r="BL1229" s="28"/>
      <c r="BW1229" s="28">
        <v>21</v>
      </c>
      <c r="BX1229" s="4" t="s">
        <v>2168</v>
      </c>
    </row>
    <row r="1230" spans="1:76" x14ac:dyDescent="0.25">
      <c r="A1230" s="2" t="s">
        <v>2169</v>
      </c>
      <c r="B1230" s="3" t="s">
        <v>2170</v>
      </c>
      <c r="C1230" s="76" t="s">
        <v>2171</v>
      </c>
      <c r="D1230" s="71"/>
      <c r="E1230" s="3" t="s">
        <v>293</v>
      </c>
      <c r="F1230" s="28">
        <v>1</v>
      </c>
      <c r="G1230" s="28">
        <v>0</v>
      </c>
      <c r="H1230" s="28">
        <f t="shared" si="72"/>
        <v>0</v>
      </c>
      <c r="I1230" s="28">
        <f t="shared" si="73"/>
        <v>0</v>
      </c>
      <c r="J1230" s="28">
        <f t="shared" si="74"/>
        <v>0</v>
      </c>
      <c r="K1230" s="29" t="s">
        <v>60</v>
      </c>
      <c r="Z1230" s="28">
        <f t="shared" si="75"/>
        <v>0</v>
      </c>
      <c r="AB1230" s="28">
        <f t="shared" si="76"/>
        <v>0</v>
      </c>
      <c r="AC1230" s="28">
        <f t="shared" si="77"/>
        <v>0</v>
      </c>
      <c r="AD1230" s="28">
        <f t="shared" si="78"/>
        <v>0</v>
      </c>
      <c r="AE1230" s="28">
        <f t="shared" si="79"/>
        <v>0</v>
      </c>
      <c r="AF1230" s="28">
        <f t="shared" si="80"/>
        <v>0</v>
      </c>
      <c r="AG1230" s="28">
        <f t="shared" si="81"/>
        <v>0</v>
      </c>
      <c r="AH1230" s="28">
        <f t="shared" si="82"/>
        <v>0</v>
      </c>
      <c r="AI1230" s="10" t="s">
        <v>2144</v>
      </c>
      <c r="AJ1230" s="28">
        <f t="shared" si="83"/>
        <v>0</v>
      </c>
      <c r="AK1230" s="28">
        <f t="shared" si="84"/>
        <v>0</v>
      </c>
      <c r="AL1230" s="28">
        <f t="shared" si="85"/>
        <v>0</v>
      </c>
      <c r="AN1230" s="28">
        <v>21</v>
      </c>
      <c r="AO1230" s="28">
        <f t="shared" si="86"/>
        <v>0</v>
      </c>
      <c r="AP1230" s="28">
        <f t="shared" si="87"/>
        <v>0</v>
      </c>
      <c r="AQ1230" s="30" t="s">
        <v>74</v>
      </c>
      <c r="AV1230" s="28">
        <f t="shared" si="88"/>
        <v>0</v>
      </c>
      <c r="AW1230" s="28">
        <f t="shared" si="89"/>
        <v>0</v>
      </c>
      <c r="AX1230" s="28">
        <f t="shared" si="90"/>
        <v>0</v>
      </c>
      <c r="AY1230" s="30" t="s">
        <v>2156</v>
      </c>
      <c r="AZ1230" s="30" t="s">
        <v>2148</v>
      </c>
      <c r="BA1230" s="10" t="s">
        <v>2149</v>
      </c>
      <c r="BC1230" s="28">
        <f t="shared" si="91"/>
        <v>0</v>
      </c>
      <c r="BD1230" s="28">
        <f t="shared" si="92"/>
        <v>0</v>
      </c>
      <c r="BE1230" s="28">
        <v>0</v>
      </c>
      <c r="BF1230" s="28">
        <f>1241</f>
        <v>1241</v>
      </c>
      <c r="BH1230" s="28">
        <f t="shared" si="93"/>
        <v>0</v>
      </c>
      <c r="BI1230" s="28">
        <f t="shared" si="94"/>
        <v>0</v>
      </c>
      <c r="BJ1230" s="28">
        <f t="shared" si="95"/>
        <v>0</v>
      </c>
      <c r="BK1230" s="28"/>
      <c r="BL1230" s="28"/>
      <c r="BW1230" s="28">
        <v>21</v>
      </c>
      <c r="BX1230" s="4" t="s">
        <v>2171</v>
      </c>
    </row>
    <row r="1231" spans="1:76" x14ac:dyDescent="0.25">
      <c r="A1231" s="2" t="s">
        <v>2172</v>
      </c>
      <c r="B1231" s="3" t="s">
        <v>2173</v>
      </c>
      <c r="C1231" s="76" t="s">
        <v>2174</v>
      </c>
      <c r="D1231" s="71"/>
      <c r="E1231" s="3" t="s">
        <v>293</v>
      </c>
      <c r="F1231" s="28">
        <v>8</v>
      </c>
      <c r="G1231" s="28">
        <v>0</v>
      </c>
      <c r="H1231" s="28">
        <f t="shared" si="72"/>
        <v>0</v>
      </c>
      <c r="I1231" s="28">
        <f t="shared" si="73"/>
        <v>0</v>
      </c>
      <c r="J1231" s="28">
        <f t="shared" si="74"/>
        <v>0</v>
      </c>
      <c r="K1231" s="29" t="s">
        <v>60</v>
      </c>
      <c r="Z1231" s="28">
        <f t="shared" si="75"/>
        <v>0</v>
      </c>
      <c r="AB1231" s="28">
        <f t="shared" si="76"/>
        <v>0</v>
      </c>
      <c r="AC1231" s="28">
        <f t="shared" si="77"/>
        <v>0</v>
      </c>
      <c r="AD1231" s="28">
        <f t="shared" si="78"/>
        <v>0</v>
      </c>
      <c r="AE1231" s="28">
        <f t="shared" si="79"/>
        <v>0</v>
      </c>
      <c r="AF1231" s="28">
        <f t="shared" si="80"/>
        <v>0</v>
      </c>
      <c r="AG1231" s="28">
        <f t="shared" si="81"/>
        <v>0</v>
      </c>
      <c r="AH1231" s="28">
        <f t="shared" si="82"/>
        <v>0</v>
      </c>
      <c r="AI1231" s="10" t="s">
        <v>2144</v>
      </c>
      <c r="AJ1231" s="28">
        <f t="shared" si="83"/>
        <v>0</v>
      </c>
      <c r="AK1231" s="28">
        <f t="shared" si="84"/>
        <v>0</v>
      </c>
      <c r="AL1231" s="28">
        <f t="shared" si="85"/>
        <v>0</v>
      </c>
      <c r="AN1231" s="28">
        <v>21</v>
      </c>
      <c r="AO1231" s="28">
        <f t="shared" si="86"/>
        <v>0</v>
      </c>
      <c r="AP1231" s="28">
        <f t="shared" si="87"/>
        <v>0</v>
      </c>
      <c r="AQ1231" s="30" t="s">
        <v>74</v>
      </c>
      <c r="AV1231" s="28">
        <f t="shared" si="88"/>
        <v>0</v>
      </c>
      <c r="AW1231" s="28">
        <f t="shared" si="89"/>
        <v>0</v>
      </c>
      <c r="AX1231" s="28">
        <f t="shared" si="90"/>
        <v>0</v>
      </c>
      <c r="AY1231" s="30" t="s">
        <v>2156</v>
      </c>
      <c r="AZ1231" s="30" t="s">
        <v>2148</v>
      </c>
      <c r="BA1231" s="10" t="s">
        <v>2149</v>
      </c>
      <c r="BC1231" s="28">
        <f t="shared" si="91"/>
        <v>0</v>
      </c>
      <c r="BD1231" s="28">
        <f t="shared" si="92"/>
        <v>0</v>
      </c>
      <c r="BE1231" s="28">
        <v>0</v>
      </c>
      <c r="BF1231" s="28">
        <f>1242</f>
        <v>1242</v>
      </c>
      <c r="BH1231" s="28">
        <f t="shared" si="93"/>
        <v>0</v>
      </c>
      <c r="BI1231" s="28">
        <f t="shared" si="94"/>
        <v>0</v>
      </c>
      <c r="BJ1231" s="28">
        <f t="shared" si="95"/>
        <v>0</v>
      </c>
      <c r="BK1231" s="28"/>
      <c r="BL1231" s="28"/>
      <c r="BW1231" s="28">
        <v>21</v>
      </c>
      <c r="BX1231" s="4" t="s">
        <v>2174</v>
      </c>
    </row>
    <row r="1232" spans="1:76" x14ac:dyDescent="0.25">
      <c r="A1232" s="2" t="s">
        <v>2175</v>
      </c>
      <c r="B1232" s="3" t="s">
        <v>2176</v>
      </c>
      <c r="C1232" s="76" t="s">
        <v>2177</v>
      </c>
      <c r="D1232" s="71"/>
      <c r="E1232" s="3" t="s">
        <v>188</v>
      </c>
      <c r="F1232" s="28">
        <v>40</v>
      </c>
      <c r="G1232" s="28">
        <v>0</v>
      </c>
      <c r="H1232" s="28">
        <f t="shared" si="72"/>
        <v>0</v>
      </c>
      <c r="I1232" s="28">
        <f t="shared" si="73"/>
        <v>0</v>
      </c>
      <c r="J1232" s="28">
        <f t="shared" si="74"/>
        <v>0</v>
      </c>
      <c r="K1232" s="29" t="s">
        <v>60</v>
      </c>
      <c r="Z1232" s="28">
        <f t="shared" si="75"/>
        <v>0</v>
      </c>
      <c r="AB1232" s="28">
        <f t="shared" si="76"/>
        <v>0</v>
      </c>
      <c r="AC1232" s="28">
        <f t="shared" si="77"/>
        <v>0</v>
      </c>
      <c r="AD1232" s="28">
        <f t="shared" si="78"/>
        <v>0</v>
      </c>
      <c r="AE1232" s="28">
        <f t="shared" si="79"/>
        <v>0</v>
      </c>
      <c r="AF1232" s="28">
        <f t="shared" si="80"/>
        <v>0</v>
      </c>
      <c r="AG1232" s="28">
        <f t="shared" si="81"/>
        <v>0</v>
      </c>
      <c r="AH1232" s="28">
        <f t="shared" si="82"/>
        <v>0</v>
      </c>
      <c r="AI1232" s="10" t="s">
        <v>2144</v>
      </c>
      <c r="AJ1232" s="28">
        <f t="shared" si="83"/>
        <v>0</v>
      </c>
      <c r="AK1232" s="28">
        <f t="shared" si="84"/>
        <v>0</v>
      </c>
      <c r="AL1232" s="28">
        <f t="shared" si="85"/>
        <v>0</v>
      </c>
      <c r="AN1232" s="28">
        <v>21</v>
      </c>
      <c r="AO1232" s="28">
        <f t="shared" si="86"/>
        <v>0</v>
      </c>
      <c r="AP1232" s="28">
        <f t="shared" si="87"/>
        <v>0</v>
      </c>
      <c r="AQ1232" s="30" t="s">
        <v>74</v>
      </c>
      <c r="AV1232" s="28">
        <f t="shared" si="88"/>
        <v>0</v>
      </c>
      <c r="AW1232" s="28">
        <f t="shared" si="89"/>
        <v>0</v>
      </c>
      <c r="AX1232" s="28">
        <f t="shared" si="90"/>
        <v>0</v>
      </c>
      <c r="AY1232" s="30" t="s">
        <v>2156</v>
      </c>
      <c r="AZ1232" s="30" t="s">
        <v>2148</v>
      </c>
      <c r="BA1232" s="10" t="s">
        <v>2149</v>
      </c>
      <c r="BC1232" s="28">
        <f t="shared" si="91"/>
        <v>0</v>
      </c>
      <c r="BD1232" s="28">
        <f t="shared" si="92"/>
        <v>0</v>
      </c>
      <c r="BE1232" s="28">
        <v>0</v>
      </c>
      <c r="BF1232" s="28">
        <f>1243</f>
        <v>1243</v>
      </c>
      <c r="BH1232" s="28">
        <f t="shared" si="93"/>
        <v>0</v>
      </c>
      <c r="BI1232" s="28">
        <f t="shared" si="94"/>
        <v>0</v>
      </c>
      <c r="BJ1232" s="28">
        <f t="shared" si="95"/>
        <v>0</v>
      </c>
      <c r="BK1232" s="28"/>
      <c r="BL1232" s="28"/>
      <c r="BW1232" s="28">
        <v>21</v>
      </c>
      <c r="BX1232" s="4" t="s">
        <v>2177</v>
      </c>
    </row>
    <row r="1233" spans="1:76" x14ac:dyDescent="0.25">
      <c r="A1233" s="2" t="s">
        <v>1746</v>
      </c>
      <c r="B1233" s="3" t="s">
        <v>2178</v>
      </c>
      <c r="C1233" s="76" t="s">
        <v>2179</v>
      </c>
      <c r="D1233" s="71"/>
      <c r="E1233" s="3" t="s">
        <v>188</v>
      </c>
      <c r="F1233" s="28">
        <v>40</v>
      </c>
      <c r="G1233" s="28">
        <v>0</v>
      </c>
      <c r="H1233" s="28">
        <f t="shared" si="72"/>
        <v>0</v>
      </c>
      <c r="I1233" s="28">
        <f t="shared" si="73"/>
        <v>0</v>
      </c>
      <c r="J1233" s="28">
        <f t="shared" si="74"/>
        <v>0</v>
      </c>
      <c r="K1233" s="29" t="s">
        <v>60</v>
      </c>
      <c r="Z1233" s="28">
        <f t="shared" si="75"/>
        <v>0</v>
      </c>
      <c r="AB1233" s="28">
        <f t="shared" si="76"/>
        <v>0</v>
      </c>
      <c r="AC1233" s="28">
        <f t="shared" si="77"/>
        <v>0</v>
      </c>
      <c r="AD1233" s="28">
        <f t="shared" si="78"/>
        <v>0</v>
      </c>
      <c r="AE1233" s="28">
        <f t="shared" si="79"/>
        <v>0</v>
      </c>
      <c r="AF1233" s="28">
        <f t="shared" si="80"/>
        <v>0</v>
      </c>
      <c r="AG1233" s="28">
        <f t="shared" si="81"/>
        <v>0</v>
      </c>
      <c r="AH1233" s="28">
        <f t="shared" si="82"/>
        <v>0</v>
      </c>
      <c r="AI1233" s="10" t="s">
        <v>2144</v>
      </c>
      <c r="AJ1233" s="28">
        <f t="shared" si="83"/>
        <v>0</v>
      </c>
      <c r="AK1233" s="28">
        <f t="shared" si="84"/>
        <v>0</v>
      </c>
      <c r="AL1233" s="28">
        <f t="shared" si="85"/>
        <v>0</v>
      </c>
      <c r="AN1233" s="28">
        <v>21</v>
      </c>
      <c r="AO1233" s="28">
        <f t="shared" si="86"/>
        <v>0</v>
      </c>
      <c r="AP1233" s="28">
        <f t="shared" si="87"/>
        <v>0</v>
      </c>
      <c r="AQ1233" s="30" t="s">
        <v>74</v>
      </c>
      <c r="AV1233" s="28">
        <f t="shared" si="88"/>
        <v>0</v>
      </c>
      <c r="AW1233" s="28">
        <f t="shared" si="89"/>
        <v>0</v>
      </c>
      <c r="AX1233" s="28">
        <f t="shared" si="90"/>
        <v>0</v>
      </c>
      <c r="AY1233" s="30" t="s">
        <v>2156</v>
      </c>
      <c r="AZ1233" s="30" t="s">
        <v>2148</v>
      </c>
      <c r="BA1233" s="10" t="s">
        <v>2149</v>
      </c>
      <c r="BC1233" s="28">
        <f t="shared" si="91"/>
        <v>0</v>
      </c>
      <c r="BD1233" s="28">
        <f t="shared" si="92"/>
        <v>0</v>
      </c>
      <c r="BE1233" s="28">
        <v>0</v>
      </c>
      <c r="BF1233" s="28">
        <f>1244</f>
        <v>1244</v>
      </c>
      <c r="BH1233" s="28">
        <f t="shared" si="93"/>
        <v>0</v>
      </c>
      <c r="BI1233" s="28">
        <f t="shared" si="94"/>
        <v>0</v>
      </c>
      <c r="BJ1233" s="28">
        <f t="shared" si="95"/>
        <v>0</v>
      </c>
      <c r="BK1233" s="28"/>
      <c r="BL1233" s="28"/>
      <c r="BW1233" s="28">
        <v>21</v>
      </c>
      <c r="BX1233" s="4" t="s">
        <v>2179</v>
      </c>
    </row>
    <row r="1234" spans="1:76" x14ac:dyDescent="0.25">
      <c r="A1234" s="2" t="s">
        <v>2180</v>
      </c>
      <c r="B1234" s="3" t="s">
        <v>2181</v>
      </c>
      <c r="C1234" s="76" t="s">
        <v>2182</v>
      </c>
      <c r="D1234" s="71"/>
      <c r="E1234" s="3" t="s">
        <v>188</v>
      </c>
      <c r="F1234" s="28">
        <v>0.2</v>
      </c>
      <c r="G1234" s="28">
        <v>0</v>
      </c>
      <c r="H1234" s="28">
        <f t="shared" si="72"/>
        <v>0</v>
      </c>
      <c r="I1234" s="28">
        <f t="shared" si="73"/>
        <v>0</v>
      </c>
      <c r="J1234" s="28">
        <f t="shared" si="74"/>
        <v>0</v>
      </c>
      <c r="K1234" s="29" t="s">
        <v>60</v>
      </c>
      <c r="Z1234" s="28">
        <f t="shared" si="75"/>
        <v>0</v>
      </c>
      <c r="AB1234" s="28">
        <f t="shared" si="76"/>
        <v>0</v>
      </c>
      <c r="AC1234" s="28">
        <f t="shared" si="77"/>
        <v>0</v>
      </c>
      <c r="AD1234" s="28">
        <f t="shared" si="78"/>
        <v>0</v>
      </c>
      <c r="AE1234" s="28">
        <f t="shared" si="79"/>
        <v>0</v>
      </c>
      <c r="AF1234" s="28">
        <f t="shared" si="80"/>
        <v>0</v>
      </c>
      <c r="AG1234" s="28">
        <f t="shared" si="81"/>
        <v>0</v>
      </c>
      <c r="AH1234" s="28">
        <f t="shared" si="82"/>
        <v>0</v>
      </c>
      <c r="AI1234" s="10" t="s">
        <v>2144</v>
      </c>
      <c r="AJ1234" s="28">
        <f t="shared" si="83"/>
        <v>0</v>
      </c>
      <c r="AK1234" s="28">
        <f t="shared" si="84"/>
        <v>0</v>
      </c>
      <c r="AL1234" s="28">
        <f t="shared" si="85"/>
        <v>0</v>
      </c>
      <c r="AN1234" s="28">
        <v>21</v>
      </c>
      <c r="AO1234" s="28">
        <f t="shared" si="86"/>
        <v>0</v>
      </c>
      <c r="AP1234" s="28">
        <f t="shared" si="87"/>
        <v>0</v>
      </c>
      <c r="AQ1234" s="30" t="s">
        <v>74</v>
      </c>
      <c r="AV1234" s="28">
        <f t="shared" si="88"/>
        <v>0</v>
      </c>
      <c r="AW1234" s="28">
        <f t="shared" si="89"/>
        <v>0</v>
      </c>
      <c r="AX1234" s="28">
        <f t="shared" si="90"/>
        <v>0</v>
      </c>
      <c r="AY1234" s="30" t="s">
        <v>2156</v>
      </c>
      <c r="AZ1234" s="30" t="s">
        <v>2148</v>
      </c>
      <c r="BA1234" s="10" t="s">
        <v>2149</v>
      </c>
      <c r="BC1234" s="28">
        <f t="shared" si="91"/>
        <v>0</v>
      </c>
      <c r="BD1234" s="28">
        <f t="shared" si="92"/>
        <v>0</v>
      </c>
      <c r="BE1234" s="28">
        <v>0</v>
      </c>
      <c r="BF1234" s="28">
        <f>1245</f>
        <v>1245</v>
      </c>
      <c r="BH1234" s="28">
        <f t="shared" si="93"/>
        <v>0</v>
      </c>
      <c r="BI1234" s="28">
        <f t="shared" si="94"/>
        <v>0</v>
      </c>
      <c r="BJ1234" s="28">
        <f t="shared" si="95"/>
        <v>0</v>
      </c>
      <c r="BK1234" s="28"/>
      <c r="BL1234" s="28"/>
      <c r="BW1234" s="28">
        <v>21</v>
      </c>
      <c r="BX1234" s="4" t="s">
        <v>2182</v>
      </c>
    </row>
    <row r="1235" spans="1:76" x14ac:dyDescent="0.25">
      <c r="A1235" s="2" t="s">
        <v>2183</v>
      </c>
      <c r="B1235" s="3" t="s">
        <v>2184</v>
      </c>
      <c r="C1235" s="76" t="s">
        <v>2185</v>
      </c>
      <c r="D1235" s="71"/>
      <c r="E1235" s="3" t="s">
        <v>293</v>
      </c>
      <c r="F1235" s="28">
        <v>2</v>
      </c>
      <c r="G1235" s="28">
        <v>0</v>
      </c>
      <c r="H1235" s="28">
        <f t="shared" si="72"/>
        <v>0</v>
      </c>
      <c r="I1235" s="28">
        <f t="shared" si="73"/>
        <v>0</v>
      </c>
      <c r="J1235" s="28">
        <f t="shared" si="74"/>
        <v>0</v>
      </c>
      <c r="K1235" s="29" t="s">
        <v>60</v>
      </c>
      <c r="Z1235" s="28">
        <f t="shared" si="75"/>
        <v>0</v>
      </c>
      <c r="AB1235" s="28">
        <f t="shared" si="76"/>
        <v>0</v>
      </c>
      <c r="AC1235" s="28">
        <f t="shared" si="77"/>
        <v>0</v>
      </c>
      <c r="AD1235" s="28">
        <f t="shared" si="78"/>
        <v>0</v>
      </c>
      <c r="AE1235" s="28">
        <f t="shared" si="79"/>
        <v>0</v>
      </c>
      <c r="AF1235" s="28">
        <f t="shared" si="80"/>
        <v>0</v>
      </c>
      <c r="AG1235" s="28">
        <f t="shared" si="81"/>
        <v>0</v>
      </c>
      <c r="AH1235" s="28">
        <f t="shared" si="82"/>
        <v>0</v>
      </c>
      <c r="AI1235" s="10" t="s">
        <v>2144</v>
      </c>
      <c r="AJ1235" s="28">
        <f t="shared" si="83"/>
        <v>0</v>
      </c>
      <c r="AK1235" s="28">
        <f t="shared" si="84"/>
        <v>0</v>
      </c>
      <c r="AL1235" s="28">
        <f t="shared" si="85"/>
        <v>0</v>
      </c>
      <c r="AN1235" s="28">
        <v>21</v>
      </c>
      <c r="AO1235" s="28">
        <f t="shared" si="86"/>
        <v>0</v>
      </c>
      <c r="AP1235" s="28">
        <f t="shared" si="87"/>
        <v>0</v>
      </c>
      <c r="AQ1235" s="30" t="s">
        <v>74</v>
      </c>
      <c r="AV1235" s="28">
        <f t="shared" si="88"/>
        <v>0</v>
      </c>
      <c r="AW1235" s="28">
        <f t="shared" si="89"/>
        <v>0</v>
      </c>
      <c r="AX1235" s="28">
        <f t="shared" si="90"/>
        <v>0</v>
      </c>
      <c r="AY1235" s="30" t="s">
        <v>2156</v>
      </c>
      <c r="AZ1235" s="30" t="s">
        <v>2148</v>
      </c>
      <c r="BA1235" s="10" t="s">
        <v>2149</v>
      </c>
      <c r="BC1235" s="28">
        <f t="shared" si="91"/>
        <v>0</v>
      </c>
      <c r="BD1235" s="28">
        <f t="shared" si="92"/>
        <v>0</v>
      </c>
      <c r="BE1235" s="28">
        <v>0</v>
      </c>
      <c r="BF1235" s="28">
        <f>1246</f>
        <v>1246</v>
      </c>
      <c r="BH1235" s="28">
        <f t="shared" si="93"/>
        <v>0</v>
      </c>
      <c r="BI1235" s="28">
        <f t="shared" si="94"/>
        <v>0</v>
      </c>
      <c r="BJ1235" s="28">
        <f t="shared" si="95"/>
        <v>0</v>
      </c>
      <c r="BK1235" s="28"/>
      <c r="BL1235" s="28"/>
      <c r="BW1235" s="28">
        <v>21</v>
      </c>
      <c r="BX1235" s="4" t="s">
        <v>2185</v>
      </c>
    </row>
    <row r="1236" spans="1:76" x14ac:dyDescent="0.25">
      <c r="A1236" s="2" t="s">
        <v>2186</v>
      </c>
      <c r="B1236" s="3" t="s">
        <v>2187</v>
      </c>
      <c r="C1236" s="76" t="s">
        <v>2188</v>
      </c>
      <c r="D1236" s="71"/>
      <c r="E1236" s="3" t="s">
        <v>293</v>
      </c>
      <c r="F1236" s="28">
        <v>6</v>
      </c>
      <c r="G1236" s="28">
        <v>0</v>
      </c>
      <c r="H1236" s="28">
        <f t="shared" si="72"/>
        <v>0</v>
      </c>
      <c r="I1236" s="28">
        <f t="shared" si="73"/>
        <v>0</v>
      </c>
      <c r="J1236" s="28">
        <f t="shared" si="74"/>
        <v>0</v>
      </c>
      <c r="K1236" s="29" t="s">
        <v>60</v>
      </c>
      <c r="Z1236" s="28">
        <f t="shared" si="75"/>
        <v>0</v>
      </c>
      <c r="AB1236" s="28">
        <f t="shared" si="76"/>
        <v>0</v>
      </c>
      <c r="AC1236" s="28">
        <f t="shared" si="77"/>
        <v>0</v>
      </c>
      <c r="AD1236" s="28">
        <f t="shared" si="78"/>
        <v>0</v>
      </c>
      <c r="AE1236" s="28">
        <f t="shared" si="79"/>
        <v>0</v>
      </c>
      <c r="AF1236" s="28">
        <f t="shared" si="80"/>
        <v>0</v>
      </c>
      <c r="AG1236" s="28">
        <f t="shared" si="81"/>
        <v>0</v>
      </c>
      <c r="AH1236" s="28">
        <f t="shared" si="82"/>
        <v>0</v>
      </c>
      <c r="AI1236" s="10" t="s">
        <v>2144</v>
      </c>
      <c r="AJ1236" s="28">
        <f t="shared" si="83"/>
        <v>0</v>
      </c>
      <c r="AK1236" s="28">
        <f t="shared" si="84"/>
        <v>0</v>
      </c>
      <c r="AL1236" s="28">
        <f t="shared" si="85"/>
        <v>0</v>
      </c>
      <c r="AN1236" s="28">
        <v>21</v>
      </c>
      <c r="AO1236" s="28">
        <f t="shared" si="86"/>
        <v>0</v>
      </c>
      <c r="AP1236" s="28">
        <f t="shared" si="87"/>
        <v>0</v>
      </c>
      <c r="AQ1236" s="30" t="s">
        <v>74</v>
      </c>
      <c r="AV1236" s="28">
        <f t="shared" si="88"/>
        <v>0</v>
      </c>
      <c r="AW1236" s="28">
        <f t="shared" si="89"/>
        <v>0</v>
      </c>
      <c r="AX1236" s="28">
        <f t="shared" si="90"/>
        <v>0</v>
      </c>
      <c r="AY1236" s="30" t="s">
        <v>2156</v>
      </c>
      <c r="AZ1236" s="30" t="s">
        <v>2148</v>
      </c>
      <c r="BA1236" s="10" t="s">
        <v>2149</v>
      </c>
      <c r="BC1236" s="28">
        <f t="shared" si="91"/>
        <v>0</v>
      </c>
      <c r="BD1236" s="28">
        <f t="shared" si="92"/>
        <v>0</v>
      </c>
      <c r="BE1236" s="28">
        <v>0</v>
      </c>
      <c r="BF1236" s="28">
        <f>1247</f>
        <v>1247</v>
      </c>
      <c r="BH1236" s="28">
        <f t="shared" si="93"/>
        <v>0</v>
      </c>
      <c r="BI1236" s="28">
        <f t="shared" si="94"/>
        <v>0</v>
      </c>
      <c r="BJ1236" s="28">
        <f t="shared" si="95"/>
        <v>0</v>
      </c>
      <c r="BK1236" s="28"/>
      <c r="BL1236" s="28"/>
      <c r="BW1236" s="28">
        <v>21</v>
      </c>
      <c r="BX1236" s="4" t="s">
        <v>2188</v>
      </c>
    </row>
    <row r="1237" spans="1:76" x14ac:dyDescent="0.25">
      <c r="A1237" s="2" t="s">
        <v>2189</v>
      </c>
      <c r="B1237" s="3" t="s">
        <v>2190</v>
      </c>
      <c r="C1237" s="76" t="s">
        <v>2191</v>
      </c>
      <c r="D1237" s="71"/>
      <c r="E1237" s="3" t="s">
        <v>188</v>
      </c>
      <c r="F1237" s="28">
        <v>60</v>
      </c>
      <c r="G1237" s="28">
        <v>0</v>
      </c>
      <c r="H1237" s="28">
        <f t="shared" si="72"/>
        <v>0</v>
      </c>
      <c r="I1237" s="28">
        <f t="shared" si="73"/>
        <v>0</v>
      </c>
      <c r="J1237" s="28">
        <f t="shared" si="74"/>
        <v>0</v>
      </c>
      <c r="K1237" s="29" t="s">
        <v>60</v>
      </c>
      <c r="Z1237" s="28">
        <f t="shared" si="75"/>
        <v>0</v>
      </c>
      <c r="AB1237" s="28">
        <f t="shared" si="76"/>
        <v>0</v>
      </c>
      <c r="AC1237" s="28">
        <f t="shared" si="77"/>
        <v>0</v>
      </c>
      <c r="AD1237" s="28">
        <f t="shared" si="78"/>
        <v>0</v>
      </c>
      <c r="AE1237" s="28">
        <f t="shared" si="79"/>
        <v>0</v>
      </c>
      <c r="AF1237" s="28">
        <f t="shared" si="80"/>
        <v>0</v>
      </c>
      <c r="AG1237" s="28">
        <f t="shared" si="81"/>
        <v>0</v>
      </c>
      <c r="AH1237" s="28">
        <f t="shared" si="82"/>
        <v>0</v>
      </c>
      <c r="AI1237" s="10" t="s">
        <v>2144</v>
      </c>
      <c r="AJ1237" s="28">
        <f t="shared" si="83"/>
        <v>0</v>
      </c>
      <c r="AK1237" s="28">
        <f t="shared" si="84"/>
        <v>0</v>
      </c>
      <c r="AL1237" s="28">
        <f t="shared" si="85"/>
        <v>0</v>
      </c>
      <c r="AN1237" s="28">
        <v>21</v>
      </c>
      <c r="AO1237" s="28">
        <f>G1237*0.305481121</f>
        <v>0</v>
      </c>
      <c r="AP1237" s="28">
        <f>G1237*(1-0.305481121)</f>
        <v>0</v>
      </c>
      <c r="AQ1237" s="30" t="s">
        <v>74</v>
      </c>
      <c r="AV1237" s="28">
        <f t="shared" si="88"/>
        <v>0</v>
      </c>
      <c r="AW1237" s="28">
        <f t="shared" si="89"/>
        <v>0</v>
      </c>
      <c r="AX1237" s="28">
        <f t="shared" si="90"/>
        <v>0</v>
      </c>
      <c r="AY1237" s="30" t="s">
        <v>2156</v>
      </c>
      <c r="AZ1237" s="30" t="s">
        <v>2148</v>
      </c>
      <c r="BA1237" s="10" t="s">
        <v>2149</v>
      </c>
      <c r="BC1237" s="28">
        <f t="shared" si="91"/>
        <v>0</v>
      </c>
      <c r="BD1237" s="28">
        <f t="shared" si="92"/>
        <v>0</v>
      </c>
      <c r="BE1237" s="28">
        <v>0</v>
      </c>
      <c r="BF1237" s="28">
        <f>1248</f>
        <v>1248</v>
      </c>
      <c r="BH1237" s="28">
        <f t="shared" si="93"/>
        <v>0</v>
      </c>
      <c r="BI1237" s="28">
        <f t="shared" si="94"/>
        <v>0</v>
      </c>
      <c r="BJ1237" s="28">
        <f t="shared" si="95"/>
        <v>0</v>
      </c>
      <c r="BK1237" s="28"/>
      <c r="BL1237" s="28"/>
      <c r="BW1237" s="28">
        <v>21</v>
      </c>
      <c r="BX1237" s="4" t="s">
        <v>2191</v>
      </c>
    </row>
    <row r="1238" spans="1:76" ht="13.5" customHeight="1" x14ac:dyDescent="0.25">
      <c r="A1238" s="31"/>
      <c r="B1238" s="35" t="s">
        <v>105</v>
      </c>
      <c r="C1238" s="97" t="s">
        <v>2192</v>
      </c>
      <c r="D1238" s="98"/>
      <c r="E1238" s="98"/>
      <c r="F1238" s="98"/>
      <c r="G1238" s="98"/>
      <c r="H1238" s="98"/>
      <c r="I1238" s="98"/>
      <c r="J1238" s="98"/>
      <c r="K1238" s="99"/>
    </row>
    <row r="1239" spans="1:76" x14ac:dyDescent="0.25">
      <c r="A1239" s="2" t="s">
        <v>2193</v>
      </c>
      <c r="B1239" s="3" t="s">
        <v>2194</v>
      </c>
      <c r="C1239" s="76" t="s">
        <v>2195</v>
      </c>
      <c r="D1239" s="71"/>
      <c r="E1239" s="3" t="s">
        <v>188</v>
      </c>
      <c r="F1239" s="28">
        <v>40</v>
      </c>
      <c r="G1239" s="28">
        <v>0</v>
      </c>
      <c r="H1239" s="28">
        <f>ROUND(F1239*AO1239,2)</f>
        <v>0</v>
      </c>
      <c r="I1239" s="28">
        <f>ROUND(F1239*AP1239,2)</f>
        <v>0</v>
      </c>
      <c r="J1239" s="28">
        <f>ROUND(F1239*G1239,2)</f>
        <v>0</v>
      </c>
      <c r="K1239" s="29" t="s">
        <v>60</v>
      </c>
      <c r="Z1239" s="28">
        <f>ROUND(IF(AQ1239="5",BJ1239,0),2)</f>
        <v>0</v>
      </c>
      <c r="AB1239" s="28">
        <f>ROUND(IF(AQ1239="1",BH1239,0),2)</f>
        <v>0</v>
      </c>
      <c r="AC1239" s="28">
        <f>ROUND(IF(AQ1239="1",BI1239,0),2)</f>
        <v>0</v>
      </c>
      <c r="AD1239" s="28">
        <f>ROUND(IF(AQ1239="7",BH1239,0),2)</f>
        <v>0</v>
      </c>
      <c r="AE1239" s="28">
        <f>ROUND(IF(AQ1239="7",BI1239,0),2)</f>
        <v>0</v>
      </c>
      <c r="AF1239" s="28">
        <f>ROUND(IF(AQ1239="2",BH1239,0),2)</f>
        <v>0</v>
      </c>
      <c r="AG1239" s="28">
        <f>ROUND(IF(AQ1239="2",BI1239,0),2)</f>
        <v>0</v>
      </c>
      <c r="AH1239" s="28">
        <f>ROUND(IF(AQ1239="0",BJ1239,0),2)</f>
        <v>0</v>
      </c>
      <c r="AI1239" s="10" t="s">
        <v>2144</v>
      </c>
      <c r="AJ1239" s="28">
        <f>IF(AN1239=0,J1239,0)</f>
        <v>0</v>
      </c>
      <c r="AK1239" s="28">
        <f>IF(AN1239=12,J1239,0)</f>
        <v>0</v>
      </c>
      <c r="AL1239" s="28">
        <f>IF(AN1239=21,J1239,0)</f>
        <v>0</v>
      </c>
      <c r="AN1239" s="28">
        <v>21</v>
      </c>
      <c r="AO1239" s="28">
        <f>G1239*0.403874346</f>
        <v>0</v>
      </c>
      <c r="AP1239" s="28">
        <f>G1239*(1-0.403874346)</f>
        <v>0</v>
      </c>
      <c r="AQ1239" s="30" t="s">
        <v>74</v>
      </c>
      <c r="AV1239" s="28">
        <f>ROUND(AW1239+AX1239,2)</f>
        <v>0</v>
      </c>
      <c r="AW1239" s="28">
        <f>ROUND(F1239*AO1239,2)</f>
        <v>0</v>
      </c>
      <c r="AX1239" s="28">
        <f>ROUND(F1239*AP1239,2)</f>
        <v>0</v>
      </c>
      <c r="AY1239" s="30" t="s">
        <v>2156</v>
      </c>
      <c r="AZ1239" s="30" t="s">
        <v>2148</v>
      </c>
      <c r="BA1239" s="10" t="s">
        <v>2149</v>
      </c>
      <c r="BC1239" s="28">
        <f>AW1239+AX1239</f>
        <v>0</v>
      </c>
      <c r="BD1239" s="28">
        <f>G1239/(100-BE1239)*100</f>
        <v>0</v>
      </c>
      <c r="BE1239" s="28">
        <v>0</v>
      </c>
      <c r="BF1239" s="28">
        <f>1250</f>
        <v>1250</v>
      </c>
      <c r="BH1239" s="28">
        <f>F1239*AO1239</f>
        <v>0</v>
      </c>
      <c r="BI1239" s="28">
        <f>F1239*AP1239</f>
        <v>0</v>
      </c>
      <c r="BJ1239" s="28">
        <f>F1239*G1239</f>
        <v>0</v>
      </c>
      <c r="BK1239" s="28"/>
      <c r="BL1239" s="28"/>
      <c r="BW1239" s="28">
        <v>21</v>
      </c>
      <c r="BX1239" s="4" t="s">
        <v>2195</v>
      </c>
    </row>
    <row r="1240" spans="1:76" ht="13.5" customHeight="1" x14ac:dyDescent="0.25">
      <c r="A1240" s="31"/>
      <c r="B1240" s="35" t="s">
        <v>105</v>
      </c>
      <c r="C1240" s="97" t="s">
        <v>2192</v>
      </c>
      <c r="D1240" s="98"/>
      <c r="E1240" s="98"/>
      <c r="F1240" s="98"/>
      <c r="G1240" s="98"/>
      <c r="H1240" s="98"/>
      <c r="I1240" s="98"/>
      <c r="J1240" s="98"/>
      <c r="K1240" s="99"/>
    </row>
    <row r="1241" spans="1:76" x14ac:dyDescent="0.25">
      <c r="A1241" s="2" t="s">
        <v>2196</v>
      </c>
      <c r="B1241" s="3" t="s">
        <v>2197</v>
      </c>
      <c r="C1241" s="76" t="s">
        <v>2198</v>
      </c>
      <c r="D1241" s="71"/>
      <c r="E1241" s="3" t="s">
        <v>188</v>
      </c>
      <c r="F1241" s="28">
        <v>80</v>
      </c>
      <c r="G1241" s="28">
        <v>0</v>
      </c>
      <c r="H1241" s="28">
        <f>ROUND(F1241*AO1241,2)</f>
        <v>0</v>
      </c>
      <c r="I1241" s="28">
        <f>ROUND(F1241*AP1241,2)</f>
        <v>0</v>
      </c>
      <c r="J1241" s="28">
        <f>ROUND(F1241*G1241,2)</f>
        <v>0</v>
      </c>
      <c r="K1241" s="29" t="s">
        <v>60</v>
      </c>
      <c r="Z1241" s="28">
        <f>ROUND(IF(AQ1241="5",BJ1241,0),2)</f>
        <v>0</v>
      </c>
      <c r="AB1241" s="28">
        <f>ROUND(IF(AQ1241="1",BH1241,0),2)</f>
        <v>0</v>
      </c>
      <c r="AC1241" s="28">
        <f>ROUND(IF(AQ1241="1",BI1241,0),2)</f>
        <v>0</v>
      </c>
      <c r="AD1241" s="28">
        <f>ROUND(IF(AQ1241="7",BH1241,0),2)</f>
        <v>0</v>
      </c>
      <c r="AE1241" s="28">
        <f>ROUND(IF(AQ1241="7",BI1241,0),2)</f>
        <v>0</v>
      </c>
      <c r="AF1241" s="28">
        <f>ROUND(IF(AQ1241="2",BH1241,0),2)</f>
        <v>0</v>
      </c>
      <c r="AG1241" s="28">
        <f>ROUND(IF(AQ1241="2",BI1241,0),2)</f>
        <v>0</v>
      </c>
      <c r="AH1241" s="28">
        <f>ROUND(IF(AQ1241="0",BJ1241,0),2)</f>
        <v>0</v>
      </c>
      <c r="AI1241" s="10" t="s">
        <v>2144</v>
      </c>
      <c r="AJ1241" s="28">
        <f>IF(AN1241=0,J1241,0)</f>
        <v>0</v>
      </c>
      <c r="AK1241" s="28">
        <f>IF(AN1241=12,J1241,0)</f>
        <v>0</v>
      </c>
      <c r="AL1241" s="28">
        <f>IF(AN1241=21,J1241,0)</f>
        <v>0</v>
      </c>
      <c r="AN1241" s="28">
        <v>21</v>
      </c>
      <c r="AO1241" s="28">
        <f>G1241*0</f>
        <v>0</v>
      </c>
      <c r="AP1241" s="28">
        <f>G1241*(1-0)</f>
        <v>0</v>
      </c>
      <c r="AQ1241" s="30" t="s">
        <v>74</v>
      </c>
      <c r="AV1241" s="28">
        <f>ROUND(AW1241+AX1241,2)</f>
        <v>0</v>
      </c>
      <c r="AW1241" s="28">
        <f>ROUND(F1241*AO1241,2)</f>
        <v>0</v>
      </c>
      <c r="AX1241" s="28">
        <f>ROUND(F1241*AP1241,2)</f>
        <v>0</v>
      </c>
      <c r="AY1241" s="30" t="s">
        <v>2156</v>
      </c>
      <c r="AZ1241" s="30" t="s">
        <v>2148</v>
      </c>
      <c r="BA1241" s="10" t="s">
        <v>2149</v>
      </c>
      <c r="BC1241" s="28">
        <f>AW1241+AX1241</f>
        <v>0</v>
      </c>
      <c r="BD1241" s="28">
        <f>G1241/(100-BE1241)*100</f>
        <v>0</v>
      </c>
      <c r="BE1241" s="28">
        <v>0</v>
      </c>
      <c r="BF1241" s="28">
        <f>1252</f>
        <v>1252</v>
      </c>
      <c r="BH1241" s="28">
        <f>F1241*AO1241</f>
        <v>0</v>
      </c>
      <c r="BI1241" s="28">
        <f>F1241*AP1241</f>
        <v>0</v>
      </c>
      <c r="BJ1241" s="28">
        <f>F1241*G1241</f>
        <v>0</v>
      </c>
      <c r="BK1241" s="28"/>
      <c r="BL1241" s="28"/>
      <c r="BW1241" s="28">
        <v>21</v>
      </c>
      <c r="BX1241" s="4" t="s">
        <v>2198</v>
      </c>
    </row>
    <row r="1242" spans="1:76" x14ac:dyDescent="0.25">
      <c r="A1242" s="2" t="s">
        <v>2199</v>
      </c>
      <c r="B1242" s="3" t="s">
        <v>2200</v>
      </c>
      <c r="C1242" s="76" t="s">
        <v>2201</v>
      </c>
      <c r="D1242" s="71"/>
      <c r="E1242" s="3" t="s">
        <v>188</v>
      </c>
      <c r="F1242" s="28">
        <v>5</v>
      </c>
      <c r="G1242" s="28">
        <v>0</v>
      </c>
      <c r="H1242" s="28">
        <f>ROUND(F1242*AO1242,2)</f>
        <v>0</v>
      </c>
      <c r="I1242" s="28">
        <f>ROUND(F1242*AP1242,2)</f>
        <v>0</v>
      </c>
      <c r="J1242" s="28">
        <f>ROUND(F1242*G1242,2)</f>
        <v>0</v>
      </c>
      <c r="K1242" s="29" t="s">
        <v>60</v>
      </c>
      <c r="Z1242" s="28">
        <f>ROUND(IF(AQ1242="5",BJ1242,0),2)</f>
        <v>0</v>
      </c>
      <c r="AB1242" s="28">
        <f>ROUND(IF(AQ1242="1",BH1242,0),2)</f>
        <v>0</v>
      </c>
      <c r="AC1242" s="28">
        <f>ROUND(IF(AQ1242="1",BI1242,0),2)</f>
        <v>0</v>
      </c>
      <c r="AD1242" s="28">
        <f>ROUND(IF(AQ1242="7",BH1242,0),2)</f>
        <v>0</v>
      </c>
      <c r="AE1242" s="28">
        <f>ROUND(IF(AQ1242="7",BI1242,0),2)</f>
        <v>0</v>
      </c>
      <c r="AF1242" s="28">
        <f>ROUND(IF(AQ1242="2",BH1242,0),2)</f>
        <v>0</v>
      </c>
      <c r="AG1242" s="28">
        <f>ROUND(IF(AQ1242="2",BI1242,0),2)</f>
        <v>0</v>
      </c>
      <c r="AH1242" s="28">
        <f>ROUND(IF(AQ1242="0",BJ1242,0),2)</f>
        <v>0</v>
      </c>
      <c r="AI1242" s="10" t="s">
        <v>2144</v>
      </c>
      <c r="AJ1242" s="28">
        <f>IF(AN1242=0,J1242,0)</f>
        <v>0</v>
      </c>
      <c r="AK1242" s="28">
        <f>IF(AN1242=12,J1242,0)</f>
        <v>0</v>
      </c>
      <c r="AL1242" s="28">
        <f>IF(AN1242=21,J1242,0)</f>
        <v>0</v>
      </c>
      <c r="AN1242" s="28">
        <v>21</v>
      </c>
      <c r="AO1242" s="28">
        <f>G1242*0</f>
        <v>0</v>
      </c>
      <c r="AP1242" s="28">
        <f>G1242*(1-0)</f>
        <v>0</v>
      </c>
      <c r="AQ1242" s="30" t="s">
        <v>74</v>
      </c>
      <c r="AV1242" s="28">
        <f>ROUND(AW1242+AX1242,2)</f>
        <v>0</v>
      </c>
      <c r="AW1242" s="28">
        <f>ROUND(F1242*AO1242,2)</f>
        <v>0</v>
      </c>
      <c r="AX1242" s="28">
        <f>ROUND(F1242*AP1242,2)</f>
        <v>0</v>
      </c>
      <c r="AY1242" s="30" t="s">
        <v>2156</v>
      </c>
      <c r="AZ1242" s="30" t="s">
        <v>2148</v>
      </c>
      <c r="BA1242" s="10" t="s">
        <v>2149</v>
      </c>
      <c r="BC1242" s="28">
        <f>AW1242+AX1242</f>
        <v>0</v>
      </c>
      <c r="BD1242" s="28">
        <f>G1242/(100-BE1242)*100</f>
        <v>0</v>
      </c>
      <c r="BE1242" s="28">
        <v>0</v>
      </c>
      <c r="BF1242" s="28">
        <f>1253</f>
        <v>1253</v>
      </c>
      <c r="BH1242" s="28">
        <f>F1242*AO1242</f>
        <v>0</v>
      </c>
      <c r="BI1242" s="28">
        <f>F1242*AP1242</f>
        <v>0</v>
      </c>
      <c r="BJ1242" s="28">
        <f>F1242*G1242</f>
        <v>0</v>
      </c>
      <c r="BK1242" s="28"/>
      <c r="BL1242" s="28"/>
      <c r="BW1242" s="28">
        <v>21</v>
      </c>
      <c r="BX1242" s="4" t="s">
        <v>2201</v>
      </c>
    </row>
    <row r="1243" spans="1:76" x14ac:dyDescent="0.25">
      <c r="A1243" s="2" t="s">
        <v>2202</v>
      </c>
      <c r="B1243" s="3" t="s">
        <v>2203</v>
      </c>
      <c r="C1243" s="76" t="s">
        <v>2204</v>
      </c>
      <c r="D1243" s="71"/>
      <c r="E1243" s="3" t="s">
        <v>293</v>
      </c>
      <c r="F1243" s="28">
        <v>2</v>
      </c>
      <c r="G1243" s="28">
        <v>0</v>
      </c>
      <c r="H1243" s="28">
        <f>ROUND(F1243*AO1243,2)</f>
        <v>0</v>
      </c>
      <c r="I1243" s="28">
        <f>ROUND(F1243*AP1243,2)</f>
        <v>0</v>
      </c>
      <c r="J1243" s="28">
        <f>ROUND(F1243*G1243,2)</f>
        <v>0</v>
      </c>
      <c r="K1243" s="29" t="s">
        <v>60</v>
      </c>
      <c r="Z1243" s="28">
        <f>ROUND(IF(AQ1243="5",BJ1243,0),2)</f>
        <v>0</v>
      </c>
      <c r="AB1243" s="28">
        <f>ROUND(IF(AQ1243="1",BH1243,0),2)</f>
        <v>0</v>
      </c>
      <c r="AC1243" s="28">
        <f>ROUND(IF(AQ1243="1",BI1243,0),2)</f>
        <v>0</v>
      </c>
      <c r="AD1243" s="28">
        <f>ROUND(IF(AQ1243="7",BH1243,0),2)</f>
        <v>0</v>
      </c>
      <c r="AE1243" s="28">
        <f>ROUND(IF(AQ1243="7",BI1243,0),2)</f>
        <v>0</v>
      </c>
      <c r="AF1243" s="28">
        <f>ROUND(IF(AQ1243="2",BH1243,0),2)</f>
        <v>0</v>
      </c>
      <c r="AG1243" s="28">
        <f>ROUND(IF(AQ1243="2",BI1243,0),2)</f>
        <v>0</v>
      </c>
      <c r="AH1243" s="28">
        <f>ROUND(IF(AQ1243="0",BJ1243,0),2)</f>
        <v>0</v>
      </c>
      <c r="AI1243" s="10" t="s">
        <v>2144</v>
      </c>
      <c r="AJ1243" s="28">
        <f>IF(AN1243=0,J1243,0)</f>
        <v>0</v>
      </c>
      <c r="AK1243" s="28">
        <f>IF(AN1243=12,J1243,0)</f>
        <v>0</v>
      </c>
      <c r="AL1243" s="28">
        <f>IF(AN1243=21,J1243,0)</f>
        <v>0</v>
      </c>
      <c r="AN1243" s="28">
        <v>21</v>
      </c>
      <c r="AO1243" s="28">
        <f>G1243*0</f>
        <v>0</v>
      </c>
      <c r="AP1243" s="28">
        <f>G1243*(1-0)</f>
        <v>0</v>
      </c>
      <c r="AQ1243" s="30" t="s">
        <v>74</v>
      </c>
      <c r="AV1243" s="28">
        <f>ROUND(AW1243+AX1243,2)</f>
        <v>0</v>
      </c>
      <c r="AW1243" s="28">
        <f>ROUND(F1243*AO1243,2)</f>
        <v>0</v>
      </c>
      <c r="AX1243" s="28">
        <f>ROUND(F1243*AP1243,2)</f>
        <v>0</v>
      </c>
      <c r="AY1243" s="30" t="s">
        <v>2156</v>
      </c>
      <c r="AZ1243" s="30" t="s">
        <v>2148</v>
      </c>
      <c r="BA1243" s="10" t="s">
        <v>2149</v>
      </c>
      <c r="BC1243" s="28">
        <f>AW1243+AX1243</f>
        <v>0</v>
      </c>
      <c r="BD1243" s="28">
        <f>G1243/(100-BE1243)*100</f>
        <v>0</v>
      </c>
      <c r="BE1243" s="28">
        <v>0</v>
      </c>
      <c r="BF1243" s="28">
        <f>1254</f>
        <v>1254</v>
      </c>
      <c r="BH1243" s="28">
        <f>F1243*AO1243</f>
        <v>0</v>
      </c>
      <c r="BI1243" s="28">
        <f>F1243*AP1243</f>
        <v>0</v>
      </c>
      <c r="BJ1243" s="28">
        <f>F1243*G1243</f>
        <v>0</v>
      </c>
      <c r="BK1243" s="28"/>
      <c r="BL1243" s="28"/>
      <c r="BW1243" s="28">
        <v>21</v>
      </c>
      <c r="BX1243" s="4" t="s">
        <v>2204</v>
      </c>
    </row>
    <row r="1244" spans="1:76" x14ac:dyDescent="0.25">
      <c r="A1244" s="2" t="s">
        <v>2205</v>
      </c>
      <c r="B1244" s="3" t="s">
        <v>2206</v>
      </c>
      <c r="C1244" s="76" t="s">
        <v>2207</v>
      </c>
      <c r="D1244" s="71"/>
      <c r="E1244" s="3" t="s">
        <v>293</v>
      </c>
      <c r="F1244" s="28">
        <v>2</v>
      </c>
      <c r="G1244" s="28">
        <v>0</v>
      </c>
      <c r="H1244" s="28">
        <f>ROUND(F1244*AO1244,2)</f>
        <v>0</v>
      </c>
      <c r="I1244" s="28">
        <f>ROUND(F1244*AP1244,2)</f>
        <v>0</v>
      </c>
      <c r="J1244" s="28">
        <f>ROUND(F1244*G1244,2)</f>
        <v>0</v>
      </c>
      <c r="K1244" s="29" t="s">
        <v>60</v>
      </c>
      <c r="Z1244" s="28">
        <f>ROUND(IF(AQ1244="5",BJ1244,0),2)</f>
        <v>0</v>
      </c>
      <c r="AB1244" s="28">
        <f>ROUND(IF(AQ1244="1",BH1244,0),2)</f>
        <v>0</v>
      </c>
      <c r="AC1244" s="28">
        <f>ROUND(IF(AQ1244="1",BI1244,0),2)</f>
        <v>0</v>
      </c>
      <c r="AD1244" s="28">
        <f>ROUND(IF(AQ1244="7",BH1244,0),2)</f>
        <v>0</v>
      </c>
      <c r="AE1244" s="28">
        <f>ROUND(IF(AQ1244="7",BI1244,0),2)</f>
        <v>0</v>
      </c>
      <c r="AF1244" s="28">
        <f>ROUND(IF(AQ1244="2",BH1244,0),2)</f>
        <v>0</v>
      </c>
      <c r="AG1244" s="28">
        <f>ROUND(IF(AQ1244="2",BI1244,0),2)</f>
        <v>0</v>
      </c>
      <c r="AH1244" s="28">
        <f>ROUND(IF(AQ1244="0",BJ1244,0),2)</f>
        <v>0</v>
      </c>
      <c r="AI1244" s="10" t="s">
        <v>2144</v>
      </c>
      <c r="AJ1244" s="28">
        <f>IF(AN1244=0,J1244,0)</f>
        <v>0</v>
      </c>
      <c r="AK1244" s="28">
        <f>IF(AN1244=12,J1244,0)</f>
        <v>0</v>
      </c>
      <c r="AL1244" s="28">
        <f>IF(AN1244=21,J1244,0)</f>
        <v>0</v>
      </c>
      <c r="AN1244" s="28">
        <v>21</v>
      </c>
      <c r="AO1244" s="28">
        <f>G1244*0</f>
        <v>0</v>
      </c>
      <c r="AP1244" s="28">
        <f>G1244*(1-0)</f>
        <v>0</v>
      </c>
      <c r="AQ1244" s="30" t="s">
        <v>74</v>
      </c>
      <c r="AV1244" s="28">
        <f>ROUND(AW1244+AX1244,2)</f>
        <v>0</v>
      </c>
      <c r="AW1244" s="28">
        <f>ROUND(F1244*AO1244,2)</f>
        <v>0</v>
      </c>
      <c r="AX1244" s="28">
        <f>ROUND(F1244*AP1244,2)</f>
        <v>0</v>
      </c>
      <c r="AY1244" s="30" t="s">
        <v>2156</v>
      </c>
      <c r="AZ1244" s="30" t="s">
        <v>2148</v>
      </c>
      <c r="BA1244" s="10" t="s">
        <v>2149</v>
      </c>
      <c r="BC1244" s="28">
        <f>AW1244+AX1244</f>
        <v>0</v>
      </c>
      <c r="BD1244" s="28">
        <f>G1244/(100-BE1244)*100</f>
        <v>0</v>
      </c>
      <c r="BE1244" s="28">
        <v>0</v>
      </c>
      <c r="BF1244" s="28">
        <f>1255</f>
        <v>1255</v>
      </c>
      <c r="BH1244" s="28">
        <f>F1244*AO1244</f>
        <v>0</v>
      </c>
      <c r="BI1244" s="28">
        <f>F1244*AP1244</f>
        <v>0</v>
      </c>
      <c r="BJ1244" s="28">
        <f>F1244*G1244</f>
        <v>0</v>
      </c>
      <c r="BK1244" s="28"/>
      <c r="BL1244" s="28"/>
      <c r="BW1244" s="28">
        <v>21</v>
      </c>
      <c r="BX1244" s="4" t="s">
        <v>2207</v>
      </c>
    </row>
    <row r="1245" spans="1:76" x14ac:dyDescent="0.25">
      <c r="A1245" s="2" t="s">
        <v>2208</v>
      </c>
      <c r="B1245" s="3" t="s">
        <v>2209</v>
      </c>
      <c r="C1245" s="76" t="s">
        <v>2210</v>
      </c>
      <c r="D1245" s="71"/>
      <c r="E1245" s="3" t="s">
        <v>293</v>
      </c>
      <c r="F1245" s="28">
        <v>1</v>
      </c>
      <c r="G1245" s="28">
        <v>0</v>
      </c>
      <c r="H1245" s="28">
        <f>ROUND(F1245*AO1245,2)</f>
        <v>0</v>
      </c>
      <c r="I1245" s="28">
        <f>ROUND(F1245*AP1245,2)</f>
        <v>0</v>
      </c>
      <c r="J1245" s="28">
        <f>ROUND(F1245*G1245,2)</f>
        <v>0</v>
      </c>
      <c r="K1245" s="29" t="s">
        <v>60</v>
      </c>
      <c r="Z1245" s="28">
        <f>ROUND(IF(AQ1245="5",BJ1245,0),2)</f>
        <v>0</v>
      </c>
      <c r="AB1245" s="28">
        <f>ROUND(IF(AQ1245="1",BH1245,0),2)</f>
        <v>0</v>
      </c>
      <c r="AC1245" s="28">
        <f>ROUND(IF(AQ1245="1",BI1245,0),2)</f>
        <v>0</v>
      </c>
      <c r="AD1245" s="28">
        <f>ROUND(IF(AQ1245="7",BH1245,0),2)</f>
        <v>0</v>
      </c>
      <c r="AE1245" s="28">
        <f>ROUND(IF(AQ1245="7",BI1245,0),2)</f>
        <v>0</v>
      </c>
      <c r="AF1245" s="28">
        <f>ROUND(IF(AQ1245="2",BH1245,0),2)</f>
        <v>0</v>
      </c>
      <c r="AG1245" s="28">
        <f>ROUND(IF(AQ1245="2",BI1245,0),2)</f>
        <v>0</v>
      </c>
      <c r="AH1245" s="28">
        <f>ROUND(IF(AQ1245="0",BJ1245,0),2)</f>
        <v>0</v>
      </c>
      <c r="AI1245" s="10" t="s">
        <v>2144</v>
      </c>
      <c r="AJ1245" s="28">
        <f>IF(AN1245=0,J1245,0)</f>
        <v>0</v>
      </c>
      <c r="AK1245" s="28">
        <f>IF(AN1245=12,J1245,0)</f>
        <v>0</v>
      </c>
      <c r="AL1245" s="28">
        <f>IF(AN1245=21,J1245,0)</f>
        <v>0</v>
      </c>
      <c r="AN1245" s="28">
        <v>21</v>
      </c>
      <c r="AO1245" s="28">
        <f>G1245*0</f>
        <v>0</v>
      </c>
      <c r="AP1245" s="28">
        <f>G1245*(1-0)</f>
        <v>0</v>
      </c>
      <c r="AQ1245" s="30" t="s">
        <v>74</v>
      </c>
      <c r="AV1245" s="28">
        <f>ROUND(AW1245+AX1245,2)</f>
        <v>0</v>
      </c>
      <c r="AW1245" s="28">
        <f>ROUND(F1245*AO1245,2)</f>
        <v>0</v>
      </c>
      <c r="AX1245" s="28">
        <f>ROUND(F1245*AP1245,2)</f>
        <v>0</v>
      </c>
      <c r="AY1245" s="30" t="s">
        <v>2156</v>
      </c>
      <c r="AZ1245" s="30" t="s">
        <v>2148</v>
      </c>
      <c r="BA1245" s="10" t="s">
        <v>2149</v>
      </c>
      <c r="BC1245" s="28">
        <f>AW1245+AX1245</f>
        <v>0</v>
      </c>
      <c r="BD1245" s="28">
        <f>G1245/(100-BE1245)*100</f>
        <v>0</v>
      </c>
      <c r="BE1245" s="28">
        <v>0</v>
      </c>
      <c r="BF1245" s="28">
        <f>1256</f>
        <v>1256</v>
      </c>
      <c r="BH1245" s="28">
        <f>F1245*AO1245</f>
        <v>0</v>
      </c>
      <c r="BI1245" s="28">
        <f>F1245*AP1245</f>
        <v>0</v>
      </c>
      <c r="BJ1245" s="28">
        <f>F1245*G1245</f>
        <v>0</v>
      </c>
      <c r="BK1245" s="28"/>
      <c r="BL1245" s="28"/>
      <c r="BW1245" s="28">
        <v>21</v>
      </c>
      <c r="BX1245" s="4" t="s">
        <v>2210</v>
      </c>
    </row>
    <row r="1246" spans="1:76" ht="13.5" customHeight="1" x14ac:dyDescent="0.25">
      <c r="A1246" s="31"/>
      <c r="B1246" s="35" t="s">
        <v>105</v>
      </c>
      <c r="C1246" s="97" t="s">
        <v>2211</v>
      </c>
      <c r="D1246" s="98"/>
      <c r="E1246" s="98"/>
      <c r="F1246" s="98"/>
      <c r="G1246" s="98"/>
      <c r="H1246" s="98"/>
      <c r="I1246" s="98"/>
      <c r="J1246" s="98"/>
      <c r="K1246" s="99"/>
    </row>
    <row r="1247" spans="1:76" x14ac:dyDescent="0.25">
      <c r="A1247" s="2" t="s">
        <v>2212</v>
      </c>
      <c r="B1247" s="3" t="s">
        <v>2213</v>
      </c>
      <c r="C1247" s="76" t="s">
        <v>2214</v>
      </c>
      <c r="D1247" s="71"/>
      <c r="E1247" s="3" t="s">
        <v>293</v>
      </c>
      <c r="F1247" s="28">
        <v>2</v>
      </c>
      <c r="G1247" s="28">
        <v>0</v>
      </c>
      <c r="H1247" s="28">
        <f>ROUND(F1247*AO1247,2)</f>
        <v>0</v>
      </c>
      <c r="I1247" s="28">
        <f>ROUND(F1247*AP1247,2)</f>
        <v>0</v>
      </c>
      <c r="J1247" s="28">
        <f>ROUND(F1247*G1247,2)</f>
        <v>0</v>
      </c>
      <c r="K1247" s="29" t="s">
        <v>60</v>
      </c>
      <c r="Z1247" s="28">
        <f>ROUND(IF(AQ1247="5",BJ1247,0),2)</f>
        <v>0</v>
      </c>
      <c r="AB1247" s="28">
        <f>ROUND(IF(AQ1247="1",BH1247,0),2)</f>
        <v>0</v>
      </c>
      <c r="AC1247" s="28">
        <f>ROUND(IF(AQ1247="1",BI1247,0),2)</f>
        <v>0</v>
      </c>
      <c r="AD1247" s="28">
        <f>ROUND(IF(AQ1247="7",BH1247,0),2)</f>
        <v>0</v>
      </c>
      <c r="AE1247" s="28">
        <f>ROUND(IF(AQ1247="7",BI1247,0),2)</f>
        <v>0</v>
      </c>
      <c r="AF1247" s="28">
        <f>ROUND(IF(AQ1247="2",BH1247,0),2)</f>
        <v>0</v>
      </c>
      <c r="AG1247" s="28">
        <f>ROUND(IF(AQ1247="2",BI1247,0),2)</f>
        <v>0</v>
      </c>
      <c r="AH1247" s="28">
        <f>ROUND(IF(AQ1247="0",BJ1247,0),2)</f>
        <v>0</v>
      </c>
      <c r="AI1247" s="10" t="s">
        <v>2144</v>
      </c>
      <c r="AJ1247" s="28">
        <f>IF(AN1247=0,J1247,0)</f>
        <v>0</v>
      </c>
      <c r="AK1247" s="28">
        <f>IF(AN1247=12,J1247,0)</f>
        <v>0</v>
      </c>
      <c r="AL1247" s="28">
        <f>IF(AN1247=21,J1247,0)</f>
        <v>0</v>
      </c>
      <c r="AN1247" s="28">
        <v>21</v>
      </c>
      <c r="AO1247" s="28">
        <f>G1247*0</f>
        <v>0</v>
      </c>
      <c r="AP1247" s="28">
        <f>G1247*(1-0)</f>
        <v>0</v>
      </c>
      <c r="AQ1247" s="30" t="s">
        <v>74</v>
      </c>
      <c r="AV1247" s="28">
        <f>ROUND(AW1247+AX1247,2)</f>
        <v>0</v>
      </c>
      <c r="AW1247" s="28">
        <f>ROUND(F1247*AO1247,2)</f>
        <v>0</v>
      </c>
      <c r="AX1247" s="28">
        <f>ROUND(F1247*AP1247,2)</f>
        <v>0</v>
      </c>
      <c r="AY1247" s="30" t="s">
        <v>2156</v>
      </c>
      <c r="AZ1247" s="30" t="s">
        <v>2148</v>
      </c>
      <c r="BA1247" s="10" t="s">
        <v>2149</v>
      </c>
      <c r="BC1247" s="28">
        <f>AW1247+AX1247</f>
        <v>0</v>
      </c>
      <c r="BD1247" s="28">
        <f>G1247/(100-BE1247)*100</f>
        <v>0</v>
      </c>
      <c r="BE1247" s="28">
        <v>0</v>
      </c>
      <c r="BF1247" s="28">
        <f>1258</f>
        <v>1258</v>
      </c>
      <c r="BH1247" s="28">
        <f>F1247*AO1247</f>
        <v>0</v>
      </c>
      <c r="BI1247" s="28">
        <f>F1247*AP1247</f>
        <v>0</v>
      </c>
      <c r="BJ1247" s="28">
        <f>F1247*G1247</f>
        <v>0</v>
      </c>
      <c r="BK1247" s="28"/>
      <c r="BL1247" s="28"/>
      <c r="BW1247" s="28">
        <v>21</v>
      </c>
      <c r="BX1247" s="4" t="s">
        <v>2214</v>
      </c>
    </row>
    <row r="1248" spans="1:76" x14ac:dyDescent="0.25">
      <c r="A1248" s="31"/>
      <c r="B1248" s="35" t="s">
        <v>68</v>
      </c>
      <c r="C1248" s="94" t="s">
        <v>2215</v>
      </c>
      <c r="D1248" s="95"/>
      <c r="E1248" s="95"/>
      <c r="F1248" s="95"/>
      <c r="G1248" s="95"/>
      <c r="H1248" s="95"/>
      <c r="I1248" s="95"/>
      <c r="J1248" s="95"/>
      <c r="K1248" s="96"/>
      <c r="BX1248" s="36" t="s">
        <v>2215</v>
      </c>
    </row>
    <row r="1249" spans="1:76" x14ac:dyDescent="0.25">
      <c r="A1249" s="2" t="s">
        <v>2216</v>
      </c>
      <c r="B1249" s="3" t="s">
        <v>2217</v>
      </c>
      <c r="C1249" s="76" t="s">
        <v>2218</v>
      </c>
      <c r="D1249" s="71"/>
      <c r="E1249" s="3" t="s">
        <v>293</v>
      </c>
      <c r="F1249" s="28">
        <v>1</v>
      </c>
      <c r="G1249" s="28">
        <v>0</v>
      </c>
      <c r="H1249" s="28">
        <f>ROUND(F1249*AO1249,2)</f>
        <v>0</v>
      </c>
      <c r="I1249" s="28">
        <f>ROUND(F1249*AP1249,2)</f>
        <v>0</v>
      </c>
      <c r="J1249" s="28">
        <f>ROUND(F1249*G1249,2)</f>
        <v>0</v>
      </c>
      <c r="K1249" s="29" t="s">
        <v>424</v>
      </c>
      <c r="Z1249" s="28">
        <f>ROUND(IF(AQ1249="5",BJ1249,0),2)</f>
        <v>0</v>
      </c>
      <c r="AB1249" s="28">
        <f>ROUND(IF(AQ1249="1",BH1249,0),2)</f>
        <v>0</v>
      </c>
      <c r="AC1249" s="28">
        <f>ROUND(IF(AQ1249="1",BI1249,0),2)</f>
        <v>0</v>
      </c>
      <c r="AD1249" s="28">
        <f>ROUND(IF(AQ1249="7",BH1249,0),2)</f>
        <v>0</v>
      </c>
      <c r="AE1249" s="28">
        <f>ROUND(IF(AQ1249="7",BI1249,0),2)</f>
        <v>0</v>
      </c>
      <c r="AF1249" s="28">
        <f>ROUND(IF(AQ1249="2",BH1249,0),2)</f>
        <v>0</v>
      </c>
      <c r="AG1249" s="28">
        <f>ROUND(IF(AQ1249="2",BI1249,0),2)</f>
        <v>0</v>
      </c>
      <c r="AH1249" s="28">
        <f>ROUND(IF(AQ1249="0",BJ1249,0),2)</f>
        <v>0</v>
      </c>
      <c r="AI1249" s="10" t="s">
        <v>2144</v>
      </c>
      <c r="AJ1249" s="28">
        <f>IF(AN1249=0,J1249,0)</f>
        <v>0</v>
      </c>
      <c r="AK1249" s="28">
        <f>IF(AN1249=12,J1249,0)</f>
        <v>0</v>
      </c>
      <c r="AL1249" s="28">
        <f>IF(AN1249=21,J1249,0)</f>
        <v>0</v>
      </c>
      <c r="AN1249" s="28">
        <v>21</v>
      </c>
      <c r="AO1249" s="28">
        <f>G1249*0</f>
        <v>0</v>
      </c>
      <c r="AP1249" s="28">
        <f>G1249*(1-0)</f>
        <v>0</v>
      </c>
      <c r="AQ1249" s="30" t="s">
        <v>74</v>
      </c>
      <c r="AV1249" s="28">
        <f>ROUND(AW1249+AX1249,2)</f>
        <v>0</v>
      </c>
      <c r="AW1249" s="28">
        <f>ROUND(F1249*AO1249,2)</f>
        <v>0</v>
      </c>
      <c r="AX1249" s="28">
        <f>ROUND(F1249*AP1249,2)</f>
        <v>0</v>
      </c>
      <c r="AY1249" s="30" t="s">
        <v>2156</v>
      </c>
      <c r="AZ1249" s="30" t="s">
        <v>2148</v>
      </c>
      <c r="BA1249" s="10" t="s">
        <v>2149</v>
      </c>
      <c r="BC1249" s="28">
        <f>AW1249+AX1249</f>
        <v>0</v>
      </c>
      <c r="BD1249" s="28">
        <f>G1249/(100-BE1249)*100</f>
        <v>0</v>
      </c>
      <c r="BE1249" s="28">
        <v>0</v>
      </c>
      <c r="BF1249" s="28">
        <f>1260</f>
        <v>1260</v>
      </c>
      <c r="BH1249" s="28">
        <f>F1249*AO1249</f>
        <v>0</v>
      </c>
      <c r="BI1249" s="28">
        <f>F1249*AP1249</f>
        <v>0</v>
      </c>
      <c r="BJ1249" s="28">
        <f>F1249*G1249</f>
        <v>0</v>
      </c>
      <c r="BK1249" s="28"/>
      <c r="BL1249" s="28"/>
      <c r="BW1249" s="28">
        <v>21</v>
      </c>
      <c r="BX1249" s="4" t="s">
        <v>2218</v>
      </c>
    </row>
    <row r="1250" spans="1:76" x14ac:dyDescent="0.25">
      <c r="A1250" s="2" t="s">
        <v>2219</v>
      </c>
      <c r="B1250" s="3" t="s">
        <v>2220</v>
      </c>
      <c r="C1250" s="76" t="s">
        <v>2221</v>
      </c>
      <c r="D1250" s="71"/>
      <c r="E1250" s="3" t="s">
        <v>293</v>
      </c>
      <c r="F1250" s="28">
        <v>3</v>
      </c>
      <c r="G1250" s="28">
        <v>0</v>
      </c>
      <c r="H1250" s="28">
        <f>ROUND(F1250*AO1250,2)</f>
        <v>0</v>
      </c>
      <c r="I1250" s="28">
        <f>ROUND(F1250*AP1250,2)</f>
        <v>0</v>
      </c>
      <c r="J1250" s="28">
        <f>ROUND(F1250*G1250,2)</f>
        <v>0</v>
      </c>
      <c r="K1250" s="29" t="s">
        <v>424</v>
      </c>
      <c r="Z1250" s="28">
        <f>ROUND(IF(AQ1250="5",BJ1250,0),2)</f>
        <v>0</v>
      </c>
      <c r="AB1250" s="28">
        <f>ROUND(IF(AQ1250="1",BH1250,0),2)</f>
        <v>0</v>
      </c>
      <c r="AC1250" s="28">
        <f>ROUND(IF(AQ1250="1",BI1250,0),2)</f>
        <v>0</v>
      </c>
      <c r="AD1250" s="28">
        <f>ROUND(IF(AQ1250="7",BH1250,0),2)</f>
        <v>0</v>
      </c>
      <c r="AE1250" s="28">
        <f>ROUND(IF(AQ1250="7",BI1250,0),2)</f>
        <v>0</v>
      </c>
      <c r="AF1250" s="28">
        <f>ROUND(IF(AQ1250="2",BH1250,0),2)</f>
        <v>0</v>
      </c>
      <c r="AG1250" s="28">
        <f>ROUND(IF(AQ1250="2",BI1250,0),2)</f>
        <v>0</v>
      </c>
      <c r="AH1250" s="28">
        <f>ROUND(IF(AQ1250="0",BJ1250,0),2)</f>
        <v>0</v>
      </c>
      <c r="AI1250" s="10" t="s">
        <v>2144</v>
      </c>
      <c r="AJ1250" s="28">
        <f>IF(AN1250=0,J1250,0)</f>
        <v>0</v>
      </c>
      <c r="AK1250" s="28">
        <f>IF(AN1250=12,J1250,0)</f>
        <v>0</v>
      </c>
      <c r="AL1250" s="28">
        <f>IF(AN1250=21,J1250,0)</f>
        <v>0</v>
      </c>
      <c r="AN1250" s="28">
        <v>21</v>
      </c>
      <c r="AO1250" s="28">
        <f>G1250*0</f>
        <v>0</v>
      </c>
      <c r="AP1250" s="28">
        <f>G1250*(1-0)</f>
        <v>0</v>
      </c>
      <c r="AQ1250" s="30" t="s">
        <v>74</v>
      </c>
      <c r="AV1250" s="28">
        <f>ROUND(AW1250+AX1250,2)</f>
        <v>0</v>
      </c>
      <c r="AW1250" s="28">
        <f>ROUND(F1250*AO1250,2)</f>
        <v>0</v>
      </c>
      <c r="AX1250" s="28">
        <f>ROUND(F1250*AP1250,2)</f>
        <v>0</v>
      </c>
      <c r="AY1250" s="30" t="s">
        <v>2156</v>
      </c>
      <c r="AZ1250" s="30" t="s">
        <v>2148</v>
      </c>
      <c r="BA1250" s="10" t="s">
        <v>2149</v>
      </c>
      <c r="BC1250" s="28">
        <f>AW1250+AX1250</f>
        <v>0</v>
      </c>
      <c r="BD1250" s="28">
        <f>G1250/(100-BE1250)*100</f>
        <v>0</v>
      </c>
      <c r="BE1250" s="28">
        <v>0</v>
      </c>
      <c r="BF1250" s="28">
        <f>1261</f>
        <v>1261</v>
      </c>
      <c r="BH1250" s="28">
        <f>F1250*AO1250</f>
        <v>0</v>
      </c>
      <c r="BI1250" s="28">
        <f>F1250*AP1250</f>
        <v>0</v>
      </c>
      <c r="BJ1250" s="28">
        <f>F1250*G1250</f>
        <v>0</v>
      </c>
      <c r="BK1250" s="28"/>
      <c r="BL1250" s="28"/>
      <c r="BW1250" s="28">
        <v>21</v>
      </c>
      <c r="BX1250" s="4" t="s">
        <v>2221</v>
      </c>
    </row>
    <row r="1251" spans="1:76" x14ac:dyDescent="0.25">
      <c r="A1251" s="24" t="s">
        <v>51</v>
      </c>
      <c r="B1251" s="25" t="s">
        <v>948</v>
      </c>
      <c r="C1251" s="87" t="s">
        <v>949</v>
      </c>
      <c r="D1251" s="88"/>
      <c r="E1251" s="26" t="s">
        <v>4</v>
      </c>
      <c r="F1251" s="26" t="s">
        <v>4</v>
      </c>
      <c r="G1251" s="26" t="s">
        <v>4</v>
      </c>
      <c r="H1251" s="1">
        <f>SUM(H1252:H1292)</f>
        <v>0</v>
      </c>
      <c r="I1251" s="1">
        <f>SUM(I1252:I1292)</f>
        <v>0</v>
      </c>
      <c r="J1251" s="1">
        <f>SUM(J1252:J1292)</f>
        <v>0</v>
      </c>
      <c r="K1251" s="27" t="s">
        <v>51</v>
      </c>
      <c r="AI1251" s="10" t="s">
        <v>2144</v>
      </c>
      <c r="AS1251" s="1">
        <f>SUM(AJ1252:AJ1292)</f>
        <v>0</v>
      </c>
      <c r="AT1251" s="1">
        <f>SUM(AK1252:AK1292)</f>
        <v>0</v>
      </c>
      <c r="AU1251" s="1">
        <f>SUM(AL1252:AL1292)</f>
        <v>0</v>
      </c>
    </row>
    <row r="1252" spans="1:76" x14ac:dyDescent="0.25">
      <c r="A1252" s="2" t="s">
        <v>2222</v>
      </c>
      <c r="B1252" s="3" t="s">
        <v>2223</v>
      </c>
      <c r="C1252" s="76" t="s">
        <v>2224</v>
      </c>
      <c r="D1252" s="71"/>
      <c r="E1252" s="3" t="s">
        <v>293</v>
      </c>
      <c r="F1252" s="28">
        <v>1</v>
      </c>
      <c r="G1252" s="28">
        <v>0</v>
      </c>
      <c r="H1252" s="28">
        <f>ROUND(F1252*AO1252,2)</f>
        <v>0</v>
      </c>
      <c r="I1252" s="28">
        <f>ROUND(F1252*AP1252,2)</f>
        <v>0</v>
      </c>
      <c r="J1252" s="28">
        <f>ROUND(F1252*G1252,2)</f>
        <v>0</v>
      </c>
      <c r="K1252" s="29" t="s">
        <v>424</v>
      </c>
      <c r="Z1252" s="28">
        <f>ROUND(IF(AQ1252="5",BJ1252,0),2)</f>
        <v>0</v>
      </c>
      <c r="AB1252" s="28">
        <f>ROUND(IF(AQ1252="1",BH1252,0),2)</f>
        <v>0</v>
      </c>
      <c r="AC1252" s="28">
        <f>ROUND(IF(AQ1252="1",BI1252,0),2)</f>
        <v>0</v>
      </c>
      <c r="AD1252" s="28">
        <f>ROUND(IF(AQ1252="7",BH1252,0),2)</f>
        <v>0</v>
      </c>
      <c r="AE1252" s="28">
        <f>ROUND(IF(AQ1252="7",BI1252,0),2)</f>
        <v>0</v>
      </c>
      <c r="AF1252" s="28">
        <f>ROUND(IF(AQ1252="2",BH1252,0),2)</f>
        <v>0</v>
      </c>
      <c r="AG1252" s="28">
        <f>ROUND(IF(AQ1252="2",BI1252,0),2)</f>
        <v>0</v>
      </c>
      <c r="AH1252" s="28">
        <f>ROUND(IF(AQ1252="0",BJ1252,0),2)</f>
        <v>0</v>
      </c>
      <c r="AI1252" s="10" t="s">
        <v>2144</v>
      </c>
      <c r="AJ1252" s="28">
        <f>IF(AN1252=0,J1252,0)</f>
        <v>0</v>
      </c>
      <c r="AK1252" s="28">
        <f>IF(AN1252=12,J1252,0)</f>
        <v>0</v>
      </c>
      <c r="AL1252" s="28">
        <f>IF(AN1252=21,J1252,0)</f>
        <v>0</v>
      </c>
      <c r="AN1252" s="28">
        <v>21</v>
      </c>
      <c r="AO1252" s="28">
        <f>G1252*1</f>
        <v>0</v>
      </c>
      <c r="AP1252" s="28">
        <f>G1252*(1-1)</f>
        <v>0</v>
      </c>
      <c r="AQ1252" s="30" t="s">
        <v>56</v>
      </c>
      <c r="AV1252" s="28">
        <f>ROUND(AW1252+AX1252,2)</f>
        <v>0</v>
      </c>
      <c r="AW1252" s="28">
        <f>ROUND(F1252*AO1252,2)</f>
        <v>0</v>
      </c>
      <c r="AX1252" s="28">
        <f>ROUND(F1252*AP1252,2)</f>
        <v>0</v>
      </c>
      <c r="AY1252" s="30" t="s">
        <v>953</v>
      </c>
      <c r="AZ1252" s="30" t="s">
        <v>2148</v>
      </c>
      <c r="BA1252" s="10" t="s">
        <v>2149</v>
      </c>
      <c r="BC1252" s="28">
        <f>AW1252+AX1252</f>
        <v>0</v>
      </c>
      <c r="BD1252" s="28">
        <f>G1252/(100-BE1252)*100</f>
        <v>0</v>
      </c>
      <c r="BE1252" s="28">
        <v>0</v>
      </c>
      <c r="BF1252" s="28">
        <f>1263</f>
        <v>1263</v>
      </c>
      <c r="BH1252" s="28">
        <f>F1252*AO1252</f>
        <v>0</v>
      </c>
      <c r="BI1252" s="28">
        <f>F1252*AP1252</f>
        <v>0</v>
      </c>
      <c r="BJ1252" s="28">
        <f>F1252*G1252</f>
        <v>0</v>
      </c>
      <c r="BK1252" s="28"/>
      <c r="BL1252" s="28"/>
      <c r="BW1252" s="28">
        <v>21</v>
      </c>
      <c r="BX1252" s="4" t="s">
        <v>2224</v>
      </c>
    </row>
    <row r="1253" spans="1:76" x14ac:dyDescent="0.25">
      <c r="A1253" s="2" t="s">
        <v>2225</v>
      </c>
      <c r="B1253" s="3" t="s">
        <v>2181</v>
      </c>
      <c r="C1253" s="76" t="s">
        <v>2182</v>
      </c>
      <c r="D1253" s="71"/>
      <c r="E1253" s="3" t="s">
        <v>188</v>
      </c>
      <c r="F1253" s="28">
        <v>0.5</v>
      </c>
      <c r="G1253" s="28">
        <v>0</v>
      </c>
      <c r="H1253" s="28">
        <f>ROUND(F1253*AO1253,2)</f>
        <v>0</v>
      </c>
      <c r="I1253" s="28">
        <f>ROUND(F1253*AP1253,2)</f>
        <v>0</v>
      </c>
      <c r="J1253" s="28">
        <f>ROUND(F1253*G1253,2)</f>
        <v>0</v>
      </c>
      <c r="K1253" s="29" t="s">
        <v>60</v>
      </c>
      <c r="Z1253" s="28">
        <f>ROUND(IF(AQ1253="5",BJ1253,0),2)</f>
        <v>0</v>
      </c>
      <c r="AB1253" s="28">
        <f>ROUND(IF(AQ1253="1",BH1253,0),2)</f>
        <v>0</v>
      </c>
      <c r="AC1253" s="28">
        <f>ROUND(IF(AQ1253="1",BI1253,0),2)</f>
        <v>0</v>
      </c>
      <c r="AD1253" s="28">
        <f>ROUND(IF(AQ1253="7",BH1253,0),2)</f>
        <v>0</v>
      </c>
      <c r="AE1253" s="28">
        <f>ROUND(IF(AQ1253="7",BI1253,0),2)</f>
        <v>0</v>
      </c>
      <c r="AF1253" s="28">
        <f>ROUND(IF(AQ1253="2",BH1253,0),2)</f>
        <v>0</v>
      </c>
      <c r="AG1253" s="28">
        <f>ROUND(IF(AQ1253="2",BI1253,0),2)</f>
        <v>0</v>
      </c>
      <c r="AH1253" s="28">
        <f>ROUND(IF(AQ1253="0",BJ1253,0),2)</f>
        <v>0</v>
      </c>
      <c r="AI1253" s="10" t="s">
        <v>2144</v>
      </c>
      <c r="AJ1253" s="28">
        <f>IF(AN1253=0,J1253,0)</f>
        <v>0</v>
      </c>
      <c r="AK1253" s="28">
        <f>IF(AN1253=12,J1253,0)</f>
        <v>0</v>
      </c>
      <c r="AL1253" s="28">
        <f>IF(AN1253=21,J1253,0)</f>
        <v>0</v>
      </c>
      <c r="AN1253" s="28">
        <v>21</v>
      </c>
      <c r="AO1253" s="28">
        <f>G1253*0</f>
        <v>0</v>
      </c>
      <c r="AP1253" s="28">
        <f>G1253*(1-0)</f>
        <v>0</v>
      </c>
      <c r="AQ1253" s="30" t="s">
        <v>74</v>
      </c>
      <c r="AV1253" s="28">
        <f>ROUND(AW1253+AX1253,2)</f>
        <v>0</v>
      </c>
      <c r="AW1253" s="28">
        <f>ROUND(F1253*AO1253,2)</f>
        <v>0</v>
      </c>
      <c r="AX1253" s="28">
        <f>ROUND(F1253*AP1253,2)</f>
        <v>0</v>
      </c>
      <c r="AY1253" s="30" t="s">
        <v>953</v>
      </c>
      <c r="AZ1253" s="30" t="s">
        <v>2148</v>
      </c>
      <c r="BA1253" s="10" t="s">
        <v>2149</v>
      </c>
      <c r="BC1253" s="28">
        <f>AW1253+AX1253</f>
        <v>0</v>
      </c>
      <c r="BD1253" s="28">
        <f>G1253/(100-BE1253)*100</f>
        <v>0</v>
      </c>
      <c r="BE1253" s="28">
        <v>0</v>
      </c>
      <c r="BF1253" s="28">
        <f>1264</f>
        <v>1264</v>
      </c>
      <c r="BH1253" s="28">
        <f>F1253*AO1253</f>
        <v>0</v>
      </c>
      <c r="BI1253" s="28">
        <f>F1253*AP1253</f>
        <v>0</v>
      </c>
      <c r="BJ1253" s="28">
        <f>F1253*G1253</f>
        <v>0</v>
      </c>
      <c r="BK1253" s="28"/>
      <c r="BL1253" s="28"/>
      <c r="BW1253" s="28">
        <v>21</v>
      </c>
      <c r="BX1253" s="4" t="s">
        <v>2182</v>
      </c>
    </row>
    <row r="1254" spans="1:76" x14ac:dyDescent="0.25">
      <c r="A1254" s="2" t="s">
        <v>2226</v>
      </c>
      <c r="B1254" s="3" t="s">
        <v>2227</v>
      </c>
      <c r="C1254" s="76" t="s">
        <v>2228</v>
      </c>
      <c r="D1254" s="71"/>
      <c r="E1254" s="3" t="s">
        <v>293</v>
      </c>
      <c r="F1254" s="28">
        <v>2</v>
      </c>
      <c r="G1254" s="28">
        <v>0</v>
      </c>
      <c r="H1254" s="28">
        <f>ROUND(F1254*AO1254,2)</f>
        <v>0</v>
      </c>
      <c r="I1254" s="28">
        <f>ROUND(F1254*AP1254,2)</f>
        <v>0</v>
      </c>
      <c r="J1254" s="28">
        <f>ROUND(F1254*G1254,2)</f>
        <v>0</v>
      </c>
      <c r="K1254" s="29" t="s">
        <v>60</v>
      </c>
      <c r="Z1254" s="28">
        <f>ROUND(IF(AQ1254="5",BJ1254,0),2)</f>
        <v>0</v>
      </c>
      <c r="AB1254" s="28">
        <f>ROUND(IF(AQ1254="1",BH1254,0),2)</f>
        <v>0</v>
      </c>
      <c r="AC1254" s="28">
        <f>ROUND(IF(AQ1254="1",BI1254,0),2)</f>
        <v>0</v>
      </c>
      <c r="AD1254" s="28">
        <f>ROUND(IF(AQ1254="7",BH1254,0),2)</f>
        <v>0</v>
      </c>
      <c r="AE1254" s="28">
        <f>ROUND(IF(AQ1254="7",BI1254,0),2)</f>
        <v>0</v>
      </c>
      <c r="AF1254" s="28">
        <f>ROUND(IF(AQ1254="2",BH1254,0),2)</f>
        <v>0</v>
      </c>
      <c r="AG1254" s="28">
        <f>ROUND(IF(AQ1254="2",BI1254,0),2)</f>
        <v>0</v>
      </c>
      <c r="AH1254" s="28">
        <f>ROUND(IF(AQ1254="0",BJ1254,0),2)</f>
        <v>0</v>
      </c>
      <c r="AI1254" s="10" t="s">
        <v>2144</v>
      </c>
      <c r="AJ1254" s="28">
        <f>IF(AN1254=0,J1254,0)</f>
        <v>0</v>
      </c>
      <c r="AK1254" s="28">
        <f>IF(AN1254=12,J1254,0)</f>
        <v>0</v>
      </c>
      <c r="AL1254" s="28">
        <f>IF(AN1254=21,J1254,0)</f>
        <v>0</v>
      </c>
      <c r="AN1254" s="28">
        <v>21</v>
      </c>
      <c r="AO1254" s="28">
        <f>G1254*0.06</f>
        <v>0</v>
      </c>
      <c r="AP1254" s="28">
        <f>G1254*(1-0.06)</f>
        <v>0</v>
      </c>
      <c r="AQ1254" s="30" t="s">
        <v>74</v>
      </c>
      <c r="AV1254" s="28">
        <f>ROUND(AW1254+AX1254,2)</f>
        <v>0</v>
      </c>
      <c r="AW1254" s="28">
        <f>ROUND(F1254*AO1254,2)</f>
        <v>0</v>
      </c>
      <c r="AX1254" s="28">
        <f>ROUND(F1254*AP1254,2)</f>
        <v>0</v>
      </c>
      <c r="AY1254" s="30" t="s">
        <v>953</v>
      </c>
      <c r="AZ1254" s="30" t="s">
        <v>2148</v>
      </c>
      <c r="BA1254" s="10" t="s">
        <v>2149</v>
      </c>
      <c r="BC1254" s="28">
        <f>AW1254+AX1254</f>
        <v>0</v>
      </c>
      <c r="BD1254" s="28">
        <f>G1254/(100-BE1254)*100</f>
        <v>0</v>
      </c>
      <c r="BE1254" s="28">
        <v>0</v>
      </c>
      <c r="BF1254" s="28">
        <f>1265</f>
        <v>1265</v>
      </c>
      <c r="BH1254" s="28">
        <f>F1254*AO1254</f>
        <v>0</v>
      </c>
      <c r="BI1254" s="28">
        <f>F1254*AP1254</f>
        <v>0</v>
      </c>
      <c r="BJ1254" s="28">
        <f>F1254*G1254</f>
        <v>0</v>
      </c>
      <c r="BK1254" s="28"/>
      <c r="BL1254" s="28"/>
      <c r="BW1254" s="28">
        <v>21</v>
      </c>
      <c r="BX1254" s="4" t="s">
        <v>2228</v>
      </c>
    </row>
    <row r="1255" spans="1:76" ht="13.5" customHeight="1" x14ac:dyDescent="0.25">
      <c r="A1255" s="31"/>
      <c r="B1255" s="35" t="s">
        <v>105</v>
      </c>
      <c r="C1255" s="97" t="s">
        <v>2229</v>
      </c>
      <c r="D1255" s="98"/>
      <c r="E1255" s="98"/>
      <c r="F1255" s="98"/>
      <c r="G1255" s="98"/>
      <c r="H1255" s="98"/>
      <c r="I1255" s="98"/>
      <c r="J1255" s="98"/>
      <c r="K1255" s="99"/>
    </row>
    <row r="1256" spans="1:76" x14ac:dyDescent="0.25">
      <c r="A1256" s="2" t="s">
        <v>2230</v>
      </c>
      <c r="B1256" s="3" t="s">
        <v>2231</v>
      </c>
      <c r="C1256" s="76" t="s">
        <v>2232</v>
      </c>
      <c r="D1256" s="71"/>
      <c r="E1256" s="3" t="s">
        <v>293</v>
      </c>
      <c r="F1256" s="28">
        <v>2</v>
      </c>
      <c r="G1256" s="28">
        <v>0</v>
      </c>
      <c r="H1256" s="28">
        <f>ROUND(F1256*AO1256,2)</f>
        <v>0</v>
      </c>
      <c r="I1256" s="28">
        <f>ROUND(F1256*AP1256,2)</f>
        <v>0</v>
      </c>
      <c r="J1256" s="28">
        <f>ROUND(F1256*G1256,2)</f>
        <v>0</v>
      </c>
      <c r="K1256" s="29" t="s">
        <v>60</v>
      </c>
      <c r="Z1256" s="28">
        <f>ROUND(IF(AQ1256="5",BJ1256,0),2)</f>
        <v>0</v>
      </c>
      <c r="AB1256" s="28">
        <f>ROUND(IF(AQ1256="1",BH1256,0),2)</f>
        <v>0</v>
      </c>
      <c r="AC1256" s="28">
        <f>ROUND(IF(AQ1256="1",BI1256,0),2)</f>
        <v>0</v>
      </c>
      <c r="AD1256" s="28">
        <f>ROUND(IF(AQ1256="7",BH1256,0),2)</f>
        <v>0</v>
      </c>
      <c r="AE1256" s="28">
        <f>ROUND(IF(AQ1256="7",BI1256,0),2)</f>
        <v>0</v>
      </c>
      <c r="AF1256" s="28">
        <f>ROUND(IF(AQ1256="2",BH1256,0),2)</f>
        <v>0</v>
      </c>
      <c r="AG1256" s="28">
        <f>ROUND(IF(AQ1256="2",BI1256,0),2)</f>
        <v>0</v>
      </c>
      <c r="AH1256" s="28">
        <f>ROUND(IF(AQ1256="0",BJ1256,0),2)</f>
        <v>0</v>
      </c>
      <c r="AI1256" s="10" t="s">
        <v>2144</v>
      </c>
      <c r="AJ1256" s="28">
        <f>IF(AN1256=0,J1256,0)</f>
        <v>0</v>
      </c>
      <c r="AK1256" s="28">
        <f>IF(AN1256=12,J1256,0)</f>
        <v>0</v>
      </c>
      <c r="AL1256" s="28">
        <f>IF(AN1256=21,J1256,0)</f>
        <v>0</v>
      </c>
      <c r="AN1256" s="28">
        <v>21</v>
      </c>
      <c r="AO1256" s="28">
        <f>G1256*0.137044968</f>
        <v>0</v>
      </c>
      <c r="AP1256" s="28">
        <f>G1256*(1-0.137044968)</f>
        <v>0</v>
      </c>
      <c r="AQ1256" s="30" t="s">
        <v>74</v>
      </c>
      <c r="AV1256" s="28">
        <f>ROUND(AW1256+AX1256,2)</f>
        <v>0</v>
      </c>
      <c r="AW1256" s="28">
        <f>ROUND(F1256*AO1256,2)</f>
        <v>0</v>
      </c>
      <c r="AX1256" s="28">
        <f>ROUND(F1256*AP1256,2)</f>
        <v>0</v>
      </c>
      <c r="AY1256" s="30" t="s">
        <v>953</v>
      </c>
      <c r="AZ1256" s="30" t="s">
        <v>2148</v>
      </c>
      <c r="BA1256" s="10" t="s">
        <v>2149</v>
      </c>
      <c r="BC1256" s="28">
        <f>AW1256+AX1256</f>
        <v>0</v>
      </c>
      <c r="BD1256" s="28">
        <f>G1256/(100-BE1256)*100</f>
        <v>0</v>
      </c>
      <c r="BE1256" s="28">
        <v>0</v>
      </c>
      <c r="BF1256" s="28">
        <f>1267</f>
        <v>1267</v>
      </c>
      <c r="BH1256" s="28">
        <f>F1256*AO1256</f>
        <v>0</v>
      </c>
      <c r="BI1256" s="28">
        <f>F1256*AP1256</f>
        <v>0</v>
      </c>
      <c r="BJ1256" s="28">
        <f>F1256*G1256</f>
        <v>0</v>
      </c>
      <c r="BK1256" s="28"/>
      <c r="BL1256" s="28"/>
      <c r="BW1256" s="28">
        <v>21</v>
      </c>
      <c r="BX1256" s="4" t="s">
        <v>2232</v>
      </c>
    </row>
    <row r="1257" spans="1:76" ht="13.5" customHeight="1" x14ac:dyDescent="0.25">
      <c r="A1257" s="31"/>
      <c r="B1257" s="35" t="s">
        <v>105</v>
      </c>
      <c r="C1257" s="97" t="s">
        <v>2233</v>
      </c>
      <c r="D1257" s="98"/>
      <c r="E1257" s="98"/>
      <c r="F1257" s="98"/>
      <c r="G1257" s="98"/>
      <c r="H1257" s="98"/>
      <c r="I1257" s="98"/>
      <c r="J1257" s="98"/>
      <c r="K1257" s="99"/>
    </row>
    <row r="1258" spans="1:76" x14ac:dyDescent="0.25">
      <c r="A1258" s="2" t="s">
        <v>2234</v>
      </c>
      <c r="B1258" s="3" t="s">
        <v>2235</v>
      </c>
      <c r="C1258" s="76" t="s">
        <v>2232</v>
      </c>
      <c r="D1258" s="71"/>
      <c r="E1258" s="3" t="s">
        <v>293</v>
      </c>
      <c r="F1258" s="28">
        <v>20</v>
      </c>
      <c r="G1258" s="28">
        <v>0</v>
      </c>
      <c r="H1258" s="28">
        <f>ROUND(F1258*AO1258,2)</f>
        <v>0</v>
      </c>
      <c r="I1258" s="28">
        <f>ROUND(F1258*AP1258,2)</f>
        <v>0</v>
      </c>
      <c r="J1258" s="28">
        <f>ROUND(F1258*G1258,2)</f>
        <v>0</v>
      </c>
      <c r="K1258" s="29" t="s">
        <v>60</v>
      </c>
      <c r="Z1258" s="28">
        <f>ROUND(IF(AQ1258="5",BJ1258,0),2)</f>
        <v>0</v>
      </c>
      <c r="AB1258" s="28">
        <f>ROUND(IF(AQ1258="1",BH1258,0),2)</f>
        <v>0</v>
      </c>
      <c r="AC1258" s="28">
        <f>ROUND(IF(AQ1258="1",BI1258,0),2)</f>
        <v>0</v>
      </c>
      <c r="AD1258" s="28">
        <f>ROUND(IF(AQ1258="7",BH1258,0),2)</f>
        <v>0</v>
      </c>
      <c r="AE1258" s="28">
        <f>ROUND(IF(AQ1258="7",BI1258,0),2)</f>
        <v>0</v>
      </c>
      <c r="AF1258" s="28">
        <f>ROUND(IF(AQ1258="2",BH1258,0),2)</f>
        <v>0</v>
      </c>
      <c r="AG1258" s="28">
        <f>ROUND(IF(AQ1258="2",BI1258,0),2)</f>
        <v>0</v>
      </c>
      <c r="AH1258" s="28">
        <f>ROUND(IF(AQ1258="0",BJ1258,0),2)</f>
        <v>0</v>
      </c>
      <c r="AI1258" s="10" t="s">
        <v>2144</v>
      </c>
      <c r="AJ1258" s="28">
        <f>IF(AN1258=0,J1258,0)</f>
        <v>0</v>
      </c>
      <c r="AK1258" s="28">
        <f>IF(AN1258=12,J1258,0)</f>
        <v>0</v>
      </c>
      <c r="AL1258" s="28">
        <f>IF(AN1258=21,J1258,0)</f>
        <v>0</v>
      </c>
      <c r="AN1258" s="28">
        <v>21</v>
      </c>
      <c r="AO1258" s="28">
        <f>G1258*0.096689038</f>
        <v>0</v>
      </c>
      <c r="AP1258" s="28">
        <f>G1258*(1-0.096689038)</f>
        <v>0</v>
      </c>
      <c r="AQ1258" s="30" t="s">
        <v>74</v>
      </c>
      <c r="AV1258" s="28">
        <f>ROUND(AW1258+AX1258,2)</f>
        <v>0</v>
      </c>
      <c r="AW1258" s="28">
        <f>ROUND(F1258*AO1258,2)</f>
        <v>0</v>
      </c>
      <c r="AX1258" s="28">
        <f>ROUND(F1258*AP1258,2)</f>
        <v>0</v>
      </c>
      <c r="AY1258" s="30" t="s">
        <v>953</v>
      </c>
      <c r="AZ1258" s="30" t="s">
        <v>2148</v>
      </c>
      <c r="BA1258" s="10" t="s">
        <v>2149</v>
      </c>
      <c r="BC1258" s="28">
        <f>AW1258+AX1258</f>
        <v>0</v>
      </c>
      <c r="BD1258" s="28">
        <f>G1258/(100-BE1258)*100</f>
        <v>0</v>
      </c>
      <c r="BE1258" s="28">
        <v>0</v>
      </c>
      <c r="BF1258" s="28">
        <f>1269</f>
        <v>1269</v>
      </c>
      <c r="BH1258" s="28">
        <f>F1258*AO1258</f>
        <v>0</v>
      </c>
      <c r="BI1258" s="28">
        <f>F1258*AP1258</f>
        <v>0</v>
      </c>
      <c r="BJ1258" s="28">
        <f>F1258*G1258</f>
        <v>0</v>
      </c>
      <c r="BK1258" s="28"/>
      <c r="BL1258" s="28"/>
      <c r="BW1258" s="28">
        <v>21</v>
      </c>
      <c r="BX1258" s="4" t="s">
        <v>2232</v>
      </c>
    </row>
    <row r="1259" spans="1:76" ht="13.5" customHeight="1" x14ac:dyDescent="0.25">
      <c r="A1259" s="31"/>
      <c r="B1259" s="35" t="s">
        <v>105</v>
      </c>
      <c r="C1259" s="97" t="s">
        <v>2236</v>
      </c>
      <c r="D1259" s="98"/>
      <c r="E1259" s="98"/>
      <c r="F1259" s="98"/>
      <c r="G1259" s="98"/>
      <c r="H1259" s="98"/>
      <c r="I1259" s="98"/>
      <c r="J1259" s="98"/>
      <c r="K1259" s="99"/>
    </row>
    <row r="1260" spans="1:76" x14ac:dyDescent="0.25">
      <c r="A1260" s="2" t="s">
        <v>2237</v>
      </c>
      <c r="B1260" s="3" t="s">
        <v>2238</v>
      </c>
      <c r="C1260" s="76" t="s">
        <v>2232</v>
      </c>
      <c r="D1260" s="71"/>
      <c r="E1260" s="3" t="s">
        <v>293</v>
      </c>
      <c r="F1260" s="28">
        <v>2</v>
      </c>
      <c r="G1260" s="28">
        <v>0</v>
      </c>
      <c r="H1260" s="28">
        <f>ROUND(F1260*AO1260,2)</f>
        <v>0</v>
      </c>
      <c r="I1260" s="28">
        <f>ROUND(F1260*AP1260,2)</f>
        <v>0</v>
      </c>
      <c r="J1260" s="28">
        <f>ROUND(F1260*G1260,2)</f>
        <v>0</v>
      </c>
      <c r="K1260" s="29" t="s">
        <v>60</v>
      </c>
      <c r="Z1260" s="28">
        <f>ROUND(IF(AQ1260="5",BJ1260,0),2)</f>
        <v>0</v>
      </c>
      <c r="AB1260" s="28">
        <f>ROUND(IF(AQ1260="1",BH1260,0),2)</f>
        <v>0</v>
      </c>
      <c r="AC1260" s="28">
        <f>ROUND(IF(AQ1260="1",BI1260,0),2)</f>
        <v>0</v>
      </c>
      <c r="AD1260" s="28">
        <f>ROUND(IF(AQ1260="7",BH1260,0),2)</f>
        <v>0</v>
      </c>
      <c r="AE1260" s="28">
        <f>ROUND(IF(AQ1260="7",BI1260,0),2)</f>
        <v>0</v>
      </c>
      <c r="AF1260" s="28">
        <f>ROUND(IF(AQ1260="2",BH1260,0),2)</f>
        <v>0</v>
      </c>
      <c r="AG1260" s="28">
        <f>ROUND(IF(AQ1260="2",BI1260,0),2)</f>
        <v>0</v>
      </c>
      <c r="AH1260" s="28">
        <f>ROUND(IF(AQ1260="0",BJ1260,0),2)</f>
        <v>0</v>
      </c>
      <c r="AI1260" s="10" t="s">
        <v>2144</v>
      </c>
      <c r="AJ1260" s="28">
        <f>IF(AN1260=0,J1260,0)</f>
        <v>0</v>
      </c>
      <c r="AK1260" s="28">
        <f>IF(AN1260=12,J1260,0)</f>
        <v>0</v>
      </c>
      <c r="AL1260" s="28">
        <f>IF(AN1260=21,J1260,0)</f>
        <v>0</v>
      </c>
      <c r="AN1260" s="28">
        <v>21</v>
      </c>
      <c r="AO1260" s="28">
        <f>G1260*0.153794549</f>
        <v>0</v>
      </c>
      <c r="AP1260" s="28">
        <f>G1260*(1-0.153794549)</f>
        <v>0</v>
      </c>
      <c r="AQ1260" s="30" t="s">
        <v>74</v>
      </c>
      <c r="AV1260" s="28">
        <f>ROUND(AW1260+AX1260,2)</f>
        <v>0</v>
      </c>
      <c r="AW1260" s="28">
        <f>ROUND(F1260*AO1260,2)</f>
        <v>0</v>
      </c>
      <c r="AX1260" s="28">
        <f>ROUND(F1260*AP1260,2)</f>
        <v>0</v>
      </c>
      <c r="AY1260" s="30" t="s">
        <v>953</v>
      </c>
      <c r="AZ1260" s="30" t="s">
        <v>2148</v>
      </c>
      <c r="BA1260" s="10" t="s">
        <v>2149</v>
      </c>
      <c r="BC1260" s="28">
        <f>AW1260+AX1260</f>
        <v>0</v>
      </c>
      <c r="BD1260" s="28">
        <f>G1260/(100-BE1260)*100</f>
        <v>0</v>
      </c>
      <c r="BE1260" s="28">
        <v>0</v>
      </c>
      <c r="BF1260" s="28">
        <f>1271</f>
        <v>1271</v>
      </c>
      <c r="BH1260" s="28">
        <f>F1260*AO1260</f>
        <v>0</v>
      </c>
      <c r="BI1260" s="28">
        <f>F1260*AP1260</f>
        <v>0</v>
      </c>
      <c r="BJ1260" s="28">
        <f>F1260*G1260</f>
        <v>0</v>
      </c>
      <c r="BK1260" s="28"/>
      <c r="BL1260" s="28"/>
      <c r="BW1260" s="28">
        <v>21</v>
      </c>
      <c r="BX1260" s="4" t="s">
        <v>2232</v>
      </c>
    </row>
    <row r="1261" spans="1:76" ht="13.5" customHeight="1" x14ac:dyDescent="0.25">
      <c r="A1261" s="31"/>
      <c r="B1261" s="35" t="s">
        <v>105</v>
      </c>
      <c r="C1261" s="97" t="s">
        <v>2239</v>
      </c>
      <c r="D1261" s="98"/>
      <c r="E1261" s="98"/>
      <c r="F1261" s="98"/>
      <c r="G1261" s="98"/>
      <c r="H1261" s="98"/>
      <c r="I1261" s="98"/>
      <c r="J1261" s="98"/>
      <c r="K1261" s="99"/>
    </row>
    <row r="1262" spans="1:76" x14ac:dyDescent="0.25">
      <c r="A1262" s="2" t="s">
        <v>2240</v>
      </c>
      <c r="B1262" s="3" t="s">
        <v>2241</v>
      </c>
      <c r="C1262" s="76" t="s">
        <v>2232</v>
      </c>
      <c r="D1262" s="71"/>
      <c r="E1262" s="3" t="s">
        <v>293</v>
      </c>
      <c r="F1262" s="28">
        <v>4</v>
      </c>
      <c r="G1262" s="28">
        <v>0</v>
      </c>
      <c r="H1262" s="28">
        <f>ROUND(F1262*AO1262,2)</f>
        <v>0</v>
      </c>
      <c r="I1262" s="28">
        <f>ROUND(F1262*AP1262,2)</f>
        <v>0</v>
      </c>
      <c r="J1262" s="28">
        <f>ROUND(F1262*G1262,2)</f>
        <v>0</v>
      </c>
      <c r="K1262" s="29" t="s">
        <v>60</v>
      </c>
      <c r="Z1262" s="28">
        <f>ROUND(IF(AQ1262="5",BJ1262,0),2)</f>
        <v>0</v>
      </c>
      <c r="AB1262" s="28">
        <f>ROUND(IF(AQ1262="1",BH1262,0),2)</f>
        <v>0</v>
      </c>
      <c r="AC1262" s="28">
        <f>ROUND(IF(AQ1262="1",BI1262,0),2)</f>
        <v>0</v>
      </c>
      <c r="AD1262" s="28">
        <f>ROUND(IF(AQ1262="7",BH1262,0),2)</f>
        <v>0</v>
      </c>
      <c r="AE1262" s="28">
        <f>ROUND(IF(AQ1262="7",BI1262,0),2)</f>
        <v>0</v>
      </c>
      <c r="AF1262" s="28">
        <f>ROUND(IF(AQ1262="2",BH1262,0),2)</f>
        <v>0</v>
      </c>
      <c r="AG1262" s="28">
        <f>ROUND(IF(AQ1262="2",BI1262,0),2)</f>
        <v>0</v>
      </c>
      <c r="AH1262" s="28">
        <f>ROUND(IF(AQ1262="0",BJ1262,0),2)</f>
        <v>0</v>
      </c>
      <c r="AI1262" s="10" t="s">
        <v>2144</v>
      </c>
      <c r="AJ1262" s="28">
        <f>IF(AN1262=0,J1262,0)</f>
        <v>0</v>
      </c>
      <c r="AK1262" s="28">
        <f>IF(AN1262=12,J1262,0)</f>
        <v>0</v>
      </c>
      <c r="AL1262" s="28">
        <f>IF(AN1262=21,J1262,0)</f>
        <v>0</v>
      </c>
      <c r="AN1262" s="28">
        <v>21</v>
      </c>
      <c r="AO1262" s="28">
        <f>G1262*0.146596195</f>
        <v>0</v>
      </c>
      <c r="AP1262" s="28">
        <f>G1262*(1-0.146596195)</f>
        <v>0</v>
      </c>
      <c r="AQ1262" s="30" t="s">
        <v>74</v>
      </c>
      <c r="AV1262" s="28">
        <f>ROUND(AW1262+AX1262,2)</f>
        <v>0</v>
      </c>
      <c r="AW1262" s="28">
        <f>ROUND(F1262*AO1262,2)</f>
        <v>0</v>
      </c>
      <c r="AX1262" s="28">
        <f>ROUND(F1262*AP1262,2)</f>
        <v>0</v>
      </c>
      <c r="AY1262" s="30" t="s">
        <v>953</v>
      </c>
      <c r="AZ1262" s="30" t="s">
        <v>2148</v>
      </c>
      <c r="BA1262" s="10" t="s">
        <v>2149</v>
      </c>
      <c r="BC1262" s="28">
        <f>AW1262+AX1262</f>
        <v>0</v>
      </c>
      <c r="BD1262" s="28">
        <f>G1262/(100-BE1262)*100</f>
        <v>0</v>
      </c>
      <c r="BE1262" s="28">
        <v>0</v>
      </c>
      <c r="BF1262" s="28">
        <f>1273</f>
        <v>1273</v>
      </c>
      <c r="BH1262" s="28">
        <f>F1262*AO1262</f>
        <v>0</v>
      </c>
      <c r="BI1262" s="28">
        <f>F1262*AP1262</f>
        <v>0</v>
      </c>
      <c r="BJ1262" s="28">
        <f>F1262*G1262</f>
        <v>0</v>
      </c>
      <c r="BK1262" s="28"/>
      <c r="BL1262" s="28"/>
      <c r="BW1262" s="28">
        <v>21</v>
      </c>
      <c r="BX1262" s="4" t="s">
        <v>2232</v>
      </c>
    </row>
    <row r="1263" spans="1:76" ht="13.5" customHeight="1" x14ac:dyDescent="0.25">
      <c r="A1263" s="31"/>
      <c r="B1263" s="35" t="s">
        <v>105</v>
      </c>
      <c r="C1263" s="97" t="s">
        <v>2242</v>
      </c>
      <c r="D1263" s="98"/>
      <c r="E1263" s="98"/>
      <c r="F1263" s="98"/>
      <c r="G1263" s="98"/>
      <c r="H1263" s="98"/>
      <c r="I1263" s="98"/>
      <c r="J1263" s="98"/>
      <c r="K1263" s="99"/>
    </row>
    <row r="1264" spans="1:76" x14ac:dyDescent="0.25">
      <c r="A1264" s="2" t="s">
        <v>2243</v>
      </c>
      <c r="B1264" s="3" t="s">
        <v>2244</v>
      </c>
      <c r="C1264" s="76" t="s">
        <v>2232</v>
      </c>
      <c r="D1264" s="71"/>
      <c r="E1264" s="3" t="s">
        <v>293</v>
      </c>
      <c r="F1264" s="28">
        <v>4</v>
      </c>
      <c r="G1264" s="28">
        <v>0</v>
      </c>
      <c r="H1264" s="28">
        <f>ROUND(F1264*AO1264,2)</f>
        <v>0</v>
      </c>
      <c r="I1264" s="28">
        <f>ROUND(F1264*AP1264,2)</f>
        <v>0</v>
      </c>
      <c r="J1264" s="28">
        <f>ROUND(F1264*G1264,2)</f>
        <v>0</v>
      </c>
      <c r="K1264" s="29" t="s">
        <v>60</v>
      </c>
      <c r="Z1264" s="28">
        <f>ROUND(IF(AQ1264="5",BJ1264,0),2)</f>
        <v>0</v>
      </c>
      <c r="AB1264" s="28">
        <f>ROUND(IF(AQ1264="1",BH1264,0),2)</f>
        <v>0</v>
      </c>
      <c r="AC1264" s="28">
        <f>ROUND(IF(AQ1264="1",BI1264,0),2)</f>
        <v>0</v>
      </c>
      <c r="AD1264" s="28">
        <f>ROUND(IF(AQ1264="7",BH1264,0),2)</f>
        <v>0</v>
      </c>
      <c r="AE1264" s="28">
        <f>ROUND(IF(AQ1264="7",BI1264,0),2)</f>
        <v>0</v>
      </c>
      <c r="AF1264" s="28">
        <f>ROUND(IF(AQ1264="2",BH1264,0),2)</f>
        <v>0</v>
      </c>
      <c r="AG1264" s="28">
        <f>ROUND(IF(AQ1264="2",BI1264,0),2)</f>
        <v>0</v>
      </c>
      <c r="AH1264" s="28">
        <f>ROUND(IF(AQ1264="0",BJ1264,0),2)</f>
        <v>0</v>
      </c>
      <c r="AI1264" s="10" t="s">
        <v>2144</v>
      </c>
      <c r="AJ1264" s="28">
        <f>IF(AN1264=0,J1264,0)</f>
        <v>0</v>
      </c>
      <c r="AK1264" s="28">
        <f>IF(AN1264=12,J1264,0)</f>
        <v>0</v>
      </c>
      <c r="AL1264" s="28">
        <f>IF(AN1264=21,J1264,0)</f>
        <v>0</v>
      </c>
      <c r="AN1264" s="28">
        <v>21</v>
      </c>
      <c r="AO1264" s="28">
        <f>G1264*0.184363636</f>
        <v>0</v>
      </c>
      <c r="AP1264" s="28">
        <f>G1264*(1-0.184363636)</f>
        <v>0</v>
      </c>
      <c r="AQ1264" s="30" t="s">
        <v>74</v>
      </c>
      <c r="AV1264" s="28">
        <f>ROUND(AW1264+AX1264,2)</f>
        <v>0</v>
      </c>
      <c r="AW1264" s="28">
        <f>ROUND(F1264*AO1264,2)</f>
        <v>0</v>
      </c>
      <c r="AX1264" s="28">
        <f>ROUND(F1264*AP1264,2)</f>
        <v>0</v>
      </c>
      <c r="AY1264" s="30" t="s">
        <v>953</v>
      </c>
      <c r="AZ1264" s="30" t="s">
        <v>2148</v>
      </c>
      <c r="BA1264" s="10" t="s">
        <v>2149</v>
      </c>
      <c r="BC1264" s="28">
        <f>AW1264+AX1264</f>
        <v>0</v>
      </c>
      <c r="BD1264" s="28">
        <f>G1264/(100-BE1264)*100</f>
        <v>0</v>
      </c>
      <c r="BE1264" s="28">
        <v>0</v>
      </c>
      <c r="BF1264" s="28">
        <f>1275</f>
        <v>1275</v>
      </c>
      <c r="BH1264" s="28">
        <f>F1264*AO1264</f>
        <v>0</v>
      </c>
      <c r="BI1264" s="28">
        <f>F1264*AP1264</f>
        <v>0</v>
      </c>
      <c r="BJ1264" s="28">
        <f>F1264*G1264</f>
        <v>0</v>
      </c>
      <c r="BK1264" s="28"/>
      <c r="BL1264" s="28"/>
      <c r="BW1264" s="28">
        <v>21</v>
      </c>
      <c r="BX1264" s="4" t="s">
        <v>2232</v>
      </c>
    </row>
    <row r="1265" spans="1:76" ht="13.5" customHeight="1" x14ac:dyDescent="0.25">
      <c r="A1265" s="31"/>
      <c r="B1265" s="35" t="s">
        <v>105</v>
      </c>
      <c r="C1265" s="97" t="s">
        <v>2245</v>
      </c>
      <c r="D1265" s="98"/>
      <c r="E1265" s="98"/>
      <c r="F1265" s="98"/>
      <c r="G1265" s="98"/>
      <c r="H1265" s="98"/>
      <c r="I1265" s="98"/>
      <c r="J1265" s="98"/>
      <c r="K1265" s="99"/>
    </row>
    <row r="1266" spans="1:76" x14ac:dyDescent="0.25">
      <c r="A1266" s="2" t="s">
        <v>2246</v>
      </c>
      <c r="B1266" s="3" t="s">
        <v>2247</v>
      </c>
      <c r="C1266" s="76" t="s">
        <v>2248</v>
      </c>
      <c r="D1266" s="71"/>
      <c r="E1266" s="3" t="s">
        <v>293</v>
      </c>
      <c r="F1266" s="28">
        <v>3</v>
      </c>
      <c r="G1266" s="28">
        <v>0</v>
      </c>
      <c r="H1266" s="28">
        <f>ROUND(F1266*AO1266,2)</f>
        <v>0</v>
      </c>
      <c r="I1266" s="28">
        <f>ROUND(F1266*AP1266,2)</f>
        <v>0</v>
      </c>
      <c r="J1266" s="28">
        <f>ROUND(F1266*G1266,2)</f>
        <v>0</v>
      </c>
      <c r="K1266" s="29" t="s">
        <v>60</v>
      </c>
      <c r="Z1266" s="28">
        <f>ROUND(IF(AQ1266="5",BJ1266,0),2)</f>
        <v>0</v>
      </c>
      <c r="AB1266" s="28">
        <f>ROUND(IF(AQ1266="1",BH1266,0),2)</f>
        <v>0</v>
      </c>
      <c r="AC1266" s="28">
        <f>ROUND(IF(AQ1266="1",BI1266,0),2)</f>
        <v>0</v>
      </c>
      <c r="AD1266" s="28">
        <f>ROUND(IF(AQ1266="7",BH1266,0),2)</f>
        <v>0</v>
      </c>
      <c r="AE1266" s="28">
        <f>ROUND(IF(AQ1266="7",BI1266,0),2)</f>
        <v>0</v>
      </c>
      <c r="AF1266" s="28">
        <f>ROUND(IF(AQ1266="2",BH1266,0),2)</f>
        <v>0</v>
      </c>
      <c r="AG1266" s="28">
        <f>ROUND(IF(AQ1266="2",BI1266,0),2)</f>
        <v>0</v>
      </c>
      <c r="AH1266" s="28">
        <f>ROUND(IF(AQ1266="0",BJ1266,0),2)</f>
        <v>0</v>
      </c>
      <c r="AI1266" s="10" t="s">
        <v>2144</v>
      </c>
      <c r="AJ1266" s="28">
        <f>IF(AN1266=0,J1266,0)</f>
        <v>0</v>
      </c>
      <c r="AK1266" s="28">
        <f>IF(AN1266=12,J1266,0)</f>
        <v>0</v>
      </c>
      <c r="AL1266" s="28">
        <f>IF(AN1266=21,J1266,0)</f>
        <v>0</v>
      </c>
      <c r="AN1266" s="28">
        <v>21</v>
      </c>
      <c r="AO1266" s="28">
        <f>G1266*0.297437186</f>
        <v>0</v>
      </c>
      <c r="AP1266" s="28">
        <f>G1266*(1-0.297437186)</f>
        <v>0</v>
      </c>
      <c r="AQ1266" s="30" t="s">
        <v>74</v>
      </c>
      <c r="AV1266" s="28">
        <f>ROUND(AW1266+AX1266,2)</f>
        <v>0</v>
      </c>
      <c r="AW1266" s="28">
        <f>ROUND(F1266*AO1266,2)</f>
        <v>0</v>
      </c>
      <c r="AX1266" s="28">
        <f>ROUND(F1266*AP1266,2)</f>
        <v>0</v>
      </c>
      <c r="AY1266" s="30" t="s">
        <v>953</v>
      </c>
      <c r="AZ1266" s="30" t="s">
        <v>2148</v>
      </c>
      <c r="BA1266" s="10" t="s">
        <v>2149</v>
      </c>
      <c r="BC1266" s="28">
        <f>AW1266+AX1266</f>
        <v>0</v>
      </c>
      <c r="BD1266" s="28">
        <f>G1266/(100-BE1266)*100</f>
        <v>0</v>
      </c>
      <c r="BE1266" s="28">
        <v>0</v>
      </c>
      <c r="BF1266" s="28">
        <f>1277</f>
        <v>1277</v>
      </c>
      <c r="BH1266" s="28">
        <f>F1266*AO1266</f>
        <v>0</v>
      </c>
      <c r="BI1266" s="28">
        <f>F1266*AP1266</f>
        <v>0</v>
      </c>
      <c r="BJ1266" s="28">
        <f>F1266*G1266</f>
        <v>0</v>
      </c>
      <c r="BK1266" s="28"/>
      <c r="BL1266" s="28"/>
      <c r="BW1266" s="28">
        <v>21</v>
      </c>
      <c r="BX1266" s="4" t="s">
        <v>2248</v>
      </c>
    </row>
    <row r="1267" spans="1:76" ht="13.5" customHeight="1" x14ac:dyDescent="0.25">
      <c r="A1267" s="31"/>
      <c r="B1267" s="35" t="s">
        <v>105</v>
      </c>
      <c r="C1267" s="97" t="s">
        <v>2249</v>
      </c>
      <c r="D1267" s="98"/>
      <c r="E1267" s="98"/>
      <c r="F1267" s="98"/>
      <c r="G1267" s="98"/>
      <c r="H1267" s="98"/>
      <c r="I1267" s="98"/>
      <c r="J1267" s="98"/>
      <c r="K1267" s="99"/>
    </row>
    <row r="1268" spans="1:76" x14ac:dyDescent="0.25">
      <c r="A1268" s="2" t="s">
        <v>2250</v>
      </c>
      <c r="B1268" s="3" t="s">
        <v>2251</v>
      </c>
      <c r="C1268" s="76" t="s">
        <v>2252</v>
      </c>
      <c r="D1268" s="71"/>
      <c r="E1268" s="3" t="s">
        <v>188</v>
      </c>
      <c r="F1268" s="28">
        <v>6</v>
      </c>
      <c r="G1268" s="28">
        <v>0</v>
      </c>
      <c r="H1268" s="28">
        <f>ROUND(F1268*AO1268,2)</f>
        <v>0</v>
      </c>
      <c r="I1268" s="28">
        <f>ROUND(F1268*AP1268,2)</f>
        <v>0</v>
      </c>
      <c r="J1268" s="28">
        <f>ROUND(F1268*G1268,2)</f>
        <v>0</v>
      </c>
      <c r="K1268" s="29" t="s">
        <v>60</v>
      </c>
      <c r="Z1268" s="28">
        <f>ROUND(IF(AQ1268="5",BJ1268,0),2)</f>
        <v>0</v>
      </c>
      <c r="AB1268" s="28">
        <f>ROUND(IF(AQ1268="1",BH1268,0),2)</f>
        <v>0</v>
      </c>
      <c r="AC1268" s="28">
        <f>ROUND(IF(AQ1268="1",BI1268,0),2)</f>
        <v>0</v>
      </c>
      <c r="AD1268" s="28">
        <f>ROUND(IF(AQ1268="7",BH1268,0),2)</f>
        <v>0</v>
      </c>
      <c r="AE1268" s="28">
        <f>ROUND(IF(AQ1268="7",BI1268,0),2)</f>
        <v>0</v>
      </c>
      <c r="AF1268" s="28">
        <f>ROUND(IF(AQ1268="2",BH1268,0),2)</f>
        <v>0</v>
      </c>
      <c r="AG1268" s="28">
        <f>ROUND(IF(AQ1268="2",BI1268,0),2)</f>
        <v>0</v>
      </c>
      <c r="AH1268" s="28">
        <f>ROUND(IF(AQ1268="0",BJ1268,0),2)</f>
        <v>0</v>
      </c>
      <c r="AI1268" s="10" t="s">
        <v>2144</v>
      </c>
      <c r="AJ1268" s="28">
        <f>IF(AN1268=0,J1268,0)</f>
        <v>0</v>
      </c>
      <c r="AK1268" s="28">
        <f>IF(AN1268=12,J1268,0)</f>
        <v>0</v>
      </c>
      <c r="AL1268" s="28">
        <f>IF(AN1268=21,J1268,0)</f>
        <v>0</v>
      </c>
      <c r="AN1268" s="28">
        <v>21</v>
      </c>
      <c r="AO1268" s="28">
        <f>G1268*0</f>
        <v>0</v>
      </c>
      <c r="AP1268" s="28">
        <f>G1268*(1-0)</f>
        <v>0</v>
      </c>
      <c r="AQ1268" s="30" t="s">
        <v>74</v>
      </c>
      <c r="AV1268" s="28">
        <f>ROUND(AW1268+AX1268,2)</f>
        <v>0</v>
      </c>
      <c r="AW1268" s="28">
        <f>ROUND(F1268*AO1268,2)</f>
        <v>0</v>
      </c>
      <c r="AX1268" s="28">
        <f>ROUND(F1268*AP1268,2)</f>
        <v>0</v>
      </c>
      <c r="AY1268" s="30" t="s">
        <v>953</v>
      </c>
      <c r="AZ1268" s="30" t="s">
        <v>2148</v>
      </c>
      <c r="BA1268" s="10" t="s">
        <v>2149</v>
      </c>
      <c r="BC1268" s="28">
        <f>AW1268+AX1268</f>
        <v>0</v>
      </c>
      <c r="BD1268" s="28">
        <f>G1268/(100-BE1268)*100</f>
        <v>0</v>
      </c>
      <c r="BE1268" s="28">
        <v>0</v>
      </c>
      <c r="BF1268" s="28">
        <f>1279</f>
        <v>1279</v>
      </c>
      <c r="BH1268" s="28">
        <f>F1268*AO1268</f>
        <v>0</v>
      </c>
      <c r="BI1268" s="28">
        <f>F1268*AP1268</f>
        <v>0</v>
      </c>
      <c r="BJ1268" s="28">
        <f>F1268*G1268</f>
        <v>0</v>
      </c>
      <c r="BK1268" s="28"/>
      <c r="BL1268" s="28"/>
      <c r="BW1268" s="28">
        <v>21</v>
      </c>
      <c r="BX1268" s="4" t="s">
        <v>2252</v>
      </c>
    </row>
    <row r="1269" spans="1:76" x14ac:dyDescent="0.25">
      <c r="A1269" s="2" t="s">
        <v>2253</v>
      </c>
      <c r="B1269" s="3" t="s">
        <v>2254</v>
      </c>
      <c r="C1269" s="76" t="s">
        <v>2255</v>
      </c>
      <c r="D1269" s="71"/>
      <c r="E1269" s="3" t="s">
        <v>188</v>
      </c>
      <c r="F1269" s="28">
        <v>30</v>
      </c>
      <c r="G1269" s="28">
        <v>0</v>
      </c>
      <c r="H1269" s="28">
        <f>ROUND(F1269*AO1269,2)</f>
        <v>0</v>
      </c>
      <c r="I1269" s="28">
        <f>ROUND(F1269*AP1269,2)</f>
        <v>0</v>
      </c>
      <c r="J1269" s="28">
        <f>ROUND(F1269*G1269,2)</f>
        <v>0</v>
      </c>
      <c r="K1269" s="29" t="s">
        <v>60</v>
      </c>
      <c r="Z1269" s="28">
        <f>ROUND(IF(AQ1269="5",BJ1269,0),2)</f>
        <v>0</v>
      </c>
      <c r="AB1269" s="28">
        <f>ROUND(IF(AQ1269="1",BH1269,0),2)</f>
        <v>0</v>
      </c>
      <c r="AC1269" s="28">
        <f>ROUND(IF(AQ1269="1",BI1269,0),2)</f>
        <v>0</v>
      </c>
      <c r="AD1269" s="28">
        <f>ROUND(IF(AQ1269="7",BH1269,0),2)</f>
        <v>0</v>
      </c>
      <c r="AE1269" s="28">
        <f>ROUND(IF(AQ1269="7",BI1269,0),2)</f>
        <v>0</v>
      </c>
      <c r="AF1269" s="28">
        <f>ROUND(IF(AQ1269="2",BH1269,0),2)</f>
        <v>0</v>
      </c>
      <c r="AG1269" s="28">
        <f>ROUND(IF(AQ1269="2",BI1269,0),2)</f>
        <v>0</v>
      </c>
      <c r="AH1269" s="28">
        <f>ROUND(IF(AQ1269="0",BJ1269,0),2)</f>
        <v>0</v>
      </c>
      <c r="AI1269" s="10" t="s">
        <v>2144</v>
      </c>
      <c r="AJ1269" s="28">
        <f>IF(AN1269=0,J1269,0)</f>
        <v>0</v>
      </c>
      <c r="AK1269" s="28">
        <f>IF(AN1269=12,J1269,0)</f>
        <v>0</v>
      </c>
      <c r="AL1269" s="28">
        <f>IF(AN1269=21,J1269,0)</f>
        <v>0</v>
      </c>
      <c r="AN1269" s="28">
        <v>21</v>
      </c>
      <c r="AO1269" s="28">
        <f>G1269*0.065153854</f>
        <v>0</v>
      </c>
      <c r="AP1269" s="28">
        <f>G1269*(1-0.065153854)</f>
        <v>0</v>
      </c>
      <c r="AQ1269" s="30" t="s">
        <v>74</v>
      </c>
      <c r="AV1269" s="28">
        <f>ROUND(AW1269+AX1269,2)</f>
        <v>0</v>
      </c>
      <c r="AW1269" s="28">
        <f>ROUND(F1269*AO1269,2)</f>
        <v>0</v>
      </c>
      <c r="AX1269" s="28">
        <f>ROUND(F1269*AP1269,2)</f>
        <v>0</v>
      </c>
      <c r="AY1269" s="30" t="s">
        <v>953</v>
      </c>
      <c r="AZ1269" s="30" t="s">
        <v>2148</v>
      </c>
      <c r="BA1269" s="10" t="s">
        <v>2149</v>
      </c>
      <c r="BC1269" s="28">
        <f>AW1269+AX1269</f>
        <v>0</v>
      </c>
      <c r="BD1269" s="28">
        <f>G1269/(100-BE1269)*100</f>
        <v>0</v>
      </c>
      <c r="BE1269" s="28">
        <v>0</v>
      </c>
      <c r="BF1269" s="28">
        <f>1280</f>
        <v>1280</v>
      </c>
      <c r="BH1269" s="28">
        <f>F1269*AO1269</f>
        <v>0</v>
      </c>
      <c r="BI1269" s="28">
        <f>F1269*AP1269</f>
        <v>0</v>
      </c>
      <c r="BJ1269" s="28">
        <f>F1269*G1269</f>
        <v>0</v>
      </c>
      <c r="BK1269" s="28"/>
      <c r="BL1269" s="28"/>
      <c r="BW1269" s="28">
        <v>21</v>
      </c>
      <c r="BX1269" s="4" t="s">
        <v>2255</v>
      </c>
    </row>
    <row r="1270" spans="1:76" ht="13.5" customHeight="1" x14ac:dyDescent="0.25">
      <c r="A1270" s="31"/>
      <c r="B1270" s="35" t="s">
        <v>105</v>
      </c>
      <c r="C1270" s="97" t="s">
        <v>2256</v>
      </c>
      <c r="D1270" s="98"/>
      <c r="E1270" s="98"/>
      <c r="F1270" s="98"/>
      <c r="G1270" s="98"/>
      <c r="H1270" s="98"/>
      <c r="I1270" s="98"/>
      <c r="J1270" s="98"/>
      <c r="K1270" s="99"/>
    </row>
    <row r="1271" spans="1:76" x14ac:dyDescent="0.25">
      <c r="A1271" s="2" t="s">
        <v>2257</v>
      </c>
      <c r="B1271" s="3" t="s">
        <v>2258</v>
      </c>
      <c r="C1271" s="76" t="s">
        <v>2177</v>
      </c>
      <c r="D1271" s="71"/>
      <c r="E1271" s="3" t="s">
        <v>188</v>
      </c>
      <c r="F1271" s="28">
        <v>30</v>
      </c>
      <c r="G1271" s="28">
        <v>0</v>
      </c>
      <c r="H1271" s="28">
        <f>ROUND(F1271*AO1271,2)</f>
        <v>0</v>
      </c>
      <c r="I1271" s="28">
        <f>ROUND(F1271*AP1271,2)</f>
        <v>0</v>
      </c>
      <c r="J1271" s="28">
        <f>ROUND(F1271*G1271,2)</f>
        <v>0</v>
      </c>
      <c r="K1271" s="29" t="s">
        <v>60</v>
      </c>
      <c r="Z1271" s="28">
        <f>ROUND(IF(AQ1271="5",BJ1271,0),2)</f>
        <v>0</v>
      </c>
      <c r="AB1271" s="28">
        <f>ROUND(IF(AQ1271="1",BH1271,0),2)</f>
        <v>0</v>
      </c>
      <c r="AC1271" s="28">
        <f>ROUND(IF(AQ1271="1",BI1271,0),2)</f>
        <v>0</v>
      </c>
      <c r="AD1271" s="28">
        <f>ROUND(IF(AQ1271="7",BH1271,0),2)</f>
        <v>0</v>
      </c>
      <c r="AE1271" s="28">
        <f>ROUND(IF(AQ1271="7",BI1271,0),2)</f>
        <v>0</v>
      </c>
      <c r="AF1271" s="28">
        <f>ROUND(IF(AQ1271="2",BH1271,0),2)</f>
        <v>0</v>
      </c>
      <c r="AG1271" s="28">
        <f>ROUND(IF(AQ1271="2",BI1271,0),2)</f>
        <v>0</v>
      </c>
      <c r="AH1271" s="28">
        <f>ROUND(IF(AQ1271="0",BJ1271,0),2)</f>
        <v>0</v>
      </c>
      <c r="AI1271" s="10" t="s">
        <v>2144</v>
      </c>
      <c r="AJ1271" s="28">
        <f>IF(AN1271=0,J1271,0)</f>
        <v>0</v>
      </c>
      <c r="AK1271" s="28">
        <f>IF(AN1271=12,J1271,0)</f>
        <v>0</v>
      </c>
      <c r="AL1271" s="28">
        <f>IF(AN1271=21,J1271,0)</f>
        <v>0</v>
      </c>
      <c r="AN1271" s="28">
        <v>21</v>
      </c>
      <c r="AO1271" s="28">
        <f>G1271*0.361857351</f>
        <v>0</v>
      </c>
      <c r="AP1271" s="28">
        <f>G1271*(1-0.361857351)</f>
        <v>0</v>
      </c>
      <c r="AQ1271" s="30" t="s">
        <v>74</v>
      </c>
      <c r="AV1271" s="28">
        <f>ROUND(AW1271+AX1271,2)</f>
        <v>0</v>
      </c>
      <c r="AW1271" s="28">
        <f>ROUND(F1271*AO1271,2)</f>
        <v>0</v>
      </c>
      <c r="AX1271" s="28">
        <f>ROUND(F1271*AP1271,2)</f>
        <v>0</v>
      </c>
      <c r="AY1271" s="30" t="s">
        <v>953</v>
      </c>
      <c r="AZ1271" s="30" t="s">
        <v>2148</v>
      </c>
      <c r="BA1271" s="10" t="s">
        <v>2149</v>
      </c>
      <c r="BC1271" s="28">
        <f>AW1271+AX1271</f>
        <v>0</v>
      </c>
      <c r="BD1271" s="28">
        <f>G1271/(100-BE1271)*100</f>
        <v>0</v>
      </c>
      <c r="BE1271" s="28">
        <v>0</v>
      </c>
      <c r="BF1271" s="28">
        <f>1282</f>
        <v>1282</v>
      </c>
      <c r="BH1271" s="28">
        <f>F1271*AO1271</f>
        <v>0</v>
      </c>
      <c r="BI1271" s="28">
        <f>F1271*AP1271</f>
        <v>0</v>
      </c>
      <c r="BJ1271" s="28">
        <f>F1271*G1271</f>
        <v>0</v>
      </c>
      <c r="BK1271" s="28"/>
      <c r="BL1271" s="28"/>
      <c r="BW1271" s="28">
        <v>21</v>
      </c>
      <c r="BX1271" s="4" t="s">
        <v>2177</v>
      </c>
    </row>
    <row r="1272" spans="1:76" ht="13.5" customHeight="1" x14ac:dyDescent="0.25">
      <c r="A1272" s="31"/>
      <c r="B1272" s="35" t="s">
        <v>105</v>
      </c>
      <c r="C1272" s="97" t="s">
        <v>2259</v>
      </c>
      <c r="D1272" s="98"/>
      <c r="E1272" s="98"/>
      <c r="F1272" s="98"/>
      <c r="G1272" s="98"/>
      <c r="H1272" s="98"/>
      <c r="I1272" s="98"/>
      <c r="J1272" s="98"/>
      <c r="K1272" s="99"/>
    </row>
    <row r="1273" spans="1:76" x14ac:dyDescent="0.25">
      <c r="A1273" s="2" t="s">
        <v>2260</v>
      </c>
      <c r="B1273" s="3" t="s">
        <v>2261</v>
      </c>
      <c r="C1273" s="76" t="s">
        <v>2262</v>
      </c>
      <c r="D1273" s="71"/>
      <c r="E1273" s="3" t="s">
        <v>293</v>
      </c>
      <c r="F1273" s="28">
        <v>1</v>
      </c>
      <c r="G1273" s="28">
        <v>0</v>
      </c>
      <c r="H1273" s="28">
        <f>ROUND(F1273*AO1273,2)</f>
        <v>0</v>
      </c>
      <c r="I1273" s="28">
        <f>ROUND(F1273*AP1273,2)</f>
        <v>0</v>
      </c>
      <c r="J1273" s="28">
        <f>ROUND(F1273*G1273,2)</f>
        <v>0</v>
      </c>
      <c r="K1273" s="29" t="s">
        <v>424</v>
      </c>
      <c r="Z1273" s="28">
        <f>ROUND(IF(AQ1273="5",BJ1273,0),2)</f>
        <v>0</v>
      </c>
      <c r="AB1273" s="28">
        <f>ROUND(IF(AQ1273="1",BH1273,0),2)</f>
        <v>0</v>
      </c>
      <c r="AC1273" s="28">
        <f>ROUND(IF(AQ1273="1",BI1273,0),2)</f>
        <v>0</v>
      </c>
      <c r="AD1273" s="28">
        <f>ROUND(IF(AQ1273="7",BH1273,0),2)</f>
        <v>0</v>
      </c>
      <c r="AE1273" s="28">
        <f>ROUND(IF(AQ1273="7",BI1273,0),2)</f>
        <v>0</v>
      </c>
      <c r="AF1273" s="28">
        <f>ROUND(IF(AQ1273="2",BH1273,0),2)</f>
        <v>0</v>
      </c>
      <c r="AG1273" s="28">
        <f>ROUND(IF(AQ1273="2",BI1273,0),2)</f>
        <v>0</v>
      </c>
      <c r="AH1273" s="28">
        <f>ROUND(IF(AQ1273="0",BJ1273,0),2)</f>
        <v>0</v>
      </c>
      <c r="AI1273" s="10" t="s">
        <v>2144</v>
      </c>
      <c r="AJ1273" s="28">
        <f>IF(AN1273=0,J1273,0)</f>
        <v>0</v>
      </c>
      <c r="AK1273" s="28">
        <f>IF(AN1273=12,J1273,0)</f>
        <v>0</v>
      </c>
      <c r="AL1273" s="28">
        <f>IF(AN1273=21,J1273,0)</f>
        <v>0</v>
      </c>
      <c r="AN1273" s="28">
        <v>21</v>
      </c>
      <c r="AO1273" s="28">
        <f>G1273*1</f>
        <v>0</v>
      </c>
      <c r="AP1273" s="28">
        <f>G1273*(1-1)</f>
        <v>0</v>
      </c>
      <c r="AQ1273" s="30" t="s">
        <v>56</v>
      </c>
      <c r="AV1273" s="28">
        <f>ROUND(AW1273+AX1273,2)</f>
        <v>0</v>
      </c>
      <c r="AW1273" s="28">
        <f>ROUND(F1273*AO1273,2)</f>
        <v>0</v>
      </c>
      <c r="AX1273" s="28">
        <f>ROUND(F1273*AP1273,2)</f>
        <v>0</v>
      </c>
      <c r="AY1273" s="30" t="s">
        <v>953</v>
      </c>
      <c r="AZ1273" s="30" t="s">
        <v>2148</v>
      </c>
      <c r="BA1273" s="10" t="s">
        <v>2149</v>
      </c>
      <c r="BC1273" s="28">
        <f>AW1273+AX1273</f>
        <v>0</v>
      </c>
      <c r="BD1273" s="28">
        <f>G1273/(100-BE1273)*100</f>
        <v>0</v>
      </c>
      <c r="BE1273" s="28">
        <v>0</v>
      </c>
      <c r="BF1273" s="28">
        <f>1284</f>
        <v>1284</v>
      </c>
      <c r="BH1273" s="28">
        <f>F1273*AO1273</f>
        <v>0</v>
      </c>
      <c r="BI1273" s="28">
        <f>F1273*AP1273</f>
        <v>0</v>
      </c>
      <c r="BJ1273" s="28">
        <f>F1273*G1273</f>
        <v>0</v>
      </c>
      <c r="BK1273" s="28"/>
      <c r="BL1273" s="28"/>
      <c r="BW1273" s="28">
        <v>21</v>
      </c>
      <c r="BX1273" s="4" t="s">
        <v>2262</v>
      </c>
    </row>
    <row r="1274" spans="1:76" ht="114.75" x14ac:dyDescent="0.25">
      <c r="A1274" s="31"/>
      <c r="B1274" s="35" t="s">
        <v>68</v>
      </c>
      <c r="C1274" s="94" t="s">
        <v>2263</v>
      </c>
      <c r="D1274" s="95"/>
      <c r="E1274" s="95"/>
      <c r="F1274" s="95"/>
      <c r="G1274" s="95"/>
      <c r="H1274" s="95"/>
      <c r="I1274" s="95"/>
      <c r="J1274" s="95"/>
      <c r="K1274" s="96"/>
      <c r="BX1274" s="36" t="s">
        <v>2263</v>
      </c>
    </row>
    <row r="1275" spans="1:76" x14ac:dyDescent="0.25">
      <c r="A1275" s="2" t="s">
        <v>2264</v>
      </c>
      <c r="B1275" s="3" t="s">
        <v>2265</v>
      </c>
      <c r="C1275" s="76" t="s">
        <v>2266</v>
      </c>
      <c r="D1275" s="71"/>
      <c r="E1275" s="3" t="s">
        <v>293</v>
      </c>
      <c r="F1275" s="28">
        <v>2</v>
      </c>
      <c r="G1275" s="28">
        <v>0</v>
      </c>
      <c r="H1275" s="28">
        <f>ROUND(F1275*AO1275,2)</f>
        <v>0</v>
      </c>
      <c r="I1275" s="28">
        <f>ROUND(F1275*AP1275,2)</f>
        <v>0</v>
      </c>
      <c r="J1275" s="28">
        <f>ROUND(F1275*G1275,2)</f>
        <v>0</v>
      </c>
      <c r="K1275" s="29" t="s">
        <v>60</v>
      </c>
      <c r="Z1275" s="28">
        <f>ROUND(IF(AQ1275="5",BJ1275,0),2)</f>
        <v>0</v>
      </c>
      <c r="AB1275" s="28">
        <f>ROUND(IF(AQ1275="1",BH1275,0),2)</f>
        <v>0</v>
      </c>
      <c r="AC1275" s="28">
        <f>ROUND(IF(AQ1275="1",BI1275,0),2)</f>
        <v>0</v>
      </c>
      <c r="AD1275" s="28">
        <f>ROUND(IF(AQ1275="7",BH1275,0),2)</f>
        <v>0</v>
      </c>
      <c r="AE1275" s="28">
        <f>ROUND(IF(AQ1275="7",BI1275,0),2)</f>
        <v>0</v>
      </c>
      <c r="AF1275" s="28">
        <f>ROUND(IF(AQ1275="2",BH1275,0),2)</f>
        <v>0</v>
      </c>
      <c r="AG1275" s="28">
        <f>ROUND(IF(AQ1275="2",BI1275,0),2)</f>
        <v>0</v>
      </c>
      <c r="AH1275" s="28">
        <f>ROUND(IF(AQ1275="0",BJ1275,0),2)</f>
        <v>0</v>
      </c>
      <c r="AI1275" s="10" t="s">
        <v>2144</v>
      </c>
      <c r="AJ1275" s="28">
        <f>IF(AN1275=0,J1275,0)</f>
        <v>0</v>
      </c>
      <c r="AK1275" s="28">
        <f>IF(AN1275=12,J1275,0)</f>
        <v>0</v>
      </c>
      <c r="AL1275" s="28">
        <f>IF(AN1275=21,J1275,0)</f>
        <v>0</v>
      </c>
      <c r="AN1275" s="28">
        <v>21</v>
      </c>
      <c r="AO1275" s="28">
        <f>G1275*0</f>
        <v>0</v>
      </c>
      <c r="AP1275" s="28">
        <f>G1275*(1-0)</f>
        <v>0</v>
      </c>
      <c r="AQ1275" s="30" t="s">
        <v>74</v>
      </c>
      <c r="AV1275" s="28">
        <f>ROUND(AW1275+AX1275,2)</f>
        <v>0</v>
      </c>
      <c r="AW1275" s="28">
        <f>ROUND(F1275*AO1275,2)</f>
        <v>0</v>
      </c>
      <c r="AX1275" s="28">
        <f>ROUND(F1275*AP1275,2)</f>
        <v>0</v>
      </c>
      <c r="AY1275" s="30" t="s">
        <v>953</v>
      </c>
      <c r="AZ1275" s="30" t="s">
        <v>2148</v>
      </c>
      <c r="BA1275" s="10" t="s">
        <v>2149</v>
      </c>
      <c r="BC1275" s="28">
        <f>AW1275+AX1275</f>
        <v>0</v>
      </c>
      <c r="BD1275" s="28">
        <f>G1275/(100-BE1275)*100</f>
        <v>0</v>
      </c>
      <c r="BE1275" s="28">
        <v>0</v>
      </c>
      <c r="BF1275" s="28">
        <f>1286</f>
        <v>1286</v>
      </c>
      <c r="BH1275" s="28">
        <f>F1275*AO1275</f>
        <v>0</v>
      </c>
      <c r="BI1275" s="28">
        <f>F1275*AP1275</f>
        <v>0</v>
      </c>
      <c r="BJ1275" s="28">
        <f>F1275*G1275</f>
        <v>0</v>
      </c>
      <c r="BK1275" s="28"/>
      <c r="BL1275" s="28"/>
      <c r="BW1275" s="28">
        <v>21</v>
      </c>
      <c r="BX1275" s="4" t="s">
        <v>2266</v>
      </c>
    </row>
    <row r="1276" spans="1:76" x14ac:dyDescent="0.25">
      <c r="A1276" s="2" t="s">
        <v>2267</v>
      </c>
      <c r="B1276" s="3" t="s">
        <v>2268</v>
      </c>
      <c r="C1276" s="76" t="s">
        <v>2269</v>
      </c>
      <c r="D1276" s="71"/>
      <c r="E1276" s="3" t="s">
        <v>103</v>
      </c>
      <c r="F1276" s="28">
        <v>40</v>
      </c>
      <c r="G1276" s="28">
        <v>0</v>
      </c>
      <c r="H1276" s="28">
        <f>ROUND(F1276*AO1276,2)</f>
        <v>0</v>
      </c>
      <c r="I1276" s="28">
        <f>ROUND(F1276*AP1276,2)</f>
        <v>0</v>
      </c>
      <c r="J1276" s="28">
        <f>ROUND(F1276*G1276,2)</f>
        <v>0</v>
      </c>
      <c r="K1276" s="29" t="s">
        <v>60</v>
      </c>
      <c r="Z1276" s="28">
        <f>ROUND(IF(AQ1276="5",BJ1276,0),2)</f>
        <v>0</v>
      </c>
      <c r="AB1276" s="28">
        <f>ROUND(IF(AQ1276="1",BH1276,0),2)</f>
        <v>0</v>
      </c>
      <c r="AC1276" s="28">
        <f>ROUND(IF(AQ1276="1",BI1276,0),2)</f>
        <v>0</v>
      </c>
      <c r="AD1276" s="28">
        <f>ROUND(IF(AQ1276="7",BH1276,0),2)</f>
        <v>0</v>
      </c>
      <c r="AE1276" s="28">
        <f>ROUND(IF(AQ1276="7",BI1276,0),2)</f>
        <v>0</v>
      </c>
      <c r="AF1276" s="28">
        <f>ROUND(IF(AQ1276="2",BH1276,0),2)</f>
        <v>0</v>
      </c>
      <c r="AG1276" s="28">
        <f>ROUND(IF(AQ1276="2",BI1276,0),2)</f>
        <v>0</v>
      </c>
      <c r="AH1276" s="28">
        <f>ROUND(IF(AQ1276="0",BJ1276,0),2)</f>
        <v>0</v>
      </c>
      <c r="AI1276" s="10" t="s">
        <v>2144</v>
      </c>
      <c r="AJ1276" s="28">
        <f>IF(AN1276=0,J1276,0)</f>
        <v>0</v>
      </c>
      <c r="AK1276" s="28">
        <f>IF(AN1276=12,J1276,0)</f>
        <v>0</v>
      </c>
      <c r="AL1276" s="28">
        <f>IF(AN1276=21,J1276,0)</f>
        <v>0</v>
      </c>
      <c r="AN1276" s="28">
        <v>21</v>
      </c>
      <c r="AO1276" s="28">
        <f>G1276*0</f>
        <v>0</v>
      </c>
      <c r="AP1276" s="28">
        <f>G1276*(1-0)</f>
        <v>0</v>
      </c>
      <c r="AQ1276" s="30" t="s">
        <v>74</v>
      </c>
      <c r="AV1276" s="28">
        <f>ROUND(AW1276+AX1276,2)</f>
        <v>0</v>
      </c>
      <c r="AW1276" s="28">
        <f>ROUND(F1276*AO1276,2)</f>
        <v>0</v>
      </c>
      <c r="AX1276" s="28">
        <f>ROUND(F1276*AP1276,2)</f>
        <v>0</v>
      </c>
      <c r="AY1276" s="30" t="s">
        <v>953</v>
      </c>
      <c r="AZ1276" s="30" t="s">
        <v>2148</v>
      </c>
      <c r="BA1276" s="10" t="s">
        <v>2149</v>
      </c>
      <c r="BC1276" s="28">
        <f>AW1276+AX1276</f>
        <v>0</v>
      </c>
      <c r="BD1276" s="28">
        <f>G1276/(100-BE1276)*100</f>
        <v>0</v>
      </c>
      <c r="BE1276" s="28">
        <v>0</v>
      </c>
      <c r="BF1276" s="28">
        <f>1287</f>
        <v>1287</v>
      </c>
      <c r="BH1276" s="28">
        <f>F1276*AO1276</f>
        <v>0</v>
      </c>
      <c r="BI1276" s="28">
        <f>F1276*AP1276</f>
        <v>0</v>
      </c>
      <c r="BJ1276" s="28">
        <f>F1276*G1276</f>
        <v>0</v>
      </c>
      <c r="BK1276" s="28"/>
      <c r="BL1276" s="28"/>
      <c r="BW1276" s="28">
        <v>21</v>
      </c>
      <c r="BX1276" s="4" t="s">
        <v>2269</v>
      </c>
    </row>
    <row r="1277" spans="1:76" x14ac:dyDescent="0.25">
      <c r="A1277" s="2" t="s">
        <v>2270</v>
      </c>
      <c r="B1277" s="3" t="s">
        <v>2271</v>
      </c>
      <c r="C1277" s="76" t="s">
        <v>2272</v>
      </c>
      <c r="D1277" s="71"/>
      <c r="E1277" s="3" t="s">
        <v>188</v>
      </c>
      <c r="F1277" s="28">
        <v>40</v>
      </c>
      <c r="G1277" s="28">
        <v>0</v>
      </c>
      <c r="H1277" s="28">
        <f>ROUND(F1277*AO1277,2)</f>
        <v>0</v>
      </c>
      <c r="I1277" s="28">
        <f>ROUND(F1277*AP1277,2)</f>
        <v>0</v>
      </c>
      <c r="J1277" s="28">
        <f>ROUND(F1277*G1277,2)</f>
        <v>0</v>
      </c>
      <c r="K1277" s="29" t="s">
        <v>60</v>
      </c>
      <c r="Z1277" s="28">
        <f>ROUND(IF(AQ1277="5",BJ1277,0),2)</f>
        <v>0</v>
      </c>
      <c r="AB1277" s="28">
        <f>ROUND(IF(AQ1277="1",BH1277,0),2)</f>
        <v>0</v>
      </c>
      <c r="AC1277" s="28">
        <f>ROUND(IF(AQ1277="1",BI1277,0),2)</f>
        <v>0</v>
      </c>
      <c r="AD1277" s="28">
        <f>ROUND(IF(AQ1277="7",BH1277,0),2)</f>
        <v>0</v>
      </c>
      <c r="AE1277" s="28">
        <f>ROUND(IF(AQ1277="7",BI1277,0),2)</f>
        <v>0</v>
      </c>
      <c r="AF1277" s="28">
        <f>ROUND(IF(AQ1277="2",BH1277,0),2)</f>
        <v>0</v>
      </c>
      <c r="AG1277" s="28">
        <f>ROUND(IF(AQ1277="2",BI1277,0),2)</f>
        <v>0</v>
      </c>
      <c r="AH1277" s="28">
        <f>ROUND(IF(AQ1277="0",BJ1277,0),2)</f>
        <v>0</v>
      </c>
      <c r="AI1277" s="10" t="s">
        <v>2144</v>
      </c>
      <c r="AJ1277" s="28">
        <f>IF(AN1277=0,J1277,0)</f>
        <v>0</v>
      </c>
      <c r="AK1277" s="28">
        <f>IF(AN1277=12,J1277,0)</f>
        <v>0</v>
      </c>
      <c r="AL1277" s="28">
        <f>IF(AN1277=21,J1277,0)</f>
        <v>0</v>
      </c>
      <c r="AN1277" s="28">
        <v>21</v>
      </c>
      <c r="AO1277" s="28">
        <f>G1277*0</f>
        <v>0</v>
      </c>
      <c r="AP1277" s="28">
        <f>G1277*(1-0)</f>
        <v>0</v>
      </c>
      <c r="AQ1277" s="30" t="s">
        <v>74</v>
      </c>
      <c r="AV1277" s="28">
        <f>ROUND(AW1277+AX1277,2)</f>
        <v>0</v>
      </c>
      <c r="AW1277" s="28">
        <f>ROUND(F1277*AO1277,2)</f>
        <v>0</v>
      </c>
      <c r="AX1277" s="28">
        <f>ROUND(F1277*AP1277,2)</f>
        <v>0</v>
      </c>
      <c r="AY1277" s="30" t="s">
        <v>953</v>
      </c>
      <c r="AZ1277" s="30" t="s">
        <v>2148</v>
      </c>
      <c r="BA1277" s="10" t="s">
        <v>2149</v>
      </c>
      <c r="BC1277" s="28">
        <f>AW1277+AX1277</f>
        <v>0</v>
      </c>
      <c r="BD1277" s="28">
        <f>G1277/(100-BE1277)*100</f>
        <v>0</v>
      </c>
      <c r="BE1277" s="28">
        <v>0</v>
      </c>
      <c r="BF1277" s="28">
        <f>1288</f>
        <v>1288</v>
      </c>
      <c r="BH1277" s="28">
        <f>F1277*AO1277</f>
        <v>0</v>
      </c>
      <c r="BI1277" s="28">
        <f>F1277*AP1277</f>
        <v>0</v>
      </c>
      <c r="BJ1277" s="28">
        <f>F1277*G1277</f>
        <v>0</v>
      </c>
      <c r="BK1277" s="28"/>
      <c r="BL1277" s="28"/>
      <c r="BW1277" s="28">
        <v>21</v>
      </c>
      <c r="BX1277" s="4" t="s">
        <v>2272</v>
      </c>
    </row>
    <row r="1278" spans="1:76" x14ac:dyDescent="0.25">
      <c r="A1278" s="2" t="s">
        <v>2273</v>
      </c>
      <c r="B1278" s="3" t="s">
        <v>2274</v>
      </c>
      <c r="C1278" s="76" t="s">
        <v>2275</v>
      </c>
      <c r="D1278" s="71"/>
      <c r="E1278" s="3" t="s">
        <v>188</v>
      </c>
      <c r="F1278" s="28">
        <v>40</v>
      </c>
      <c r="G1278" s="28">
        <v>0</v>
      </c>
      <c r="H1278" s="28">
        <f>ROUND(F1278*AO1278,2)</f>
        <v>0</v>
      </c>
      <c r="I1278" s="28">
        <f>ROUND(F1278*AP1278,2)</f>
        <v>0</v>
      </c>
      <c r="J1278" s="28">
        <f>ROUND(F1278*G1278,2)</f>
        <v>0</v>
      </c>
      <c r="K1278" s="29" t="s">
        <v>60</v>
      </c>
      <c r="Z1278" s="28">
        <f>ROUND(IF(AQ1278="5",BJ1278,0),2)</f>
        <v>0</v>
      </c>
      <c r="AB1278" s="28">
        <f>ROUND(IF(AQ1278="1",BH1278,0),2)</f>
        <v>0</v>
      </c>
      <c r="AC1278" s="28">
        <f>ROUND(IF(AQ1278="1",BI1278,0),2)</f>
        <v>0</v>
      </c>
      <c r="AD1278" s="28">
        <f>ROUND(IF(AQ1278="7",BH1278,0),2)</f>
        <v>0</v>
      </c>
      <c r="AE1278" s="28">
        <f>ROUND(IF(AQ1278="7",BI1278,0),2)</f>
        <v>0</v>
      </c>
      <c r="AF1278" s="28">
        <f>ROUND(IF(AQ1278="2",BH1278,0),2)</f>
        <v>0</v>
      </c>
      <c r="AG1278" s="28">
        <f>ROUND(IF(AQ1278="2",BI1278,0),2)</f>
        <v>0</v>
      </c>
      <c r="AH1278" s="28">
        <f>ROUND(IF(AQ1278="0",BJ1278,0),2)</f>
        <v>0</v>
      </c>
      <c r="AI1278" s="10" t="s">
        <v>2144</v>
      </c>
      <c r="AJ1278" s="28">
        <f>IF(AN1278=0,J1278,0)</f>
        <v>0</v>
      </c>
      <c r="AK1278" s="28">
        <f>IF(AN1278=12,J1278,0)</f>
        <v>0</v>
      </c>
      <c r="AL1278" s="28">
        <f>IF(AN1278=21,J1278,0)</f>
        <v>0</v>
      </c>
      <c r="AN1278" s="28">
        <v>21</v>
      </c>
      <c r="AO1278" s="28">
        <f>G1278*0.419911504</f>
        <v>0</v>
      </c>
      <c r="AP1278" s="28">
        <f>G1278*(1-0.419911504)</f>
        <v>0</v>
      </c>
      <c r="AQ1278" s="30" t="s">
        <v>74</v>
      </c>
      <c r="AV1278" s="28">
        <f>ROUND(AW1278+AX1278,2)</f>
        <v>0</v>
      </c>
      <c r="AW1278" s="28">
        <f>ROUND(F1278*AO1278,2)</f>
        <v>0</v>
      </c>
      <c r="AX1278" s="28">
        <f>ROUND(F1278*AP1278,2)</f>
        <v>0</v>
      </c>
      <c r="AY1278" s="30" t="s">
        <v>953</v>
      </c>
      <c r="AZ1278" s="30" t="s">
        <v>2148</v>
      </c>
      <c r="BA1278" s="10" t="s">
        <v>2149</v>
      </c>
      <c r="BC1278" s="28">
        <f>AW1278+AX1278</f>
        <v>0</v>
      </c>
      <c r="BD1278" s="28">
        <f>G1278/(100-BE1278)*100</f>
        <v>0</v>
      </c>
      <c r="BE1278" s="28">
        <v>0</v>
      </c>
      <c r="BF1278" s="28">
        <f>1289</f>
        <v>1289</v>
      </c>
      <c r="BH1278" s="28">
        <f>F1278*AO1278</f>
        <v>0</v>
      </c>
      <c r="BI1278" s="28">
        <f>F1278*AP1278</f>
        <v>0</v>
      </c>
      <c r="BJ1278" s="28">
        <f>F1278*G1278</f>
        <v>0</v>
      </c>
      <c r="BK1278" s="28"/>
      <c r="BL1278" s="28"/>
      <c r="BW1278" s="28">
        <v>21</v>
      </c>
      <c r="BX1278" s="4" t="s">
        <v>2275</v>
      </c>
    </row>
    <row r="1279" spans="1:76" x14ac:dyDescent="0.25">
      <c r="A1279" s="2" t="s">
        <v>2276</v>
      </c>
      <c r="B1279" s="3" t="s">
        <v>2277</v>
      </c>
      <c r="C1279" s="76" t="s">
        <v>2278</v>
      </c>
      <c r="D1279" s="71"/>
      <c r="E1279" s="3" t="s">
        <v>293</v>
      </c>
      <c r="F1279" s="28">
        <v>2</v>
      </c>
      <c r="G1279" s="28">
        <v>0</v>
      </c>
      <c r="H1279" s="28">
        <f>ROUND(F1279*AO1279,2)</f>
        <v>0</v>
      </c>
      <c r="I1279" s="28">
        <f>ROUND(F1279*AP1279,2)</f>
        <v>0</v>
      </c>
      <c r="J1279" s="28">
        <f>ROUND(F1279*G1279,2)</f>
        <v>0</v>
      </c>
      <c r="K1279" s="29" t="s">
        <v>60</v>
      </c>
      <c r="Z1279" s="28">
        <f>ROUND(IF(AQ1279="5",BJ1279,0),2)</f>
        <v>0</v>
      </c>
      <c r="AB1279" s="28">
        <f>ROUND(IF(AQ1279="1",BH1279,0),2)</f>
        <v>0</v>
      </c>
      <c r="AC1279" s="28">
        <f>ROUND(IF(AQ1279="1",BI1279,0),2)</f>
        <v>0</v>
      </c>
      <c r="AD1279" s="28">
        <f>ROUND(IF(AQ1279="7",BH1279,0),2)</f>
        <v>0</v>
      </c>
      <c r="AE1279" s="28">
        <f>ROUND(IF(AQ1279="7",BI1279,0),2)</f>
        <v>0</v>
      </c>
      <c r="AF1279" s="28">
        <f>ROUND(IF(AQ1279="2",BH1279,0),2)</f>
        <v>0</v>
      </c>
      <c r="AG1279" s="28">
        <f>ROUND(IF(AQ1279="2",BI1279,0),2)</f>
        <v>0</v>
      </c>
      <c r="AH1279" s="28">
        <f>ROUND(IF(AQ1279="0",BJ1279,0),2)</f>
        <v>0</v>
      </c>
      <c r="AI1279" s="10" t="s">
        <v>2144</v>
      </c>
      <c r="AJ1279" s="28">
        <f>IF(AN1279=0,J1279,0)</f>
        <v>0</v>
      </c>
      <c r="AK1279" s="28">
        <f>IF(AN1279=12,J1279,0)</f>
        <v>0</v>
      </c>
      <c r="AL1279" s="28">
        <f>IF(AN1279=21,J1279,0)</f>
        <v>0</v>
      </c>
      <c r="AN1279" s="28">
        <v>21</v>
      </c>
      <c r="AO1279" s="28">
        <f>G1279*0.700123566</f>
        <v>0</v>
      </c>
      <c r="AP1279" s="28">
        <f>G1279*(1-0.700123566)</f>
        <v>0</v>
      </c>
      <c r="AQ1279" s="30" t="s">
        <v>74</v>
      </c>
      <c r="AV1279" s="28">
        <f>ROUND(AW1279+AX1279,2)</f>
        <v>0</v>
      </c>
      <c r="AW1279" s="28">
        <f>ROUND(F1279*AO1279,2)</f>
        <v>0</v>
      </c>
      <c r="AX1279" s="28">
        <f>ROUND(F1279*AP1279,2)</f>
        <v>0</v>
      </c>
      <c r="AY1279" s="30" t="s">
        <v>953</v>
      </c>
      <c r="AZ1279" s="30" t="s">
        <v>2148</v>
      </c>
      <c r="BA1279" s="10" t="s">
        <v>2149</v>
      </c>
      <c r="BC1279" s="28">
        <f>AW1279+AX1279</f>
        <v>0</v>
      </c>
      <c r="BD1279" s="28">
        <f>G1279/(100-BE1279)*100</f>
        <v>0</v>
      </c>
      <c r="BE1279" s="28">
        <v>0</v>
      </c>
      <c r="BF1279" s="28">
        <f>1290</f>
        <v>1290</v>
      </c>
      <c r="BH1279" s="28">
        <f>F1279*AO1279</f>
        <v>0</v>
      </c>
      <c r="BI1279" s="28">
        <f>F1279*AP1279</f>
        <v>0</v>
      </c>
      <c r="BJ1279" s="28">
        <f>F1279*G1279</f>
        <v>0</v>
      </c>
      <c r="BK1279" s="28"/>
      <c r="BL1279" s="28"/>
      <c r="BW1279" s="28">
        <v>21</v>
      </c>
      <c r="BX1279" s="4" t="s">
        <v>2278</v>
      </c>
    </row>
    <row r="1280" spans="1:76" ht="13.5" customHeight="1" x14ac:dyDescent="0.25">
      <c r="A1280" s="31"/>
      <c r="B1280" s="35" t="s">
        <v>105</v>
      </c>
      <c r="C1280" s="97" t="s">
        <v>2279</v>
      </c>
      <c r="D1280" s="98"/>
      <c r="E1280" s="98"/>
      <c r="F1280" s="98"/>
      <c r="G1280" s="98"/>
      <c r="H1280" s="98"/>
      <c r="I1280" s="98"/>
      <c r="J1280" s="98"/>
      <c r="K1280" s="99"/>
    </row>
    <row r="1281" spans="1:76" x14ac:dyDescent="0.25">
      <c r="A1281" s="2" t="s">
        <v>2280</v>
      </c>
      <c r="B1281" s="3" t="s">
        <v>2281</v>
      </c>
      <c r="C1281" s="76" t="s">
        <v>2282</v>
      </c>
      <c r="D1281" s="71"/>
      <c r="E1281" s="3" t="s">
        <v>188</v>
      </c>
      <c r="F1281" s="28">
        <v>40</v>
      </c>
      <c r="G1281" s="28">
        <v>0</v>
      </c>
      <c r="H1281" s="28">
        <f>ROUND(F1281*AO1281,2)</f>
        <v>0</v>
      </c>
      <c r="I1281" s="28">
        <f>ROUND(F1281*AP1281,2)</f>
        <v>0</v>
      </c>
      <c r="J1281" s="28">
        <f>ROUND(F1281*G1281,2)</f>
        <v>0</v>
      </c>
      <c r="K1281" s="29" t="s">
        <v>60</v>
      </c>
      <c r="Z1281" s="28">
        <f>ROUND(IF(AQ1281="5",BJ1281,0),2)</f>
        <v>0</v>
      </c>
      <c r="AB1281" s="28">
        <f>ROUND(IF(AQ1281="1",BH1281,0),2)</f>
        <v>0</v>
      </c>
      <c r="AC1281" s="28">
        <f>ROUND(IF(AQ1281="1",BI1281,0),2)</f>
        <v>0</v>
      </c>
      <c r="AD1281" s="28">
        <f>ROUND(IF(AQ1281="7",BH1281,0),2)</f>
        <v>0</v>
      </c>
      <c r="AE1281" s="28">
        <f>ROUND(IF(AQ1281="7",BI1281,0),2)</f>
        <v>0</v>
      </c>
      <c r="AF1281" s="28">
        <f>ROUND(IF(AQ1281="2",BH1281,0),2)</f>
        <v>0</v>
      </c>
      <c r="AG1281" s="28">
        <f>ROUND(IF(AQ1281="2",BI1281,0),2)</f>
        <v>0</v>
      </c>
      <c r="AH1281" s="28">
        <f>ROUND(IF(AQ1281="0",BJ1281,0),2)</f>
        <v>0</v>
      </c>
      <c r="AI1281" s="10" t="s">
        <v>2144</v>
      </c>
      <c r="AJ1281" s="28">
        <f>IF(AN1281=0,J1281,0)</f>
        <v>0</v>
      </c>
      <c r="AK1281" s="28">
        <f>IF(AN1281=12,J1281,0)</f>
        <v>0</v>
      </c>
      <c r="AL1281" s="28">
        <f>IF(AN1281=21,J1281,0)</f>
        <v>0</v>
      </c>
      <c r="AN1281" s="28">
        <v>21</v>
      </c>
      <c r="AO1281" s="28">
        <f>G1281*0.628172757</f>
        <v>0</v>
      </c>
      <c r="AP1281" s="28">
        <f>G1281*(1-0.628172757)</f>
        <v>0</v>
      </c>
      <c r="AQ1281" s="30" t="s">
        <v>74</v>
      </c>
      <c r="AV1281" s="28">
        <f>ROUND(AW1281+AX1281,2)</f>
        <v>0</v>
      </c>
      <c r="AW1281" s="28">
        <f>ROUND(F1281*AO1281,2)</f>
        <v>0</v>
      </c>
      <c r="AX1281" s="28">
        <f>ROUND(F1281*AP1281,2)</f>
        <v>0</v>
      </c>
      <c r="AY1281" s="30" t="s">
        <v>953</v>
      </c>
      <c r="AZ1281" s="30" t="s">
        <v>2148</v>
      </c>
      <c r="BA1281" s="10" t="s">
        <v>2149</v>
      </c>
      <c r="BC1281" s="28">
        <f>AW1281+AX1281</f>
        <v>0</v>
      </c>
      <c r="BD1281" s="28">
        <f>G1281/(100-BE1281)*100</f>
        <v>0</v>
      </c>
      <c r="BE1281" s="28">
        <v>0</v>
      </c>
      <c r="BF1281" s="28">
        <f>1292</f>
        <v>1292</v>
      </c>
      <c r="BH1281" s="28">
        <f>F1281*AO1281</f>
        <v>0</v>
      </c>
      <c r="BI1281" s="28">
        <f>F1281*AP1281</f>
        <v>0</v>
      </c>
      <c r="BJ1281" s="28">
        <f>F1281*G1281</f>
        <v>0</v>
      </c>
      <c r="BK1281" s="28"/>
      <c r="BL1281" s="28"/>
      <c r="BW1281" s="28">
        <v>21</v>
      </c>
      <c r="BX1281" s="4" t="s">
        <v>2282</v>
      </c>
    </row>
    <row r="1282" spans="1:76" ht="13.5" customHeight="1" x14ac:dyDescent="0.25">
      <c r="A1282" s="31"/>
      <c r="B1282" s="35" t="s">
        <v>105</v>
      </c>
      <c r="C1282" s="97" t="s">
        <v>2283</v>
      </c>
      <c r="D1282" s="98"/>
      <c r="E1282" s="98"/>
      <c r="F1282" s="98"/>
      <c r="G1282" s="98"/>
      <c r="H1282" s="98"/>
      <c r="I1282" s="98"/>
      <c r="J1282" s="98"/>
      <c r="K1282" s="99"/>
    </row>
    <row r="1283" spans="1:76" x14ac:dyDescent="0.25">
      <c r="A1283" s="2" t="s">
        <v>2284</v>
      </c>
      <c r="B1283" s="3" t="s">
        <v>2285</v>
      </c>
      <c r="C1283" s="76" t="s">
        <v>2286</v>
      </c>
      <c r="D1283" s="71"/>
      <c r="E1283" s="3" t="s">
        <v>293</v>
      </c>
      <c r="F1283" s="28">
        <v>1</v>
      </c>
      <c r="G1283" s="28">
        <v>0</v>
      </c>
      <c r="H1283" s="28">
        <f>ROUND(F1283*AO1283,2)</f>
        <v>0</v>
      </c>
      <c r="I1283" s="28">
        <f>ROUND(F1283*AP1283,2)</f>
        <v>0</v>
      </c>
      <c r="J1283" s="28">
        <f>ROUND(F1283*G1283,2)</f>
        <v>0</v>
      </c>
      <c r="K1283" s="29" t="s">
        <v>60</v>
      </c>
      <c r="Z1283" s="28">
        <f>ROUND(IF(AQ1283="5",BJ1283,0),2)</f>
        <v>0</v>
      </c>
      <c r="AB1283" s="28">
        <f>ROUND(IF(AQ1283="1",BH1283,0),2)</f>
        <v>0</v>
      </c>
      <c r="AC1283" s="28">
        <f>ROUND(IF(AQ1283="1",BI1283,0),2)</f>
        <v>0</v>
      </c>
      <c r="AD1283" s="28">
        <f>ROUND(IF(AQ1283="7",BH1283,0),2)</f>
        <v>0</v>
      </c>
      <c r="AE1283" s="28">
        <f>ROUND(IF(AQ1283="7",BI1283,0),2)</f>
        <v>0</v>
      </c>
      <c r="AF1283" s="28">
        <f>ROUND(IF(AQ1283="2",BH1283,0),2)</f>
        <v>0</v>
      </c>
      <c r="AG1283" s="28">
        <f>ROUND(IF(AQ1283="2",BI1283,0),2)</f>
        <v>0</v>
      </c>
      <c r="AH1283" s="28">
        <f>ROUND(IF(AQ1283="0",BJ1283,0),2)</f>
        <v>0</v>
      </c>
      <c r="AI1283" s="10" t="s">
        <v>2144</v>
      </c>
      <c r="AJ1283" s="28">
        <f>IF(AN1283=0,J1283,0)</f>
        <v>0</v>
      </c>
      <c r="AK1283" s="28">
        <f>IF(AN1283=12,J1283,0)</f>
        <v>0</v>
      </c>
      <c r="AL1283" s="28">
        <f>IF(AN1283=21,J1283,0)</f>
        <v>0</v>
      </c>
      <c r="AN1283" s="28">
        <v>21</v>
      </c>
      <c r="AO1283" s="28">
        <f>G1283*0.067985808</f>
        <v>0</v>
      </c>
      <c r="AP1283" s="28">
        <f>G1283*(1-0.067985808)</f>
        <v>0</v>
      </c>
      <c r="AQ1283" s="30" t="s">
        <v>74</v>
      </c>
      <c r="AV1283" s="28">
        <f>ROUND(AW1283+AX1283,2)</f>
        <v>0</v>
      </c>
      <c r="AW1283" s="28">
        <f>ROUND(F1283*AO1283,2)</f>
        <v>0</v>
      </c>
      <c r="AX1283" s="28">
        <f>ROUND(F1283*AP1283,2)</f>
        <v>0</v>
      </c>
      <c r="AY1283" s="30" t="s">
        <v>953</v>
      </c>
      <c r="AZ1283" s="30" t="s">
        <v>2148</v>
      </c>
      <c r="BA1283" s="10" t="s">
        <v>2149</v>
      </c>
      <c r="BC1283" s="28">
        <f>AW1283+AX1283</f>
        <v>0</v>
      </c>
      <c r="BD1283" s="28">
        <f>G1283/(100-BE1283)*100</f>
        <v>0</v>
      </c>
      <c r="BE1283" s="28">
        <v>0</v>
      </c>
      <c r="BF1283" s="28">
        <f>1294</f>
        <v>1294</v>
      </c>
      <c r="BH1283" s="28">
        <f>F1283*AO1283</f>
        <v>0</v>
      </c>
      <c r="BI1283" s="28">
        <f>F1283*AP1283</f>
        <v>0</v>
      </c>
      <c r="BJ1283" s="28">
        <f>F1283*G1283</f>
        <v>0</v>
      </c>
      <c r="BK1283" s="28"/>
      <c r="BL1283" s="28"/>
      <c r="BW1283" s="28">
        <v>21</v>
      </c>
      <c r="BX1283" s="4" t="s">
        <v>2286</v>
      </c>
    </row>
    <row r="1284" spans="1:76" x14ac:dyDescent="0.25">
      <c r="A1284" s="2" t="s">
        <v>2287</v>
      </c>
      <c r="B1284" s="3" t="s">
        <v>2288</v>
      </c>
      <c r="C1284" s="76" t="s">
        <v>2289</v>
      </c>
      <c r="D1284" s="71"/>
      <c r="E1284" s="3" t="s">
        <v>293</v>
      </c>
      <c r="F1284" s="28">
        <v>6</v>
      </c>
      <c r="G1284" s="28">
        <v>0</v>
      </c>
      <c r="H1284" s="28">
        <f>ROUND(F1284*AO1284,2)</f>
        <v>0</v>
      </c>
      <c r="I1284" s="28">
        <f>ROUND(F1284*AP1284,2)</f>
        <v>0</v>
      </c>
      <c r="J1284" s="28">
        <f>ROUND(F1284*G1284,2)</f>
        <v>0</v>
      </c>
      <c r="K1284" s="29" t="s">
        <v>60</v>
      </c>
      <c r="Z1284" s="28">
        <f>ROUND(IF(AQ1284="5",BJ1284,0),2)</f>
        <v>0</v>
      </c>
      <c r="AB1284" s="28">
        <f>ROUND(IF(AQ1284="1",BH1284,0),2)</f>
        <v>0</v>
      </c>
      <c r="AC1284" s="28">
        <f>ROUND(IF(AQ1284="1",BI1284,0),2)</f>
        <v>0</v>
      </c>
      <c r="AD1284" s="28">
        <f>ROUND(IF(AQ1284="7",BH1284,0),2)</f>
        <v>0</v>
      </c>
      <c r="AE1284" s="28">
        <f>ROUND(IF(AQ1284="7",BI1284,0),2)</f>
        <v>0</v>
      </c>
      <c r="AF1284" s="28">
        <f>ROUND(IF(AQ1284="2",BH1284,0),2)</f>
        <v>0</v>
      </c>
      <c r="AG1284" s="28">
        <f>ROUND(IF(AQ1284="2",BI1284,0),2)</f>
        <v>0</v>
      </c>
      <c r="AH1284" s="28">
        <f>ROUND(IF(AQ1284="0",BJ1284,0),2)</f>
        <v>0</v>
      </c>
      <c r="AI1284" s="10" t="s">
        <v>2144</v>
      </c>
      <c r="AJ1284" s="28">
        <f>IF(AN1284=0,J1284,0)</f>
        <v>0</v>
      </c>
      <c r="AK1284" s="28">
        <f>IF(AN1284=12,J1284,0)</f>
        <v>0</v>
      </c>
      <c r="AL1284" s="28">
        <f>IF(AN1284=21,J1284,0)</f>
        <v>0</v>
      </c>
      <c r="AN1284" s="28">
        <v>21</v>
      </c>
      <c r="AO1284" s="28">
        <f>G1284*0.076413158</f>
        <v>0</v>
      </c>
      <c r="AP1284" s="28">
        <f>G1284*(1-0.076413158)</f>
        <v>0</v>
      </c>
      <c r="AQ1284" s="30" t="s">
        <v>74</v>
      </c>
      <c r="AV1284" s="28">
        <f>ROUND(AW1284+AX1284,2)</f>
        <v>0</v>
      </c>
      <c r="AW1284" s="28">
        <f>ROUND(F1284*AO1284,2)</f>
        <v>0</v>
      </c>
      <c r="AX1284" s="28">
        <f>ROUND(F1284*AP1284,2)</f>
        <v>0</v>
      </c>
      <c r="AY1284" s="30" t="s">
        <v>953</v>
      </c>
      <c r="AZ1284" s="30" t="s">
        <v>2148</v>
      </c>
      <c r="BA1284" s="10" t="s">
        <v>2149</v>
      </c>
      <c r="BC1284" s="28">
        <f>AW1284+AX1284</f>
        <v>0</v>
      </c>
      <c r="BD1284" s="28">
        <f>G1284/(100-BE1284)*100</f>
        <v>0</v>
      </c>
      <c r="BE1284" s="28">
        <v>0</v>
      </c>
      <c r="BF1284" s="28">
        <f>1295</f>
        <v>1295</v>
      </c>
      <c r="BH1284" s="28">
        <f>F1284*AO1284</f>
        <v>0</v>
      </c>
      <c r="BI1284" s="28">
        <f>F1284*AP1284</f>
        <v>0</v>
      </c>
      <c r="BJ1284" s="28">
        <f>F1284*G1284</f>
        <v>0</v>
      </c>
      <c r="BK1284" s="28"/>
      <c r="BL1284" s="28"/>
      <c r="BW1284" s="28">
        <v>21</v>
      </c>
      <c r="BX1284" s="4" t="s">
        <v>2289</v>
      </c>
    </row>
    <row r="1285" spans="1:76" x14ac:dyDescent="0.25">
      <c r="A1285" s="2" t="s">
        <v>2290</v>
      </c>
      <c r="B1285" s="3" t="s">
        <v>2291</v>
      </c>
      <c r="C1285" s="76" t="s">
        <v>2292</v>
      </c>
      <c r="D1285" s="71"/>
      <c r="E1285" s="3" t="s">
        <v>188</v>
      </c>
      <c r="F1285" s="28">
        <v>40</v>
      </c>
      <c r="G1285" s="28">
        <v>0</v>
      </c>
      <c r="H1285" s="28">
        <f>ROUND(F1285*AO1285,2)</f>
        <v>0</v>
      </c>
      <c r="I1285" s="28">
        <f>ROUND(F1285*AP1285,2)</f>
        <v>0</v>
      </c>
      <c r="J1285" s="28">
        <f>ROUND(F1285*G1285,2)</f>
        <v>0</v>
      </c>
      <c r="K1285" s="29" t="s">
        <v>60</v>
      </c>
      <c r="Z1285" s="28">
        <f>ROUND(IF(AQ1285="5",BJ1285,0),2)</f>
        <v>0</v>
      </c>
      <c r="AB1285" s="28">
        <f>ROUND(IF(AQ1285="1",BH1285,0),2)</f>
        <v>0</v>
      </c>
      <c r="AC1285" s="28">
        <f>ROUND(IF(AQ1285="1",BI1285,0),2)</f>
        <v>0</v>
      </c>
      <c r="AD1285" s="28">
        <f>ROUND(IF(AQ1285="7",BH1285,0),2)</f>
        <v>0</v>
      </c>
      <c r="AE1285" s="28">
        <f>ROUND(IF(AQ1285="7",BI1285,0),2)</f>
        <v>0</v>
      </c>
      <c r="AF1285" s="28">
        <f>ROUND(IF(AQ1285="2",BH1285,0),2)</f>
        <v>0</v>
      </c>
      <c r="AG1285" s="28">
        <f>ROUND(IF(AQ1285="2",BI1285,0),2)</f>
        <v>0</v>
      </c>
      <c r="AH1285" s="28">
        <f>ROUND(IF(AQ1285="0",BJ1285,0),2)</f>
        <v>0</v>
      </c>
      <c r="AI1285" s="10" t="s">
        <v>2144</v>
      </c>
      <c r="AJ1285" s="28">
        <f>IF(AN1285=0,J1285,0)</f>
        <v>0</v>
      </c>
      <c r="AK1285" s="28">
        <f>IF(AN1285=12,J1285,0)</f>
        <v>0</v>
      </c>
      <c r="AL1285" s="28">
        <f>IF(AN1285=21,J1285,0)</f>
        <v>0</v>
      </c>
      <c r="AN1285" s="28">
        <v>21</v>
      </c>
      <c r="AO1285" s="28">
        <f>G1285*0</f>
        <v>0</v>
      </c>
      <c r="AP1285" s="28">
        <f>G1285*(1-0)</f>
        <v>0</v>
      </c>
      <c r="AQ1285" s="30" t="s">
        <v>74</v>
      </c>
      <c r="AV1285" s="28">
        <f>ROUND(AW1285+AX1285,2)</f>
        <v>0</v>
      </c>
      <c r="AW1285" s="28">
        <f>ROUND(F1285*AO1285,2)</f>
        <v>0</v>
      </c>
      <c r="AX1285" s="28">
        <f>ROUND(F1285*AP1285,2)</f>
        <v>0</v>
      </c>
      <c r="AY1285" s="30" t="s">
        <v>953</v>
      </c>
      <c r="AZ1285" s="30" t="s">
        <v>2148</v>
      </c>
      <c r="BA1285" s="10" t="s">
        <v>2149</v>
      </c>
      <c r="BC1285" s="28">
        <f>AW1285+AX1285</f>
        <v>0</v>
      </c>
      <c r="BD1285" s="28">
        <f>G1285/(100-BE1285)*100</f>
        <v>0</v>
      </c>
      <c r="BE1285" s="28">
        <v>0</v>
      </c>
      <c r="BF1285" s="28">
        <f>1296</f>
        <v>1296</v>
      </c>
      <c r="BH1285" s="28">
        <f>F1285*AO1285</f>
        <v>0</v>
      </c>
      <c r="BI1285" s="28">
        <f>F1285*AP1285</f>
        <v>0</v>
      </c>
      <c r="BJ1285" s="28">
        <f>F1285*G1285</f>
        <v>0</v>
      </c>
      <c r="BK1285" s="28"/>
      <c r="BL1285" s="28"/>
      <c r="BW1285" s="28">
        <v>21</v>
      </c>
      <c r="BX1285" s="4" t="s">
        <v>2292</v>
      </c>
    </row>
    <row r="1286" spans="1:76" ht="13.5" customHeight="1" x14ac:dyDescent="0.25">
      <c r="A1286" s="31"/>
      <c r="B1286" s="35" t="s">
        <v>105</v>
      </c>
      <c r="C1286" s="97" t="s">
        <v>2293</v>
      </c>
      <c r="D1286" s="98"/>
      <c r="E1286" s="98"/>
      <c r="F1286" s="98"/>
      <c r="G1286" s="98"/>
      <c r="H1286" s="98"/>
      <c r="I1286" s="98"/>
      <c r="J1286" s="98"/>
      <c r="K1286" s="99"/>
    </row>
    <row r="1287" spans="1:76" x14ac:dyDescent="0.25">
      <c r="A1287" s="2" t="s">
        <v>2294</v>
      </c>
      <c r="B1287" s="3" t="s">
        <v>2295</v>
      </c>
      <c r="C1287" s="76" t="s">
        <v>2296</v>
      </c>
      <c r="D1287" s="71"/>
      <c r="E1287" s="3" t="s">
        <v>59</v>
      </c>
      <c r="F1287" s="28">
        <v>1</v>
      </c>
      <c r="G1287" s="28">
        <v>0</v>
      </c>
      <c r="H1287" s="28">
        <f>ROUND(F1287*AO1287,2)</f>
        <v>0</v>
      </c>
      <c r="I1287" s="28">
        <f>ROUND(F1287*AP1287,2)</f>
        <v>0</v>
      </c>
      <c r="J1287" s="28">
        <f>ROUND(F1287*G1287,2)</f>
        <v>0</v>
      </c>
      <c r="K1287" s="29" t="s">
        <v>60</v>
      </c>
      <c r="Z1287" s="28">
        <f>ROUND(IF(AQ1287="5",BJ1287,0),2)</f>
        <v>0</v>
      </c>
      <c r="AB1287" s="28">
        <f>ROUND(IF(AQ1287="1",BH1287,0),2)</f>
        <v>0</v>
      </c>
      <c r="AC1287" s="28">
        <f>ROUND(IF(AQ1287="1",BI1287,0),2)</f>
        <v>0</v>
      </c>
      <c r="AD1287" s="28">
        <f>ROUND(IF(AQ1287="7",BH1287,0),2)</f>
        <v>0</v>
      </c>
      <c r="AE1287" s="28">
        <f>ROUND(IF(AQ1287="7",BI1287,0),2)</f>
        <v>0</v>
      </c>
      <c r="AF1287" s="28">
        <f>ROUND(IF(AQ1287="2",BH1287,0),2)</f>
        <v>0</v>
      </c>
      <c r="AG1287" s="28">
        <f>ROUND(IF(AQ1287="2",BI1287,0),2)</f>
        <v>0</v>
      </c>
      <c r="AH1287" s="28">
        <f>ROUND(IF(AQ1287="0",BJ1287,0),2)</f>
        <v>0</v>
      </c>
      <c r="AI1287" s="10" t="s">
        <v>2144</v>
      </c>
      <c r="AJ1287" s="28">
        <f>IF(AN1287=0,J1287,0)</f>
        <v>0</v>
      </c>
      <c r="AK1287" s="28">
        <f>IF(AN1287=12,J1287,0)</f>
        <v>0</v>
      </c>
      <c r="AL1287" s="28">
        <f>IF(AN1287=21,J1287,0)</f>
        <v>0</v>
      </c>
      <c r="AN1287" s="28">
        <v>21</v>
      </c>
      <c r="AO1287" s="28">
        <f>G1287*0.634961778</f>
        <v>0</v>
      </c>
      <c r="AP1287" s="28">
        <f>G1287*(1-0.634961778)</f>
        <v>0</v>
      </c>
      <c r="AQ1287" s="30" t="s">
        <v>74</v>
      </c>
      <c r="AV1287" s="28">
        <f>ROUND(AW1287+AX1287,2)</f>
        <v>0</v>
      </c>
      <c r="AW1287" s="28">
        <f>ROUND(F1287*AO1287,2)</f>
        <v>0</v>
      </c>
      <c r="AX1287" s="28">
        <f>ROUND(F1287*AP1287,2)</f>
        <v>0</v>
      </c>
      <c r="AY1287" s="30" t="s">
        <v>953</v>
      </c>
      <c r="AZ1287" s="30" t="s">
        <v>2148</v>
      </c>
      <c r="BA1287" s="10" t="s">
        <v>2149</v>
      </c>
      <c r="BC1287" s="28">
        <f>AW1287+AX1287</f>
        <v>0</v>
      </c>
      <c r="BD1287" s="28">
        <f>G1287/(100-BE1287)*100</f>
        <v>0</v>
      </c>
      <c r="BE1287" s="28">
        <v>0</v>
      </c>
      <c r="BF1287" s="28">
        <f>1298</f>
        <v>1298</v>
      </c>
      <c r="BH1287" s="28">
        <f>F1287*AO1287</f>
        <v>0</v>
      </c>
      <c r="BI1287" s="28">
        <f>F1287*AP1287</f>
        <v>0</v>
      </c>
      <c r="BJ1287" s="28">
        <f>F1287*G1287</f>
        <v>0</v>
      </c>
      <c r="BK1287" s="28"/>
      <c r="BL1287" s="28"/>
      <c r="BW1287" s="28">
        <v>21</v>
      </c>
      <c r="BX1287" s="4" t="s">
        <v>2296</v>
      </c>
    </row>
    <row r="1288" spans="1:76" ht="13.5" customHeight="1" x14ac:dyDescent="0.25">
      <c r="A1288" s="31"/>
      <c r="B1288" s="35" t="s">
        <v>105</v>
      </c>
      <c r="C1288" s="97" t="s">
        <v>2297</v>
      </c>
      <c r="D1288" s="98"/>
      <c r="E1288" s="98"/>
      <c r="F1288" s="98"/>
      <c r="G1288" s="98"/>
      <c r="H1288" s="98"/>
      <c r="I1288" s="98"/>
      <c r="J1288" s="98"/>
      <c r="K1288" s="99"/>
    </row>
    <row r="1289" spans="1:76" x14ac:dyDescent="0.25">
      <c r="A1289" s="2" t="s">
        <v>2298</v>
      </c>
      <c r="B1289" s="3" t="s">
        <v>2299</v>
      </c>
      <c r="C1289" s="76" t="s">
        <v>2300</v>
      </c>
      <c r="D1289" s="71"/>
      <c r="E1289" s="3" t="s">
        <v>2301</v>
      </c>
      <c r="F1289" s="28">
        <v>0.1</v>
      </c>
      <c r="G1289" s="28">
        <v>0</v>
      </c>
      <c r="H1289" s="28">
        <f>ROUND(F1289*AO1289,2)</f>
        <v>0</v>
      </c>
      <c r="I1289" s="28">
        <f>ROUND(F1289*AP1289,2)</f>
        <v>0</v>
      </c>
      <c r="J1289" s="28">
        <f>ROUND(F1289*G1289,2)</f>
        <v>0</v>
      </c>
      <c r="K1289" s="29" t="s">
        <v>60</v>
      </c>
      <c r="Z1289" s="28">
        <f>ROUND(IF(AQ1289="5",BJ1289,0),2)</f>
        <v>0</v>
      </c>
      <c r="AB1289" s="28">
        <f>ROUND(IF(AQ1289="1",BH1289,0),2)</f>
        <v>0</v>
      </c>
      <c r="AC1289" s="28">
        <f>ROUND(IF(AQ1289="1",BI1289,0),2)</f>
        <v>0</v>
      </c>
      <c r="AD1289" s="28">
        <f>ROUND(IF(AQ1289="7",BH1289,0),2)</f>
        <v>0</v>
      </c>
      <c r="AE1289" s="28">
        <f>ROUND(IF(AQ1289="7",BI1289,0),2)</f>
        <v>0</v>
      </c>
      <c r="AF1289" s="28">
        <f>ROUND(IF(AQ1289="2",BH1289,0),2)</f>
        <v>0</v>
      </c>
      <c r="AG1289" s="28">
        <f>ROUND(IF(AQ1289="2",BI1289,0),2)</f>
        <v>0</v>
      </c>
      <c r="AH1289" s="28">
        <f>ROUND(IF(AQ1289="0",BJ1289,0),2)</f>
        <v>0</v>
      </c>
      <c r="AI1289" s="10" t="s">
        <v>2144</v>
      </c>
      <c r="AJ1289" s="28">
        <f>IF(AN1289=0,J1289,0)</f>
        <v>0</v>
      </c>
      <c r="AK1289" s="28">
        <f>IF(AN1289=12,J1289,0)</f>
        <v>0</v>
      </c>
      <c r="AL1289" s="28">
        <f>IF(AN1289=21,J1289,0)</f>
        <v>0</v>
      </c>
      <c r="AN1289" s="28">
        <v>21</v>
      </c>
      <c r="AO1289" s="28">
        <f>G1289*0.261396731</f>
        <v>0</v>
      </c>
      <c r="AP1289" s="28">
        <f>G1289*(1-0.261396731)</f>
        <v>0</v>
      </c>
      <c r="AQ1289" s="30" t="s">
        <v>74</v>
      </c>
      <c r="AV1289" s="28">
        <f>ROUND(AW1289+AX1289,2)</f>
        <v>0</v>
      </c>
      <c r="AW1289" s="28">
        <f>ROUND(F1289*AO1289,2)</f>
        <v>0</v>
      </c>
      <c r="AX1289" s="28">
        <f>ROUND(F1289*AP1289,2)</f>
        <v>0</v>
      </c>
      <c r="AY1289" s="30" t="s">
        <v>953</v>
      </c>
      <c r="AZ1289" s="30" t="s">
        <v>2148</v>
      </c>
      <c r="BA1289" s="10" t="s">
        <v>2149</v>
      </c>
      <c r="BC1289" s="28">
        <f>AW1289+AX1289</f>
        <v>0</v>
      </c>
      <c r="BD1289" s="28">
        <f>G1289/(100-BE1289)*100</f>
        <v>0</v>
      </c>
      <c r="BE1289" s="28">
        <v>0</v>
      </c>
      <c r="BF1289" s="28">
        <f>1300</f>
        <v>1300</v>
      </c>
      <c r="BH1289" s="28">
        <f>F1289*AO1289</f>
        <v>0</v>
      </c>
      <c r="BI1289" s="28">
        <f>F1289*AP1289</f>
        <v>0</v>
      </c>
      <c r="BJ1289" s="28">
        <f>F1289*G1289</f>
        <v>0</v>
      </c>
      <c r="BK1289" s="28"/>
      <c r="BL1289" s="28"/>
      <c r="BW1289" s="28">
        <v>21</v>
      </c>
      <c r="BX1289" s="4" t="s">
        <v>2300</v>
      </c>
    </row>
    <row r="1290" spans="1:76" x14ac:dyDescent="0.25">
      <c r="A1290" s="2" t="s">
        <v>2302</v>
      </c>
      <c r="B1290" s="3" t="s">
        <v>2303</v>
      </c>
      <c r="C1290" s="76" t="s">
        <v>2304</v>
      </c>
      <c r="D1290" s="71"/>
      <c r="E1290" s="3" t="s">
        <v>293</v>
      </c>
      <c r="F1290" s="28">
        <v>25</v>
      </c>
      <c r="G1290" s="28">
        <v>0</v>
      </c>
      <c r="H1290" s="28">
        <f>ROUND(F1290*AO1290,2)</f>
        <v>0</v>
      </c>
      <c r="I1290" s="28">
        <f>ROUND(F1290*AP1290,2)</f>
        <v>0</v>
      </c>
      <c r="J1290" s="28">
        <f>ROUND(F1290*G1290,2)</f>
        <v>0</v>
      </c>
      <c r="K1290" s="29" t="s">
        <v>60</v>
      </c>
      <c r="Z1290" s="28">
        <f>ROUND(IF(AQ1290="5",BJ1290,0),2)</f>
        <v>0</v>
      </c>
      <c r="AB1290" s="28">
        <f>ROUND(IF(AQ1290="1",BH1290,0),2)</f>
        <v>0</v>
      </c>
      <c r="AC1290" s="28">
        <f>ROUND(IF(AQ1290="1",BI1290,0),2)</f>
        <v>0</v>
      </c>
      <c r="AD1290" s="28">
        <f>ROUND(IF(AQ1290="7",BH1290,0),2)</f>
        <v>0</v>
      </c>
      <c r="AE1290" s="28">
        <f>ROUND(IF(AQ1290="7",BI1290,0),2)</f>
        <v>0</v>
      </c>
      <c r="AF1290" s="28">
        <f>ROUND(IF(AQ1290="2",BH1290,0),2)</f>
        <v>0</v>
      </c>
      <c r="AG1290" s="28">
        <f>ROUND(IF(AQ1290="2",BI1290,0),2)</f>
        <v>0</v>
      </c>
      <c r="AH1290" s="28">
        <f>ROUND(IF(AQ1290="0",BJ1290,0),2)</f>
        <v>0</v>
      </c>
      <c r="AI1290" s="10" t="s">
        <v>2144</v>
      </c>
      <c r="AJ1290" s="28">
        <f>IF(AN1290=0,J1290,0)</f>
        <v>0</v>
      </c>
      <c r="AK1290" s="28">
        <f>IF(AN1290=12,J1290,0)</f>
        <v>0</v>
      </c>
      <c r="AL1290" s="28">
        <f>IF(AN1290=21,J1290,0)</f>
        <v>0</v>
      </c>
      <c r="AN1290" s="28">
        <v>21</v>
      </c>
      <c r="AO1290" s="28">
        <f>G1290*1</f>
        <v>0</v>
      </c>
      <c r="AP1290" s="28">
        <f>G1290*(1-1)</f>
        <v>0</v>
      </c>
      <c r="AQ1290" s="30" t="s">
        <v>74</v>
      </c>
      <c r="AV1290" s="28">
        <f>ROUND(AW1290+AX1290,2)</f>
        <v>0</v>
      </c>
      <c r="AW1290" s="28">
        <f>ROUND(F1290*AO1290,2)</f>
        <v>0</v>
      </c>
      <c r="AX1290" s="28">
        <f>ROUND(F1290*AP1290,2)</f>
        <v>0</v>
      </c>
      <c r="AY1290" s="30" t="s">
        <v>953</v>
      </c>
      <c r="AZ1290" s="30" t="s">
        <v>2148</v>
      </c>
      <c r="BA1290" s="10" t="s">
        <v>2149</v>
      </c>
      <c r="BC1290" s="28">
        <f>AW1290+AX1290</f>
        <v>0</v>
      </c>
      <c r="BD1290" s="28">
        <f>G1290/(100-BE1290)*100</f>
        <v>0</v>
      </c>
      <c r="BE1290" s="28">
        <v>0</v>
      </c>
      <c r="BF1290" s="28">
        <f>1301</f>
        <v>1301</v>
      </c>
      <c r="BH1290" s="28">
        <f>F1290*AO1290</f>
        <v>0</v>
      </c>
      <c r="BI1290" s="28">
        <f>F1290*AP1290</f>
        <v>0</v>
      </c>
      <c r="BJ1290" s="28">
        <f>F1290*G1290</f>
        <v>0</v>
      </c>
      <c r="BK1290" s="28"/>
      <c r="BL1290" s="28"/>
      <c r="BW1290" s="28">
        <v>21</v>
      </c>
      <c r="BX1290" s="4" t="s">
        <v>2304</v>
      </c>
    </row>
    <row r="1291" spans="1:76" x14ac:dyDescent="0.25">
      <c r="A1291" s="31"/>
      <c r="B1291" s="35" t="s">
        <v>68</v>
      </c>
      <c r="C1291" s="94" t="s">
        <v>2305</v>
      </c>
      <c r="D1291" s="95"/>
      <c r="E1291" s="95"/>
      <c r="F1291" s="95"/>
      <c r="G1291" s="95"/>
      <c r="H1291" s="95"/>
      <c r="I1291" s="95"/>
      <c r="J1291" s="95"/>
      <c r="K1291" s="96"/>
      <c r="BX1291" s="36" t="s">
        <v>2305</v>
      </c>
    </row>
    <row r="1292" spans="1:76" x14ac:dyDescent="0.25">
      <c r="A1292" s="2" t="s">
        <v>2306</v>
      </c>
      <c r="B1292" s="3" t="s">
        <v>2307</v>
      </c>
      <c r="C1292" s="76" t="s">
        <v>2308</v>
      </c>
      <c r="D1292" s="71"/>
      <c r="E1292" s="3" t="s">
        <v>293</v>
      </c>
      <c r="F1292" s="28">
        <v>2</v>
      </c>
      <c r="G1292" s="28">
        <v>0</v>
      </c>
      <c r="H1292" s="28">
        <f>ROUND(F1292*AO1292,2)</f>
        <v>0</v>
      </c>
      <c r="I1292" s="28">
        <f>ROUND(F1292*AP1292,2)</f>
        <v>0</v>
      </c>
      <c r="J1292" s="28">
        <f>ROUND(F1292*G1292,2)</f>
        <v>0</v>
      </c>
      <c r="K1292" s="29" t="s">
        <v>60</v>
      </c>
      <c r="Z1292" s="28">
        <f>ROUND(IF(AQ1292="5",BJ1292,0),2)</f>
        <v>0</v>
      </c>
      <c r="AB1292" s="28">
        <f>ROUND(IF(AQ1292="1",BH1292,0),2)</f>
        <v>0</v>
      </c>
      <c r="AC1292" s="28">
        <f>ROUND(IF(AQ1292="1",BI1292,0),2)</f>
        <v>0</v>
      </c>
      <c r="AD1292" s="28">
        <f>ROUND(IF(AQ1292="7",BH1292,0),2)</f>
        <v>0</v>
      </c>
      <c r="AE1292" s="28">
        <f>ROUND(IF(AQ1292="7",BI1292,0),2)</f>
        <v>0</v>
      </c>
      <c r="AF1292" s="28">
        <f>ROUND(IF(AQ1292="2",BH1292,0),2)</f>
        <v>0</v>
      </c>
      <c r="AG1292" s="28">
        <f>ROUND(IF(AQ1292="2",BI1292,0),2)</f>
        <v>0</v>
      </c>
      <c r="AH1292" s="28">
        <f>ROUND(IF(AQ1292="0",BJ1292,0),2)</f>
        <v>0</v>
      </c>
      <c r="AI1292" s="10" t="s">
        <v>2144</v>
      </c>
      <c r="AJ1292" s="28">
        <f>IF(AN1292=0,J1292,0)</f>
        <v>0</v>
      </c>
      <c r="AK1292" s="28">
        <f>IF(AN1292=12,J1292,0)</f>
        <v>0</v>
      </c>
      <c r="AL1292" s="28">
        <f>IF(AN1292=21,J1292,0)</f>
        <v>0</v>
      </c>
      <c r="AN1292" s="28">
        <v>21</v>
      </c>
      <c r="AO1292" s="28">
        <f>G1292*1</f>
        <v>0</v>
      </c>
      <c r="AP1292" s="28">
        <f>G1292*(1-1)</f>
        <v>0</v>
      </c>
      <c r="AQ1292" s="30" t="s">
        <v>74</v>
      </c>
      <c r="AV1292" s="28">
        <f>ROUND(AW1292+AX1292,2)</f>
        <v>0</v>
      </c>
      <c r="AW1292" s="28">
        <f>ROUND(F1292*AO1292,2)</f>
        <v>0</v>
      </c>
      <c r="AX1292" s="28">
        <f>ROUND(F1292*AP1292,2)</f>
        <v>0</v>
      </c>
      <c r="AY1292" s="30" t="s">
        <v>953</v>
      </c>
      <c r="AZ1292" s="30" t="s">
        <v>2148</v>
      </c>
      <c r="BA1292" s="10" t="s">
        <v>2149</v>
      </c>
      <c r="BC1292" s="28">
        <f>AW1292+AX1292</f>
        <v>0</v>
      </c>
      <c r="BD1292" s="28">
        <f>G1292/(100-BE1292)*100</f>
        <v>0</v>
      </c>
      <c r="BE1292" s="28">
        <v>0</v>
      </c>
      <c r="BF1292" s="28">
        <f>1303</f>
        <v>1303</v>
      </c>
      <c r="BH1292" s="28">
        <f>F1292*AO1292</f>
        <v>0</v>
      </c>
      <c r="BI1292" s="28">
        <f>F1292*AP1292</f>
        <v>0</v>
      </c>
      <c r="BJ1292" s="28">
        <f>F1292*G1292</f>
        <v>0</v>
      </c>
      <c r="BK1292" s="28"/>
      <c r="BL1292" s="28"/>
      <c r="BW1292" s="28">
        <v>21</v>
      </c>
      <c r="BX1292" s="4" t="s">
        <v>2308</v>
      </c>
    </row>
    <row r="1293" spans="1:76" ht="25.5" x14ac:dyDescent="0.25">
      <c r="A1293" s="31"/>
      <c r="B1293" s="35" t="s">
        <v>68</v>
      </c>
      <c r="C1293" s="94" t="s">
        <v>2309</v>
      </c>
      <c r="D1293" s="95"/>
      <c r="E1293" s="95"/>
      <c r="F1293" s="95"/>
      <c r="G1293" s="95"/>
      <c r="H1293" s="95"/>
      <c r="I1293" s="95"/>
      <c r="J1293" s="95"/>
      <c r="K1293" s="96"/>
      <c r="BX1293" s="36" t="s">
        <v>2309</v>
      </c>
    </row>
    <row r="1294" spans="1:76" x14ac:dyDescent="0.25">
      <c r="A1294" s="24" t="s">
        <v>51</v>
      </c>
      <c r="B1294" s="25" t="s">
        <v>1527</v>
      </c>
      <c r="C1294" s="87" t="s">
        <v>1528</v>
      </c>
      <c r="D1294" s="88"/>
      <c r="E1294" s="26" t="s">
        <v>4</v>
      </c>
      <c r="F1294" s="26" t="s">
        <v>4</v>
      </c>
      <c r="G1294" s="26" t="s">
        <v>4</v>
      </c>
      <c r="H1294" s="1">
        <f>SUM(H1295:H1311)</f>
        <v>0</v>
      </c>
      <c r="I1294" s="1">
        <f>SUM(I1295:I1311)</f>
        <v>0</v>
      </c>
      <c r="J1294" s="1">
        <f>SUM(J1295:J1311)</f>
        <v>0</v>
      </c>
      <c r="K1294" s="27" t="s">
        <v>51</v>
      </c>
      <c r="AI1294" s="10" t="s">
        <v>2144</v>
      </c>
      <c r="AS1294" s="1">
        <f>SUM(AJ1295:AJ1311)</f>
        <v>0</v>
      </c>
      <c r="AT1294" s="1">
        <f>SUM(AK1295:AK1311)</f>
        <v>0</v>
      </c>
      <c r="AU1294" s="1">
        <f>SUM(AL1295:AL1311)</f>
        <v>0</v>
      </c>
    </row>
    <row r="1295" spans="1:76" x14ac:dyDescent="0.25">
      <c r="A1295" s="2" t="s">
        <v>2310</v>
      </c>
      <c r="B1295" s="3" t="s">
        <v>2311</v>
      </c>
      <c r="C1295" s="76" t="s">
        <v>2312</v>
      </c>
      <c r="D1295" s="71"/>
      <c r="E1295" s="3" t="s">
        <v>188</v>
      </c>
      <c r="F1295" s="28">
        <v>4</v>
      </c>
      <c r="G1295" s="28">
        <v>0</v>
      </c>
      <c r="H1295" s="28">
        <f>ROUND(F1295*AO1295,2)</f>
        <v>0</v>
      </c>
      <c r="I1295" s="28">
        <f>ROUND(F1295*AP1295,2)</f>
        <v>0</v>
      </c>
      <c r="J1295" s="28">
        <f>ROUND(F1295*G1295,2)</f>
        <v>0</v>
      </c>
      <c r="K1295" s="29" t="s">
        <v>60</v>
      </c>
      <c r="Z1295" s="28">
        <f>ROUND(IF(AQ1295="5",BJ1295,0),2)</f>
        <v>0</v>
      </c>
      <c r="AB1295" s="28">
        <f>ROUND(IF(AQ1295="1",BH1295,0),2)</f>
        <v>0</v>
      </c>
      <c r="AC1295" s="28">
        <f>ROUND(IF(AQ1295="1",BI1295,0),2)</f>
        <v>0</v>
      </c>
      <c r="AD1295" s="28">
        <f>ROUND(IF(AQ1295="7",BH1295,0),2)</f>
        <v>0</v>
      </c>
      <c r="AE1295" s="28">
        <f>ROUND(IF(AQ1295="7",BI1295,0),2)</f>
        <v>0</v>
      </c>
      <c r="AF1295" s="28">
        <f>ROUND(IF(AQ1295="2",BH1295,0),2)</f>
        <v>0</v>
      </c>
      <c r="AG1295" s="28">
        <f>ROUND(IF(AQ1295="2",BI1295,0),2)</f>
        <v>0</v>
      </c>
      <c r="AH1295" s="28">
        <f>ROUND(IF(AQ1295="0",BJ1295,0),2)</f>
        <v>0</v>
      </c>
      <c r="AI1295" s="10" t="s">
        <v>2144</v>
      </c>
      <c r="AJ1295" s="28">
        <f>IF(AN1295=0,J1295,0)</f>
        <v>0</v>
      </c>
      <c r="AK1295" s="28">
        <f>IF(AN1295=12,J1295,0)</f>
        <v>0</v>
      </c>
      <c r="AL1295" s="28">
        <f>IF(AN1295=21,J1295,0)</f>
        <v>0</v>
      </c>
      <c r="AN1295" s="28">
        <v>21</v>
      </c>
      <c r="AO1295" s="28">
        <f>G1295*1</f>
        <v>0</v>
      </c>
      <c r="AP1295" s="28">
        <f>G1295*(1-1)</f>
        <v>0</v>
      </c>
      <c r="AQ1295" s="30" t="s">
        <v>1532</v>
      </c>
      <c r="AV1295" s="28">
        <f>ROUND(AW1295+AX1295,2)</f>
        <v>0</v>
      </c>
      <c r="AW1295" s="28">
        <f>ROUND(F1295*AO1295,2)</f>
        <v>0</v>
      </c>
      <c r="AX1295" s="28">
        <f>ROUND(F1295*AP1295,2)</f>
        <v>0</v>
      </c>
      <c r="AY1295" s="30" t="s">
        <v>1533</v>
      </c>
      <c r="AZ1295" s="30" t="s">
        <v>2313</v>
      </c>
      <c r="BA1295" s="10" t="s">
        <v>2149</v>
      </c>
      <c r="BC1295" s="28">
        <f>AW1295+AX1295</f>
        <v>0</v>
      </c>
      <c r="BD1295" s="28">
        <f>G1295/(100-BE1295)*100</f>
        <v>0</v>
      </c>
      <c r="BE1295" s="28">
        <v>0</v>
      </c>
      <c r="BF1295" s="28">
        <f>1306</f>
        <v>1306</v>
      </c>
      <c r="BH1295" s="28">
        <f>F1295*AO1295</f>
        <v>0</v>
      </c>
      <c r="BI1295" s="28">
        <f>F1295*AP1295</f>
        <v>0</v>
      </c>
      <c r="BJ1295" s="28">
        <f>F1295*G1295</f>
        <v>0</v>
      </c>
      <c r="BK1295" s="28"/>
      <c r="BL1295" s="28"/>
      <c r="BW1295" s="28">
        <v>21</v>
      </c>
      <c r="BX1295" s="4" t="s">
        <v>2312</v>
      </c>
    </row>
    <row r="1296" spans="1:76" x14ac:dyDescent="0.25">
      <c r="A1296" s="2" t="s">
        <v>2314</v>
      </c>
      <c r="B1296" s="3" t="s">
        <v>2315</v>
      </c>
      <c r="C1296" s="76" t="s">
        <v>2316</v>
      </c>
      <c r="D1296" s="71"/>
      <c r="E1296" s="3" t="s">
        <v>188</v>
      </c>
      <c r="F1296" s="28">
        <v>40</v>
      </c>
      <c r="G1296" s="28">
        <v>0</v>
      </c>
      <c r="H1296" s="28">
        <f>ROUND(F1296*AO1296,2)</f>
        <v>0</v>
      </c>
      <c r="I1296" s="28">
        <f>ROUND(F1296*AP1296,2)</f>
        <v>0</v>
      </c>
      <c r="J1296" s="28">
        <f>ROUND(F1296*G1296,2)</f>
        <v>0</v>
      </c>
      <c r="K1296" s="29" t="s">
        <v>60</v>
      </c>
      <c r="Z1296" s="28">
        <f>ROUND(IF(AQ1296="5",BJ1296,0),2)</f>
        <v>0</v>
      </c>
      <c r="AB1296" s="28">
        <f>ROUND(IF(AQ1296="1",BH1296,0),2)</f>
        <v>0</v>
      </c>
      <c r="AC1296" s="28">
        <f>ROUND(IF(AQ1296="1",BI1296,0),2)</f>
        <v>0</v>
      </c>
      <c r="AD1296" s="28">
        <f>ROUND(IF(AQ1296="7",BH1296,0),2)</f>
        <v>0</v>
      </c>
      <c r="AE1296" s="28">
        <f>ROUND(IF(AQ1296="7",BI1296,0),2)</f>
        <v>0</v>
      </c>
      <c r="AF1296" s="28">
        <f>ROUND(IF(AQ1296="2",BH1296,0),2)</f>
        <v>0</v>
      </c>
      <c r="AG1296" s="28">
        <f>ROUND(IF(AQ1296="2",BI1296,0),2)</f>
        <v>0</v>
      </c>
      <c r="AH1296" s="28">
        <f>ROUND(IF(AQ1296="0",BJ1296,0),2)</f>
        <v>0</v>
      </c>
      <c r="AI1296" s="10" t="s">
        <v>2144</v>
      </c>
      <c r="AJ1296" s="28">
        <f>IF(AN1296=0,J1296,0)</f>
        <v>0</v>
      </c>
      <c r="AK1296" s="28">
        <f>IF(AN1296=12,J1296,0)</f>
        <v>0</v>
      </c>
      <c r="AL1296" s="28">
        <f>IF(AN1296=21,J1296,0)</f>
        <v>0</v>
      </c>
      <c r="AN1296" s="28">
        <v>21</v>
      </c>
      <c r="AO1296" s="28">
        <f>G1296*1</f>
        <v>0</v>
      </c>
      <c r="AP1296" s="28">
        <f>G1296*(1-1)</f>
        <v>0</v>
      </c>
      <c r="AQ1296" s="30" t="s">
        <v>1532</v>
      </c>
      <c r="AV1296" s="28">
        <f>ROUND(AW1296+AX1296,2)</f>
        <v>0</v>
      </c>
      <c r="AW1296" s="28">
        <f>ROUND(F1296*AO1296,2)</f>
        <v>0</v>
      </c>
      <c r="AX1296" s="28">
        <f>ROUND(F1296*AP1296,2)</f>
        <v>0</v>
      </c>
      <c r="AY1296" s="30" t="s">
        <v>1533</v>
      </c>
      <c r="AZ1296" s="30" t="s">
        <v>2313</v>
      </c>
      <c r="BA1296" s="10" t="s">
        <v>2149</v>
      </c>
      <c r="BC1296" s="28">
        <f>AW1296+AX1296</f>
        <v>0</v>
      </c>
      <c r="BD1296" s="28">
        <f>G1296/(100-BE1296)*100</f>
        <v>0</v>
      </c>
      <c r="BE1296" s="28">
        <v>0</v>
      </c>
      <c r="BF1296" s="28">
        <f>1307</f>
        <v>1307</v>
      </c>
      <c r="BH1296" s="28">
        <f>F1296*AO1296</f>
        <v>0</v>
      </c>
      <c r="BI1296" s="28">
        <f>F1296*AP1296</f>
        <v>0</v>
      </c>
      <c r="BJ1296" s="28">
        <f>F1296*G1296</f>
        <v>0</v>
      </c>
      <c r="BK1296" s="28"/>
      <c r="BL1296" s="28"/>
      <c r="BW1296" s="28">
        <v>21</v>
      </c>
      <c r="BX1296" s="4" t="s">
        <v>2316</v>
      </c>
    </row>
    <row r="1297" spans="1:76" x14ac:dyDescent="0.25">
      <c r="A1297" s="2" t="s">
        <v>2317</v>
      </c>
      <c r="B1297" s="3" t="s">
        <v>2318</v>
      </c>
      <c r="C1297" s="76" t="s">
        <v>2319</v>
      </c>
      <c r="D1297" s="71"/>
      <c r="E1297" s="3" t="s">
        <v>1301</v>
      </c>
      <c r="F1297" s="28">
        <v>20</v>
      </c>
      <c r="G1297" s="28">
        <v>0</v>
      </c>
      <c r="H1297" s="28">
        <f>ROUND(F1297*AO1297,2)</f>
        <v>0</v>
      </c>
      <c r="I1297" s="28">
        <f>ROUND(F1297*AP1297,2)</f>
        <v>0</v>
      </c>
      <c r="J1297" s="28">
        <f>ROUND(F1297*G1297,2)</f>
        <v>0</v>
      </c>
      <c r="K1297" s="29" t="s">
        <v>424</v>
      </c>
      <c r="Z1297" s="28">
        <f>ROUND(IF(AQ1297="5",BJ1297,0),2)</f>
        <v>0</v>
      </c>
      <c r="AB1297" s="28">
        <f>ROUND(IF(AQ1297="1",BH1297,0),2)</f>
        <v>0</v>
      </c>
      <c r="AC1297" s="28">
        <f>ROUND(IF(AQ1297="1",BI1297,0),2)</f>
        <v>0</v>
      </c>
      <c r="AD1297" s="28">
        <f>ROUND(IF(AQ1297="7",BH1297,0),2)</f>
        <v>0</v>
      </c>
      <c r="AE1297" s="28">
        <f>ROUND(IF(AQ1297="7",BI1297,0),2)</f>
        <v>0</v>
      </c>
      <c r="AF1297" s="28">
        <f>ROUND(IF(AQ1297="2",BH1297,0),2)</f>
        <v>0</v>
      </c>
      <c r="AG1297" s="28">
        <f>ROUND(IF(AQ1297="2",BI1297,0),2)</f>
        <v>0</v>
      </c>
      <c r="AH1297" s="28">
        <f>ROUND(IF(AQ1297="0",BJ1297,0),2)</f>
        <v>0</v>
      </c>
      <c r="AI1297" s="10" t="s">
        <v>2144</v>
      </c>
      <c r="AJ1297" s="28">
        <f>IF(AN1297=0,J1297,0)</f>
        <v>0</v>
      </c>
      <c r="AK1297" s="28">
        <f>IF(AN1297=12,J1297,0)</f>
        <v>0</v>
      </c>
      <c r="AL1297" s="28">
        <f>IF(AN1297=21,J1297,0)</f>
        <v>0</v>
      </c>
      <c r="AN1297" s="28">
        <v>21</v>
      </c>
      <c r="AO1297" s="28">
        <f>G1297*1</f>
        <v>0</v>
      </c>
      <c r="AP1297" s="28">
        <f>G1297*(1-1)</f>
        <v>0</v>
      </c>
      <c r="AQ1297" s="30" t="s">
        <v>1532</v>
      </c>
      <c r="AV1297" s="28">
        <f>ROUND(AW1297+AX1297,2)</f>
        <v>0</v>
      </c>
      <c r="AW1297" s="28">
        <f>ROUND(F1297*AO1297,2)</f>
        <v>0</v>
      </c>
      <c r="AX1297" s="28">
        <f>ROUND(F1297*AP1297,2)</f>
        <v>0</v>
      </c>
      <c r="AY1297" s="30" t="s">
        <v>1533</v>
      </c>
      <c r="AZ1297" s="30" t="s">
        <v>2313</v>
      </c>
      <c r="BA1297" s="10" t="s">
        <v>2149</v>
      </c>
      <c r="BC1297" s="28">
        <f>AW1297+AX1297</f>
        <v>0</v>
      </c>
      <c r="BD1297" s="28">
        <f>G1297/(100-BE1297)*100</f>
        <v>0</v>
      </c>
      <c r="BE1297" s="28">
        <v>0</v>
      </c>
      <c r="BF1297" s="28">
        <f>1308</f>
        <v>1308</v>
      </c>
      <c r="BH1297" s="28">
        <f>F1297*AO1297</f>
        <v>0</v>
      </c>
      <c r="BI1297" s="28">
        <f>F1297*AP1297</f>
        <v>0</v>
      </c>
      <c r="BJ1297" s="28">
        <f>F1297*G1297</f>
        <v>0</v>
      </c>
      <c r="BK1297" s="28"/>
      <c r="BL1297" s="28"/>
      <c r="BW1297" s="28">
        <v>21</v>
      </c>
      <c r="BX1297" s="4" t="s">
        <v>2319</v>
      </c>
    </row>
    <row r="1298" spans="1:76" x14ac:dyDescent="0.25">
      <c r="A1298" s="2" t="s">
        <v>2320</v>
      </c>
      <c r="B1298" s="3" t="s">
        <v>2321</v>
      </c>
      <c r="C1298" s="76" t="s">
        <v>2322</v>
      </c>
      <c r="D1298" s="71"/>
      <c r="E1298" s="3" t="s">
        <v>188</v>
      </c>
      <c r="F1298" s="28">
        <v>150</v>
      </c>
      <c r="G1298" s="28">
        <v>0</v>
      </c>
      <c r="H1298" s="28">
        <f>ROUND(F1298*AO1298,2)</f>
        <v>0</v>
      </c>
      <c r="I1298" s="28">
        <f>ROUND(F1298*AP1298,2)</f>
        <v>0</v>
      </c>
      <c r="J1298" s="28">
        <f>ROUND(F1298*G1298,2)</f>
        <v>0</v>
      </c>
      <c r="K1298" s="29" t="s">
        <v>60</v>
      </c>
      <c r="Z1298" s="28">
        <f>ROUND(IF(AQ1298="5",BJ1298,0),2)</f>
        <v>0</v>
      </c>
      <c r="AB1298" s="28">
        <f>ROUND(IF(AQ1298="1",BH1298,0),2)</f>
        <v>0</v>
      </c>
      <c r="AC1298" s="28">
        <f>ROUND(IF(AQ1298="1",BI1298,0),2)</f>
        <v>0</v>
      </c>
      <c r="AD1298" s="28">
        <f>ROUND(IF(AQ1298="7",BH1298,0),2)</f>
        <v>0</v>
      </c>
      <c r="AE1298" s="28">
        <f>ROUND(IF(AQ1298="7",BI1298,0),2)</f>
        <v>0</v>
      </c>
      <c r="AF1298" s="28">
        <f>ROUND(IF(AQ1298="2",BH1298,0),2)</f>
        <v>0</v>
      </c>
      <c r="AG1298" s="28">
        <f>ROUND(IF(AQ1298="2",BI1298,0),2)</f>
        <v>0</v>
      </c>
      <c r="AH1298" s="28">
        <f>ROUND(IF(AQ1298="0",BJ1298,0),2)</f>
        <v>0</v>
      </c>
      <c r="AI1298" s="10" t="s">
        <v>2144</v>
      </c>
      <c r="AJ1298" s="28">
        <f>IF(AN1298=0,J1298,0)</f>
        <v>0</v>
      </c>
      <c r="AK1298" s="28">
        <f>IF(AN1298=12,J1298,0)</f>
        <v>0</v>
      </c>
      <c r="AL1298" s="28">
        <f>IF(AN1298=21,J1298,0)</f>
        <v>0</v>
      </c>
      <c r="AN1298" s="28">
        <v>21</v>
      </c>
      <c r="AO1298" s="28">
        <f>G1298*1</f>
        <v>0</v>
      </c>
      <c r="AP1298" s="28">
        <f>G1298*(1-1)</f>
        <v>0</v>
      </c>
      <c r="AQ1298" s="30" t="s">
        <v>1532</v>
      </c>
      <c r="AV1298" s="28">
        <f>ROUND(AW1298+AX1298,2)</f>
        <v>0</v>
      </c>
      <c r="AW1298" s="28">
        <f>ROUND(F1298*AO1298,2)</f>
        <v>0</v>
      </c>
      <c r="AX1298" s="28">
        <f>ROUND(F1298*AP1298,2)</f>
        <v>0</v>
      </c>
      <c r="AY1298" s="30" t="s">
        <v>1533</v>
      </c>
      <c r="AZ1298" s="30" t="s">
        <v>2313</v>
      </c>
      <c r="BA1298" s="10" t="s">
        <v>2149</v>
      </c>
      <c r="BC1298" s="28">
        <f>AW1298+AX1298</f>
        <v>0</v>
      </c>
      <c r="BD1298" s="28">
        <f>G1298/(100-BE1298)*100</f>
        <v>0</v>
      </c>
      <c r="BE1298" s="28">
        <v>0</v>
      </c>
      <c r="BF1298" s="28">
        <f>1309</f>
        <v>1309</v>
      </c>
      <c r="BH1298" s="28">
        <f>F1298*AO1298</f>
        <v>0</v>
      </c>
      <c r="BI1298" s="28">
        <f>F1298*AP1298</f>
        <v>0</v>
      </c>
      <c r="BJ1298" s="28">
        <f>F1298*G1298</f>
        <v>0</v>
      </c>
      <c r="BK1298" s="28"/>
      <c r="BL1298" s="28"/>
      <c r="BW1298" s="28">
        <v>21</v>
      </c>
      <c r="BX1298" s="4" t="s">
        <v>2322</v>
      </c>
    </row>
    <row r="1299" spans="1:76" x14ac:dyDescent="0.25">
      <c r="A1299" s="2" t="s">
        <v>2323</v>
      </c>
      <c r="B1299" s="3" t="s">
        <v>2324</v>
      </c>
      <c r="C1299" s="76" t="s">
        <v>2325</v>
      </c>
      <c r="D1299" s="71"/>
      <c r="E1299" s="3" t="s">
        <v>293</v>
      </c>
      <c r="F1299" s="28">
        <v>6</v>
      </c>
      <c r="G1299" s="28">
        <v>0</v>
      </c>
      <c r="H1299" s="28">
        <f>ROUND(F1299*AO1299,2)</f>
        <v>0</v>
      </c>
      <c r="I1299" s="28">
        <f>ROUND(F1299*AP1299,2)</f>
        <v>0</v>
      </c>
      <c r="J1299" s="28">
        <f>ROUND(F1299*G1299,2)</f>
        <v>0</v>
      </c>
      <c r="K1299" s="29" t="s">
        <v>60</v>
      </c>
      <c r="Z1299" s="28">
        <f>ROUND(IF(AQ1299="5",BJ1299,0),2)</f>
        <v>0</v>
      </c>
      <c r="AB1299" s="28">
        <f>ROUND(IF(AQ1299="1",BH1299,0),2)</f>
        <v>0</v>
      </c>
      <c r="AC1299" s="28">
        <f>ROUND(IF(AQ1299="1",BI1299,0),2)</f>
        <v>0</v>
      </c>
      <c r="AD1299" s="28">
        <f>ROUND(IF(AQ1299="7",BH1299,0),2)</f>
        <v>0</v>
      </c>
      <c r="AE1299" s="28">
        <f>ROUND(IF(AQ1299="7",BI1299,0),2)</f>
        <v>0</v>
      </c>
      <c r="AF1299" s="28">
        <f>ROUND(IF(AQ1299="2",BH1299,0),2)</f>
        <v>0</v>
      </c>
      <c r="AG1299" s="28">
        <f>ROUND(IF(AQ1299="2",BI1299,0),2)</f>
        <v>0</v>
      </c>
      <c r="AH1299" s="28">
        <f>ROUND(IF(AQ1299="0",BJ1299,0),2)</f>
        <v>0</v>
      </c>
      <c r="AI1299" s="10" t="s">
        <v>2144</v>
      </c>
      <c r="AJ1299" s="28">
        <f>IF(AN1299=0,J1299,0)</f>
        <v>0</v>
      </c>
      <c r="AK1299" s="28">
        <f>IF(AN1299=12,J1299,0)</f>
        <v>0</v>
      </c>
      <c r="AL1299" s="28">
        <f>IF(AN1299=21,J1299,0)</f>
        <v>0</v>
      </c>
      <c r="AN1299" s="28">
        <v>21</v>
      </c>
      <c r="AO1299" s="28">
        <f>G1299*1</f>
        <v>0</v>
      </c>
      <c r="AP1299" s="28">
        <f>G1299*(1-1)</f>
        <v>0</v>
      </c>
      <c r="AQ1299" s="30" t="s">
        <v>1532</v>
      </c>
      <c r="AV1299" s="28">
        <f>ROUND(AW1299+AX1299,2)</f>
        <v>0</v>
      </c>
      <c r="AW1299" s="28">
        <f>ROUND(F1299*AO1299,2)</f>
        <v>0</v>
      </c>
      <c r="AX1299" s="28">
        <f>ROUND(F1299*AP1299,2)</f>
        <v>0</v>
      </c>
      <c r="AY1299" s="30" t="s">
        <v>1533</v>
      </c>
      <c r="AZ1299" s="30" t="s">
        <v>2313</v>
      </c>
      <c r="BA1299" s="10" t="s">
        <v>2149</v>
      </c>
      <c r="BC1299" s="28">
        <f>AW1299+AX1299</f>
        <v>0</v>
      </c>
      <c r="BD1299" s="28">
        <f>G1299/(100-BE1299)*100</f>
        <v>0</v>
      </c>
      <c r="BE1299" s="28">
        <v>0</v>
      </c>
      <c r="BF1299" s="28">
        <f>1310</f>
        <v>1310</v>
      </c>
      <c r="BH1299" s="28">
        <f>F1299*AO1299</f>
        <v>0</v>
      </c>
      <c r="BI1299" s="28">
        <f>F1299*AP1299</f>
        <v>0</v>
      </c>
      <c r="BJ1299" s="28">
        <f>F1299*G1299</f>
        <v>0</v>
      </c>
      <c r="BK1299" s="28"/>
      <c r="BL1299" s="28"/>
      <c r="BW1299" s="28">
        <v>21</v>
      </c>
      <c r="BX1299" s="4" t="s">
        <v>2325</v>
      </c>
    </row>
    <row r="1300" spans="1:76" x14ac:dyDescent="0.25">
      <c r="A1300" s="31"/>
      <c r="B1300" s="35" t="s">
        <v>68</v>
      </c>
      <c r="C1300" s="94" t="s">
        <v>2326</v>
      </c>
      <c r="D1300" s="95"/>
      <c r="E1300" s="95"/>
      <c r="F1300" s="95"/>
      <c r="G1300" s="95"/>
      <c r="H1300" s="95"/>
      <c r="I1300" s="95"/>
      <c r="J1300" s="95"/>
      <c r="K1300" s="96"/>
      <c r="BX1300" s="36" t="s">
        <v>2326</v>
      </c>
    </row>
    <row r="1301" spans="1:76" x14ac:dyDescent="0.25">
      <c r="A1301" s="2" t="s">
        <v>2327</v>
      </c>
      <c r="B1301" s="3" t="s">
        <v>2328</v>
      </c>
      <c r="C1301" s="76" t="s">
        <v>2329</v>
      </c>
      <c r="D1301" s="71"/>
      <c r="E1301" s="3" t="s">
        <v>188</v>
      </c>
      <c r="F1301" s="28">
        <v>80</v>
      </c>
      <c r="G1301" s="28">
        <v>0</v>
      </c>
      <c r="H1301" s="28">
        <f>ROUND(F1301*AO1301,2)</f>
        <v>0</v>
      </c>
      <c r="I1301" s="28">
        <f>ROUND(F1301*AP1301,2)</f>
        <v>0</v>
      </c>
      <c r="J1301" s="28">
        <f>ROUND(F1301*G1301,2)</f>
        <v>0</v>
      </c>
      <c r="K1301" s="29" t="s">
        <v>60</v>
      </c>
      <c r="Z1301" s="28">
        <f>ROUND(IF(AQ1301="5",BJ1301,0),2)</f>
        <v>0</v>
      </c>
      <c r="AB1301" s="28">
        <f>ROUND(IF(AQ1301="1",BH1301,0),2)</f>
        <v>0</v>
      </c>
      <c r="AC1301" s="28">
        <f>ROUND(IF(AQ1301="1",BI1301,0),2)</f>
        <v>0</v>
      </c>
      <c r="AD1301" s="28">
        <f>ROUND(IF(AQ1301="7",BH1301,0),2)</f>
        <v>0</v>
      </c>
      <c r="AE1301" s="28">
        <f>ROUND(IF(AQ1301="7",BI1301,0),2)</f>
        <v>0</v>
      </c>
      <c r="AF1301" s="28">
        <f>ROUND(IF(AQ1301="2",BH1301,0),2)</f>
        <v>0</v>
      </c>
      <c r="AG1301" s="28">
        <f>ROUND(IF(AQ1301="2",BI1301,0),2)</f>
        <v>0</v>
      </c>
      <c r="AH1301" s="28">
        <f>ROUND(IF(AQ1301="0",BJ1301,0),2)</f>
        <v>0</v>
      </c>
      <c r="AI1301" s="10" t="s">
        <v>2144</v>
      </c>
      <c r="AJ1301" s="28">
        <f>IF(AN1301=0,J1301,0)</f>
        <v>0</v>
      </c>
      <c r="AK1301" s="28">
        <f>IF(AN1301=12,J1301,0)</f>
        <v>0</v>
      </c>
      <c r="AL1301" s="28">
        <f>IF(AN1301=21,J1301,0)</f>
        <v>0</v>
      </c>
      <c r="AN1301" s="28">
        <v>21</v>
      </c>
      <c r="AO1301" s="28">
        <f>G1301*1</f>
        <v>0</v>
      </c>
      <c r="AP1301" s="28">
        <f>G1301*(1-1)</f>
        <v>0</v>
      </c>
      <c r="AQ1301" s="30" t="s">
        <v>1532</v>
      </c>
      <c r="AV1301" s="28">
        <f>ROUND(AW1301+AX1301,2)</f>
        <v>0</v>
      </c>
      <c r="AW1301" s="28">
        <f>ROUND(F1301*AO1301,2)</f>
        <v>0</v>
      </c>
      <c r="AX1301" s="28">
        <f>ROUND(F1301*AP1301,2)</f>
        <v>0</v>
      </c>
      <c r="AY1301" s="30" t="s">
        <v>1533</v>
      </c>
      <c r="AZ1301" s="30" t="s">
        <v>2313</v>
      </c>
      <c r="BA1301" s="10" t="s">
        <v>2149</v>
      </c>
      <c r="BC1301" s="28">
        <f>AW1301+AX1301</f>
        <v>0</v>
      </c>
      <c r="BD1301" s="28">
        <f>G1301/(100-BE1301)*100</f>
        <v>0</v>
      </c>
      <c r="BE1301" s="28">
        <v>0</v>
      </c>
      <c r="BF1301" s="28">
        <f>1312</f>
        <v>1312</v>
      </c>
      <c r="BH1301" s="28">
        <f>F1301*AO1301</f>
        <v>0</v>
      </c>
      <c r="BI1301" s="28">
        <f>F1301*AP1301</f>
        <v>0</v>
      </c>
      <c r="BJ1301" s="28">
        <f>F1301*G1301</f>
        <v>0</v>
      </c>
      <c r="BK1301" s="28"/>
      <c r="BL1301" s="28"/>
      <c r="BW1301" s="28">
        <v>21</v>
      </c>
      <c r="BX1301" s="4" t="s">
        <v>2329</v>
      </c>
    </row>
    <row r="1302" spans="1:76" x14ac:dyDescent="0.25">
      <c r="A1302" s="2" t="s">
        <v>2330</v>
      </c>
      <c r="B1302" s="3" t="s">
        <v>2331</v>
      </c>
      <c r="C1302" s="76" t="s">
        <v>2332</v>
      </c>
      <c r="D1302" s="71"/>
      <c r="E1302" s="3" t="s">
        <v>188</v>
      </c>
      <c r="F1302" s="28">
        <v>40</v>
      </c>
      <c r="G1302" s="28">
        <v>0</v>
      </c>
      <c r="H1302" s="28">
        <f>ROUND(F1302*AO1302,2)</f>
        <v>0</v>
      </c>
      <c r="I1302" s="28">
        <f>ROUND(F1302*AP1302,2)</f>
        <v>0</v>
      </c>
      <c r="J1302" s="28">
        <f>ROUND(F1302*G1302,2)</f>
        <v>0</v>
      </c>
      <c r="K1302" s="29" t="s">
        <v>60</v>
      </c>
      <c r="Z1302" s="28">
        <f>ROUND(IF(AQ1302="5",BJ1302,0),2)</f>
        <v>0</v>
      </c>
      <c r="AB1302" s="28">
        <f>ROUND(IF(AQ1302="1",BH1302,0),2)</f>
        <v>0</v>
      </c>
      <c r="AC1302" s="28">
        <f>ROUND(IF(AQ1302="1",BI1302,0),2)</f>
        <v>0</v>
      </c>
      <c r="AD1302" s="28">
        <f>ROUND(IF(AQ1302="7",BH1302,0),2)</f>
        <v>0</v>
      </c>
      <c r="AE1302" s="28">
        <f>ROUND(IF(AQ1302="7",BI1302,0),2)</f>
        <v>0</v>
      </c>
      <c r="AF1302" s="28">
        <f>ROUND(IF(AQ1302="2",BH1302,0),2)</f>
        <v>0</v>
      </c>
      <c r="AG1302" s="28">
        <f>ROUND(IF(AQ1302="2",BI1302,0),2)</f>
        <v>0</v>
      </c>
      <c r="AH1302" s="28">
        <f>ROUND(IF(AQ1302="0",BJ1302,0),2)</f>
        <v>0</v>
      </c>
      <c r="AI1302" s="10" t="s">
        <v>2144</v>
      </c>
      <c r="AJ1302" s="28">
        <f>IF(AN1302=0,J1302,0)</f>
        <v>0</v>
      </c>
      <c r="AK1302" s="28">
        <f>IF(AN1302=12,J1302,0)</f>
        <v>0</v>
      </c>
      <c r="AL1302" s="28">
        <f>IF(AN1302=21,J1302,0)</f>
        <v>0</v>
      </c>
      <c r="AN1302" s="28">
        <v>21</v>
      </c>
      <c r="AO1302" s="28">
        <f>G1302*1</f>
        <v>0</v>
      </c>
      <c r="AP1302" s="28">
        <f>G1302*(1-1)</f>
        <v>0</v>
      </c>
      <c r="AQ1302" s="30" t="s">
        <v>1532</v>
      </c>
      <c r="AV1302" s="28">
        <f>ROUND(AW1302+AX1302,2)</f>
        <v>0</v>
      </c>
      <c r="AW1302" s="28">
        <f>ROUND(F1302*AO1302,2)</f>
        <v>0</v>
      </c>
      <c r="AX1302" s="28">
        <f>ROUND(F1302*AP1302,2)</f>
        <v>0</v>
      </c>
      <c r="AY1302" s="30" t="s">
        <v>1533</v>
      </c>
      <c r="AZ1302" s="30" t="s">
        <v>2313</v>
      </c>
      <c r="BA1302" s="10" t="s">
        <v>2149</v>
      </c>
      <c r="BC1302" s="28">
        <f>AW1302+AX1302</f>
        <v>0</v>
      </c>
      <c r="BD1302" s="28">
        <f>G1302/(100-BE1302)*100</f>
        <v>0</v>
      </c>
      <c r="BE1302" s="28">
        <v>0</v>
      </c>
      <c r="BF1302" s="28">
        <f>1313</f>
        <v>1313</v>
      </c>
      <c r="BH1302" s="28">
        <f>F1302*AO1302</f>
        <v>0</v>
      </c>
      <c r="BI1302" s="28">
        <f>F1302*AP1302</f>
        <v>0</v>
      </c>
      <c r="BJ1302" s="28">
        <f>F1302*G1302</f>
        <v>0</v>
      </c>
      <c r="BK1302" s="28"/>
      <c r="BL1302" s="28"/>
      <c r="BW1302" s="28">
        <v>21</v>
      </c>
      <c r="BX1302" s="4" t="s">
        <v>2332</v>
      </c>
    </row>
    <row r="1303" spans="1:76" ht="38.25" x14ac:dyDescent="0.25">
      <c r="A1303" s="31"/>
      <c r="B1303" s="35" t="s">
        <v>68</v>
      </c>
      <c r="C1303" s="94" t="s">
        <v>2333</v>
      </c>
      <c r="D1303" s="95"/>
      <c r="E1303" s="95"/>
      <c r="F1303" s="95"/>
      <c r="G1303" s="95"/>
      <c r="H1303" s="95"/>
      <c r="I1303" s="95"/>
      <c r="J1303" s="95"/>
      <c r="K1303" s="96"/>
      <c r="BX1303" s="36" t="s">
        <v>2333</v>
      </c>
    </row>
    <row r="1304" spans="1:76" x14ac:dyDescent="0.25">
      <c r="A1304" s="2" t="s">
        <v>2334</v>
      </c>
      <c r="B1304" s="3" t="s">
        <v>2335</v>
      </c>
      <c r="C1304" s="76" t="s">
        <v>2336</v>
      </c>
      <c r="D1304" s="71"/>
      <c r="E1304" s="3" t="s">
        <v>188</v>
      </c>
      <c r="F1304" s="28">
        <v>80</v>
      </c>
      <c r="G1304" s="28">
        <v>0</v>
      </c>
      <c r="H1304" s="28">
        <f>ROUND(F1304*AO1304,2)</f>
        <v>0</v>
      </c>
      <c r="I1304" s="28">
        <f>ROUND(F1304*AP1304,2)</f>
        <v>0</v>
      </c>
      <c r="J1304" s="28">
        <f>ROUND(F1304*G1304,2)</f>
        <v>0</v>
      </c>
      <c r="K1304" s="29" t="s">
        <v>60</v>
      </c>
      <c r="Z1304" s="28">
        <f>ROUND(IF(AQ1304="5",BJ1304,0),2)</f>
        <v>0</v>
      </c>
      <c r="AB1304" s="28">
        <f>ROUND(IF(AQ1304="1",BH1304,0),2)</f>
        <v>0</v>
      </c>
      <c r="AC1304" s="28">
        <f>ROUND(IF(AQ1304="1",BI1304,0),2)</f>
        <v>0</v>
      </c>
      <c r="AD1304" s="28">
        <f>ROUND(IF(AQ1304="7",BH1304,0),2)</f>
        <v>0</v>
      </c>
      <c r="AE1304" s="28">
        <f>ROUND(IF(AQ1304="7",BI1304,0),2)</f>
        <v>0</v>
      </c>
      <c r="AF1304" s="28">
        <f>ROUND(IF(AQ1304="2",BH1304,0),2)</f>
        <v>0</v>
      </c>
      <c r="AG1304" s="28">
        <f>ROUND(IF(AQ1304="2",BI1304,0),2)</f>
        <v>0</v>
      </c>
      <c r="AH1304" s="28">
        <f>ROUND(IF(AQ1304="0",BJ1304,0),2)</f>
        <v>0</v>
      </c>
      <c r="AI1304" s="10" t="s">
        <v>2144</v>
      </c>
      <c r="AJ1304" s="28">
        <f>IF(AN1304=0,J1304,0)</f>
        <v>0</v>
      </c>
      <c r="AK1304" s="28">
        <f>IF(AN1304=12,J1304,0)</f>
        <v>0</v>
      </c>
      <c r="AL1304" s="28">
        <f>IF(AN1304=21,J1304,0)</f>
        <v>0</v>
      </c>
      <c r="AN1304" s="28">
        <v>21</v>
      </c>
      <c r="AO1304" s="28">
        <f>G1304*1</f>
        <v>0</v>
      </c>
      <c r="AP1304" s="28">
        <f>G1304*(1-1)</f>
        <v>0</v>
      </c>
      <c r="AQ1304" s="30" t="s">
        <v>1532</v>
      </c>
      <c r="AV1304" s="28">
        <f>ROUND(AW1304+AX1304,2)</f>
        <v>0</v>
      </c>
      <c r="AW1304" s="28">
        <f>ROUND(F1304*AO1304,2)</f>
        <v>0</v>
      </c>
      <c r="AX1304" s="28">
        <f>ROUND(F1304*AP1304,2)</f>
        <v>0</v>
      </c>
      <c r="AY1304" s="30" t="s">
        <v>1533</v>
      </c>
      <c r="AZ1304" s="30" t="s">
        <v>2313</v>
      </c>
      <c r="BA1304" s="10" t="s">
        <v>2149</v>
      </c>
      <c r="BC1304" s="28">
        <f>AW1304+AX1304</f>
        <v>0</v>
      </c>
      <c r="BD1304" s="28">
        <f>G1304/(100-BE1304)*100</f>
        <v>0</v>
      </c>
      <c r="BE1304" s="28">
        <v>0</v>
      </c>
      <c r="BF1304" s="28">
        <f>1315</f>
        <v>1315</v>
      </c>
      <c r="BH1304" s="28">
        <f>F1304*AO1304</f>
        <v>0</v>
      </c>
      <c r="BI1304" s="28">
        <f>F1304*AP1304</f>
        <v>0</v>
      </c>
      <c r="BJ1304" s="28">
        <f>F1304*G1304</f>
        <v>0</v>
      </c>
      <c r="BK1304" s="28"/>
      <c r="BL1304" s="28"/>
      <c r="BW1304" s="28">
        <v>21</v>
      </c>
      <c r="BX1304" s="4" t="s">
        <v>2336</v>
      </c>
    </row>
    <row r="1305" spans="1:76" ht="38.25" x14ac:dyDescent="0.25">
      <c r="A1305" s="31"/>
      <c r="B1305" s="35" t="s">
        <v>68</v>
      </c>
      <c r="C1305" s="94" t="s">
        <v>2333</v>
      </c>
      <c r="D1305" s="95"/>
      <c r="E1305" s="95"/>
      <c r="F1305" s="95"/>
      <c r="G1305" s="95"/>
      <c r="H1305" s="95"/>
      <c r="I1305" s="95"/>
      <c r="J1305" s="95"/>
      <c r="K1305" s="96"/>
      <c r="BX1305" s="36" t="s">
        <v>2333</v>
      </c>
    </row>
    <row r="1306" spans="1:76" x14ac:dyDescent="0.25">
      <c r="A1306" s="2" t="s">
        <v>2337</v>
      </c>
      <c r="B1306" s="3" t="s">
        <v>2338</v>
      </c>
      <c r="C1306" s="76" t="s">
        <v>2339</v>
      </c>
      <c r="D1306" s="71"/>
      <c r="E1306" s="3" t="s">
        <v>188</v>
      </c>
      <c r="F1306" s="28">
        <v>5</v>
      </c>
      <c r="G1306" s="28">
        <v>0</v>
      </c>
      <c r="H1306" s="28">
        <f>ROUND(F1306*AO1306,2)</f>
        <v>0</v>
      </c>
      <c r="I1306" s="28">
        <f>ROUND(F1306*AP1306,2)</f>
        <v>0</v>
      </c>
      <c r="J1306" s="28">
        <f>ROUND(F1306*G1306,2)</f>
        <v>0</v>
      </c>
      <c r="K1306" s="29" t="s">
        <v>60</v>
      </c>
      <c r="Z1306" s="28">
        <f>ROUND(IF(AQ1306="5",BJ1306,0),2)</f>
        <v>0</v>
      </c>
      <c r="AB1306" s="28">
        <f>ROUND(IF(AQ1306="1",BH1306,0),2)</f>
        <v>0</v>
      </c>
      <c r="AC1306" s="28">
        <f>ROUND(IF(AQ1306="1",BI1306,0),2)</f>
        <v>0</v>
      </c>
      <c r="AD1306" s="28">
        <f>ROUND(IF(AQ1306="7",BH1306,0),2)</f>
        <v>0</v>
      </c>
      <c r="AE1306" s="28">
        <f>ROUND(IF(AQ1306="7",BI1306,0),2)</f>
        <v>0</v>
      </c>
      <c r="AF1306" s="28">
        <f>ROUND(IF(AQ1306="2",BH1306,0),2)</f>
        <v>0</v>
      </c>
      <c r="AG1306" s="28">
        <f>ROUND(IF(AQ1306="2",BI1306,0),2)</f>
        <v>0</v>
      </c>
      <c r="AH1306" s="28">
        <f>ROUND(IF(AQ1306="0",BJ1306,0),2)</f>
        <v>0</v>
      </c>
      <c r="AI1306" s="10" t="s">
        <v>2144</v>
      </c>
      <c r="AJ1306" s="28">
        <f>IF(AN1306=0,J1306,0)</f>
        <v>0</v>
      </c>
      <c r="AK1306" s="28">
        <f>IF(AN1306=12,J1306,0)</f>
        <v>0</v>
      </c>
      <c r="AL1306" s="28">
        <f>IF(AN1306=21,J1306,0)</f>
        <v>0</v>
      </c>
      <c r="AN1306" s="28">
        <v>21</v>
      </c>
      <c r="AO1306" s="28">
        <f>G1306*1</f>
        <v>0</v>
      </c>
      <c r="AP1306" s="28">
        <f>G1306*(1-1)</f>
        <v>0</v>
      </c>
      <c r="AQ1306" s="30" t="s">
        <v>1532</v>
      </c>
      <c r="AV1306" s="28">
        <f>ROUND(AW1306+AX1306,2)</f>
        <v>0</v>
      </c>
      <c r="AW1306" s="28">
        <f>ROUND(F1306*AO1306,2)</f>
        <v>0</v>
      </c>
      <c r="AX1306" s="28">
        <f>ROUND(F1306*AP1306,2)</f>
        <v>0</v>
      </c>
      <c r="AY1306" s="30" t="s">
        <v>1533</v>
      </c>
      <c r="AZ1306" s="30" t="s">
        <v>2313</v>
      </c>
      <c r="BA1306" s="10" t="s">
        <v>2149</v>
      </c>
      <c r="BC1306" s="28">
        <f>AW1306+AX1306</f>
        <v>0</v>
      </c>
      <c r="BD1306" s="28">
        <f>G1306/(100-BE1306)*100</f>
        <v>0</v>
      </c>
      <c r="BE1306" s="28">
        <v>0</v>
      </c>
      <c r="BF1306" s="28">
        <f>1317</f>
        <v>1317</v>
      </c>
      <c r="BH1306" s="28">
        <f>F1306*AO1306</f>
        <v>0</v>
      </c>
      <c r="BI1306" s="28">
        <f>F1306*AP1306</f>
        <v>0</v>
      </c>
      <c r="BJ1306" s="28">
        <f>F1306*G1306</f>
        <v>0</v>
      </c>
      <c r="BK1306" s="28"/>
      <c r="BL1306" s="28"/>
      <c r="BW1306" s="28">
        <v>21</v>
      </c>
      <c r="BX1306" s="4" t="s">
        <v>2339</v>
      </c>
    </row>
    <row r="1307" spans="1:76" ht="38.25" x14ac:dyDescent="0.25">
      <c r="A1307" s="31"/>
      <c r="B1307" s="35" t="s">
        <v>68</v>
      </c>
      <c r="C1307" s="94" t="s">
        <v>2333</v>
      </c>
      <c r="D1307" s="95"/>
      <c r="E1307" s="95"/>
      <c r="F1307" s="95"/>
      <c r="G1307" s="95"/>
      <c r="H1307" s="95"/>
      <c r="I1307" s="95"/>
      <c r="J1307" s="95"/>
      <c r="K1307" s="96"/>
      <c r="BX1307" s="36" t="s">
        <v>2333</v>
      </c>
    </row>
    <row r="1308" spans="1:76" x14ac:dyDescent="0.25">
      <c r="A1308" s="2" t="s">
        <v>2340</v>
      </c>
      <c r="B1308" s="3" t="s">
        <v>2341</v>
      </c>
      <c r="C1308" s="76" t="s">
        <v>2342</v>
      </c>
      <c r="D1308" s="71"/>
      <c r="E1308" s="3" t="s">
        <v>293</v>
      </c>
      <c r="F1308" s="28">
        <v>1</v>
      </c>
      <c r="G1308" s="28">
        <v>0</v>
      </c>
      <c r="H1308" s="28">
        <f>ROUND(F1308*AO1308,2)</f>
        <v>0</v>
      </c>
      <c r="I1308" s="28">
        <f>ROUND(F1308*AP1308,2)</f>
        <v>0</v>
      </c>
      <c r="J1308" s="28">
        <f>ROUND(F1308*G1308,2)</f>
        <v>0</v>
      </c>
      <c r="K1308" s="29" t="s">
        <v>424</v>
      </c>
      <c r="Z1308" s="28">
        <f>ROUND(IF(AQ1308="5",BJ1308,0),2)</f>
        <v>0</v>
      </c>
      <c r="AB1308" s="28">
        <f>ROUND(IF(AQ1308="1",BH1308,0),2)</f>
        <v>0</v>
      </c>
      <c r="AC1308" s="28">
        <f>ROUND(IF(AQ1308="1",BI1308,0),2)</f>
        <v>0</v>
      </c>
      <c r="AD1308" s="28">
        <f>ROUND(IF(AQ1308="7",BH1308,0),2)</f>
        <v>0</v>
      </c>
      <c r="AE1308" s="28">
        <f>ROUND(IF(AQ1308="7",BI1308,0),2)</f>
        <v>0</v>
      </c>
      <c r="AF1308" s="28">
        <f>ROUND(IF(AQ1308="2",BH1308,0),2)</f>
        <v>0</v>
      </c>
      <c r="AG1308" s="28">
        <f>ROUND(IF(AQ1308="2",BI1308,0),2)</f>
        <v>0</v>
      </c>
      <c r="AH1308" s="28">
        <f>ROUND(IF(AQ1308="0",BJ1308,0),2)</f>
        <v>0</v>
      </c>
      <c r="AI1308" s="10" t="s">
        <v>2144</v>
      </c>
      <c r="AJ1308" s="28">
        <f>IF(AN1308=0,J1308,0)</f>
        <v>0</v>
      </c>
      <c r="AK1308" s="28">
        <f>IF(AN1308=12,J1308,0)</f>
        <v>0</v>
      </c>
      <c r="AL1308" s="28">
        <f>IF(AN1308=21,J1308,0)</f>
        <v>0</v>
      </c>
      <c r="AN1308" s="28">
        <v>21</v>
      </c>
      <c r="AO1308" s="28">
        <f>G1308*1</f>
        <v>0</v>
      </c>
      <c r="AP1308" s="28">
        <f>G1308*(1-1)</f>
        <v>0</v>
      </c>
      <c r="AQ1308" s="30" t="s">
        <v>1532</v>
      </c>
      <c r="AV1308" s="28">
        <f>ROUND(AW1308+AX1308,2)</f>
        <v>0</v>
      </c>
      <c r="AW1308" s="28">
        <f>ROUND(F1308*AO1308,2)</f>
        <v>0</v>
      </c>
      <c r="AX1308" s="28">
        <f>ROUND(F1308*AP1308,2)</f>
        <v>0</v>
      </c>
      <c r="AY1308" s="30" t="s">
        <v>1533</v>
      </c>
      <c r="AZ1308" s="30" t="s">
        <v>2313</v>
      </c>
      <c r="BA1308" s="10" t="s">
        <v>2149</v>
      </c>
      <c r="BC1308" s="28">
        <f>AW1308+AX1308</f>
        <v>0</v>
      </c>
      <c r="BD1308" s="28">
        <f>G1308/(100-BE1308)*100</f>
        <v>0</v>
      </c>
      <c r="BE1308" s="28">
        <v>0</v>
      </c>
      <c r="BF1308" s="28">
        <f>1319</f>
        <v>1319</v>
      </c>
      <c r="BH1308" s="28">
        <f>F1308*AO1308</f>
        <v>0</v>
      </c>
      <c r="BI1308" s="28">
        <f>F1308*AP1308</f>
        <v>0</v>
      </c>
      <c r="BJ1308" s="28">
        <f>F1308*G1308</f>
        <v>0</v>
      </c>
      <c r="BK1308" s="28"/>
      <c r="BL1308" s="28"/>
      <c r="BW1308" s="28">
        <v>21</v>
      </c>
      <c r="BX1308" s="4" t="s">
        <v>2342</v>
      </c>
    </row>
    <row r="1309" spans="1:76" x14ac:dyDescent="0.25">
      <c r="A1309" s="2" t="s">
        <v>2343</v>
      </c>
      <c r="B1309" s="3" t="s">
        <v>2344</v>
      </c>
      <c r="C1309" s="76" t="s">
        <v>2345</v>
      </c>
      <c r="D1309" s="71"/>
      <c r="E1309" s="3" t="s">
        <v>293</v>
      </c>
      <c r="F1309" s="28">
        <v>2</v>
      </c>
      <c r="G1309" s="28">
        <v>0</v>
      </c>
      <c r="H1309" s="28">
        <f>ROUND(F1309*AO1309,2)</f>
        <v>0</v>
      </c>
      <c r="I1309" s="28">
        <f>ROUND(F1309*AP1309,2)</f>
        <v>0</v>
      </c>
      <c r="J1309" s="28">
        <f>ROUND(F1309*G1309,2)</f>
        <v>0</v>
      </c>
      <c r="K1309" s="29" t="s">
        <v>424</v>
      </c>
      <c r="Z1309" s="28">
        <f>ROUND(IF(AQ1309="5",BJ1309,0),2)</f>
        <v>0</v>
      </c>
      <c r="AB1309" s="28">
        <f>ROUND(IF(AQ1309="1",BH1309,0),2)</f>
        <v>0</v>
      </c>
      <c r="AC1309" s="28">
        <f>ROUND(IF(AQ1309="1",BI1309,0),2)</f>
        <v>0</v>
      </c>
      <c r="AD1309" s="28">
        <f>ROUND(IF(AQ1309="7",BH1309,0),2)</f>
        <v>0</v>
      </c>
      <c r="AE1309" s="28">
        <f>ROUND(IF(AQ1309="7",BI1309,0),2)</f>
        <v>0</v>
      </c>
      <c r="AF1309" s="28">
        <f>ROUND(IF(AQ1309="2",BH1309,0),2)</f>
        <v>0</v>
      </c>
      <c r="AG1309" s="28">
        <f>ROUND(IF(AQ1309="2",BI1309,0),2)</f>
        <v>0</v>
      </c>
      <c r="AH1309" s="28">
        <f>ROUND(IF(AQ1309="0",BJ1309,0),2)</f>
        <v>0</v>
      </c>
      <c r="AI1309" s="10" t="s">
        <v>2144</v>
      </c>
      <c r="AJ1309" s="28">
        <f>IF(AN1309=0,J1309,0)</f>
        <v>0</v>
      </c>
      <c r="AK1309" s="28">
        <f>IF(AN1309=12,J1309,0)</f>
        <v>0</v>
      </c>
      <c r="AL1309" s="28">
        <f>IF(AN1309=21,J1309,0)</f>
        <v>0</v>
      </c>
      <c r="AN1309" s="28">
        <v>21</v>
      </c>
      <c r="AO1309" s="28">
        <f>G1309*1</f>
        <v>0</v>
      </c>
      <c r="AP1309" s="28">
        <f>G1309*(1-1)</f>
        <v>0</v>
      </c>
      <c r="AQ1309" s="30" t="s">
        <v>1532</v>
      </c>
      <c r="AV1309" s="28">
        <f>ROUND(AW1309+AX1309,2)</f>
        <v>0</v>
      </c>
      <c r="AW1309" s="28">
        <f>ROUND(F1309*AO1309,2)</f>
        <v>0</v>
      </c>
      <c r="AX1309" s="28">
        <f>ROUND(F1309*AP1309,2)</f>
        <v>0</v>
      </c>
      <c r="AY1309" s="30" t="s">
        <v>1533</v>
      </c>
      <c r="AZ1309" s="30" t="s">
        <v>2313</v>
      </c>
      <c r="BA1309" s="10" t="s">
        <v>2149</v>
      </c>
      <c r="BC1309" s="28">
        <f>AW1309+AX1309</f>
        <v>0</v>
      </c>
      <c r="BD1309" s="28">
        <f>G1309/(100-BE1309)*100</f>
        <v>0</v>
      </c>
      <c r="BE1309" s="28">
        <v>0</v>
      </c>
      <c r="BF1309" s="28">
        <f>1320</f>
        <v>1320</v>
      </c>
      <c r="BH1309" s="28">
        <f>F1309*AO1309</f>
        <v>0</v>
      </c>
      <c r="BI1309" s="28">
        <f>F1309*AP1309</f>
        <v>0</v>
      </c>
      <c r="BJ1309" s="28">
        <f>F1309*G1309</f>
        <v>0</v>
      </c>
      <c r="BK1309" s="28"/>
      <c r="BL1309" s="28"/>
      <c r="BW1309" s="28">
        <v>21</v>
      </c>
      <c r="BX1309" s="4" t="s">
        <v>2345</v>
      </c>
    </row>
    <row r="1310" spans="1:76" x14ac:dyDescent="0.25">
      <c r="A1310" s="2" t="s">
        <v>2346</v>
      </c>
      <c r="B1310" s="3" t="s">
        <v>2347</v>
      </c>
      <c r="C1310" s="76" t="s">
        <v>2348</v>
      </c>
      <c r="D1310" s="71"/>
      <c r="E1310" s="3" t="s">
        <v>457</v>
      </c>
      <c r="F1310" s="28">
        <v>1</v>
      </c>
      <c r="G1310" s="28">
        <v>0</v>
      </c>
      <c r="H1310" s="28">
        <f>ROUND(F1310*AO1310,2)</f>
        <v>0</v>
      </c>
      <c r="I1310" s="28">
        <f>ROUND(F1310*AP1310,2)</f>
        <v>0</v>
      </c>
      <c r="J1310" s="28">
        <f>ROUND(F1310*G1310,2)</f>
        <v>0</v>
      </c>
      <c r="K1310" s="29" t="s">
        <v>424</v>
      </c>
      <c r="Z1310" s="28">
        <f>ROUND(IF(AQ1310="5",BJ1310,0),2)</f>
        <v>0</v>
      </c>
      <c r="AB1310" s="28">
        <f>ROUND(IF(AQ1310="1",BH1310,0),2)</f>
        <v>0</v>
      </c>
      <c r="AC1310" s="28">
        <f>ROUND(IF(AQ1310="1",BI1310,0),2)</f>
        <v>0</v>
      </c>
      <c r="AD1310" s="28">
        <f>ROUND(IF(AQ1310="7",BH1310,0),2)</f>
        <v>0</v>
      </c>
      <c r="AE1310" s="28">
        <f>ROUND(IF(AQ1310="7",BI1310,0),2)</f>
        <v>0</v>
      </c>
      <c r="AF1310" s="28">
        <f>ROUND(IF(AQ1310="2",BH1310,0),2)</f>
        <v>0</v>
      </c>
      <c r="AG1310" s="28">
        <f>ROUND(IF(AQ1310="2",BI1310,0),2)</f>
        <v>0</v>
      </c>
      <c r="AH1310" s="28">
        <f>ROUND(IF(AQ1310="0",BJ1310,0),2)</f>
        <v>0</v>
      </c>
      <c r="AI1310" s="10" t="s">
        <v>2144</v>
      </c>
      <c r="AJ1310" s="28">
        <f>IF(AN1310=0,J1310,0)</f>
        <v>0</v>
      </c>
      <c r="AK1310" s="28">
        <f>IF(AN1310=12,J1310,0)</f>
        <v>0</v>
      </c>
      <c r="AL1310" s="28">
        <f>IF(AN1310=21,J1310,0)</f>
        <v>0</v>
      </c>
      <c r="AN1310" s="28">
        <v>21</v>
      </c>
      <c r="AO1310" s="28">
        <f>G1310*1</f>
        <v>0</v>
      </c>
      <c r="AP1310" s="28">
        <f>G1310*(1-1)</f>
        <v>0</v>
      </c>
      <c r="AQ1310" s="30" t="s">
        <v>1532</v>
      </c>
      <c r="AV1310" s="28">
        <f>ROUND(AW1310+AX1310,2)</f>
        <v>0</v>
      </c>
      <c r="AW1310" s="28">
        <f>ROUND(F1310*AO1310,2)</f>
        <v>0</v>
      </c>
      <c r="AX1310" s="28">
        <f>ROUND(F1310*AP1310,2)</f>
        <v>0</v>
      </c>
      <c r="AY1310" s="30" t="s">
        <v>1533</v>
      </c>
      <c r="AZ1310" s="30" t="s">
        <v>2313</v>
      </c>
      <c r="BA1310" s="10" t="s">
        <v>2149</v>
      </c>
      <c r="BC1310" s="28">
        <f>AW1310+AX1310</f>
        <v>0</v>
      </c>
      <c r="BD1310" s="28">
        <f>G1310/(100-BE1310)*100</f>
        <v>0</v>
      </c>
      <c r="BE1310" s="28">
        <v>0</v>
      </c>
      <c r="BF1310" s="28">
        <f>1321</f>
        <v>1321</v>
      </c>
      <c r="BH1310" s="28">
        <f>F1310*AO1310</f>
        <v>0</v>
      </c>
      <c r="BI1310" s="28">
        <f>F1310*AP1310</f>
        <v>0</v>
      </c>
      <c r="BJ1310" s="28">
        <f>F1310*G1310</f>
        <v>0</v>
      </c>
      <c r="BK1310" s="28"/>
      <c r="BL1310" s="28"/>
      <c r="BW1310" s="28">
        <v>21</v>
      </c>
      <c r="BX1310" s="4" t="s">
        <v>2348</v>
      </c>
    </row>
    <row r="1311" spans="1:76" x14ac:dyDescent="0.25">
      <c r="A1311" s="2" t="s">
        <v>2349</v>
      </c>
      <c r="B1311" s="3" t="s">
        <v>2350</v>
      </c>
      <c r="C1311" s="76" t="s">
        <v>2351</v>
      </c>
      <c r="D1311" s="71"/>
      <c r="E1311" s="3" t="s">
        <v>457</v>
      </c>
      <c r="F1311" s="28">
        <v>2</v>
      </c>
      <c r="G1311" s="28">
        <v>0</v>
      </c>
      <c r="H1311" s="28">
        <f>ROUND(F1311*AO1311,2)</f>
        <v>0</v>
      </c>
      <c r="I1311" s="28">
        <f>ROUND(F1311*AP1311,2)</f>
        <v>0</v>
      </c>
      <c r="J1311" s="28">
        <f>ROUND(F1311*G1311,2)</f>
        <v>0</v>
      </c>
      <c r="K1311" s="29" t="s">
        <v>424</v>
      </c>
      <c r="Z1311" s="28">
        <f>ROUND(IF(AQ1311="5",BJ1311,0),2)</f>
        <v>0</v>
      </c>
      <c r="AB1311" s="28">
        <f>ROUND(IF(AQ1311="1",BH1311,0),2)</f>
        <v>0</v>
      </c>
      <c r="AC1311" s="28">
        <f>ROUND(IF(AQ1311="1",BI1311,0),2)</f>
        <v>0</v>
      </c>
      <c r="AD1311" s="28">
        <f>ROUND(IF(AQ1311="7",BH1311,0),2)</f>
        <v>0</v>
      </c>
      <c r="AE1311" s="28">
        <f>ROUND(IF(AQ1311="7",BI1311,0),2)</f>
        <v>0</v>
      </c>
      <c r="AF1311" s="28">
        <f>ROUND(IF(AQ1311="2",BH1311,0),2)</f>
        <v>0</v>
      </c>
      <c r="AG1311" s="28">
        <f>ROUND(IF(AQ1311="2",BI1311,0),2)</f>
        <v>0</v>
      </c>
      <c r="AH1311" s="28">
        <f>ROUND(IF(AQ1311="0",BJ1311,0),2)</f>
        <v>0</v>
      </c>
      <c r="AI1311" s="10" t="s">
        <v>2144</v>
      </c>
      <c r="AJ1311" s="28">
        <f>IF(AN1311=0,J1311,0)</f>
        <v>0</v>
      </c>
      <c r="AK1311" s="28">
        <f>IF(AN1311=12,J1311,0)</f>
        <v>0</v>
      </c>
      <c r="AL1311" s="28">
        <f>IF(AN1311=21,J1311,0)</f>
        <v>0</v>
      </c>
      <c r="AN1311" s="28">
        <v>21</v>
      </c>
      <c r="AO1311" s="28">
        <f>G1311*1</f>
        <v>0</v>
      </c>
      <c r="AP1311" s="28">
        <f>G1311*(1-1)</f>
        <v>0</v>
      </c>
      <c r="AQ1311" s="30" t="s">
        <v>1532</v>
      </c>
      <c r="AV1311" s="28">
        <f>ROUND(AW1311+AX1311,2)</f>
        <v>0</v>
      </c>
      <c r="AW1311" s="28">
        <f>ROUND(F1311*AO1311,2)</f>
        <v>0</v>
      </c>
      <c r="AX1311" s="28">
        <f>ROUND(F1311*AP1311,2)</f>
        <v>0</v>
      </c>
      <c r="AY1311" s="30" t="s">
        <v>1533</v>
      </c>
      <c r="AZ1311" s="30" t="s">
        <v>2313</v>
      </c>
      <c r="BA1311" s="10" t="s">
        <v>2149</v>
      </c>
      <c r="BC1311" s="28">
        <f>AW1311+AX1311</f>
        <v>0</v>
      </c>
      <c r="BD1311" s="28">
        <f>G1311/(100-BE1311)*100</f>
        <v>0</v>
      </c>
      <c r="BE1311" s="28">
        <v>0</v>
      </c>
      <c r="BF1311" s="28">
        <f>1322</f>
        <v>1322</v>
      </c>
      <c r="BH1311" s="28">
        <f>F1311*AO1311</f>
        <v>0</v>
      </c>
      <c r="BI1311" s="28">
        <f>F1311*AP1311</f>
        <v>0</v>
      </c>
      <c r="BJ1311" s="28">
        <f>F1311*G1311</f>
        <v>0</v>
      </c>
      <c r="BK1311" s="28"/>
      <c r="BL1311" s="28"/>
      <c r="BW1311" s="28">
        <v>21</v>
      </c>
      <c r="BX1311" s="4" t="s">
        <v>2351</v>
      </c>
    </row>
    <row r="1312" spans="1:76" x14ac:dyDescent="0.25">
      <c r="A1312" s="24" t="s">
        <v>51</v>
      </c>
      <c r="B1312" s="25" t="s">
        <v>51</v>
      </c>
      <c r="C1312" s="87" t="s">
        <v>2352</v>
      </c>
      <c r="D1312" s="88"/>
      <c r="E1312" s="26" t="s">
        <v>4</v>
      </c>
      <c r="F1312" s="26" t="s">
        <v>4</v>
      </c>
      <c r="G1312" s="26" t="s">
        <v>4</v>
      </c>
      <c r="H1312" s="1">
        <f>H1314+H1321+H1323+H1327</f>
        <v>0</v>
      </c>
      <c r="I1312" s="1">
        <f>I1314+I1321+I1323+I1327</f>
        <v>0</v>
      </c>
      <c r="J1312" s="1">
        <f>J1314+J1321+J1323+J1327</f>
        <v>0</v>
      </c>
      <c r="K1312" s="27" t="s">
        <v>51</v>
      </c>
    </row>
    <row r="1313" spans="1:76" x14ac:dyDescent="0.25">
      <c r="A1313" s="24" t="s">
        <v>51</v>
      </c>
      <c r="B1313" s="25" t="s">
        <v>2353</v>
      </c>
      <c r="C1313" s="87" t="s">
        <v>2354</v>
      </c>
      <c r="D1313" s="88"/>
      <c r="E1313" s="26" t="s">
        <v>4</v>
      </c>
      <c r="F1313" s="26" t="s">
        <v>4</v>
      </c>
      <c r="G1313" s="26" t="s">
        <v>4</v>
      </c>
      <c r="H1313" s="1">
        <f>H1314+H1321+H1323+H1327</f>
        <v>0</v>
      </c>
      <c r="I1313" s="1">
        <f>I1314+I1321+I1323+I1327</f>
        <v>0</v>
      </c>
      <c r="J1313" s="1">
        <f>J1314+J1321+J1323+J1327</f>
        <v>0</v>
      </c>
      <c r="K1313" s="27" t="s">
        <v>51</v>
      </c>
      <c r="AI1313" s="10" t="s">
        <v>2353</v>
      </c>
    </row>
    <row r="1314" spans="1:76" x14ac:dyDescent="0.25">
      <c r="A1314" s="24" t="s">
        <v>51</v>
      </c>
      <c r="B1314" s="25" t="s">
        <v>2355</v>
      </c>
      <c r="C1314" s="87" t="s">
        <v>2356</v>
      </c>
      <c r="D1314" s="88"/>
      <c r="E1314" s="26" t="s">
        <v>4</v>
      </c>
      <c r="F1314" s="26" t="s">
        <v>4</v>
      </c>
      <c r="G1314" s="26" t="s">
        <v>4</v>
      </c>
      <c r="H1314" s="1">
        <f>SUM(H1315:H1319)</f>
        <v>0</v>
      </c>
      <c r="I1314" s="1">
        <f>SUM(I1315:I1319)</f>
        <v>0</v>
      </c>
      <c r="J1314" s="1">
        <f>SUM(J1315:J1319)</f>
        <v>0</v>
      </c>
      <c r="K1314" s="27" t="s">
        <v>51</v>
      </c>
      <c r="AI1314" s="10" t="s">
        <v>2353</v>
      </c>
      <c r="AS1314" s="1">
        <f>SUM(AJ1315:AJ1319)</f>
        <v>0</v>
      </c>
      <c r="AT1314" s="1">
        <f>SUM(AK1315:AK1319)</f>
        <v>0</v>
      </c>
      <c r="AU1314" s="1">
        <f>SUM(AL1315:AL1319)</f>
        <v>0</v>
      </c>
    </row>
    <row r="1315" spans="1:76" x14ac:dyDescent="0.25">
      <c r="A1315" s="2" t="s">
        <v>2357</v>
      </c>
      <c r="B1315" s="3" t="s">
        <v>2358</v>
      </c>
      <c r="C1315" s="76" t="s">
        <v>2359</v>
      </c>
      <c r="D1315" s="71"/>
      <c r="E1315" s="3" t="s">
        <v>2360</v>
      </c>
      <c r="F1315" s="28">
        <v>1</v>
      </c>
      <c r="G1315" s="28">
        <v>0</v>
      </c>
      <c r="H1315" s="28">
        <f>ROUND(F1315*AO1315,2)</f>
        <v>0</v>
      </c>
      <c r="I1315" s="28">
        <f>ROUND(F1315*AP1315,2)</f>
        <v>0</v>
      </c>
      <c r="J1315" s="28">
        <f>ROUND(F1315*G1315,2)</f>
        <v>0</v>
      </c>
      <c r="K1315" s="29" t="s">
        <v>60</v>
      </c>
      <c r="Z1315" s="28">
        <f>ROUND(IF(AQ1315="5",BJ1315,0),2)</f>
        <v>0</v>
      </c>
      <c r="AB1315" s="28">
        <f>ROUND(IF(AQ1315="1",BH1315,0),2)</f>
        <v>0</v>
      </c>
      <c r="AC1315" s="28">
        <f>ROUND(IF(AQ1315="1",BI1315,0),2)</f>
        <v>0</v>
      </c>
      <c r="AD1315" s="28">
        <f>ROUND(IF(AQ1315="7",BH1315,0),2)</f>
        <v>0</v>
      </c>
      <c r="AE1315" s="28">
        <f>ROUND(IF(AQ1315="7",BI1315,0),2)</f>
        <v>0</v>
      </c>
      <c r="AF1315" s="28">
        <f>ROUND(IF(AQ1315="2",BH1315,0),2)</f>
        <v>0</v>
      </c>
      <c r="AG1315" s="28">
        <f>ROUND(IF(AQ1315="2",BI1315,0),2)</f>
        <v>0</v>
      </c>
      <c r="AH1315" s="28">
        <f>ROUND(IF(AQ1315="0",BJ1315,0),2)</f>
        <v>0</v>
      </c>
      <c r="AI1315" s="10" t="s">
        <v>2353</v>
      </c>
      <c r="AJ1315" s="28">
        <f>IF(AN1315=0,J1315,0)</f>
        <v>0</v>
      </c>
      <c r="AK1315" s="28">
        <f>IF(AN1315=12,J1315,0)</f>
        <v>0</v>
      </c>
      <c r="AL1315" s="28">
        <f>IF(AN1315=21,J1315,0)</f>
        <v>0</v>
      </c>
      <c r="AN1315" s="28">
        <v>21</v>
      </c>
      <c r="AO1315" s="28">
        <f>G1315*0</f>
        <v>0</v>
      </c>
      <c r="AP1315" s="28">
        <f>G1315*(1-0)</f>
        <v>0</v>
      </c>
      <c r="AQ1315" s="30" t="s">
        <v>613</v>
      </c>
      <c r="AV1315" s="28">
        <f>ROUND(AW1315+AX1315,2)</f>
        <v>0</v>
      </c>
      <c r="AW1315" s="28">
        <f>ROUND(F1315*AO1315,2)</f>
        <v>0</v>
      </c>
      <c r="AX1315" s="28">
        <f>ROUND(F1315*AP1315,2)</f>
        <v>0</v>
      </c>
      <c r="AY1315" s="30" t="s">
        <v>2361</v>
      </c>
      <c r="AZ1315" s="30" t="s">
        <v>2362</v>
      </c>
      <c r="BA1315" s="10" t="s">
        <v>2363</v>
      </c>
      <c r="BC1315" s="28">
        <f>AW1315+AX1315</f>
        <v>0</v>
      </c>
      <c r="BD1315" s="28">
        <f>G1315/(100-BE1315)*100</f>
        <v>0</v>
      </c>
      <c r="BE1315" s="28">
        <v>0</v>
      </c>
      <c r="BF1315" s="28">
        <f>1326</f>
        <v>1326</v>
      </c>
      <c r="BH1315" s="28">
        <f>F1315*AO1315</f>
        <v>0</v>
      </c>
      <c r="BI1315" s="28">
        <f>F1315*AP1315</f>
        <v>0</v>
      </c>
      <c r="BJ1315" s="28">
        <f>F1315*G1315</f>
        <v>0</v>
      </c>
      <c r="BK1315" s="28"/>
      <c r="BL1315" s="28"/>
      <c r="BM1315" s="28">
        <f>F1315*G1315</f>
        <v>0</v>
      </c>
      <c r="BW1315" s="28">
        <v>21</v>
      </c>
      <c r="BX1315" s="4" t="s">
        <v>2359</v>
      </c>
    </row>
    <row r="1316" spans="1:76" x14ac:dyDescent="0.25">
      <c r="A1316" s="2" t="s">
        <v>2364</v>
      </c>
      <c r="B1316" s="3" t="s">
        <v>2365</v>
      </c>
      <c r="C1316" s="76" t="s">
        <v>2366</v>
      </c>
      <c r="D1316" s="71"/>
      <c r="E1316" s="3" t="s">
        <v>2360</v>
      </c>
      <c r="F1316" s="28">
        <v>1</v>
      </c>
      <c r="G1316" s="28">
        <v>0</v>
      </c>
      <c r="H1316" s="28">
        <f>ROUND(F1316*AO1316,2)</f>
        <v>0</v>
      </c>
      <c r="I1316" s="28">
        <f>ROUND(F1316*AP1316,2)</f>
        <v>0</v>
      </c>
      <c r="J1316" s="28">
        <f>ROUND(F1316*G1316,2)</f>
        <v>0</v>
      </c>
      <c r="K1316" s="29" t="s">
        <v>60</v>
      </c>
      <c r="Z1316" s="28">
        <f>ROUND(IF(AQ1316="5",BJ1316,0),2)</f>
        <v>0</v>
      </c>
      <c r="AB1316" s="28">
        <f>ROUND(IF(AQ1316="1",BH1316,0),2)</f>
        <v>0</v>
      </c>
      <c r="AC1316" s="28">
        <f>ROUND(IF(AQ1316="1",BI1316,0),2)</f>
        <v>0</v>
      </c>
      <c r="AD1316" s="28">
        <f>ROUND(IF(AQ1316="7",BH1316,0),2)</f>
        <v>0</v>
      </c>
      <c r="AE1316" s="28">
        <f>ROUND(IF(AQ1316="7",BI1316,0),2)</f>
        <v>0</v>
      </c>
      <c r="AF1316" s="28">
        <f>ROUND(IF(AQ1316="2",BH1316,0),2)</f>
        <v>0</v>
      </c>
      <c r="AG1316" s="28">
        <f>ROUND(IF(AQ1316="2",BI1316,0),2)</f>
        <v>0</v>
      </c>
      <c r="AH1316" s="28">
        <f>ROUND(IF(AQ1316="0",BJ1316,0),2)</f>
        <v>0</v>
      </c>
      <c r="AI1316" s="10" t="s">
        <v>2353</v>
      </c>
      <c r="AJ1316" s="28">
        <f>IF(AN1316=0,J1316,0)</f>
        <v>0</v>
      </c>
      <c r="AK1316" s="28">
        <f>IF(AN1316=12,J1316,0)</f>
        <v>0</v>
      </c>
      <c r="AL1316" s="28">
        <f>IF(AN1316=21,J1316,0)</f>
        <v>0</v>
      </c>
      <c r="AN1316" s="28">
        <v>21</v>
      </c>
      <c r="AO1316" s="28">
        <f>G1316*0</f>
        <v>0</v>
      </c>
      <c r="AP1316" s="28">
        <f>G1316*(1-0)</f>
        <v>0</v>
      </c>
      <c r="AQ1316" s="30" t="s">
        <v>613</v>
      </c>
      <c r="AV1316" s="28">
        <f>ROUND(AW1316+AX1316,2)</f>
        <v>0</v>
      </c>
      <c r="AW1316" s="28">
        <f>ROUND(F1316*AO1316,2)</f>
        <v>0</v>
      </c>
      <c r="AX1316" s="28">
        <f>ROUND(F1316*AP1316,2)</f>
        <v>0</v>
      </c>
      <c r="AY1316" s="30" t="s">
        <v>2361</v>
      </c>
      <c r="AZ1316" s="30" t="s">
        <v>2362</v>
      </c>
      <c r="BA1316" s="10" t="s">
        <v>2363</v>
      </c>
      <c r="BC1316" s="28">
        <f>AW1316+AX1316</f>
        <v>0</v>
      </c>
      <c r="BD1316" s="28">
        <f>G1316/(100-BE1316)*100</f>
        <v>0</v>
      </c>
      <c r="BE1316" s="28">
        <v>0</v>
      </c>
      <c r="BF1316" s="28">
        <f>1327</f>
        <v>1327</v>
      </c>
      <c r="BH1316" s="28">
        <f>F1316*AO1316</f>
        <v>0</v>
      </c>
      <c r="BI1316" s="28">
        <f>F1316*AP1316</f>
        <v>0</v>
      </c>
      <c r="BJ1316" s="28">
        <f>F1316*G1316</f>
        <v>0</v>
      </c>
      <c r="BK1316" s="28"/>
      <c r="BL1316" s="28"/>
      <c r="BM1316" s="28">
        <f>F1316*G1316</f>
        <v>0</v>
      </c>
      <c r="BW1316" s="28">
        <v>21</v>
      </c>
      <c r="BX1316" s="4" t="s">
        <v>2366</v>
      </c>
    </row>
    <row r="1317" spans="1:76" x14ac:dyDescent="0.25">
      <c r="A1317" s="2" t="s">
        <v>2367</v>
      </c>
      <c r="B1317" s="3" t="s">
        <v>2365</v>
      </c>
      <c r="C1317" s="76" t="s">
        <v>2368</v>
      </c>
      <c r="D1317" s="71"/>
      <c r="E1317" s="3" t="s">
        <v>2360</v>
      </c>
      <c r="F1317" s="28">
        <v>1</v>
      </c>
      <c r="G1317" s="28">
        <v>0</v>
      </c>
      <c r="H1317" s="28">
        <f>ROUND(F1317*AO1317,2)</f>
        <v>0</v>
      </c>
      <c r="I1317" s="28">
        <f>ROUND(F1317*AP1317,2)</f>
        <v>0</v>
      </c>
      <c r="J1317" s="28">
        <f>ROUND(F1317*G1317,2)</f>
        <v>0</v>
      </c>
      <c r="K1317" s="29" t="s">
        <v>60</v>
      </c>
      <c r="Z1317" s="28">
        <f>ROUND(IF(AQ1317="5",BJ1317,0),2)</f>
        <v>0</v>
      </c>
      <c r="AB1317" s="28">
        <f>ROUND(IF(AQ1317="1",BH1317,0),2)</f>
        <v>0</v>
      </c>
      <c r="AC1317" s="28">
        <f>ROUND(IF(AQ1317="1",BI1317,0),2)</f>
        <v>0</v>
      </c>
      <c r="AD1317" s="28">
        <f>ROUND(IF(AQ1317="7",BH1317,0),2)</f>
        <v>0</v>
      </c>
      <c r="AE1317" s="28">
        <f>ROUND(IF(AQ1317="7",BI1317,0),2)</f>
        <v>0</v>
      </c>
      <c r="AF1317" s="28">
        <f>ROUND(IF(AQ1317="2",BH1317,0),2)</f>
        <v>0</v>
      </c>
      <c r="AG1317" s="28">
        <f>ROUND(IF(AQ1317="2",BI1317,0),2)</f>
        <v>0</v>
      </c>
      <c r="AH1317" s="28">
        <f>ROUND(IF(AQ1317="0",BJ1317,0),2)</f>
        <v>0</v>
      </c>
      <c r="AI1317" s="10" t="s">
        <v>2353</v>
      </c>
      <c r="AJ1317" s="28">
        <f>IF(AN1317=0,J1317,0)</f>
        <v>0</v>
      </c>
      <c r="AK1317" s="28">
        <f>IF(AN1317=12,J1317,0)</f>
        <v>0</v>
      </c>
      <c r="AL1317" s="28">
        <f>IF(AN1317=21,J1317,0)</f>
        <v>0</v>
      </c>
      <c r="AN1317" s="28">
        <v>21</v>
      </c>
      <c r="AO1317" s="28">
        <f>G1317*0</f>
        <v>0</v>
      </c>
      <c r="AP1317" s="28">
        <f>G1317*(1-0)</f>
        <v>0</v>
      </c>
      <c r="AQ1317" s="30" t="s">
        <v>613</v>
      </c>
      <c r="AV1317" s="28">
        <f>ROUND(AW1317+AX1317,2)</f>
        <v>0</v>
      </c>
      <c r="AW1317" s="28">
        <f>ROUND(F1317*AO1317,2)</f>
        <v>0</v>
      </c>
      <c r="AX1317" s="28">
        <f>ROUND(F1317*AP1317,2)</f>
        <v>0</v>
      </c>
      <c r="AY1317" s="30" t="s">
        <v>2361</v>
      </c>
      <c r="AZ1317" s="30" t="s">
        <v>2362</v>
      </c>
      <c r="BA1317" s="10" t="s">
        <v>2363</v>
      </c>
      <c r="BC1317" s="28">
        <f>AW1317+AX1317</f>
        <v>0</v>
      </c>
      <c r="BD1317" s="28">
        <f>G1317/(100-BE1317)*100</f>
        <v>0</v>
      </c>
      <c r="BE1317" s="28">
        <v>0</v>
      </c>
      <c r="BF1317" s="28">
        <f>1328</f>
        <v>1328</v>
      </c>
      <c r="BH1317" s="28">
        <f>F1317*AO1317</f>
        <v>0</v>
      </c>
      <c r="BI1317" s="28">
        <f>F1317*AP1317</f>
        <v>0</v>
      </c>
      <c r="BJ1317" s="28">
        <f>F1317*G1317</f>
        <v>0</v>
      </c>
      <c r="BK1317" s="28"/>
      <c r="BL1317" s="28"/>
      <c r="BM1317" s="28">
        <f>F1317*G1317</f>
        <v>0</v>
      </c>
      <c r="BW1317" s="28">
        <v>21</v>
      </c>
      <c r="BX1317" s="4" t="s">
        <v>2368</v>
      </c>
    </row>
    <row r="1318" spans="1:76" x14ac:dyDescent="0.25">
      <c r="A1318" s="2" t="s">
        <v>2369</v>
      </c>
      <c r="B1318" s="3" t="s">
        <v>2365</v>
      </c>
      <c r="C1318" s="76" t="s">
        <v>2370</v>
      </c>
      <c r="D1318" s="71"/>
      <c r="E1318" s="3" t="s">
        <v>2360</v>
      </c>
      <c r="F1318" s="28">
        <v>1</v>
      </c>
      <c r="G1318" s="28">
        <v>0</v>
      </c>
      <c r="H1318" s="28">
        <f>ROUND(F1318*AO1318,2)</f>
        <v>0</v>
      </c>
      <c r="I1318" s="28">
        <f>ROUND(F1318*AP1318,2)</f>
        <v>0</v>
      </c>
      <c r="J1318" s="28">
        <f>ROUND(F1318*G1318,2)</f>
        <v>0</v>
      </c>
      <c r="K1318" s="29" t="s">
        <v>60</v>
      </c>
      <c r="Z1318" s="28">
        <f>ROUND(IF(AQ1318="5",BJ1318,0),2)</f>
        <v>0</v>
      </c>
      <c r="AB1318" s="28">
        <f>ROUND(IF(AQ1318="1",BH1318,0),2)</f>
        <v>0</v>
      </c>
      <c r="AC1318" s="28">
        <f>ROUND(IF(AQ1318="1",BI1318,0),2)</f>
        <v>0</v>
      </c>
      <c r="AD1318" s="28">
        <f>ROUND(IF(AQ1318="7",BH1318,0),2)</f>
        <v>0</v>
      </c>
      <c r="AE1318" s="28">
        <f>ROUND(IF(AQ1318="7",BI1318,0),2)</f>
        <v>0</v>
      </c>
      <c r="AF1318" s="28">
        <f>ROUND(IF(AQ1318="2",BH1318,0),2)</f>
        <v>0</v>
      </c>
      <c r="AG1318" s="28">
        <f>ROUND(IF(AQ1318="2",BI1318,0),2)</f>
        <v>0</v>
      </c>
      <c r="AH1318" s="28">
        <f>ROUND(IF(AQ1318="0",BJ1318,0),2)</f>
        <v>0</v>
      </c>
      <c r="AI1318" s="10" t="s">
        <v>2353</v>
      </c>
      <c r="AJ1318" s="28">
        <f>IF(AN1318=0,J1318,0)</f>
        <v>0</v>
      </c>
      <c r="AK1318" s="28">
        <f>IF(AN1318=12,J1318,0)</f>
        <v>0</v>
      </c>
      <c r="AL1318" s="28">
        <f>IF(AN1318=21,J1318,0)</f>
        <v>0</v>
      </c>
      <c r="AN1318" s="28">
        <v>21</v>
      </c>
      <c r="AO1318" s="28">
        <f>G1318*0</f>
        <v>0</v>
      </c>
      <c r="AP1318" s="28">
        <f>G1318*(1-0)</f>
        <v>0</v>
      </c>
      <c r="AQ1318" s="30" t="s">
        <v>613</v>
      </c>
      <c r="AV1318" s="28">
        <f>ROUND(AW1318+AX1318,2)</f>
        <v>0</v>
      </c>
      <c r="AW1318" s="28">
        <f>ROUND(F1318*AO1318,2)</f>
        <v>0</v>
      </c>
      <c r="AX1318" s="28">
        <f>ROUND(F1318*AP1318,2)</f>
        <v>0</v>
      </c>
      <c r="AY1318" s="30" t="s">
        <v>2361</v>
      </c>
      <c r="AZ1318" s="30" t="s">
        <v>2362</v>
      </c>
      <c r="BA1318" s="10" t="s">
        <v>2363</v>
      </c>
      <c r="BC1318" s="28">
        <f>AW1318+AX1318</f>
        <v>0</v>
      </c>
      <c r="BD1318" s="28">
        <f>G1318/(100-BE1318)*100</f>
        <v>0</v>
      </c>
      <c r="BE1318" s="28">
        <v>0</v>
      </c>
      <c r="BF1318" s="28">
        <f>1329</f>
        <v>1329</v>
      </c>
      <c r="BH1318" s="28">
        <f>F1318*AO1318</f>
        <v>0</v>
      </c>
      <c r="BI1318" s="28">
        <f>F1318*AP1318</f>
        <v>0</v>
      </c>
      <c r="BJ1318" s="28">
        <f>F1318*G1318</f>
        <v>0</v>
      </c>
      <c r="BK1318" s="28"/>
      <c r="BL1318" s="28"/>
      <c r="BM1318" s="28">
        <f>F1318*G1318</f>
        <v>0</v>
      </c>
      <c r="BW1318" s="28">
        <v>21</v>
      </c>
      <c r="BX1318" s="4" t="s">
        <v>2370</v>
      </c>
    </row>
    <row r="1319" spans="1:76" x14ac:dyDescent="0.25">
      <c r="A1319" s="2" t="s">
        <v>2371</v>
      </c>
      <c r="B1319" s="3" t="s">
        <v>2358</v>
      </c>
      <c r="C1319" s="76" t="s">
        <v>2372</v>
      </c>
      <c r="D1319" s="71"/>
      <c r="E1319" s="3" t="s">
        <v>2360</v>
      </c>
      <c r="F1319" s="28">
        <v>1</v>
      </c>
      <c r="G1319" s="28">
        <v>0</v>
      </c>
      <c r="H1319" s="28">
        <f>ROUND(F1319*AO1319,2)</f>
        <v>0</v>
      </c>
      <c r="I1319" s="28">
        <f>ROUND(F1319*AP1319,2)</f>
        <v>0</v>
      </c>
      <c r="J1319" s="28">
        <f>ROUND(F1319*G1319,2)</f>
        <v>0</v>
      </c>
      <c r="K1319" s="29" t="s">
        <v>60</v>
      </c>
      <c r="Z1319" s="28">
        <f>ROUND(IF(AQ1319="5",BJ1319,0),2)</f>
        <v>0</v>
      </c>
      <c r="AB1319" s="28">
        <f>ROUND(IF(AQ1319="1",BH1319,0),2)</f>
        <v>0</v>
      </c>
      <c r="AC1319" s="28">
        <f>ROUND(IF(AQ1319="1",BI1319,0),2)</f>
        <v>0</v>
      </c>
      <c r="AD1319" s="28">
        <f>ROUND(IF(AQ1319="7",BH1319,0),2)</f>
        <v>0</v>
      </c>
      <c r="AE1319" s="28">
        <f>ROUND(IF(AQ1319="7",BI1319,0),2)</f>
        <v>0</v>
      </c>
      <c r="AF1319" s="28">
        <f>ROUND(IF(AQ1319="2",BH1319,0),2)</f>
        <v>0</v>
      </c>
      <c r="AG1319" s="28">
        <f>ROUND(IF(AQ1319="2",BI1319,0),2)</f>
        <v>0</v>
      </c>
      <c r="AH1319" s="28">
        <f>ROUND(IF(AQ1319="0",BJ1319,0),2)</f>
        <v>0</v>
      </c>
      <c r="AI1319" s="10" t="s">
        <v>2353</v>
      </c>
      <c r="AJ1319" s="28">
        <f>IF(AN1319=0,J1319,0)</f>
        <v>0</v>
      </c>
      <c r="AK1319" s="28">
        <f>IF(AN1319=12,J1319,0)</f>
        <v>0</v>
      </c>
      <c r="AL1319" s="28">
        <f>IF(AN1319=21,J1319,0)</f>
        <v>0</v>
      </c>
      <c r="AN1319" s="28">
        <v>21</v>
      </c>
      <c r="AO1319" s="28">
        <f>G1319*0</f>
        <v>0</v>
      </c>
      <c r="AP1319" s="28">
        <f>G1319*(1-0)</f>
        <v>0</v>
      </c>
      <c r="AQ1319" s="30" t="s">
        <v>613</v>
      </c>
      <c r="AV1319" s="28">
        <f>ROUND(AW1319+AX1319,2)</f>
        <v>0</v>
      </c>
      <c r="AW1319" s="28">
        <f>ROUND(F1319*AO1319,2)</f>
        <v>0</v>
      </c>
      <c r="AX1319" s="28">
        <f>ROUND(F1319*AP1319,2)</f>
        <v>0</v>
      </c>
      <c r="AY1319" s="30" t="s">
        <v>2361</v>
      </c>
      <c r="AZ1319" s="30" t="s">
        <v>2362</v>
      </c>
      <c r="BA1319" s="10" t="s">
        <v>2363</v>
      </c>
      <c r="BC1319" s="28">
        <f>AW1319+AX1319</f>
        <v>0</v>
      </c>
      <c r="BD1319" s="28">
        <f>G1319/(100-BE1319)*100</f>
        <v>0</v>
      </c>
      <c r="BE1319" s="28">
        <v>0</v>
      </c>
      <c r="BF1319" s="28">
        <f>1330</f>
        <v>1330</v>
      </c>
      <c r="BH1319" s="28">
        <f>F1319*AO1319</f>
        <v>0</v>
      </c>
      <c r="BI1319" s="28">
        <f>F1319*AP1319</f>
        <v>0</v>
      </c>
      <c r="BJ1319" s="28">
        <f>F1319*G1319</f>
        <v>0</v>
      </c>
      <c r="BK1319" s="28"/>
      <c r="BL1319" s="28"/>
      <c r="BM1319" s="28">
        <f>F1319*G1319</f>
        <v>0</v>
      </c>
      <c r="BW1319" s="28">
        <v>21</v>
      </c>
      <c r="BX1319" s="4" t="s">
        <v>2372</v>
      </c>
    </row>
    <row r="1320" spans="1:76" ht="52.9" customHeight="1" x14ac:dyDescent="0.25">
      <c r="A1320" s="31"/>
      <c r="B1320" s="35" t="s">
        <v>105</v>
      </c>
      <c r="C1320" s="97" t="s">
        <v>2373</v>
      </c>
      <c r="D1320" s="98"/>
      <c r="E1320" s="98"/>
      <c r="F1320" s="98"/>
      <c r="G1320" s="98"/>
      <c r="H1320" s="98"/>
      <c r="I1320" s="98"/>
      <c r="J1320" s="98"/>
      <c r="K1320" s="99"/>
    </row>
    <row r="1321" spans="1:76" x14ac:dyDescent="0.25">
      <c r="A1321" s="24" t="s">
        <v>51</v>
      </c>
      <c r="B1321" s="25" t="s">
        <v>2374</v>
      </c>
      <c r="C1321" s="87" t="s">
        <v>2375</v>
      </c>
      <c r="D1321" s="88"/>
      <c r="E1321" s="26" t="s">
        <v>4</v>
      </c>
      <c r="F1321" s="26" t="s">
        <v>4</v>
      </c>
      <c r="G1321" s="26" t="s">
        <v>4</v>
      </c>
      <c r="H1321" s="1">
        <f>SUM(H1322:H1322)</f>
        <v>0</v>
      </c>
      <c r="I1321" s="1">
        <f>SUM(I1322:I1322)</f>
        <v>0</v>
      </c>
      <c r="J1321" s="1">
        <f>SUM(J1322:J1322)</f>
        <v>0</v>
      </c>
      <c r="K1321" s="27" t="s">
        <v>51</v>
      </c>
      <c r="AI1321" s="10" t="s">
        <v>2353</v>
      </c>
      <c r="AS1321" s="1">
        <f>SUM(AJ1322:AJ1322)</f>
        <v>0</v>
      </c>
      <c r="AT1321" s="1">
        <f>SUM(AK1322:AK1322)</f>
        <v>0</v>
      </c>
      <c r="AU1321" s="1">
        <f>SUM(AL1322:AL1322)</f>
        <v>0</v>
      </c>
    </row>
    <row r="1322" spans="1:76" x14ac:dyDescent="0.25">
      <c r="A1322" s="2" t="s">
        <v>2376</v>
      </c>
      <c r="B1322" s="3" t="s">
        <v>2377</v>
      </c>
      <c r="C1322" s="76" t="s">
        <v>2378</v>
      </c>
      <c r="D1322" s="71"/>
      <c r="E1322" s="3" t="s">
        <v>2360</v>
      </c>
      <c r="F1322" s="28">
        <v>1</v>
      </c>
      <c r="G1322" s="28">
        <v>0</v>
      </c>
      <c r="H1322" s="28">
        <f>ROUND(F1322*AO1322,2)</f>
        <v>0</v>
      </c>
      <c r="I1322" s="28">
        <f>ROUND(F1322*AP1322,2)</f>
        <v>0</v>
      </c>
      <c r="J1322" s="28">
        <f>ROUND(F1322*G1322,2)</f>
        <v>0</v>
      </c>
      <c r="K1322" s="29" t="s">
        <v>60</v>
      </c>
      <c r="Z1322" s="28">
        <f>ROUND(IF(AQ1322="5",BJ1322,0),2)</f>
        <v>0</v>
      </c>
      <c r="AB1322" s="28">
        <f>ROUND(IF(AQ1322="1",BH1322,0),2)</f>
        <v>0</v>
      </c>
      <c r="AC1322" s="28">
        <f>ROUND(IF(AQ1322="1",BI1322,0),2)</f>
        <v>0</v>
      </c>
      <c r="AD1322" s="28">
        <f>ROUND(IF(AQ1322="7",BH1322,0),2)</f>
        <v>0</v>
      </c>
      <c r="AE1322" s="28">
        <f>ROUND(IF(AQ1322="7",BI1322,0),2)</f>
        <v>0</v>
      </c>
      <c r="AF1322" s="28">
        <f>ROUND(IF(AQ1322="2",BH1322,0),2)</f>
        <v>0</v>
      </c>
      <c r="AG1322" s="28">
        <f>ROUND(IF(AQ1322="2",BI1322,0),2)</f>
        <v>0</v>
      </c>
      <c r="AH1322" s="28">
        <f>ROUND(IF(AQ1322="0",BJ1322,0),2)</f>
        <v>0</v>
      </c>
      <c r="AI1322" s="10" t="s">
        <v>2353</v>
      </c>
      <c r="AJ1322" s="28">
        <f>IF(AN1322=0,J1322,0)</f>
        <v>0</v>
      </c>
      <c r="AK1322" s="28">
        <f>IF(AN1322=12,J1322,0)</f>
        <v>0</v>
      </c>
      <c r="AL1322" s="28">
        <f>IF(AN1322=21,J1322,0)</f>
        <v>0</v>
      </c>
      <c r="AN1322" s="28">
        <v>21</v>
      </c>
      <c r="AO1322" s="28">
        <f>G1322*0</f>
        <v>0</v>
      </c>
      <c r="AP1322" s="28">
        <f>G1322*(1-0)</f>
        <v>0</v>
      </c>
      <c r="AQ1322" s="30" t="s">
        <v>613</v>
      </c>
      <c r="AV1322" s="28">
        <f>ROUND(AW1322+AX1322,2)</f>
        <v>0</v>
      </c>
      <c r="AW1322" s="28">
        <f>ROUND(F1322*AO1322,2)</f>
        <v>0</v>
      </c>
      <c r="AX1322" s="28">
        <f>ROUND(F1322*AP1322,2)</f>
        <v>0</v>
      </c>
      <c r="AY1322" s="30" t="s">
        <v>2379</v>
      </c>
      <c r="AZ1322" s="30" t="s">
        <v>2362</v>
      </c>
      <c r="BA1322" s="10" t="s">
        <v>2363</v>
      </c>
      <c r="BC1322" s="28">
        <f>AW1322+AX1322</f>
        <v>0</v>
      </c>
      <c r="BD1322" s="28">
        <f>G1322/(100-BE1322)*100</f>
        <v>0</v>
      </c>
      <c r="BE1322" s="28">
        <v>0</v>
      </c>
      <c r="BF1322" s="28">
        <f>1333</f>
        <v>1333</v>
      </c>
      <c r="BH1322" s="28">
        <f>F1322*AO1322</f>
        <v>0</v>
      </c>
      <c r="BI1322" s="28">
        <f>F1322*AP1322</f>
        <v>0</v>
      </c>
      <c r="BJ1322" s="28">
        <f>F1322*G1322</f>
        <v>0</v>
      </c>
      <c r="BK1322" s="28"/>
      <c r="BL1322" s="28"/>
      <c r="BO1322" s="28">
        <f>F1322*G1322</f>
        <v>0</v>
      </c>
      <c r="BW1322" s="28">
        <v>21</v>
      </c>
      <c r="BX1322" s="4" t="s">
        <v>2378</v>
      </c>
    </row>
    <row r="1323" spans="1:76" x14ac:dyDescent="0.25">
      <c r="A1323" s="24" t="s">
        <v>51</v>
      </c>
      <c r="B1323" s="25" t="s">
        <v>2380</v>
      </c>
      <c r="C1323" s="87" t="s">
        <v>2381</v>
      </c>
      <c r="D1323" s="88"/>
      <c r="E1323" s="26" t="s">
        <v>4</v>
      </c>
      <c r="F1323" s="26" t="s">
        <v>4</v>
      </c>
      <c r="G1323" s="26" t="s">
        <v>4</v>
      </c>
      <c r="H1323" s="1">
        <f>SUM(H1324:H1326)</f>
        <v>0</v>
      </c>
      <c r="I1323" s="1">
        <f>SUM(I1324:I1326)</f>
        <v>0</v>
      </c>
      <c r="J1323" s="1">
        <f>SUM(J1324:J1326)</f>
        <v>0</v>
      </c>
      <c r="K1323" s="27" t="s">
        <v>51</v>
      </c>
      <c r="AI1323" s="10" t="s">
        <v>2353</v>
      </c>
      <c r="AS1323" s="1">
        <f>SUM(AJ1324:AJ1326)</f>
        <v>0</v>
      </c>
      <c r="AT1323" s="1">
        <f>SUM(AK1324:AK1326)</f>
        <v>0</v>
      </c>
      <c r="AU1323" s="1">
        <f>SUM(AL1324:AL1326)</f>
        <v>0</v>
      </c>
    </row>
    <row r="1324" spans="1:76" x14ac:dyDescent="0.25">
      <c r="A1324" s="2" t="s">
        <v>2382</v>
      </c>
      <c r="B1324" s="3" t="s">
        <v>2383</v>
      </c>
      <c r="C1324" s="76" t="s">
        <v>2384</v>
      </c>
      <c r="D1324" s="71"/>
      <c r="E1324" s="3" t="s">
        <v>2360</v>
      </c>
      <c r="F1324" s="28">
        <v>6</v>
      </c>
      <c r="G1324" s="28">
        <v>0</v>
      </c>
      <c r="H1324" s="28">
        <f>ROUND(F1324*AO1324,2)</f>
        <v>0</v>
      </c>
      <c r="I1324" s="28">
        <f>ROUND(F1324*AP1324,2)</f>
        <v>0</v>
      </c>
      <c r="J1324" s="28">
        <f>ROUND(F1324*G1324,2)</f>
        <v>0</v>
      </c>
      <c r="K1324" s="29" t="s">
        <v>60</v>
      </c>
      <c r="Z1324" s="28">
        <f>ROUND(IF(AQ1324="5",BJ1324,0),2)</f>
        <v>0</v>
      </c>
      <c r="AB1324" s="28">
        <f>ROUND(IF(AQ1324="1",BH1324,0),2)</f>
        <v>0</v>
      </c>
      <c r="AC1324" s="28">
        <f>ROUND(IF(AQ1324="1",BI1324,0),2)</f>
        <v>0</v>
      </c>
      <c r="AD1324" s="28">
        <f>ROUND(IF(AQ1324="7",BH1324,0),2)</f>
        <v>0</v>
      </c>
      <c r="AE1324" s="28">
        <f>ROUND(IF(AQ1324="7",BI1324,0),2)</f>
        <v>0</v>
      </c>
      <c r="AF1324" s="28">
        <f>ROUND(IF(AQ1324="2",BH1324,0),2)</f>
        <v>0</v>
      </c>
      <c r="AG1324" s="28">
        <f>ROUND(IF(AQ1324="2",BI1324,0),2)</f>
        <v>0</v>
      </c>
      <c r="AH1324" s="28">
        <f>ROUND(IF(AQ1324="0",BJ1324,0),2)</f>
        <v>0</v>
      </c>
      <c r="AI1324" s="10" t="s">
        <v>2353</v>
      </c>
      <c r="AJ1324" s="28">
        <f>IF(AN1324=0,J1324,0)</f>
        <v>0</v>
      </c>
      <c r="AK1324" s="28">
        <f>IF(AN1324=12,J1324,0)</f>
        <v>0</v>
      </c>
      <c r="AL1324" s="28">
        <f>IF(AN1324=21,J1324,0)</f>
        <v>0</v>
      </c>
      <c r="AN1324" s="28">
        <v>21</v>
      </c>
      <c r="AO1324" s="28">
        <f>G1324*0</f>
        <v>0</v>
      </c>
      <c r="AP1324" s="28">
        <f>G1324*(1-0)</f>
        <v>0</v>
      </c>
      <c r="AQ1324" s="30" t="s">
        <v>613</v>
      </c>
      <c r="AV1324" s="28">
        <f>ROUND(AW1324+AX1324,2)</f>
        <v>0</v>
      </c>
      <c r="AW1324" s="28">
        <f>ROUND(F1324*AO1324,2)</f>
        <v>0</v>
      </c>
      <c r="AX1324" s="28">
        <f>ROUND(F1324*AP1324,2)</f>
        <v>0</v>
      </c>
      <c r="AY1324" s="30" t="s">
        <v>2385</v>
      </c>
      <c r="AZ1324" s="30" t="s">
        <v>2362</v>
      </c>
      <c r="BA1324" s="10" t="s">
        <v>2363</v>
      </c>
      <c r="BC1324" s="28">
        <f>AW1324+AX1324</f>
        <v>0</v>
      </c>
      <c r="BD1324" s="28">
        <f>G1324/(100-BE1324)*100</f>
        <v>0</v>
      </c>
      <c r="BE1324" s="28">
        <v>0</v>
      </c>
      <c r="BF1324" s="28">
        <f>1335</f>
        <v>1335</v>
      </c>
      <c r="BH1324" s="28">
        <f>F1324*AO1324</f>
        <v>0</v>
      </c>
      <c r="BI1324" s="28">
        <f>F1324*AP1324</f>
        <v>0</v>
      </c>
      <c r="BJ1324" s="28">
        <f>F1324*G1324</f>
        <v>0</v>
      </c>
      <c r="BK1324" s="28"/>
      <c r="BL1324" s="28"/>
      <c r="BP1324" s="28">
        <f>F1324*G1324</f>
        <v>0</v>
      </c>
      <c r="BW1324" s="28">
        <v>21</v>
      </c>
      <c r="BX1324" s="4" t="s">
        <v>2384</v>
      </c>
    </row>
    <row r="1325" spans="1:76" ht="27" customHeight="1" x14ac:dyDescent="0.25">
      <c r="A1325" s="31"/>
      <c r="B1325" s="35" t="s">
        <v>105</v>
      </c>
      <c r="C1325" s="97" t="s">
        <v>2386</v>
      </c>
      <c r="D1325" s="98"/>
      <c r="E1325" s="98"/>
      <c r="F1325" s="98"/>
      <c r="G1325" s="98"/>
      <c r="H1325" s="98"/>
      <c r="I1325" s="98"/>
      <c r="J1325" s="98"/>
      <c r="K1325" s="99"/>
    </row>
    <row r="1326" spans="1:76" x14ac:dyDescent="0.25">
      <c r="A1326" s="2" t="s">
        <v>2387</v>
      </c>
      <c r="B1326" s="3" t="s">
        <v>2383</v>
      </c>
      <c r="C1326" s="76" t="s">
        <v>2388</v>
      </c>
      <c r="D1326" s="71"/>
      <c r="E1326" s="3" t="s">
        <v>2360</v>
      </c>
      <c r="F1326" s="28">
        <v>1</v>
      </c>
      <c r="G1326" s="28">
        <v>0</v>
      </c>
      <c r="H1326" s="28">
        <f>ROUND(F1326*AO1326,2)</f>
        <v>0</v>
      </c>
      <c r="I1326" s="28">
        <f>ROUND(F1326*AP1326,2)</f>
        <v>0</v>
      </c>
      <c r="J1326" s="28">
        <f>ROUND(F1326*G1326,2)</f>
        <v>0</v>
      </c>
      <c r="K1326" s="29" t="s">
        <v>60</v>
      </c>
      <c r="Z1326" s="28">
        <f>ROUND(IF(AQ1326="5",BJ1326,0),2)</f>
        <v>0</v>
      </c>
      <c r="AB1326" s="28">
        <f>ROUND(IF(AQ1326="1",BH1326,0),2)</f>
        <v>0</v>
      </c>
      <c r="AC1326" s="28">
        <f>ROUND(IF(AQ1326="1",BI1326,0),2)</f>
        <v>0</v>
      </c>
      <c r="AD1326" s="28">
        <f>ROUND(IF(AQ1326="7",BH1326,0),2)</f>
        <v>0</v>
      </c>
      <c r="AE1326" s="28">
        <f>ROUND(IF(AQ1326="7",BI1326,0),2)</f>
        <v>0</v>
      </c>
      <c r="AF1326" s="28">
        <f>ROUND(IF(AQ1326="2",BH1326,0),2)</f>
        <v>0</v>
      </c>
      <c r="AG1326" s="28">
        <f>ROUND(IF(AQ1326="2",BI1326,0),2)</f>
        <v>0</v>
      </c>
      <c r="AH1326" s="28">
        <f>ROUND(IF(AQ1326="0",BJ1326,0),2)</f>
        <v>0</v>
      </c>
      <c r="AI1326" s="10" t="s">
        <v>2353</v>
      </c>
      <c r="AJ1326" s="28">
        <f>IF(AN1326=0,J1326,0)</f>
        <v>0</v>
      </c>
      <c r="AK1326" s="28">
        <f>IF(AN1326=12,J1326,0)</f>
        <v>0</v>
      </c>
      <c r="AL1326" s="28">
        <f>IF(AN1326=21,J1326,0)</f>
        <v>0</v>
      </c>
      <c r="AN1326" s="28">
        <v>21</v>
      </c>
      <c r="AO1326" s="28">
        <f>G1326*0</f>
        <v>0</v>
      </c>
      <c r="AP1326" s="28">
        <f>G1326*(1-0)</f>
        <v>0</v>
      </c>
      <c r="AQ1326" s="30" t="s">
        <v>613</v>
      </c>
      <c r="AV1326" s="28">
        <f>ROUND(AW1326+AX1326,2)</f>
        <v>0</v>
      </c>
      <c r="AW1326" s="28">
        <f>ROUND(F1326*AO1326,2)</f>
        <v>0</v>
      </c>
      <c r="AX1326" s="28">
        <f>ROUND(F1326*AP1326,2)</f>
        <v>0</v>
      </c>
      <c r="AY1326" s="30" t="s">
        <v>2385</v>
      </c>
      <c r="AZ1326" s="30" t="s">
        <v>2362</v>
      </c>
      <c r="BA1326" s="10" t="s">
        <v>2363</v>
      </c>
      <c r="BC1326" s="28">
        <f>AW1326+AX1326</f>
        <v>0</v>
      </c>
      <c r="BD1326" s="28">
        <f>G1326/(100-BE1326)*100</f>
        <v>0</v>
      </c>
      <c r="BE1326" s="28">
        <v>0</v>
      </c>
      <c r="BF1326" s="28">
        <f>1337</f>
        <v>1337</v>
      </c>
      <c r="BH1326" s="28">
        <f>F1326*AO1326</f>
        <v>0</v>
      </c>
      <c r="BI1326" s="28">
        <f>F1326*AP1326</f>
        <v>0</v>
      </c>
      <c r="BJ1326" s="28">
        <f>F1326*G1326</f>
        <v>0</v>
      </c>
      <c r="BK1326" s="28"/>
      <c r="BL1326" s="28"/>
      <c r="BP1326" s="28">
        <f>F1326*G1326</f>
        <v>0</v>
      </c>
      <c r="BW1326" s="28">
        <v>21</v>
      </c>
      <c r="BX1326" s="4" t="s">
        <v>2388</v>
      </c>
    </row>
    <row r="1327" spans="1:76" x14ac:dyDescent="0.25">
      <c r="A1327" s="24" t="s">
        <v>51</v>
      </c>
      <c r="B1327" s="25" t="s">
        <v>2389</v>
      </c>
      <c r="C1327" s="87" t="s">
        <v>2390</v>
      </c>
      <c r="D1327" s="88"/>
      <c r="E1327" s="26" t="s">
        <v>4</v>
      </c>
      <c r="F1327" s="26" t="s">
        <v>4</v>
      </c>
      <c r="G1327" s="26" t="s">
        <v>4</v>
      </c>
      <c r="H1327" s="1">
        <f>SUM(H1328:H1328)</f>
        <v>0</v>
      </c>
      <c r="I1327" s="1">
        <f>SUM(I1328:I1328)</f>
        <v>0</v>
      </c>
      <c r="J1327" s="1">
        <f>SUM(J1328:J1328)</f>
        <v>0</v>
      </c>
      <c r="K1327" s="27" t="s">
        <v>51</v>
      </c>
      <c r="AI1327" s="10" t="s">
        <v>2353</v>
      </c>
      <c r="AS1327" s="1">
        <f>SUM(AJ1328:AJ1328)</f>
        <v>0</v>
      </c>
      <c r="AT1327" s="1">
        <f>SUM(AK1328:AK1328)</f>
        <v>0</v>
      </c>
      <c r="AU1327" s="1">
        <f>SUM(AL1328:AL1328)</f>
        <v>0</v>
      </c>
    </row>
    <row r="1328" spans="1:76" x14ac:dyDescent="0.25">
      <c r="A1328" s="38" t="s">
        <v>2391</v>
      </c>
      <c r="B1328" s="39" t="s">
        <v>2392</v>
      </c>
      <c r="C1328" s="102" t="s">
        <v>2393</v>
      </c>
      <c r="D1328" s="103"/>
      <c r="E1328" s="39" t="s">
        <v>2360</v>
      </c>
      <c r="F1328" s="40">
        <v>1</v>
      </c>
      <c r="G1328" s="40">
        <v>0</v>
      </c>
      <c r="H1328" s="40">
        <f>ROUND(F1328*AO1328,2)</f>
        <v>0</v>
      </c>
      <c r="I1328" s="40">
        <f>ROUND(F1328*AP1328,2)</f>
        <v>0</v>
      </c>
      <c r="J1328" s="40">
        <f>ROUND(F1328*G1328,2)</f>
        <v>0</v>
      </c>
      <c r="K1328" s="41" t="s">
        <v>60</v>
      </c>
      <c r="Z1328" s="28">
        <f>ROUND(IF(AQ1328="5",BJ1328,0),2)</f>
        <v>0</v>
      </c>
      <c r="AB1328" s="28">
        <f>ROUND(IF(AQ1328="1",BH1328,0),2)</f>
        <v>0</v>
      </c>
      <c r="AC1328" s="28">
        <f>ROUND(IF(AQ1328="1",BI1328,0),2)</f>
        <v>0</v>
      </c>
      <c r="AD1328" s="28">
        <f>ROUND(IF(AQ1328="7",BH1328,0),2)</f>
        <v>0</v>
      </c>
      <c r="AE1328" s="28">
        <f>ROUND(IF(AQ1328="7",BI1328,0),2)</f>
        <v>0</v>
      </c>
      <c r="AF1328" s="28">
        <f>ROUND(IF(AQ1328="2",BH1328,0),2)</f>
        <v>0</v>
      </c>
      <c r="AG1328" s="28">
        <f>ROUND(IF(AQ1328="2",BI1328,0),2)</f>
        <v>0</v>
      </c>
      <c r="AH1328" s="28">
        <f>ROUND(IF(AQ1328="0",BJ1328,0),2)</f>
        <v>0</v>
      </c>
      <c r="AI1328" s="10" t="s">
        <v>2353</v>
      </c>
      <c r="AJ1328" s="28">
        <f>IF(AN1328=0,J1328,0)</f>
        <v>0</v>
      </c>
      <c r="AK1328" s="28">
        <f>IF(AN1328=12,J1328,0)</f>
        <v>0</v>
      </c>
      <c r="AL1328" s="28">
        <f>IF(AN1328=21,J1328,0)</f>
        <v>0</v>
      </c>
      <c r="AN1328" s="28">
        <v>21</v>
      </c>
      <c r="AO1328" s="28">
        <f>G1328*0</f>
        <v>0</v>
      </c>
      <c r="AP1328" s="28">
        <f>G1328*(1-0)</f>
        <v>0</v>
      </c>
      <c r="AQ1328" s="30" t="s">
        <v>613</v>
      </c>
      <c r="AV1328" s="28">
        <f>ROUND(AW1328+AX1328,2)</f>
        <v>0</v>
      </c>
      <c r="AW1328" s="28">
        <f>ROUND(F1328*AO1328,2)</f>
        <v>0</v>
      </c>
      <c r="AX1328" s="28">
        <f>ROUND(F1328*AP1328,2)</f>
        <v>0</v>
      </c>
      <c r="AY1328" s="30" t="s">
        <v>2394</v>
      </c>
      <c r="AZ1328" s="30" t="s">
        <v>2362</v>
      </c>
      <c r="BA1328" s="10" t="s">
        <v>2363</v>
      </c>
      <c r="BC1328" s="28">
        <f>AW1328+AX1328</f>
        <v>0</v>
      </c>
      <c r="BD1328" s="28">
        <f>G1328/(100-BE1328)*100</f>
        <v>0</v>
      </c>
      <c r="BE1328" s="28">
        <v>0</v>
      </c>
      <c r="BF1328" s="28">
        <f>1339</f>
        <v>1339</v>
      </c>
      <c r="BH1328" s="28">
        <f>F1328*AO1328</f>
        <v>0</v>
      </c>
      <c r="BI1328" s="28">
        <f>F1328*AP1328</f>
        <v>0</v>
      </c>
      <c r="BJ1328" s="28">
        <f>F1328*G1328</f>
        <v>0</v>
      </c>
      <c r="BK1328" s="28"/>
      <c r="BL1328" s="28"/>
      <c r="BU1328" s="28">
        <f>F1328*G1328</f>
        <v>0</v>
      </c>
      <c r="BW1328" s="28">
        <v>21</v>
      </c>
      <c r="BX1328" s="4" t="s">
        <v>2393</v>
      </c>
    </row>
    <row r="1329" spans="1:11" x14ac:dyDescent="0.25">
      <c r="H1329" s="104" t="s">
        <v>2395</v>
      </c>
      <c r="I1329" s="104"/>
      <c r="J1329" s="42">
        <f>ROUND(J13+J34+J43+J60+J85+J89+J96+J102+J107+J111+J127+J138+J148+J166+J203+J207+J214+J218+J227+J231+J256+J294+J302+J306+J311+J314+J322+J333+J341+J348+J351+J356+J362+J365+J377+J382+J386+J395+J399+J429+J459+J462+J467+J474+J511+J514+J517+J519+J528+J536+J542+J546+J550+J569+J593+J595+J598+J605+J608+J612+J614+J628+J649+J660+J672+J676+J694+J704+J753+J756+J765+J823+J839+J858+J862+J870+J879+J885+J1031+J1037+J1040+J1070+J1079+J1085+J1102+J1119+J1123+J1133+J1147+J1160+J1165+J1171+J1176+J1185+J1189+J1199+J1205+J1217+J1221+J1224+J1251+J1294+J1314+J1321+J1323+J1327,1)</f>
        <v>0</v>
      </c>
    </row>
    <row r="1330" spans="1:11" x14ac:dyDescent="0.25">
      <c r="A1330" s="43" t="s">
        <v>70</v>
      </c>
    </row>
    <row r="1331" spans="1:11" ht="12.75" customHeight="1" x14ac:dyDescent="0.25">
      <c r="A1331" s="76" t="s">
        <v>51</v>
      </c>
      <c r="B1331" s="71"/>
      <c r="C1331" s="71"/>
      <c r="D1331" s="71"/>
      <c r="E1331" s="71"/>
      <c r="F1331" s="71"/>
      <c r="G1331" s="71"/>
      <c r="H1331" s="71"/>
      <c r="I1331" s="71"/>
      <c r="J1331" s="71"/>
      <c r="K1331" s="71"/>
    </row>
  </sheetData>
  <mergeCells count="899">
    <mergeCell ref="C1327:D1327"/>
    <mergeCell ref="C1328:D1328"/>
    <mergeCell ref="H1329:I1329"/>
    <mergeCell ref="A1331:K1331"/>
    <mergeCell ref="C1322:D1322"/>
    <mergeCell ref="C1323:D1323"/>
    <mergeCell ref="C1324:D1324"/>
    <mergeCell ref="C1325:K1325"/>
    <mergeCell ref="C1326:D1326"/>
    <mergeCell ref="C1317:D1317"/>
    <mergeCell ref="C1318:D1318"/>
    <mergeCell ref="C1319:D1319"/>
    <mergeCell ref="C1320:K1320"/>
    <mergeCell ref="C1321:D1321"/>
    <mergeCell ref="C1312:D1312"/>
    <mergeCell ref="C1313:D1313"/>
    <mergeCell ref="C1314:D1314"/>
    <mergeCell ref="C1315:D1315"/>
    <mergeCell ref="C1316:D1316"/>
    <mergeCell ref="C1307:K1307"/>
    <mergeCell ref="C1308:D1308"/>
    <mergeCell ref="C1309:D1309"/>
    <mergeCell ref="C1310:D1310"/>
    <mergeCell ref="C1311:D1311"/>
    <mergeCell ref="C1302:D1302"/>
    <mergeCell ref="C1303:K1303"/>
    <mergeCell ref="C1304:D1304"/>
    <mergeCell ref="C1305:K1305"/>
    <mergeCell ref="C1306:D1306"/>
    <mergeCell ref="C1297:D1297"/>
    <mergeCell ref="C1298:D1298"/>
    <mergeCell ref="C1299:D1299"/>
    <mergeCell ref="C1300:K1300"/>
    <mergeCell ref="C1301:D1301"/>
    <mergeCell ref="C1292:D1292"/>
    <mergeCell ref="C1293:K1293"/>
    <mergeCell ref="C1294:D1294"/>
    <mergeCell ref="C1295:D1295"/>
    <mergeCell ref="C1296:D1296"/>
    <mergeCell ref="C1287:D1287"/>
    <mergeCell ref="C1288:K1288"/>
    <mergeCell ref="C1289:D1289"/>
    <mergeCell ref="C1290:D1290"/>
    <mergeCell ref="C1291:K1291"/>
    <mergeCell ref="C1282:K1282"/>
    <mergeCell ref="C1283:D1283"/>
    <mergeCell ref="C1284:D1284"/>
    <mergeCell ref="C1285:D1285"/>
    <mergeCell ref="C1286:K1286"/>
    <mergeCell ref="C1277:D1277"/>
    <mergeCell ref="C1278:D1278"/>
    <mergeCell ref="C1279:D1279"/>
    <mergeCell ref="C1280:K1280"/>
    <mergeCell ref="C1281:D1281"/>
    <mergeCell ref="C1272:K1272"/>
    <mergeCell ref="C1273:D1273"/>
    <mergeCell ref="C1274:K1274"/>
    <mergeCell ref="C1275:D1275"/>
    <mergeCell ref="C1276:D1276"/>
    <mergeCell ref="C1267:K1267"/>
    <mergeCell ref="C1268:D1268"/>
    <mergeCell ref="C1269:D1269"/>
    <mergeCell ref="C1270:K1270"/>
    <mergeCell ref="C1271:D1271"/>
    <mergeCell ref="C1262:D1262"/>
    <mergeCell ref="C1263:K1263"/>
    <mergeCell ref="C1264:D1264"/>
    <mergeCell ref="C1265:K1265"/>
    <mergeCell ref="C1266:D1266"/>
    <mergeCell ref="C1257:K1257"/>
    <mergeCell ref="C1258:D1258"/>
    <mergeCell ref="C1259:K1259"/>
    <mergeCell ref="C1260:D1260"/>
    <mergeCell ref="C1261:K1261"/>
    <mergeCell ref="C1252:D1252"/>
    <mergeCell ref="C1253:D1253"/>
    <mergeCell ref="C1254:D1254"/>
    <mergeCell ref="C1255:K1255"/>
    <mergeCell ref="C1256:D1256"/>
    <mergeCell ref="C1247:D1247"/>
    <mergeCell ref="C1248:K1248"/>
    <mergeCell ref="C1249:D1249"/>
    <mergeCell ref="C1250:D1250"/>
    <mergeCell ref="C1251:D1251"/>
    <mergeCell ref="C1242:D1242"/>
    <mergeCell ref="C1243:D1243"/>
    <mergeCell ref="C1244:D1244"/>
    <mergeCell ref="C1245:D1245"/>
    <mergeCell ref="C1246:K1246"/>
    <mergeCell ref="C1237:D1237"/>
    <mergeCell ref="C1238:K1238"/>
    <mergeCell ref="C1239:D1239"/>
    <mergeCell ref="C1240:K1240"/>
    <mergeCell ref="C1241:D1241"/>
    <mergeCell ref="C1232:D1232"/>
    <mergeCell ref="C1233:D1233"/>
    <mergeCell ref="C1234:D1234"/>
    <mergeCell ref="C1235:D1235"/>
    <mergeCell ref="C1236:D1236"/>
    <mergeCell ref="C1228:D1228"/>
    <mergeCell ref="C1229:D1229"/>
    <mergeCell ref="C1230:D1230"/>
    <mergeCell ref="C1231:D1231"/>
    <mergeCell ref="C1222:D1222"/>
    <mergeCell ref="C1223:K1223"/>
    <mergeCell ref="C1224:D1224"/>
    <mergeCell ref="C1225:D1225"/>
    <mergeCell ref="C1226:D1226"/>
    <mergeCell ref="C1217:D1217"/>
    <mergeCell ref="C1218:D1218"/>
    <mergeCell ref="C1219:K1219"/>
    <mergeCell ref="C1220:D1220"/>
    <mergeCell ref="C1221:D1221"/>
    <mergeCell ref="C1214:D1214"/>
    <mergeCell ref="C1215:D1215"/>
    <mergeCell ref="C1216:D1216"/>
    <mergeCell ref="C1227:D1227"/>
    <mergeCell ref="C1209:D1209"/>
    <mergeCell ref="C1211:K1211"/>
    <mergeCell ref="C1212:D1212"/>
    <mergeCell ref="C1213:D1213"/>
    <mergeCell ref="C1204:K1204"/>
    <mergeCell ref="C1205:D1205"/>
    <mergeCell ref="C1206:D1206"/>
    <mergeCell ref="C1207:K1207"/>
    <mergeCell ref="C1208:D1208"/>
    <mergeCell ref="C1196:D1196"/>
    <mergeCell ref="C1198:K1198"/>
    <mergeCell ref="C1199:D1199"/>
    <mergeCell ref="C1200:D1200"/>
    <mergeCell ref="C1201:D1201"/>
    <mergeCell ref="C1190:D1190"/>
    <mergeCell ref="C1191:K1191"/>
    <mergeCell ref="C1193:K1193"/>
    <mergeCell ref="C1194:D1194"/>
    <mergeCell ref="C1195:K1195"/>
    <mergeCell ref="C1183:K1183"/>
    <mergeCell ref="C1185:D1185"/>
    <mergeCell ref="C1186:D1186"/>
    <mergeCell ref="C1188:K1188"/>
    <mergeCell ref="C1189:D1189"/>
    <mergeCell ref="C1178:K1178"/>
    <mergeCell ref="C1179:K1179"/>
    <mergeCell ref="C1180:D1180"/>
    <mergeCell ref="C1181:K1181"/>
    <mergeCell ref="C1182:D1182"/>
    <mergeCell ref="C1173:D1173"/>
    <mergeCell ref="C1174:D1174"/>
    <mergeCell ref="C1175:D1175"/>
    <mergeCell ref="C1176:D1176"/>
    <mergeCell ref="C1177:D1177"/>
    <mergeCell ref="C1166:D1166"/>
    <mergeCell ref="C1168:K1168"/>
    <mergeCell ref="C1169:D1169"/>
    <mergeCell ref="C1171:D1171"/>
    <mergeCell ref="C1172:D1172"/>
    <mergeCell ref="C1161:D1161"/>
    <mergeCell ref="C1162:K1162"/>
    <mergeCell ref="C1163:D1163"/>
    <mergeCell ref="C1164:K1164"/>
    <mergeCell ref="C1165:D1165"/>
    <mergeCell ref="C1156:D1156"/>
    <mergeCell ref="C1157:D1157"/>
    <mergeCell ref="C1158:K1158"/>
    <mergeCell ref="C1159:D1159"/>
    <mergeCell ref="C1160:D1160"/>
    <mergeCell ref="C1151:D1151"/>
    <mergeCell ref="C1152:K1152"/>
    <mergeCell ref="C1153:D1153"/>
    <mergeCell ref="C1154:K1154"/>
    <mergeCell ref="C1155:D1155"/>
    <mergeCell ref="C1146:K1146"/>
    <mergeCell ref="C1147:D1147"/>
    <mergeCell ref="C1148:D1148"/>
    <mergeCell ref="C1149:D1149"/>
    <mergeCell ref="C1150:K1150"/>
    <mergeCell ref="C1141:D1141"/>
    <mergeCell ref="C1142:K1142"/>
    <mergeCell ref="C1143:D1143"/>
    <mergeCell ref="C1144:K1144"/>
    <mergeCell ref="C1145:D1145"/>
    <mergeCell ref="C1136:D1136"/>
    <mergeCell ref="C1137:D1137"/>
    <mergeCell ref="C1138:K1138"/>
    <mergeCell ref="C1139:D1139"/>
    <mergeCell ref="C1140:K1140"/>
    <mergeCell ref="C1131:D1131"/>
    <mergeCell ref="C1132:K1132"/>
    <mergeCell ref="C1133:D1133"/>
    <mergeCell ref="C1134:D1134"/>
    <mergeCell ref="C1135:K1135"/>
    <mergeCell ref="C1125:D1125"/>
    <mergeCell ref="C1126:K1126"/>
    <mergeCell ref="C1127:D1127"/>
    <mergeCell ref="C1129:K1129"/>
    <mergeCell ref="C1130:D1130"/>
    <mergeCell ref="C1120:D1120"/>
    <mergeCell ref="C1121:K1121"/>
    <mergeCell ref="C1122:K1122"/>
    <mergeCell ref="C1123:D1123"/>
    <mergeCell ref="C1124:D1124"/>
    <mergeCell ref="C1115:K1115"/>
    <mergeCell ref="C1116:D1116"/>
    <mergeCell ref="C1117:K1117"/>
    <mergeCell ref="C1118:D1118"/>
    <mergeCell ref="C1119:D1119"/>
    <mergeCell ref="C1101:K1101"/>
    <mergeCell ref="C1102:D1102"/>
    <mergeCell ref="C1103:D1103"/>
    <mergeCell ref="C1107:D1107"/>
    <mergeCell ref="C1111:D1111"/>
    <mergeCell ref="C1095:D1095"/>
    <mergeCell ref="C1097:D1097"/>
    <mergeCell ref="C1098:K1098"/>
    <mergeCell ref="C1099:D1099"/>
    <mergeCell ref="C1100:K1100"/>
    <mergeCell ref="C1081:K1081"/>
    <mergeCell ref="C1085:D1085"/>
    <mergeCell ref="C1086:D1086"/>
    <mergeCell ref="C1093:K1093"/>
    <mergeCell ref="C1094:D1094"/>
    <mergeCell ref="C1071:D1071"/>
    <mergeCell ref="C1074:D1074"/>
    <mergeCell ref="C1078:K1078"/>
    <mergeCell ref="C1079:D1079"/>
    <mergeCell ref="C1080:D1080"/>
    <mergeCell ref="C1058:D1058"/>
    <mergeCell ref="C1065:K1065"/>
    <mergeCell ref="C1066:D1066"/>
    <mergeCell ref="C1069:K1069"/>
    <mergeCell ref="C1070:D1070"/>
    <mergeCell ref="C1046:D1046"/>
    <mergeCell ref="C1048:D1048"/>
    <mergeCell ref="C1049:D1049"/>
    <mergeCell ref="C1053:D1053"/>
    <mergeCell ref="C1057:K1057"/>
    <mergeCell ref="C1039:D1039"/>
    <mergeCell ref="C1040:D1040"/>
    <mergeCell ref="C1041:D1041"/>
    <mergeCell ref="C1042:D1042"/>
    <mergeCell ref="C1044:D1044"/>
    <mergeCell ref="C1033:K1033"/>
    <mergeCell ref="C1034:D1034"/>
    <mergeCell ref="C1035:D1035"/>
    <mergeCell ref="C1037:D1037"/>
    <mergeCell ref="C1038:D1038"/>
    <mergeCell ref="C1028:K1028"/>
    <mergeCell ref="C1029:D1029"/>
    <mergeCell ref="C1030:K1030"/>
    <mergeCell ref="C1031:D1031"/>
    <mergeCell ref="C1032:D1032"/>
    <mergeCell ref="C1015:D1015"/>
    <mergeCell ref="C1018:D1018"/>
    <mergeCell ref="C1021:D1021"/>
    <mergeCell ref="C1024:D1024"/>
    <mergeCell ref="C1027:D1027"/>
    <mergeCell ref="C996:K996"/>
    <mergeCell ref="C1001:D1001"/>
    <mergeCell ref="C1002:D1002"/>
    <mergeCell ref="C1011:D1011"/>
    <mergeCell ref="C1012:D1012"/>
    <mergeCell ref="C985:K985"/>
    <mergeCell ref="C986:D986"/>
    <mergeCell ref="C990:D990"/>
    <mergeCell ref="C994:K994"/>
    <mergeCell ref="C995:D995"/>
    <mergeCell ref="C974:D974"/>
    <mergeCell ref="C975:K975"/>
    <mergeCell ref="C976:D976"/>
    <mergeCell ref="C980:K980"/>
    <mergeCell ref="C981:D981"/>
    <mergeCell ref="C968:D968"/>
    <mergeCell ref="C969:K969"/>
    <mergeCell ref="C970:D970"/>
    <mergeCell ref="C971:D971"/>
    <mergeCell ref="C972:D972"/>
    <mergeCell ref="C961:K961"/>
    <mergeCell ref="C962:D962"/>
    <mergeCell ref="C964:K964"/>
    <mergeCell ref="C965:D965"/>
    <mergeCell ref="C967:K967"/>
    <mergeCell ref="C953:D953"/>
    <mergeCell ref="C956:K956"/>
    <mergeCell ref="C957:D957"/>
    <mergeCell ref="C958:D958"/>
    <mergeCell ref="C959:D959"/>
    <mergeCell ref="C945:K945"/>
    <mergeCell ref="C946:D946"/>
    <mergeCell ref="C948:K948"/>
    <mergeCell ref="C949:D949"/>
    <mergeCell ref="C950:D950"/>
    <mergeCell ref="C936:D936"/>
    <mergeCell ref="C938:D938"/>
    <mergeCell ref="C939:D939"/>
    <mergeCell ref="C942:K942"/>
    <mergeCell ref="C943:D943"/>
    <mergeCell ref="C921:D921"/>
    <mergeCell ref="C923:D923"/>
    <mergeCell ref="C924:D924"/>
    <mergeCell ref="C929:D929"/>
    <mergeCell ref="C932:D932"/>
    <mergeCell ref="C912:D912"/>
    <mergeCell ref="C913:D913"/>
    <mergeCell ref="C914:K914"/>
    <mergeCell ref="C915:D915"/>
    <mergeCell ref="C918:D918"/>
    <mergeCell ref="C903:K903"/>
    <mergeCell ref="C904:D904"/>
    <mergeCell ref="C906:D906"/>
    <mergeCell ref="C908:D908"/>
    <mergeCell ref="C911:K911"/>
    <mergeCell ref="C891:D891"/>
    <mergeCell ref="C896:D896"/>
    <mergeCell ref="C898:D898"/>
    <mergeCell ref="C901:D901"/>
    <mergeCell ref="C902:D902"/>
    <mergeCell ref="C883:D883"/>
    <mergeCell ref="C884:D884"/>
    <mergeCell ref="C885:D885"/>
    <mergeCell ref="C886:D886"/>
    <mergeCell ref="C889:D889"/>
    <mergeCell ref="C878:K878"/>
    <mergeCell ref="C879:D879"/>
    <mergeCell ref="C880:D880"/>
    <mergeCell ref="C881:K881"/>
    <mergeCell ref="C882:K882"/>
    <mergeCell ref="C870:D870"/>
    <mergeCell ref="C871:D871"/>
    <mergeCell ref="C872:K872"/>
    <mergeCell ref="C874:D874"/>
    <mergeCell ref="C877:D877"/>
    <mergeCell ref="C860:K860"/>
    <mergeCell ref="C862:D862"/>
    <mergeCell ref="C863:D863"/>
    <mergeCell ref="C866:D866"/>
    <mergeCell ref="C869:D869"/>
    <mergeCell ref="C841:K841"/>
    <mergeCell ref="C856:D856"/>
    <mergeCell ref="C857:K857"/>
    <mergeCell ref="C858:D858"/>
    <mergeCell ref="C859:D859"/>
    <mergeCell ref="C835:D835"/>
    <mergeCell ref="C836:K836"/>
    <mergeCell ref="C838:D838"/>
    <mergeCell ref="C839:D839"/>
    <mergeCell ref="C840:D840"/>
    <mergeCell ref="C825:D825"/>
    <mergeCell ref="C828:D828"/>
    <mergeCell ref="C831:D831"/>
    <mergeCell ref="C832:K832"/>
    <mergeCell ref="C833:D833"/>
    <mergeCell ref="C820:D820"/>
    <mergeCell ref="C821:D821"/>
    <mergeCell ref="C822:D822"/>
    <mergeCell ref="C823:D823"/>
    <mergeCell ref="C824:D824"/>
    <mergeCell ref="C814:D814"/>
    <mergeCell ref="C815:D815"/>
    <mergeCell ref="C817:D817"/>
    <mergeCell ref="C818:D818"/>
    <mergeCell ref="C819:D819"/>
    <mergeCell ref="C809:D809"/>
    <mergeCell ref="C810:D810"/>
    <mergeCell ref="C811:D811"/>
    <mergeCell ref="C812:D812"/>
    <mergeCell ref="C813:D813"/>
    <mergeCell ref="C804:D804"/>
    <mergeCell ref="C805:D805"/>
    <mergeCell ref="C806:D806"/>
    <mergeCell ref="C807:D807"/>
    <mergeCell ref="C808:D808"/>
    <mergeCell ref="C798:D798"/>
    <mergeCell ref="C799:D799"/>
    <mergeCell ref="C800:D800"/>
    <mergeCell ref="C801:D801"/>
    <mergeCell ref="C803:K803"/>
    <mergeCell ref="C793:D793"/>
    <mergeCell ref="C794:D794"/>
    <mergeCell ref="C795:D795"/>
    <mergeCell ref="C796:D796"/>
    <mergeCell ref="C797:D797"/>
    <mergeCell ref="C788:D788"/>
    <mergeCell ref="C789:D789"/>
    <mergeCell ref="C790:D790"/>
    <mergeCell ref="C791:D791"/>
    <mergeCell ref="C792:D792"/>
    <mergeCell ref="C783:D783"/>
    <mergeCell ref="C784:D784"/>
    <mergeCell ref="C785:D785"/>
    <mergeCell ref="C786:D786"/>
    <mergeCell ref="C787:D787"/>
    <mergeCell ref="C778:D778"/>
    <mergeCell ref="C779:D779"/>
    <mergeCell ref="C780:K780"/>
    <mergeCell ref="C781:K781"/>
    <mergeCell ref="C782:D782"/>
    <mergeCell ref="C768:D768"/>
    <mergeCell ref="C770:D770"/>
    <mergeCell ref="C772:D772"/>
    <mergeCell ref="C773:K773"/>
    <mergeCell ref="C774:D774"/>
    <mergeCell ref="C762:D762"/>
    <mergeCell ref="C763:D763"/>
    <mergeCell ref="C764:D764"/>
    <mergeCell ref="C765:D765"/>
    <mergeCell ref="C766:D766"/>
    <mergeCell ref="C754:D754"/>
    <mergeCell ref="C756:D756"/>
    <mergeCell ref="C757:D757"/>
    <mergeCell ref="C760:D760"/>
    <mergeCell ref="C761:D761"/>
    <mergeCell ref="C748:K748"/>
    <mergeCell ref="C749:D749"/>
    <mergeCell ref="C750:D750"/>
    <mergeCell ref="C752:D752"/>
    <mergeCell ref="C753:D753"/>
    <mergeCell ref="C721:D721"/>
    <mergeCell ref="C724:D724"/>
    <mergeCell ref="C729:D729"/>
    <mergeCell ref="C732:D732"/>
    <mergeCell ref="C733:D733"/>
    <mergeCell ref="C709:D709"/>
    <mergeCell ref="C712:D712"/>
    <mergeCell ref="C713:K713"/>
    <mergeCell ref="C715:D715"/>
    <mergeCell ref="C717:D717"/>
    <mergeCell ref="C702:D702"/>
    <mergeCell ref="C703:K703"/>
    <mergeCell ref="C704:D704"/>
    <mergeCell ref="C705:D705"/>
    <mergeCell ref="C707:D707"/>
    <mergeCell ref="C694:D694"/>
    <mergeCell ref="C695:D695"/>
    <mergeCell ref="C696:K696"/>
    <mergeCell ref="C698:D698"/>
    <mergeCell ref="C701:K701"/>
    <mergeCell ref="C686:K686"/>
    <mergeCell ref="C687:D687"/>
    <mergeCell ref="C689:K689"/>
    <mergeCell ref="C690:D690"/>
    <mergeCell ref="C691:K691"/>
    <mergeCell ref="C676:D676"/>
    <mergeCell ref="C677:D677"/>
    <mergeCell ref="C680:D680"/>
    <mergeCell ref="C681:K681"/>
    <mergeCell ref="C684:D684"/>
    <mergeCell ref="C668:K668"/>
    <mergeCell ref="C669:D669"/>
    <mergeCell ref="C671:K671"/>
    <mergeCell ref="C672:D672"/>
    <mergeCell ref="C673:D673"/>
    <mergeCell ref="C657:D657"/>
    <mergeCell ref="C659:K659"/>
    <mergeCell ref="C660:D660"/>
    <mergeCell ref="C661:D661"/>
    <mergeCell ref="C665:D665"/>
    <mergeCell ref="C645:D645"/>
    <mergeCell ref="C646:D646"/>
    <mergeCell ref="C648:D648"/>
    <mergeCell ref="C649:D649"/>
    <mergeCell ref="C650:D650"/>
    <mergeCell ref="C625:D625"/>
    <mergeCell ref="C627:D627"/>
    <mergeCell ref="C628:D628"/>
    <mergeCell ref="C629:D629"/>
    <mergeCell ref="C637:D637"/>
    <mergeCell ref="C614:D614"/>
    <mergeCell ref="C615:D615"/>
    <mergeCell ref="C618:D618"/>
    <mergeCell ref="C621:D621"/>
    <mergeCell ref="C622:D622"/>
    <mergeCell ref="C608:D608"/>
    <mergeCell ref="C609:D609"/>
    <mergeCell ref="C610:K610"/>
    <mergeCell ref="C612:D612"/>
    <mergeCell ref="C613:D613"/>
    <mergeCell ref="C598:D598"/>
    <mergeCell ref="C599:D599"/>
    <mergeCell ref="C600:K600"/>
    <mergeCell ref="C605:D605"/>
    <mergeCell ref="C606:D606"/>
    <mergeCell ref="C593:D593"/>
    <mergeCell ref="C594:D594"/>
    <mergeCell ref="C595:D595"/>
    <mergeCell ref="C596:D596"/>
    <mergeCell ref="C597:D597"/>
    <mergeCell ref="C583:K583"/>
    <mergeCell ref="C584:D584"/>
    <mergeCell ref="C587:D587"/>
    <mergeCell ref="C589:D589"/>
    <mergeCell ref="C592:K592"/>
    <mergeCell ref="C573:D573"/>
    <mergeCell ref="C576:K576"/>
    <mergeCell ref="C577:D577"/>
    <mergeCell ref="C579:D579"/>
    <mergeCell ref="C581:D581"/>
    <mergeCell ref="C565:D565"/>
    <mergeCell ref="C568:K568"/>
    <mergeCell ref="C569:D569"/>
    <mergeCell ref="C570:D570"/>
    <mergeCell ref="C572:K572"/>
    <mergeCell ref="C556:D556"/>
    <mergeCell ref="C558:K558"/>
    <mergeCell ref="C559:D559"/>
    <mergeCell ref="C561:D561"/>
    <mergeCell ref="C564:K564"/>
    <mergeCell ref="C549:K549"/>
    <mergeCell ref="C550:D550"/>
    <mergeCell ref="C551:D551"/>
    <mergeCell ref="C553:D553"/>
    <mergeCell ref="C555:K555"/>
    <mergeCell ref="C544:K544"/>
    <mergeCell ref="C545:K545"/>
    <mergeCell ref="C546:D546"/>
    <mergeCell ref="C547:D547"/>
    <mergeCell ref="C548:K548"/>
    <mergeCell ref="C536:D536"/>
    <mergeCell ref="C537:D537"/>
    <mergeCell ref="C541:K541"/>
    <mergeCell ref="C542:D542"/>
    <mergeCell ref="C543:D543"/>
    <mergeCell ref="C527:D527"/>
    <mergeCell ref="C528:D528"/>
    <mergeCell ref="C529:D529"/>
    <mergeCell ref="C532:D532"/>
    <mergeCell ref="C535:K535"/>
    <mergeCell ref="C521:K521"/>
    <mergeCell ref="C522:D522"/>
    <mergeCell ref="C523:K523"/>
    <mergeCell ref="C524:D524"/>
    <mergeCell ref="C526:K526"/>
    <mergeCell ref="C515:D515"/>
    <mergeCell ref="C517:D517"/>
    <mergeCell ref="C518:D518"/>
    <mergeCell ref="C519:D519"/>
    <mergeCell ref="C520:D520"/>
    <mergeCell ref="C506:K506"/>
    <mergeCell ref="C510:K510"/>
    <mergeCell ref="C511:D511"/>
    <mergeCell ref="C512:D512"/>
    <mergeCell ref="C514:D514"/>
    <mergeCell ref="C499:D499"/>
    <mergeCell ref="C500:D500"/>
    <mergeCell ref="C503:D503"/>
    <mergeCell ref="C504:D504"/>
    <mergeCell ref="C505:D505"/>
    <mergeCell ref="C492:K492"/>
    <mergeCell ref="C493:D493"/>
    <mergeCell ref="C494:K494"/>
    <mergeCell ref="C495:K495"/>
    <mergeCell ref="C496:D496"/>
    <mergeCell ref="C485:D485"/>
    <mergeCell ref="C488:K488"/>
    <mergeCell ref="C489:D489"/>
    <mergeCell ref="C490:K490"/>
    <mergeCell ref="C491:D491"/>
    <mergeCell ref="C479:K479"/>
    <mergeCell ref="C480:K480"/>
    <mergeCell ref="C481:D481"/>
    <mergeCell ref="C482:K482"/>
    <mergeCell ref="C483:D483"/>
    <mergeCell ref="C474:D474"/>
    <mergeCell ref="C475:D475"/>
    <mergeCell ref="C476:K476"/>
    <mergeCell ref="C477:K477"/>
    <mergeCell ref="C478:D478"/>
    <mergeCell ref="C467:D467"/>
    <mergeCell ref="C468:D468"/>
    <mergeCell ref="C469:K469"/>
    <mergeCell ref="C472:D472"/>
    <mergeCell ref="C473:K473"/>
    <mergeCell ref="C462:D462"/>
    <mergeCell ref="C463:D463"/>
    <mergeCell ref="C464:K464"/>
    <mergeCell ref="C465:D465"/>
    <mergeCell ref="C466:K466"/>
    <mergeCell ref="C457:K457"/>
    <mergeCell ref="C458:K458"/>
    <mergeCell ref="C459:D459"/>
    <mergeCell ref="C460:D460"/>
    <mergeCell ref="C461:K461"/>
    <mergeCell ref="C441:D441"/>
    <mergeCell ref="C447:D447"/>
    <mergeCell ref="C450:D450"/>
    <mergeCell ref="C453:D453"/>
    <mergeCell ref="C456:D456"/>
    <mergeCell ref="C427:K427"/>
    <mergeCell ref="C429:D429"/>
    <mergeCell ref="C430:D430"/>
    <mergeCell ref="C436:K436"/>
    <mergeCell ref="C437:D437"/>
    <mergeCell ref="C418:D418"/>
    <mergeCell ref="C422:K422"/>
    <mergeCell ref="C423:D423"/>
    <mergeCell ref="C425:K425"/>
    <mergeCell ref="C426:D426"/>
    <mergeCell ref="C405:D405"/>
    <mergeCell ref="C409:K409"/>
    <mergeCell ref="C410:D410"/>
    <mergeCell ref="C414:D414"/>
    <mergeCell ref="C417:K417"/>
    <mergeCell ref="C397:K397"/>
    <mergeCell ref="C398:K398"/>
    <mergeCell ref="C399:D399"/>
    <mergeCell ref="C400:D400"/>
    <mergeCell ref="C404:K404"/>
    <mergeCell ref="C386:D386"/>
    <mergeCell ref="C387:D387"/>
    <mergeCell ref="C394:K394"/>
    <mergeCell ref="C395:D395"/>
    <mergeCell ref="C396:D396"/>
    <mergeCell ref="C379:K379"/>
    <mergeCell ref="C381:K381"/>
    <mergeCell ref="C382:D382"/>
    <mergeCell ref="C383:D383"/>
    <mergeCell ref="C384:K384"/>
    <mergeCell ref="C371:D371"/>
    <mergeCell ref="C376:K376"/>
    <mergeCell ref="C377:D377"/>
    <mergeCell ref="C378:D378"/>
    <mergeCell ref="C361:D361"/>
    <mergeCell ref="C362:D362"/>
    <mergeCell ref="C363:D363"/>
    <mergeCell ref="C364:D364"/>
    <mergeCell ref="C365:D365"/>
    <mergeCell ref="C357:D357"/>
    <mergeCell ref="C358:D358"/>
    <mergeCell ref="C359:D359"/>
    <mergeCell ref="C352:D352"/>
    <mergeCell ref="C353:D353"/>
    <mergeCell ref="C354:D354"/>
    <mergeCell ref="C355:D355"/>
    <mergeCell ref="C356:D356"/>
    <mergeCell ref="C366:D366"/>
    <mergeCell ref="C347:K347"/>
    <mergeCell ref="C348:D348"/>
    <mergeCell ref="C349:D349"/>
    <mergeCell ref="C350:K350"/>
    <mergeCell ref="C351:D351"/>
    <mergeCell ref="C340:D340"/>
    <mergeCell ref="C341:D341"/>
    <mergeCell ref="C342:D342"/>
    <mergeCell ref="C344:D344"/>
    <mergeCell ref="C346:D346"/>
    <mergeCell ref="C334:D334"/>
    <mergeCell ref="C336:K336"/>
    <mergeCell ref="C337:D337"/>
    <mergeCell ref="C338:D338"/>
    <mergeCell ref="C339:D339"/>
    <mergeCell ref="C326:D326"/>
    <mergeCell ref="C328:D328"/>
    <mergeCell ref="C329:K329"/>
    <mergeCell ref="C331:D331"/>
    <mergeCell ref="C333:D333"/>
    <mergeCell ref="C319:K319"/>
    <mergeCell ref="C320:D320"/>
    <mergeCell ref="C322:D322"/>
    <mergeCell ref="C323:D323"/>
    <mergeCell ref="C325:K325"/>
    <mergeCell ref="C313:D313"/>
    <mergeCell ref="C314:D314"/>
    <mergeCell ref="C315:D315"/>
    <mergeCell ref="C317:K317"/>
    <mergeCell ref="C318:K318"/>
    <mergeCell ref="C308:K308"/>
    <mergeCell ref="C309:D309"/>
    <mergeCell ref="C310:K310"/>
    <mergeCell ref="C311:D311"/>
    <mergeCell ref="C312:D312"/>
    <mergeCell ref="C302:D302"/>
    <mergeCell ref="C303:D303"/>
    <mergeCell ref="C305:K305"/>
    <mergeCell ref="C306:D306"/>
    <mergeCell ref="C307:D307"/>
    <mergeCell ref="C295:D295"/>
    <mergeCell ref="C297:D297"/>
    <mergeCell ref="C299:K299"/>
    <mergeCell ref="C300:D300"/>
    <mergeCell ref="C301:D301"/>
    <mergeCell ref="C290:K290"/>
    <mergeCell ref="C291:K291"/>
    <mergeCell ref="C292:D292"/>
    <mergeCell ref="C293:K293"/>
    <mergeCell ref="C294:D294"/>
    <mergeCell ref="C285:K285"/>
    <mergeCell ref="C286:K286"/>
    <mergeCell ref="C287:D287"/>
    <mergeCell ref="C288:K288"/>
    <mergeCell ref="C289:D289"/>
    <mergeCell ref="C280:K280"/>
    <mergeCell ref="C281:D281"/>
    <mergeCell ref="C282:K282"/>
    <mergeCell ref="C283:K283"/>
    <mergeCell ref="C284:D284"/>
    <mergeCell ref="C272:D272"/>
    <mergeCell ref="C275:D275"/>
    <mergeCell ref="C278:D278"/>
    <mergeCell ref="C279:D279"/>
    <mergeCell ref="C265:D265"/>
    <mergeCell ref="C266:K266"/>
    <mergeCell ref="C267:D267"/>
    <mergeCell ref="C268:K268"/>
    <mergeCell ref="C269:D269"/>
    <mergeCell ref="C260:D260"/>
    <mergeCell ref="C261:D261"/>
    <mergeCell ref="C262:D262"/>
    <mergeCell ref="C264:K264"/>
    <mergeCell ref="C256:D256"/>
    <mergeCell ref="C257:D257"/>
    <mergeCell ref="C258:K258"/>
    <mergeCell ref="C259:D259"/>
    <mergeCell ref="C271:K271"/>
    <mergeCell ref="C251:K251"/>
    <mergeCell ref="C252:D252"/>
    <mergeCell ref="C253:K253"/>
    <mergeCell ref="C254:D254"/>
    <mergeCell ref="C255:K255"/>
    <mergeCell ref="C245:D245"/>
    <mergeCell ref="C246:K246"/>
    <mergeCell ref="C247:D247"/>
    <mergeCell ref="C248:D248"/>
    <mergeCell ref="C249:D249"/>
    <mergeCell ref="C240:K240"/>
    <mergeCell ref="C241:D241"/>
    <mergeCell ref="C242:K242"/>
    <mergeCell ref="C243:D243"/>
    <mergeCell ref="C244:K244"/>
    <mergeCell ref="C232:D232"/>
    <mergeCell ref="C236:K236"/>
    <mergeCell ref="C237:D237"/>
    <mergeCell ref="C238:K238"/>
    <mergeCell ref="C239:D239"/>
    <mergeCell ref="C227:D227"/>
    <mergeCell ref="C228:D228"/>
    <mergeCell ref="C229:K229"/>
    <mergeCell ref="C230:K230"/>
    <mergeCell ref="C231:D231"/>
    <mergeCell ref="C219:D219"/>
    <mergeCell ref="C220:D220"/>
    <mergeCell ref="C221:D221"/>
    <mergeCell ref="C224:D224"/>
    <mergeCell ref="C225:D225"/>
    <mergeCell ref="C213:K213"/>
    <mergeCell ref="C214:D214"/>
    <mergeCell ref="C215:D215"/>
    <mergeCell ref="C216:D216"/>
    <mergeCell ref="C218:D218"/>
    <mergeCell ref="C206:K206"/>
    <mergeCell ref="C207:D207"/>
    <mergeCell ref="C208:D208"/>
    <mergeCell ref="C211:K211"/>
    <mergeCell ref="C212:D212"/>
    <mergeCell ref="C200:D200"/>
    <mergeCell ref="C203:D203"/>
    <mergeCell ref="C204:D204"/>
    <mergeCell ref="C205:D205"/>
    <mergeCell ref="C190:K190"/>
    <mergeCell ref="C191:D191"/>
    <mergeCell ref="C195:K195"/>
    <mergeCell ref="C196:D196"/>
    <mergeCell ref="C199:K199"/>
    <mergeCell ref="C180:D180"/>
    <mergeCell ref="C184:K184"/>
    <mergeCell ref="C185:D185"/>
    <mergeCell ref="C187:K187"/>
    <mergeCell ref="C188:D188"/>
    <mergeCell ref="C171:K171"/>
    <mergeCell ref="C172:D172"/>
    <mergeCell ref="C175:K175"/>
    <mergeCell ref="C176:D176"/>
    <mergeCell ref="C179:K179"/>
    <mergeCell ref="C161:K161"/>
    <mergeCell ref="C165:K165"/>
    <mergeCell ref="C166:D166"/>
    <mergeCell ref="C167:D167"/>
    <mergeCell ref="C154:D154"/>
    <mergeCell ref="C155:K155"/>
    <mergeCell ref="C156:D156"/>
    <mergeCell ref="C157:D157"/>
    <mergeCell ref="C159:K159"/>
    <mergeCell ref="C151:K151"/>
    <mergeCell ref="C152:D152"/>
    <mergeCell ref="C153:K153"/>
    <mergeCell ref="C143:K143"/>
    <mergeCell ref="C144:D144"/>
    <mergeCell ref="C145:K145"/>
    <mergeCell ref="C146:D146"/>
    <mergeCell ref="C147:K147"/>
    <mergeCell ref="C160:D160"/>
    <mergeCell ref="C138:D138"/>
    <mergeCell ref="C139:D139"/>
    <mergeCell ref="C140:K140"/>
    <mergeCell ref="C141:K141"/>
    <mergeCell ref="C142:D142"/>
    <mergeCell ref="C136:D136"/>
    <mergeCell ref="C137:D137"/>
    <mergeCell ref="C148:D148"/>
    <mergeCell ref="C149:D149"/>
    <mergeCell ref="C129:K129"/>
    <mergeCell ref="C132:K132"/>
    <mergeCell ref="C133:D133"/>
    <mergeCell ref="C134:K134"/>
    <mergeCell ref="C135:D135"/>
    <mergeCell ref="C122:D122"/>
    <mergeCell ref="C124:D124"/>
    <mergeCell ref="C125:K125"/>
    <mergeCell ref="C127:D127"/>
    <mergeCell ref="C128:D128"/>
    <mergeCell ref="C110:K110"/>
    <mergeCell ref="C111:D111"/>
    <mergeCell ref="C112:D112"/>
    <mergeCell ref="C117:D117"/>
    <mergeCell ref="C121:D121"/>
    <mergeCell ref="C102:D102"/>
    <mergeCell ref="C103:D103"/>
    <mergeCell ref="C107:D107"/>
    <mergeCell ref="C108:D108"/>
    <mergeCell ref="C109:K109"/>
    <mergeCell ref="C94:D94"/>
    <mergeCell ref="C96:D96"/>
    <mergeCell ref="C97:D97"/>
    <mergeCell ref="C98:K98"/>
    <mergeCell ref="C100:D100"/>
    <mergeCell ref="C86:D86"/>
    <mergeCell ref="C88:D88"/>
    <mergeCell ref="C89:D89"/>
    <mergeCell ref="C90:D90"/>
    <mergeCell ref="C92:D92"/>
    <mergeCell ref="C79:D79"/>
    <mergeCell ref="C81:K81"/>
    <mergeCell ref="C82:D82"/>
    <mergeCell ref="C83:K83"/>
    <mergeCell ref="C85:D85"/>
    <mergeCell ref="C69:D69"/>
    <mergeCell ref="C72:K72"/>
    <mergeCell ref="C73:D73"/>
    <mergeCell ref="C74:K74"/>
    <mergeCell ref="C78:K78"/>
    <mergeCell ref="C60:D60"/>
    <mergeCell ref="C61:D61"/>
    <mergeCell ref="C64:K64"/>
    <mergeCell ref="C65:D65"/>
    <mergeCell ref="C68:K68"/>
    <mergeCell ref="C54:D54"/>
    <mergeCell ref="C56:D56"/>
    <mergeCell ref="C57:D57"/>
    <mergeCell ref="C58:D58"/>
    <mergeCell ref="C59:K59"/>
    <mergeCell ref="C43:D43"/>
    <mergeCell ref="C44:D44"/>
    <mergeCell ref="C47:K47"/>
    <mergeCell ref="C48:D48"/>
    <mergeCell ref="C53:K53"/>
    <mergeCell ref="C34:D34"/>
    <mergeCell ref="C35:D35"/>
    <mergeCell ref="C36:K36"/>
    <mergeCell ref="C39:K39"/>
    <mergeCell ref="C40:D40"/>
    <mergeCell ref="C24:D24"/>
    <mergeCell ref="C30:K30"/>
    <mergeCell ref="C31:K31"/>
    <mergeCell ref="C32:D32"/>
    <mergeCell ref="C33:K33"/>
    <mergeCell ref="C17:K17"/>
    <mergeCell ref="C18:K18"/>
    <mergeCell ref="C19:K19"/>
    <mergeCell ref="C20:D20"/>
    <mergeCell ref="C23:K23"/>
    <mergeCell ref="C11:D11"/>
    <mergeCell ref="H10:J10"/>
    <mergeCell ref="C12:D12"/>
    <mergeCell ref="C13:D13"/>
    <mergeCell ref="C14:D14"/>
    <mergeCell ref="I2:K3"/>
    <mergeCell ref="I4:K5"/>
    <mergeCell ref="I6:K7"/>
    <mergeCell ref="I8:K9"/>
    <mergeCell ref="C10:D10"/>
    <mergeCell ref="C8:D9"/>
    <mergeCell ref="G2:G3"/>
    <mergeCell ref="G4:G5"/>
    <mergeCell ref="G6:G7"/>
    <mergeCell ref="G8:G9"/>
    <mergeCell ref="A1:K1"/>
    <mergeCell ref="A2:B3"/>
    <mergeCell ref="A4:B5"/>
    <mergeCell ref="A6:B7"/>
    <mergeCell ref="A8:B9"/>
    <mergeCell ref="E2:F3"/>
    <mergeCell ref="E4:F5"/>
    <mergeCell ref="E6:F7"/>
    <mergeCell ref="E8:F9"/>
    <mergeCell ref="H2:H3"/>
    <mergeCell ref="H4:H5"/>
    <mergeCell ref="H6:H7"/>
    <mergeCell ref="H8:H9"/>
    <mergeCell ref="C2:D3"/>
    <mergeCell ref="C4:D5"/>
    <mergeCell ref="C6:D7"/>
  </mergeCells>
  <pageMargins left="0.393999993801117" right="0.393999993801117" top="0.59100002050399802" bottom="0.59100002050399802" header="0" footer="0"/>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7"/>
  <sheetViews>
    <sheetView tabSelected="1" workbookViewId="0">
      <selection activeCell="A37" sqref="A37:I37"/>
    </sheetView>
  </sheetViews>
  <sheetFormatPr defaultColWidth="12.140625" defaultRowHeight="15" customHeight="1" x14ac:dyDescent="0.25"/>
  <cols>
    <col min="1" max="1" width="9.140625" customWidth="1"/>
    <col min="2" max="2" width="12.85546875" customWidth="1"/>
    <col min="3" max="3" width="27.140625" customWidth="1"/>
    <col min="4" max="4" width="10" customWidth="1"/>
    <col min="5" max="5" width="14" customWidth="1"/>
    <col min="6" max="6" width="27.140625" customWidth="1"/>
    <col min="7" max="7" width="9.140625" customWidth="1"/>
    <col min="8" max="8" width="12.85546875" customWidth="1"/>
    <col min="9" max="9" width="27.140625" customWidth="1"/>
  </cols>
  <sheetData>
    <row r="1" spans="1:9" ht="54.75" customHeight="1" x14ac:dyDescent="0.25">
      <c r="A1" s="105" t="s">
        <v>2396</v>
      </c>
      <c r="B1" s="67"/>
      <c r="C1" s="67"/>
      <c r="D1" s="67"/>
      <c r="E1" s="67"/>
      <c r="F1" s="67"/>
      <c r="G1" s="67"/>
      <c r="H1" s="67"/>
      <c r="I1" s="67"/>
    </row>
    <row r="2" spans="1:9" x14ac:dyDescent="0.25">
      <c r="A2" s="68" t="s">
        <v>1</v>
      </c>
      <c r="B2" s="69"/>
      <c r="C2" s="77" t="str">
        <f>'Stavební rozpočet'!C2</f>
        <v xml:space="preserve">Regenerace návsi Ketkovice - 1. ETAPA	</v>
      </c>
      <c r="D2" s="78"/>
      <c r="E2" s="75" t="s">
        <v>5</v>
      </c>
      <c r="F2" s="75" t="str">
        <f>'Stavební rozpočet'!I2</f>
        <v>Obec Ketkovice, Ketkovice 87, 664 91 Ivančice</v>
      </c>
      <c r="G2" s="69"/>
      <c r="H2" s="75" t="s">
        <v>2397</v>
      </c>
      <c r="I2" s="89" t="s">
        <v>2398</v>
      </c>
    </row>
    <row r="3" spans="1:9" ht="15" customHeight="1" x14ac:dyDescent="0.25">
      <c r="A3" s="70"/>
      <c r="B3" s="71"/>
      <c r="C3" s="79"/>
      <c r="D3" s="79"/>
      <c r="E3" s="71"/>
      <c r="F3" s="71"/>
      <c r="G3" s="71"/>
      <c r="H3" s="71"/>
      <c r="I3" s="90"/>
    </row>
    <row r="4" spans="1:9" x14ac:dyDescent="0.25">
      <c r="A4" s="72" t="s">
        <v>7</v>
      </c>
      <c r="B4" s="71"/>
      <c r="C4" s="76" t="str">
        <f>'Stavební rozpočet'!C4</f>
        <v xml:space="preserve">veřejné prostranství	</v>
      </c>
      <c r="D4" s="71"/>
      <c r="E4" s="76" t="s">
        <v>11</v>
      </c>
      <c r="F4" s="76" t="str">
        <f>'Stavební rozpočet'!I4</f>
        <v>Atelier V8 s.r.o., Vez Zmolách 10, 675 73 Kralice</v>
      </c>
      <c r="G4" s="71"/>
      <c r="H4" s="76" t="s">
        <v>2397</v>
      </c>
      <c r="I4" s="90" t="s">
        <v>2399</v>
      </c>
    </row>
    <row r="5" spans="1:9" ht="15" customHeight="1" x14ac:dyDescent="0.25">
      <c r="A5" s="70"/>
      <c r="B5" s="71"/>
      <c r="C5" s="71"/>
      <c r="D5" s="71"/>
      <c r="E5" s="71"/>
      <c r="F5" s="71"/>
      <c r="G5" s="71"/>
      <c r="H5" s="71"/>
      <c r="I5" s="90"/>
    </row>
    <row r="6" spans="1:9" x14ac:dyDescent="0.25">
      <c r="A6" s="72" t="s">
        <v>13</v>
      </c>
      <c r="B6" s="71"/>
      <c r="C6" s="76" t="str">
        <f>'Stavební rozpočet'!C6</f>
        <v>Ketkovice</v>
      </c>
      <c r="D6" s="71"/>
      <c r="E6" s="76" t="s">
        <v>16</v>
      </c>
      <c r="F6" s="76" t="str">
        <f>'Stavební rozpočet'!I6</f>
        <v> </v>
      </c>
      <c r="G6" s="71"/>
      <c r="H6" s="76" t="s">
        <v>2397</v>
      </c>
      <c r="I6" s="90" t="s">
        <v>51</v>
      </c>
    </row>
    <row r="7" spans="1:9" ht="15" customHeight="1" x14ac:dyDescent="0.25">
      <c r="A7" s="70"/>
      <c r="B7" s="71"/>
      <c r="C7" s="71"/>
      <c r="D7" s="71"/>
      <c r="E7" s="71"/>
      <c r="F7" s="71"/>
      <c r="G7" s="71"/>
      <c r="H7" s="71"/>
      <c r="I7" s="90"/>
    </row>
    <row r="8" spans="1:9" x14ac:dyDescent="0.25">
      <c r="A8" s="72" t="s">
        <v>9</v>
      </c>
      <c r="B8" s="71"/>
      <c r="C8" s="76">
        <f>'Stavební rozpočet'!G4</f>
        <v>0</v>
      </c>
      <c r="D8" s="71"/>
      <c r="E8" s="76" t="s">
        <v>15</v>
      </c>
      <c r="F8" s="76" t="str">
        <f>'Stavební rozpočet'!G6</f>
        <v xml:space="preserve"> </v>
      </c>
      <c r="G8" s="71"/>
      <c r="H8" s="71" t="s">
        <v>2400</v>
      </c>
      <c r="I8" s="106">
        <v>501</v>
      </c>
    </row>
    <row r="9" spans="1:9" x14ac:dyDescent="0.25">
      <c r="A9" s="70"/>
      <c r="B9" s="71"/>
      <c r="C9" s="71"/>
      <c r="D9" s="71"/>
      <c r="E9" s="71"/>
      <c r="F9" s="71"/>
      <c r="G9" s="71"/>
      <c r="H9" s="71"/>
      <c r="I9" s="90"/>
    </row>
    <row r="10" spans="1:9" x14ac:dyDescent="0.25">
      <c r="A10" s="72" t="s">
        <v>18</v>
      </c>
      <c r="B10" s="71"/>
      <c r="C10" s="76" t="str">
        <f>'Stavební rozpočet'!C8</f>
        <v>823</v>
      </c>
      <c r="D10" s="71"/>
      <c r="E10" s="76" t="s">
        <v>21</v>
      </c>
      <c r="F10" s="76" t="str">
        <f>'Stavební rozpočet'!I8</f>
        <v> </v>
      </c>
      <c r="G10" s="71"/>
      <c r="H10" s="71" t="s">
        <v>2401</v>
      </c>
      <c r="I10" s="107" t="str">
        <f>'Stavební rozpočet'!G8</f>
        <v>06.03.2025</v>
      </c>
    </row>
    <row r="11" spans="1:9" x14ac:dyDescent="0.25">
      <c r="A11" s="112"/>
      <c r="B11" s="103"/>
      <c r="C11" s="103"/>
      <c r="D11" s="103"/>
      <c r="E11" s="103"/>
      <c r="F11" s="103"/>
      <c r="G11" s="103"/>
      <c r="H11" s="103"/>
      <c r="I11" s="108"/>
    </row>
    <row r="12" spans="1:9" ht="23.25" x14ac:dyDescent="0.25">
      <c r="A12" s="109" t="s">
        <v>2402</v>
      </c>
      <c r="B12" s="109"/>
      <c r="C12" s="109"/>
      <c r="D12" s="109"/>
      <c r="E12" s="109"/>
      <c r="F12" s="109"/>
      <c r="G12" s="109"/>
      <c r="H12" s="109"/>
      <c r="I12" s="109"/>
    </row>
    <row r="13" spans="1:9" ht="26.25" customHeight="1" x14ac:dyDescent="0.25">
      <c r="A13" s="44" t="s">
        <v>2403</v>
      </c>
      <c r="B13" s="110" t="s">
        <v>2404</v>
      </c>
      <c r="C13" s="111"/>
      <c r="D13" s="45" t="s">
        <v>2405</v>
      </c>
      <c r="E13" s="110" t="s">
        <v>2406</v>
      </c>
      <c r="F13" s="111"/>
      <c r="G13" s="45" t="s">
        <v>2407</v>
      </c>
      <c r="H13" s="110" t="s">
        <v>2408</v>
      </c>
      <c r="I13" s="111"/>
    </row>
    <row r="14" spans="1:9" ht="15.75" x14ac:dyDescent="0.25">
      <c r="A14" s="46" t="s">
        <v>2409</v>
      </c>
      <c r="B14" s="47" t="s">
        <v>2410</v>
      </c>
      <c r="C14" s="48">
        <f>SUM('Stavební rozpočet'!AB12:AB1328)</f>
        <v>0</v>
      </c>
      <c r="D14" s="119" t="s">
        <v>2411</v>
      </c>
      <c r="E14" s="120"/>
      <c r="F14" s="48">
        <f>VORN!I15</f>
        <v>0</v>
      </c>
      <c r="G14" s="119" t="s">
        <v>2375</v>
      </c>
      <c r="H14" s="120"/>
      <c r="I14" s="49">
        <f>VORN!I21</f>
        <v>0</v>
      </c>
    </row>
    <row r="15" spans="1:9" ht="15.75" x14ac:dyDescent="0.25">
      <c r="A15" s="50" t="s">
        <v>51</v>
      </c>
      <c r="B15" s="47" t="s">
        <v>36</v>
      </c>
      <c r="C15" s="48">
        <f>SUM('Stavební rozpočet'!AC12:AC1328)</f>
        <v>0</v>
      </c>
      <c r="D15" s="119" t="s">
        <v>2412</v>
      </c>
      <c r="E15" s="120"/>
      <c r="F15" s="48">
        <f>VORN!I16</f>
        <v>0</v>
      </c>
      <c r="G15" s="119" t="s">
        <v>2413</v>
      </c>
      <c r="H15" s="120"/>
      <c r="I15" s="49">
        <f>VORN!I22</f>
        <v>0</v>
      </c>
    </row>
    <row r="16" spans="1:9" ht="15.75" x14ac:dyDescent="0.25">
      <c r="A16" s="46" t="s">
        <v>2414</v>
      </c>
      <c r="B16" s="47" t="s">
        <v>2410</v>
      </c>
      <c r="C16" s="48">
        <f>SUM('Stavební rozpočet'!AD12:AD1328)</f>
        <v>0</v>
      </c>
      <c r="D16" s="119" t="s">
        <v>2415</v>
      </c>
      <c r="E16" s="120"/>
      <c r="F16" s="48">
        <f>VORN!I17</f>
        <v>0</v>
      </c>
      <c r="G16" s="119" t="s">
        <v>2416</v>
      </c>
      <c r="H16" s="120"/>
      <c r="I16" s="49">
        <f>VORN!I23</f>
        <v>0</v>
      </c>
    </row>
    <row r="17" spans="1:9" ht="15.75" x14ac:dyDescent="0.25">
      <c r="A17" s="50" t="s">
        <v>51</v>
      </c>
      <c r="B17" s="47" t="s">
        <v>36</v>
      </c>
      <c r="C17" s="48">
        <f>SUM('Stavební rozpočet'!AE12:AE1328)</f>
        <v>0</v>
      </c>
      <c r="D17" s="119" t="s">
        <v>51</v>
      </c>
      <c r="E17" s="120"/>
      <c r="F17" s="49" t="s">
        <v>51</v>
      </c>
      <c r="G17" s="119" t="s">
        <v>2417</v>
      </c>
      <c r="H17" s="120"/>
      <c r="I17" s="49">
        <f>VORN!I24</f>
        <v>0</v>
      </c>
    </row>
    <row r="18" spans="1:9" ht="15.75" x14ac:dyDescent="0.25">
      <c r="A18" s="46" t="s">
        <v>2418</v>
      </c>
      <c r="B18" s="47" t="s">
        <v>2410</v>
      </c>
      <c r="C18" s="48">
        <f>SUM('Stavební rozpočet'!AF12:AF1328)</f>
        <v>0</v>
      </c>
      <c r="D18" s="119" t="s">
        <v>51</v>
      </c>
      <c r="E18" s="120"/>
      <c r="F18" s="49" t="s">
        <v>51</v>
      </c>
      <c r="G18" s="119" t="s">
        <v>2419</v>
      </c>
      <c r="H18" s="120"/>
      <c r="I18" s="49">
        <f>VORN!I25</f>
        <v>0</v>
      </c>
    </row>
    <row r="19" spans="1:9" ht="15.75" x14ac:dyDescent="0.25">
      <c r="A19" s="50" t="s">
        <v>51</v>
      </c>
      <c r="B19" s="47" t="s">
        <v>36</v>
      </c>
      <c r="C19" s="48">
        <f>SUM('Stavební rozpočet'!AG12:AG1328)</f>
        <v>0</v>
      </c>
      <c r="D19" s="119" t="s">
        <v>51</v>
      </c>
      <c r="E19" s="120"/>
      <c r="F19" s="49" t="s">
        <v>51</v>
      </c>
      <c r="G19" s="119" t="s">
        <v>2420</v>
      </c>
      <c r="H19" s="120"/>
      <c r="I19" s="49">
        <f>VORN!I26</f>
        <v>0</v>
      </c>
    </row>
    <row r="20" spans="1:9" ht="15.75" x14ac:dyDescent="0.25">
      <c r="A20" s="113" t="s">
        <v>1528</v>
      </c>
      <c r="B20" s="114"/>
      <c r="C20" s="48">
        <f>SUM('Stavební rozpočet'!AH12:AH1328)</f>
        <v>0</v>
      </c>
      <c r="D20" s="119" t="s">
        <v>51</v>
      </c>
      <c r="E20" s="120"/>
      <c r="F20" s="49" t="s">
        <v>51</v>
      </c>
      <c r="G20" s="119" t="s">
        <v>51</v>
      </c>
      <c r="H20" s="120"/>
      <c r="I20" s="49" t="s">
        <v>51</v>
      </c>
    </row>
    <row r="21" spans="1:9" ht="15.75" x14ac:dyDescent="0.25">
      <c r="A21" s="115" t="s">
        <v>2421</v>
      </c>
      <c r="B21" s="116"/>
      <c r="C21" s="51">
        <f>SUM('Stavební rozpočet'!Z12:Z1328)</f>
        <v>0</v>
      </c>
      <c r="D21" s="121" t="s">
        <v>51</v>
      </c>
      <c r="E21" s="122"/>
      <c r="F21" s="52" t="s">
        <v>51</v>
      </c>
      <c r="G21" s="121" t="s">
        <v>51</v>
      </c>
      <c r="H21" s="122"/>
      <c r="I21" s="52" t="s">
        <v>51</v>
      </c>
    </row>
    <row r="22" spans="1:9" ht="16.5" customHeight="1" x14ac:dyDescent="0.25">
      <c r="A22" s="117" t="s">
        <v>2422</v>
      </c>
      <c r="B22" s="118"/>
      <c r="C22" s="53">
        <f>ROUND(SUM(C14:C21),1)</f>
        <v>0</v>
      </c>
      <c r="D22" s="123" t="s">
        <v>2423</v>
      </c>
      <c r="E22" s="118"/>
      <c r="F22" s="53">
        <f>SUM(F14:F21)</f>
        <v>0</v>
      </c>
      <c r="G22" s="123" t="s">
        <v>2424</v>
      </c>
      <c r="H22" s="118"/>
      <c r="I22" s="53">
        <f>SUM(I14:I21)</f>
        <v>0</v>
      </c>
    </row>
    <row r="23" spans="1:9" ht="15.75" x14ac:dyDescent="0.25">
      <c r="D23" s="113" t="s">
        <v>2425</v>
      </c>
      <c r="E23" s="114"/>
      <c r="F23" s="54">
        <v>0</v>
      </c>
      <c r="G23" s="124" t="s">
        <v>2426</v>
      </c>
      <c r="H23" s="114"/>
      <c r="I23" s="48">
        <v>0</v>
      </c>
    </row>
    <row r="24" spans="1:9" ht="15.75" x14ac:dyDescent="0.25">
      <c r="G24" s="113" t="s">
        <v>2427</v>
      </c>
      <c r="H24" s="114"/>
      <c r="I24" s="51">
        <f>vorn_sum</f>
        <v>0</v>
      </c>
    </row>
    <row r="25" spans="1:9" ht="15.75" x14ac:dyDescent="0.25">
      <c r="G25" s="113" t="s">
        <v>2428</v>
      </c>
      <c r="H25" s="114"/>
      <c r="I25" s="53">
        <v>0</v>
      </c>
    </row>
    <row r="27" spans="1:9" ht="15.75" x14ac:dyDescent="0.25">
      <c r="A27" s="125" t="s">
        <v>2429</v>
      </c>
      <c r="B27" s="126"/>
      <c r="C27" s="55">
        <f>ROUND(SUM('Stavební rozpočet'!AJ12:AJ1328),1)</f>
        <v>0</v>
      </c>
    </row>
    <row r="28" spans="1:9" ht="15.75" x14ac:dyDescent="0.25">
      <c r="A28" s="127" t="s">
        <v>2430</v>
      </c>
      <c r="B28" s="128"/>
      <c r="C28" s="56">
        <f>ROUND(SUM('Stavební rozpočet'!AK12:AK1328),1)</f>
        <v>0</v>
      </c>
      <c r="D28" s="129" t="s">
        <v>2431</v>
      </c>
      <c r="E28" s="126"/>
      <c r="F28" s="55">
        <f>ROUND(C28*(12/100),2)</f>
        <v>0</v>
      </c>
      <c r="G28" s="129" t="s">
        <v>2432</v>
      </c>
      <c r="H28" s="126"/>
      <c r="I28" s="55">
        <f>ROUND(SUM(C27:C29),1)</f>
        <v>0</v>
      </c>
    </row>
    <row r="29" spans="1:9" ht="15.75" x14ac:dyDescent="0.25">
      <c r="A29" s="127" t="s">
        <v>2433</v>
      </c>
      <c r="B29" s="128"/>
      <c r="C29" s="56">
        <f>ROUND(SUM('Stavební rozpočet'!AL12:AL1328),1)</f>
        <v>0</v>
      </c>
      <c r="D29" s="130" t="s">
        <v>2434</v>
      </c>
      <c r="E29" s="128"/>
      <c r="F29" s="56">
        <f>ROUND(C29*(21/100),2)</f>
        <v>0</v>
      </c>
      <c r="G29" s="130" t="s">
        <v>2435</v>
      </c>
      <c r="H29" s="128"/>
      <c r="I29" s="56">
        <f>ROUND(SUM(F28:F29)+I28,1)</f>
        <v>0</v>
      </c>
    </row>
    <row r="31" spans="1:9" x14ac:dyDescent="0.25">
      <c r="A31" s="140" t="s">
        <v>2436</v>
      </c>
      <c r="B31" s="132"/>
      <c r="C31" s="133"/>
      <c r="D31" s="131" t="s">
        <v>2437</v>
      </c>
      <c r="E31" s="132"/>
      <c r="F31" s="133"/>
      <c r="G31" s="131" t="s">
        <v>2438</v>
      </c>
      <c r="H31" s="132"/>
      <c r="I31" s="133"/>
    </row>
    <row r="32" spans="1:9" x14ac:dyDescent="0.25">
      <c r="A32" s="141" t="s">
        <v>51</v>
      </c>
      <c r="B32" s="135"/>
      <c r="C32" s="136"/>
      <c r="D32" s="134" t="s">
        <v>51</v>
      </c>
      <c r="E32" s="135"/>
      <c r="F32" s="136"/>
      <c r="G32" s="134" t="s">
        <v>51</v>
      </c>
      <c r="H32" s="135"/>
      <c r="I32" s="136"/>
    </row>
    <row r="33" spans="1:9" x14ac:dyDescent="0.25">
      <c r="A33" s="141" t="s">
        <v>51</v>
      </c>
      <c r="B33" s="135"/>
      <c r="C33" s="136"/>
      <c r="D33" s="134" t="s">
        <v>51</v>
      </c>
      <c r="E33" s="135"/>
      <c r="F33" s="136"/>
      <c r="G33" s="134" t="s">
        <v>51</v>
      </c>
      <c r="H33" s="135"/>
      <c r="I33" s="136"/>
    </row>
    <row r="34" spans="1:9" x14ac:dyDescent="0.25">
      <c r="A34" s="141" t="s">
        <v>51</v>
      </c>
      <c r="B34" s="135"/>
      <c r="C34" s="136"/>
      <c r="D34" s="134" t="s">
        <v>51</v>
      </c>
      <c r="E34" s="135"/>
      <c r="F34" s="136"/>
      <c r="G34" s="134" t="s">
        <v>51</v>
      </c>
      <c r="H34" s="135"/>
      <c r="I34" s="136"/>
    </row>
    <row r="35" spans="1:9" x14ac:dyDescent="0.25">
      <c r="A35" s="142" t="s">
        <v>2439</v>
      </c>
      <c r="B35" s="138"/>
      <c r="C35" s="139"/>
      <c r="D35" s="137" t="s">
        <v>2439</v>
      </c>
      <c r="E35" s="138"/>
      <c r="F35" s="139"/>
      <c r="G35" s="137" t="s">
        <v>2439</v>
      </c>
      <c r="H35" s="138"/>
      <c r="I35" s="139"/>
    </row>
    <row r="36" spans="1:9" x14ac:dyDescent="0.25">
      <c r="A36" s="57" t="s">
        <v>70</v>
      </c>
    </row>
    <row r="37" spans="1:9" ht="12.75" customHeight="1" x14ac:dyDescent="0.25">
      <c r="A37" s="76" t="s">
        <v>51</v>
      </c>
      <c r="B37" s="71"/>
      <c r="C37" s="71"/>
      <c r="D37" s="71"/>
      <c r="E37" s="71"/>
      <c r="F37" s="71"/>
      <c r="G37" s="71"/>
      <c r="H37" s="71"/>
      <c r="I37" s="71"/>
    </row>
  </sheetData>
  <mergeCells count="83">
    <mergeCell ref="A37:I37"/>
    <mergeCell ref="G31:I31"/>
    <mergeCell ref="G32:I32"/>
    <mergeCell ref="G33:I33"/>
    <mergeCell ref="G34:I34"/>
    <mergeCell ref="G35:I35"/>
    <mergeCell ref="D31:F31"/>
    <mergeCell ref="D32:F32"/>
    <mergeCell ref="D33:F33"/>
    <mergeCell ref="D34:F34"/>
    <mergeCell ref="D35:F35"/>
    <mergeCell ref="A31:C31"/>
    <mergeCell ref="A32:C32"/>
    <mergeCell ref="A33:C33"/>
    <mergeCell ref="A34:C34"/>
    <mergeCell ref="A35:C35"/>
    <mergeCell ref="G24:H24"/>
    <mergeCell ref="G25:H25"/>
    <mergeCell ref="A27:B27"/>
    <mergeCell ref="A28:B28"/>
    <mergeCell ref="A29:B29"/>
    <mergeCell ref="D28:E28"/>
    <mergeCell ref="D29:E29"/>
    <mergeCell ref="G28:H28"/>
    <mergeCell ref="G29:H29"/>
    <mergeCell ref="D23:E23"/>
    <mergeCell ref="G14:H14"/>
    <mergeCell ref="G15:H15"/>
    <mergeCell ref="G16:H16"/>
    <mergeCell ref="G17:H17"/>
    <mergeCell ref="G18:H18"/>
    <mergeCell ref="G19:H19"/>
    <mergeCell ref="G20:H20"/>
    <mergeCell ref="G21:H21"/>
    <mergeCell ref="G22:H22"/>
    <mergeCell ref="G23:H23"/>
    <mergeCell ref="A20:B20"/>
    <mergeCell ref="A21:B21"/>
    <mergeCell ref="A22:B22"/>
    <mergeCell ref="D14:E14"/>
    <mergeCell ref="D15:E15"/>
    <mergeCell ref="D16:E16"/>
    <mergeCell ref="D17:E17"/>
    <mergeCell ref="D18:E18"/>
    <mergeCell ref="D19:E19"/>
    <mergeCell ref="D20:E20"/>
    <mergeCell ref="D21:E21"/>
    <mergeCell ref="D22:E22"/>
    <mergeCell ref="I10:I11"/>
    <mergeCell ref="A12:I12"/>
    <mergeCell ref="B13:C13"/>
    <mergeCell ref="E13:F13"/>
    <mergeCell ref="H13:I13"/>
    <mergeCell ref="F10:G11"/>
    <mergeCell ref="A10:B11"/>
    <mergeCell ref="H2:H3"/>
    <mergeCell ref="H4:H5"/>
    <mergeCell ref="H6:H7"/>
    <mergeCell ref="H8:H9"/>
    <mergeCell ref="H10:H11"/>
    <mergeCell ref="C8:D9"/>
    <mergeCell ref="C10:D11"/>
    <mergeCell ref="E2:E3"/>
    <mergeCell ref="E4:E5"/>
    <mergeCell ref="E6:E7"/>
    <mergeCell ref="E8:E9"/>
    <mergeCell ref="E10:E11"/>
    <mergeCell ref="A1:I1"/>
    <mergeCell ref="A2:B3"/>
    <mergeCell ref="A4:B5"/>
    <mergeCell ref="A6:B7"/>
    <mergeCell ref="A8:B9"/>
    <mergeCell ref="F2:G3"/>
    <mergeCell ref="F4:G5"/>
    <mergeCell ref="F6:G7"/>
    <mergeCell ref="F8:G9"/>
    <mergeCell ref="I2:I3"/>
    <mergeCell ref="I4:I5"/>
    <mergeCell ref="I6:I7"/>
    <mergeCell ref="I8:I9"/>
    <mergeCell ref="C2:D3"/>
    <mergeCell ref="C4:D5"/>
    <mergeCell ref="C6:D7"/>
  </mergeCells>
  <pageMargins left="0.393999993801117" right="0.393999993801117" top="0.59100002050399802" bottom="0.59100002050399802" header="0" footer="0"/>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5"/>
  <sheetViews>
    <sheetView workbookViewId="0">
      <selection activeCell="A45" sqref="A45:E45"/>
    </sheetView>
  </sheetViews>
  <sheetFormatPr defaultColWidth="12.140625" defaultRowHeight="15" customHeight="1" x14ac:dyDescent="0.25"/>
  <cols>
    <col min="1" max="1" width="9.140625" customWidth="1"/>
    <col min="2" max="2" width="12.85546875" customWidth="1"/>
    <col min="3" max="3" width="22.85546875" customWidth="1"/>
    <col min="4" max="4" width="10" customWidth="1"/>
    <col min="5" max="5" width="14" customWidth="1"/>
    <col min="6" max="6" width="22.85546875" customWidth="1"/>
    <col min="7" max="7" width="9.140625" customWidth="1"/>
    <col min="8" max="8" width="17.140625" customWidth="1"/>
    <col min="9" max="9" width="22.85546875" customWidth="1"/>
  </cols>
  <sheetData>
    <row r="1" spans="1:9" ht="54.75" customHeight="1" x14ac:dyDescent="0.25">
      <c r="A1" s="105" t="s">
        <v>2354</v>
      </c>
      <c r="B1" s="67"/>
      <c r="C1" s="67"/>
      <c r="D1" s="67"/>
      <c r="E1" s="67"/>
      <c r="F1" s="67"/>
      <c r="G1" s="67"/>
      <c r="H1" s="67"/>
      <c r="I1" s="67"/>
    </row>
    <row r="2" spans="1:9" x14ac:dyDescent="0.25">
      <c r="A2" s="68" t="s">
        <v>1</v>
      </c>
      <c r="B2" s="69"/>
      <c r="C2" s="77" t="str">
        <f>'Stavební rozpočet'!C2</f>
        <v xml:space="preserve">Regenerace návsi Ketkovice - 1. ETAPA	</v>
      </c>
      <c r="D2" s="78"/>
      <c r="E2" s="75" t="s">
        <v>5</v>
      </c>
      <c r="F2" s="75" t="str">
        <f>'Stavební rozpočet'!I2</f>
        <v>Obec Ketkovice, Ketkovice 87, 664 91 Ivančice</v>
      </c>
      <c r="G2" s="69"/>
      <c r="H2" s="75" t="s">
        <v>2397</v>
      </c>
      <c r="I2" s="89" t="s">
        <v>2398</v>
      </c>
    </row>
    <row r="3" spans="1:9" ht="15" customHeight="1" x14ac:dyDescent="0.25">
      <c r="A3" s="70"/>
      <c r="B3" s="71"/>
      <c r="C3" s="79"/>
      <c r="D3" s="79"/>
      <c r="E3" s="71"/>
      <c r="F3" s="71"/>
      <c r="G3" s="71"/>
      <c r="H3" s="71"/>
      <c r="I3" s="90"/>
    </row>
    <row r="4" spans="1:9" x14ac:dyDescent="0.25">
      <c r="A4" s="72" t="s">
        <v>7</v>
      </c>
      <c r="B4" s="71"/>
      <c r="C4" s="76" t="str">
        <f>'Stavební rozpočet'!C4</f>
        <v xml:space="preserve">veřejné prostranství	</v>
      </c>
      <c r="D4" s="71"/>
      <c r="E4" s="76" t="s">
        <v>11</v>
      </c>
      <c r="F4" s="76" t="str">
        <f>'Stavební rozpočet'!I4</f>
        <v>Atelier V8 s.r.o., Vez Zmolách 10, 675 73 Kralice</v>
      </c>
      <c r="G4" s="71"/>
      <c r="H4" s="76" t="s">
        <v>2397</v>
      </c>
      <c r="I4" s="90" t="s">
        <v>2399</v>
      </c>
    </row>
    <row r="5" spans="1:9" ht="15" customHeight="1" x14ac:dyDescent="0.25">
      <c r="A5" s="70"/>
      <c r="B5" s="71"/>
      <c r="C5" s="71"/>
      <c r="D5" s="71"/>
      <c r="E5" s="71"/>
      <c r="F5" s="71"/>
      <c r="G5" s="71"/>
      <c r="H5" s="71"/>
      <c r="I5" s="90"/>
    </row>
    <row r="6" spans="1:9" x14ac:dyDescent="0.25">
      <c r="A6" s="72" t="s">
        <v>13</v>
      </c>
      <c r="B6" s="71"/>
      <c r="C6" s="76" t="str">
        <f>'Stavební rozpočet'!C6</f>
        <v>Ketkovice</v>
      </c>
      <c r="D6" s="71"/>
      <c r="E6" s="76" t="s">
        <v>16</v>
      </c>
      <c r="F6" s="76" t="str">
        <f>'Stavební rozpočet'!I6</f>
        <v> </v>
      </c>
      <c r="G6" s="71"/>
      <c r="H6" s="76" t="s">
        <v>2397</v>
      </c>
      <c r="I6" s="90" t="s">
        <v>51</v>
      </c>
    </row>
    <row r="7" spans="1:9" ht="15" customHeight="1" x14ac:dyDescent="0.25">
      <c r="A7" s="70"/>
      <c r="B7" s="71"/>
      <c r="C7" s="71"/>
      <c r="D7" s="71"/>
      <c r="E7" s="71"/>
      <c r="F7" s="71"/>
      <c r="G7" s="71"/>
      <c r="H7" s="71"/>
      <c r="I7" s="90"/>
    </row>
    <row r="8" spans="1:9" x14ac:dyDescent="0.25">
      <c r="A8" s="72" t="s">
        <v>9</v>
      </c>
      <c r="B8" s="71"/>
      <c r="C8" s="76">
        <f>'Stavební rozpočet'!G4</f>
        <v>0</v>
      </c>
      <c r="D8" s="71"/>
      <c r="E8" s="76" t="s">
        <v>15</v>
      </c>
      <c r="F8" s="76" t="str">
        <f>'Stavební rozpočet'!G6</f>
        <v xml:space="preserve"> </v>
      </c>
      <c r="G8" s="71"/>
      <c r="H8" s="71" t="s">
        <v>2400</v>
      </c>
      <c r="I8" s="106">
        <v>501</v>
      </c>
    </row>
    <row r="9" spans="1:9" x14ac:dyDescent="0.25">
      <c r="A9" s="70"/>
      <c r="B9" s="71"/>
      <c r="C9" s="71"/>
      <c r="D9" s="71"/>
      <c r="E9" s="71"/>
      <c r="F9" s="71"/>
      <c r="G9" s="71"/>
      <c r="H9" s="71"/>
      <c r="I9" s="90"/>
    </row>
    <row r="10" spans="1:9" x14ac:dyDescent="0.25">
      <c r="A10" s="72" t="s">
        <v>18</v>
      </c>
      <c r="B10" s="71"/>
      <c r="C10" s="76" t="str">
        <f>'Stavební rozpočet'!C8</f>
        <v>823</v>
      </c>
      <c r="D10" s="71"/>
      <c r="E10" s="76" t="s">
        <v>21</v>
      </c>
      <c r="F10" s="76" t="str">
        <f>'Stavební rozpočet'!I8</f>
        <v> </v>
      </c>
      <c r="G10" s="71"/>
      <c r="H10" s="71" t="s">
        <v>2401</v>
      </c>
      <c r="I10" s="107" t="str">
        <f>'Stavební rozpočet'!G8</f>
        <v>06.03.2025</v>
      </c>
    </row>
    <row r="11" spans="1:9" x14ac:dyDescent="0.25">
      <c r="A11" s="112"/>
      <c r="B11" s="103"/>
      <c r="C11" s="103"/>
      <c r="D11" s="103"/>
      <c r="E11" s="103"/>
      <c r="F11" s="103"/>
      <c r="G11" s="103"/>
      <c r="H11" s="103"/>
      <c r="I11" s="108"/>
    </row>
    <row r="13" spans="1:9" ht="15.75" x14ac:dyDescent="0.25">
      <c r="A13" s="143" t="s">
        <v>2440</v>
      </c>
      <c r="B13" s="143"/>
      <c r="C13" s="143"/>
      <c r="D13" s="143"/>
      <c r="E13" s="143"/>
    </row>
    <row r="14" spans="1:9" x14ac:dyDescent="0.25">
      <c r="A14" s="144" t="s">
        <v>2441</v>
      </c>
      <c r="B14" s="145"/>
      <c r="C14" s="145"/>
      <c r="D14" s="145"/>
      <c r="E14" s="146"/>
      <c r="F14" s="58" t="s">
        <v>2442</v>
      </c>
      <c r="G14" s="58" t="s">
        <v>1306</v>
      </c>
      <c r="H14" s="58" t="s">
        <v>2443</v>
      </c>
      <c r="I14" s="58" t="s">
        <v>2442</v>
      </c>
    </row>
    <row r="15" spans="1:9" x14ac:dyDescent="0.25">
      <c r="A15" s="147" t="s">
        <v>2411</v>
      </c>
      <c r="B15" s="148"/>
      <c r="C15" s="148"/>
      <c r="D15" s="148"/>
      <c r="E15" s="149"/>
      <c r="F15" s="59">
        <v>0</v>
      </c>
      <c r="G15" s="60" t="s">
        <v>51</v>
      </c>
      <c r="H15" s="60" t="s">
        <v>51</v>
      </c>
      <c r="I15" s="59">
        <f>F15</f>
        <v>0</v>
      </c>
    </row>
    <row r="16" spans="1:9" x14ac:dyDescent="0.25">
      <c r="A16" s="147" t="s">
        <v>2412</v>
      </c>
      <c r="B16" s="148"/>
      <c r="C16" s="148"/>
      <c r="D16" s="148"/>
      <c r="E16" s="149"/>
      <c r="F16" s="59">
        <v>0</v>
      </c>
      <c r="G16" s="60" t="s">
        <v>51</v>
      </c>
      <c r="H16" s="60" t="s">
        <v>51</v>
      </c>
      <c r="I16" s="59">
        <f>F16</f>
        <v>0</v>
      </c>
    </row>
    <row r="17" spans="1:9" x14ac:dyDescent="0.25">
      <c r="A17" s="150" t="s">
        <v>2415</v>
      </c>
      <c r="B17" s="151"/>
      <c r="C17" s="151"/>
      <c r="D17" s="151"/>
      <c r="E17" s="152"/>
      <c r="F17" s="61">
        <v>0</v>
      </c>
      <c r="G17" s="62" t="s">
        <v>51</v>
      </c>
      <c r="H17" s="62" t="s">
        <v>51</v>
      </c>
      <c r="I17" s="61">
        <f>F17</f>
        <v>0</v>
      </c>
    </row>
    <row r="18" spans="1:9" x14ac:dyDescent="0.25">
      <c r="A18" s="153" t="s">
        <v>2444</v>
      </c>
      <c r="B18" s="154"/>
      <c r="C18" s="154"/>
      <c r="D18" s="154"/>
      <c r="E18" s="155"/>
      <c r="F18" s="63" t="s">
        <v>51</v>
      </c>
      <c r="G18" s="64" t="s">
        <v>51</v>
      </c>
      <c r="H18" s="64" t="s">
        <v>51</v>
      </c>
      <c r="I18" s="65">
        <f>SUM(I15:I17)</f>
        <v>0</v>
      </c>
    </row>
    <row r="20" spans="1:9" x14ac:dyDescent="0.25">
      <c r="A20" s="144" t="s">
        <v>2408</v>
      </c>
      <c r="B20" s="145"/>
      <c r="C20" s="145"/>
      <c r="D20" s="145"/>
      <c r="E20" s="146"/>
      <c r="F20" s="58" t="s">
        <v>2442</v>
      </c>
      <c r="G20" s="58" t="s">
        <v>1306</v>
      </c>
      <c r="H20" s="58" t="s">
        <v>2443</v>
      </c>
      <c r="I20" s="58" t="s">
        <v>2442</v>
      </c>
    </row>
    <row r="21" spans="1:9" x14ac:dyDescent="0.25">
      <c r="A21" s="147" t="s">
        <v>2375</v>
      </c>
      <c r="B21" s="148"/>
      <c r="C21" s="148"/>
      <c r="D21" s="148"/>
      <c r="E21" s="149"/>
      <c r="F21" s="59">
        <v>0</v>
      </c>
      <c r="G21" s="60" t="s">
        <v>51</v>
      </c>
      <c r="H21" s="60" t="s">
        <v>51</v>
      </c>
      <c r="I21" s="59">
        <f t="shared" ref="I21:I26" si="0">F21</f>
        <v>0</v>
      </c>
    </row>
    <row r="22" spans="1:9" x14ac:dyDescent="0.25">
      <c r="A22" s="147" t="s">
        <v>2413</v>
      </c>
      <c r="B22" s="148"/>
      <c r="C22" s="148"/>
      <c r="D22" s="148"/>
      <c r="E22" s="149"/>
      <c r="F22" s="59">
        <v>0</v>
      </c>
      <c r="G22" s="60" t="s">
        <v>51</v>
      </c>
      <c r="H22" s="60" t="s">
        <v>51</v>
      </c>
      <c r="I22" s="59">
        <f t="shared" si="0"/>
        <v>0</v>
      </c>
    </row>
    <row r="23" spans="1:9" x14ac:dyDescent="0.25">
      <c r="A23" s="147" t="s">
        <v>2416</v>
      </c>
      <c r="B23" s="148"/>
      <c r="C23" s="148"/>
      <c r="D23" s="148"/>
      <c r="E23" s="149"/>
      <c r="F23" s="59">
        <v>0</v>
      </c>
      <c r="G23" s="60" t="s">
        <v>51</v>
      </c>
      <c r="H23" s="60" t="s">
        <v>51</v>
      </c>
      <c r="I23" s="59">
        <f t="shared" si="0"/>
        <v>0</v>
      </c>
    </row>
    <row r="24" spans="1:9" x14ac:dyDescent="0.25">
      <c r="A24" s="147" t="s">
        <v>2417</v>
      </c>
      <c r="B24" s="148"/>
      <c r="C24" s="148"/>
      <c r="D24" s="148"/>
      <c r="E24" s="149"/>
      <c r="F24" s="59">
        <v>0</v>
      </c>
      <c r="G24" s="60" t="s">
        <v>51</v>
      </c>
      <c r="H24" s="60" t="s">
        <v>51</v>
      </c>
      <c r="I24" s="59">
        <f t="shared" si="0"/>
        <v>0</v>
      </c>
    </row>
    <row r="25" spans="1:9" x14ac:dyDescent="0.25">
      <c r="A25" s="147" t="s">
        <v>2419</v>
      </c>
      <c r="B25" s="148"/>
      <c r="C25" s="148"/>
      <c r="D25" s="148"/>
      <c r="E25" s="149"/>
      <c r="F25" s="59">
        <v>0</v>
      </c>
      <c r="G25" s="60" t="s">
        <v>51</v>
      </c>
      <c r="H25" s="60" t="s">
        <v>51</v>
      </c>
      <c r="I25" s="59">
        <f t="shared" si="0"/>
        <v>0</v>
      </c>
    </row>
    <row r="26" spans="1:9" x14ac:dyDescent="0.25">
      <c r="A26" s="150" t="s">
        <v>2420</v>
      </c>
      <c r="B26" s="151"/>
      <c r="C26" s="151"/>
      <c r="D26" s="151"/>
      <c r="E26" s="152"/>
      <c r="F26" s="61">
        <v>0</v>
      </c>
      <c r="G26" s="62" t="s">
        <v>51</v>
      </c>
      <c r="H26" s="62" t="s">
        <v>51</v>
      </c>
      <c r="I26" s="61">
        <f t="shared" si="0"/>
        <v>0</v>
      </c>
    </row>
    <row r="27" spans="1:9" x14ac:dyDescent="0.25">
      <c r="A27" s="153" t="s">
        <v>2445</v>
      </c>
      <c r="B27" s="154"/>
      <c r="C27" s="154"/>
      <c r="D27" s="154"/>
      <c r="E27" s="155"/>
      <c r="F27" s="63" t="s">
        <v>51</v>
      </c>
      <c r="G27" s="64" t="s">
        <v>51</v>
      </c>
      <c r="H27" s="64" t="s">
        <v>51</v>
      </c>
      <c r="I27" s="65">
        <f>SUM(I21:I26)</f>
        <v>0</v>
      </c>
    </row>
    <row r="29" spans="1:9" ht="15.75" x14ac:dyDescent="0.25">
      <c r="A29" s="156" t="s">
        <v>2446</v>
      </c>
      <c r="B29" s="157"/>
      <c r="C29" s="157"/>
      <c r="D29" s="157"/>
      <c r="E29" s="158"/>
      <c r="F29" s="159">
        <f>I18+I27</f>
        <v>0</v>
      </c>
      <c r="G29" s="160"/>
      <c r="H29" s="160"/>
      <c r="I29" s="161"/>
    </row>
    <row r="33" spans="1:9" ht="15.75" x14ac:dyDescent="0.25">
      <c r="A33" s="143" t="s">
        <v>2447</v>
      </c>
      <c r="B33" s="143"/>
      <c r="C33" s="143"/>
      <c r="D33" s="143"/>
      <c r="E33" s="143"/>
    </row>
    <row r="34" spans="1:9" x14ac:dyDescent="0.25">
      <c r="A34" s="144" t="s">
        <v>2448</v>
      </c>
      <c r="B34" s="145"/>
      <c r="C34" s="145"/>
      <c r="D34" s="145"/>
      <c r="E34" s="146"/>
      <c r="F34" s="58" t="s">
        <v>2442</v>
      </c>
      <c r="G34" s="58" t="s">
        <v>1306</v>
      </c>
      <c r="H34" s="58" t="s">
        <v>2443</v>
      </c>
      <c r="I34" s="58" t="s">
        <v>2442</v>
      </c>
    </row>
    <row r="35" spans="1:9" x14ac:dyDescent="0.25">
      <c r="A35" s="147" t="s">
        <v>2356</v>
      </c>
      <c r="B35" s="148"/>
      <c r="C35" s="148"/>
      <c r="D35" s="148"/>
      <c r="E35" s="149"/>
      <c r="F35" s="59">
        <f>SUM('Stavební rozpočet'!BM12:BM1328)</f>
        <v>0</v>
      </c>
      <c r="G35" s="60" t="s">
        <v>51</v>
      </c>
      <c r="H35" s="60" t="s">
        <v>51</v>
      </c>
      <c r="I35" s="59">
        <f t="shared" ref="I35:I44" si="1">F35</f>
        <v>0</v>
      </c>
    </row>
    <row r="36" spans="1:9" x14ac:dyDescent="0.25">
      <c r="A36" s="147" t="s">
        <v>2449</v>
      </c>
      <c r="B36" s="148"/>
      <c r="C36" s="148"/>
      <c r="D36" s="148"/>
      <c r="E36" s="149"/>
      <c r="F36" s="59">
        <f>SUM('Stavební rozpočet'!BN12:BN1328)</f>
        <v>0</v>
      </c>
      <c r="G36" s="60" t="s">
        <v>51</v>
      </c>
      <c r="H36" s="60" t="s">
        <v>51</v>
      </c>
      <c r="I36" s="59">
        <f t="shared" si="1"/>
        <v>0</v>
      </c>
    </row>
    <row r="37" spans="1:9" x14ac:dyDescent="0.25">
      <c r="A37" s="147" t="s">
        <v>2375</v>
      </c>
      <c r="B37" s="148"/>
      <c r="C37" s="148"/>
      <c r="D37" s="148"/>
      <c r="E37" s="149"/>
      <c r="F37" s="59">
        <f>SUM('Stavební rozpočet'!BO12:BO1328)</f>
        <v>0</v>
      </c>
      <c r="G37" s="60" t="s">
        <v>51</v>
      </c>
      <c r="H37" s="60" t="s">
        <v>51</v>
      </c>
      <c r="I37" s="59">
        <f t="shared" si="1"/>
        <v>0</v>
      </c>
    </row>
    <row r="38" spans="1:9" x14ac:dyDescent="0.25">
      <c r="A38" s="147" t="s">
        <v>2381</v>
      </c>
      <c r="B38" s="148"/>
      <c r="C38" s="148"/>
      <c r="D38" s="148"/>
      <c r="E38" s="149"/>
      <c r="F38" s="59">
        <f>SUM('Stavební rozpočet'!BP12:BP1328)</f>
        <v>0</v>
      </c>
      <c r="G38" s="60" t="s">
        <v>51</v>
      </c>
      <c r="H38" s="60" t="s">
        <v>51</v>
      </c>
      <c r="I38" s="59">
        <f t="shared" si="1"/>
        <v>0</v>
      </c>
    </row>
    <row r="39" spans="1:9" x14ac:dyDescent="0.25">
      <c r="A39" s="147" t="s">
        <v>2450</v>
      </c>
      <c r="B39" s="148"/>
      <c r="C39" s="148"/>
      <c r="D39" s="148"/>
      <c r="E39" s="149"/>
      <c r="F39" s="59">
        <f>SUM('Stavební rozpočet'!BQ12:BQ1328)</f>
        <v>0</v>
      </c>
      <c r="G39" s="60" t="s">
        <v>51</v>
      </c>
      <c r="H39" s="60" t="s">
        <v>51</v>
      </c>
      <c r="I39" s="59">
        <f t="shared" si="1"/>
        <v>0</v>
      </c>
    </row>
    <row r="40" spans="1:9" x14ac:dyDescent="0.25">
      <c r="A40" s="147" t="s">
        <v>2416</v>
      </c>
      <c r="B40" s="148"/>
      <c r="C40" s="148"/>
      <c r="D40" s="148"/>
      <c r="E40" s="149"/>
      <c r="F40" s="59">
        <f>SUM('Stavební rozpočet'!BR12:BR1328)</f>
        <v>0</v>
      </c>
      <c r="G40" s="60" t="s">
        <v>51</v>
      </c>
      <c r="H40" s="60" t="s">
        <v>51</v>
      </c>
      <c r="I40" s="59">
        <f t="shared" si="1"/>
        <v>0</v>
      </c>
    </row>
    <row r="41" spans="1:9" x14ac:dyDescent="0.25">
      <c r="A41" s="147" t="s">
        <v>2417</v>
      </c>
      <c r="B41" s="148"/>
      <c r="C41" s="148"/>
      <c r="D41" s="148"/>
      <c r="E41" s="149"/>
      <c r="F41" s="59">
        <f>SUM('Stavební rozpočet'!BS12:BS1328)</f>
        <v>0</v>
      </c>
      <c r="G41" s="60" t="s">
        <v>51</v>
      </c>
      <c r="H41" s="60" t="s">
        <v>51</v>
      </c>
      <c r="I41" s="59">
        <f t="shared" si="1"/>
        <v>0</v>
      </c>
    </row>
    <row r="42" spans="1:9" x14ac:dyDescent="0.25">
      <c r="A42" s="147" t="s">
        <v>2451</v>
      </c>
      <c r="B42" s="148"/>
      <c r="C42" s="148"/>
      <c r="D42" s="148"/>
      <c r="E42" s="149"/>
      <c r="F42" s="59">
        <f>SUM('Stavební rozpočet'!BT12:BT1328)</f>
        <v>0</v>
      </c>
      <c r="G42" s="60" t="s">
        <v>51</v>
      </c>
      <c r="H42" s="60" t="s">
        <v>51</v>
      </c>
      <c r="I42" s="59">
        <f t="shared" si="1"/>
        <v>0</v>
      </c>
    </row>
    <row r="43" spans="1:9" x14ac:dyDescent="0.25">
      <c r="A43" s="147" t="s">
        <v>2390</v>
      </c>
      <c r="B43" s="148"/>
      <c r="C43" s="148"/>
      <c r="D43" s="148"/>
      <c r="E43" s="149"/>
      <c r="F43" s="59">
        <f>SUM('Stavební rozpočet'!BU12:BU1328)</f>
        <v>0</v>
      </c>
      <c r="G43" s="60" t="s">
        <v>51</v>
      </c>
      <c r="H43" s="60" t="s">
        <v>51</v>
      </c>
      <c r="I43" s="59">
        <f t="shared" si="1"/>
        <v>0</v>
      </c>
    </row>
    <row r="44" spans="1:9" x14ac:dyDescent="0.25">
      <c r="A44" s="150" t="s">
        <v>2452</v>
      </c>
      <c r="B44" s="151"/>
      <c r="C44" s="151"/>
      <c r="D44" s="151"/>
      <c r="E44" s="152"/>
      <c r="F44" s="61">
        <f>SUM('Stavební rozpočet'!BV12:BV1328)</f>
        <v>0</v>
      </c>
      <c r="G44" s="62" t="s">
        <v>51</v>
      </c>
      <c r="H44" s="62" t="s">
        <v>51</v>
      </c>
      <c r="I44" s="61">
        <f t="shared" si="1"/>
        <v>0</v>
      </c>
    </row>
    <row r="45" spans="1:9" x14ac:dyDescent="0.25">
      <c r="A45" s="153" t="s">
        <v>2453</v>
      </c>
      <c r="B45" s="154"/>
      <c r="C45" s="154"/>
      <c r="D45" s="154"/>
      <c r="E45" s="155"/>
      <c r="F45" s="63" t="s">
        <v>51</v>
      </c>
      <c r="G45" s="64" t="s">
        <v>51</v>
      </c>
      <c r="H45" s="64" t="s">
        <v>51</v>
      </c>
      <c r="I45" s="65">
        <f>SUM(I35:I44)</f>
        <v>0</v>
      </c>
    </row>
  </sheetData>
  <mergeCells count="60">
    <mergeCell ref="A41:E41"/>
    <mergeCell ref="A42:E42"/>
    <mergeCell ref="A43:E43"/>
    <mergeCell ref="A44:E44"/>
    <mergeCell ref="A45:E45"/>
    <mergeCell ref="A36:E36"/>
    <mergeCell ref="A37:E37"/>
    <mergeCell ref="A38:E38"/>
    <mergeCell ref="A39:E39"/>
    <mergeCell ref="A40:E40"/>
    <mergeCell ref="A29:E29"/>
    <mergeCell ref="F29:I29"/>
    <mergeCell ref="A33:E33"/>
    <mergeCell ref="A34:E34"/>
    <mergeCell ref="A35:E35"/>
    <mergeCell ref="A23:E23"/>
    <mergeCell ref="A24:E24"/>
    <mergeCell ref="A25:E25"/>
    <mergeCell ref="A26:E26"/>
    <mergeCell ref="A27:E27"/>
    <mergeCell ref="A17:E17"/>
    <mergeCell ref="A18:E18"/>
    <mergeCell ref="A20:E20"/>
    <mergeCell ref="A21:E21"/>
    <mergeCell ref="A22:E22"/>
    <mergeCell ref="I10:I11"/>
    <mergeCell ref="A13:E13"/>
    <mergeCell ref="A14:E14"/>
    <mergeCell ref="A15:E15"/>
    <mergeCell ref="A16:E16"/>
    <mergeCell ref="H10:H11"/>
    <mergeCell ref="A10:B11"/>
    <mergeCell ref="C2:D3"/>
    <mergeCell ref="C4:D5"/>
    <mergeCell ref="C6:D7"/>
    <mergeCell ref="C8:D9"/>
    <mergeCell ref="C10:D11"/>
    <mergeCell ref="E8:E9"/>
    <mergeCell ref="E10:E11"/>
    <mergeCell ref="F2:G3"/>
    <mergeCell ref="F4:G5"/>
    <mergeCell ref="F6:G7"/>
    <mergeCell ref="F8:G9"/>
    <mergeCell ref="F10:G11"/>
    <mergeCell ref="A1:I1"/>
    <mergeCell ref="A2:B3"/>
    <mergeCell ref="A4:B5"/>
    <mergeCell ref="A6:B7"/>
    <mergeCell ref="A8:B9"/>
    <mergeCell ref="H2:H3"/>
    <mergeCell ref="H4:H5"/>
    <mergeCell ref="H6:H7"/>
    <mergeCell ref="H8:H9"/>
    <mergeCell ref="I2:I3"/>
    <mergeCell ref="I4:I5"/>
    <mergeCell ref="I6:I7"/>
    <mergeCell ref="I8:I9"/>
    <mergeCell ref="E2:E3"/>
    <mergeCell ref="E4:E5"/>
    <mergeCell ref="E6:E7"/>
  </mergeCells>
  <pageMargins left="0.393999993801117" right="0.393999993801117" top="0.59100002050399802" bottom="0.59100002050399802" header="0" footer="0"/>
  <pageSetup fitToHeight="0"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1</vt:i4>
      </vt:variant>
    </vt:vector>
  </HeadingPairs>
  <TitlesOfParts>
    <vt:vector size="4" baseType="lpstr">
      <vt:lpstr>Stavební rozpočet</vt:lpstr>
      <vt:lpstr>Krycí list rozpočtu</vt:lpstr>
      <vt:lpstr>VORN</vt:lpstr>
      <vt:lpstr>vorn_sum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Martin Budiš</cp:lastModifiedBy>
  <cp:lastPrinted>2025-04-14T11:52:48Z</cp:lastPrinted>
  <dcterms:created xsi:type="dcterms:W3CDTF">2021-06-10T20:06:38Z</dcterms:created>
  <dcterms:modified xsi:type="dcterms:W3CDTF">2025-08-27T10:26:16Z</dcterms:modified>
</cp:coreProperties>
</file>